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5.xml" ContentType="application/vnd.openxmlformats-officedocument.spreadsheetml.comments+xml"/>
  <Override PartName="/xl/drawings/drawing28.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G:\Shared drives\Data Analytics and Insights\Health Care Emissions Impact Calculator\2.1.1 Update June 2026\"/>
    </mc:Choice>
  </mc:AlternateContent>
  <xr:revisionPtr revIDLastSave="0" documentId="13_ncr:1_{46556EB4-6941-43E8-8430-3FEBA29EE5F0}" xr6:coauthVersionLast="47" xr6:coauthVersionMax="47" xr10:uidLastSave="{00000000-0000-0000-0000-000000000000}"/>
  <bookViews>
    <workbookView xWindow="-120" yWindow="-120" windowWidth="29040" windowHeight="15720" tabRatio="778" firstSheet="1" activeTab="13" xr2:uid="{00000000-000D-0000-FFFF-FFFF00000000}"/>
  </bookViews>
  <sheets>
    <sheet name="Mapping" sheetId="67" state="hidden" r:id="rId1"/>
    <sheet name="Scope 1 and 2 changelog" sheetId="99" r:id="rId2"/>
    <sheet name="Instructions" sheetId="100" r:id="rId3"/>
    <sheet name="EEA Data Upload" sheetId="110" state="hidden" r:id="rId4"/>
    <sheet name="Facility or System Data" sheetId="101" r:id="rId5"/>
    <sheet name="Scope 1 and 2 Data" sheetId="102" r:id="rId6"/>
    <sheet name="S1&amp;2 Lists" sheetId="103" state="hidden" r:id="rId7"/>
    <sheet name="Refrigerants" sheetId="105" r:id="rId8"/>
    <sheet name="Anesthetic Gases" sheetId="107" r:id="rId9"/>
    <sheet name="Results &amp; Summary" sheetId="104" r:id="rId10"/>
    <sheet name="S1&amp;2 References" sheetId="106" r:id="rId11"/>
    <sheet name="Data sources" sheetId="108" r:id="rId12"/>
    <sheet name="Reporting Year &amp; Inflation Adj." sheetId="74" r:id="rId13"/>
    <sheet name="Scope 3 changelog" sheetId="72" r:id="rId14"/>
    <sheet name="Introduction" sheetId="73" r:id="rId15"/>
    <sheet name="Scope 3 Summary" sheetId="75" r:id="rId16"/>
    <sheet name="Cat 1 (Goods &amp; Services)" sheetId="70" r:id="rId17"/>
    <sheet name="Cat 2 (Capital Goods)" sheetId="111" r:id="rId18"/>
    <sheet name="using slicers" sheetId="78" r:id="rId19"/>
    <sheet name="Category 1 and 2 (custom input)" sheetId="76" r:id="rId20"/>
    <sheet name="Custom Emissions Inputs - other" sheetId="77" r:id="rId21"/>
    <sheet name="Cat 3 Fuel &amp; Energy" sheetId="79" r:id="rId22"/>
    <sheet name="Cat 4 Upstream Trans &amp; Dist" sheetId="80" r:id="rId23"/>
    <sheet name="Cat 5 Waste" sheetId="81" r:id="rId24"/>
    <sheet name="Cat 6 Business Trav. (spend)" sheetId="82" r:id="rId25"/>
    <sheet name="Cat 6 Business Trav. (distance)" sheetId="83" r:id="rId26"/>
    <sheet name="Cat 7 Employee Commuting" sheetId="84" r:id="rId27"/>
    <sheet name="Cat 8 &amp; Cat 13 Leased Assets" sheetId="85" r:id="rId28"/>
    <sheet name="Cat 9 (Patient Visits)" sheetId="86" r:id="rId29"/>
    <sheet name="Cat 11 Use of Sold Products" sheetId="92" r:id="rId30"/>
    <sheet name="Cat 15 Investments" sheetId="94" r:id="rId31"/>
    <sheet name="Cat 15 descriptions" sheetId="95" r:id="rId32"/>
    <sheet name="References" sheetId="96" r:id="rId33"/>
    <sheet name="EF" sheetId="69" state="hidden" r:id="rId34"/>
    <sheet name="Commute Calcs" sheetId="87" state="hidden" r:id="rId35"/>
    <sheet name="State eGrid factors" sheetId="88" state="hidden" r:id="rId36"/>
    <sheet name="CBECS IFs" sheetId="91" state="hidden" r:id="rId37"/>
    <sheet name="DESNZ Cat 6-9" sheetId="112" state="hidden" r:id="rId38"/>
    <sheet name="Conversions" sheetId="97" state="hidden" r:id="rId39"/>
    <sheet name="Fuel properties" sheetId="115" state="hidden" r:id="rId40"/>
    <sheet name="DESNZ fuels &amp; biofuels" sheetId="117" state="hidden" r:id="rId41"/>
    <sheet name="GWPs" sheetId="89" state="hidden" r:id="rId42"/>
    <sheet name="IndustryFactors_v1.4" sheetId="93" state="hidden" r:id="rId43"/>
  </sheets>
  <definedNames>
    <definedName name="_xlnm._FilterDatabase" localSheetId="31" hidden="1">'Cat 15 descriptions'!$D$3:$E$3</definedName>
    <definedName name="_xlnm._FilterDatabase" localSheetId="34" hidden="1">'Commute Calcs'!$B$6:$AA$19</definedName>
    <definedName name="_xlnm._FilterDatabase" localSheetId="20" hidden="1">'Custom Emissions Inputs - other'!$C$145:$C$154</definedName>
    <definedName name="_xlnm._FilterDatabase" localSheetId="37" hidden="1">'DESNZ Cat 6-9'!$B$87:$M$111</definedName>
    <definedName name="_xlnm._FilterDatabase" localSheetId="3" hidden="1">'EEA Data Upload'!$B$43:$G$114</definedName>
    <definedName name="_xlnm._FilterDatabase" localSheetId="33" hidden="1">EF!$V$4:$W$42</definedName>
    <definedName name="_xlnm._FilterDatabase" localSheetId="42" hidden="1">IndustryFactors_v1.4!$A$1:$E$186</definedName>
    <definedName name="_xlnm._FilterDatabase" localSheetId="6" hidden="1">'S1&amp;2 Lists'!$C$2:$G$128</definedName>
    <definedName name="_xlnm._FilterDatabase" localSheetId="10" hidden="1">'S1&amp;2 References'!$A$3:$F$3</definedName>
    <definedName name="_xlnm._FilterDatabase" localSheetId="1" hidden="1">'Scope 1 and 2 changelog'!$A$3:$F$3</definedName>
    <definedName name="_Regression_Int" hidden="1">1</definedName>
    <definedName name="BusinessTravel_Commodity_Detail" localSheetId="20">#REF!</definedName>
    <definedName name="Commodity_detail" localSheetId="20">#REF!</definedName>
    <definedName name="ModelName">#N/A</definedName>
    <definedName name="_xlnm.Print_Area" localSheetId="7">Refrigerants!$A$2:$Q$654</definedName>
    <definedName name="_xlnm.Print_Area" localSheetId="9">'Results &amp; Summary'!$A$1:$F$128</definedName>
    <definedName name="_xlnm.Print_Area" localSheetId="5">'Scope 1 and 2 Data'!$A$1:$L$268</definedName>
    <definedName name="Quality_flag">#N/A</definedName>
    <definedName name="Risk_flag">#N/A</definedName>
    <definedName name="Slicer_Category">#N/A</definedName>
    <definedName name="Slicer_Category1">#N/A</definedName>
    <definedName name="Slicer_Sub_category">#N/A</definedName>
    <definedName name="Slicer_Sub_category2">#N/A</definedName>
    <definedName name="Status_Checking">#N/A</definedName>
    <definedName name="Status_Overall">#N/A</definedName>
    <definedName name="Status_Update">#N/A</definedName>
    <definedName name="Team">#N/A</definedName>
    <definedName name="UpdateYear">#N/A</definedName>
    <definedName name="YesNo">#N/A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4"/>
        <x14:slicerCache r:id="rId45"/>
        <x14:slicerCache r:id="rId46"/>
        <x14:slicerCache r:id="rId4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3" i="104" l="1"/>
  <c r="E60" i="104"/>
  <c r="E58" i="104"/>
  <c r="E55" i="104"/>
  <c r="F34" i="107"/>
  <c r="B228" i="102"/>
  <c r="C228" i="102" s="1"/>
  <c r="L35" i="107" s="1"/>
  <c r="B229" i="102"/>
  <c r="C229" i="102" s="1"/>
  <c r="L22" i="104"/>
  <c r="L23" i="104"/>
  <c r="L24" i="104"/>
  <c r="L14" i="104"/>
  <c r="L15" i="104"/>
  <c r="L16" i="104"/>
  <c r="L17" i="104"/>
  <c r="L18" i="104"/>
  <c r="L19" i="104"/>
  <c r="L20" i="104"/>
  <c r="L21" i="104"/>
  <c r="L13" i="104"/>
  <c r="H35" i="104"/>
  <c r="I34" i="102"/>
  <c r="A10" i="107" l="1"/>
  <c r="F10" i="107" s="1"/>
  <c r="A30" i="107"/>
  <c r="F30" i="107" s="1"/>
  <c r="L31" i="107" s="1"/>
  <c r="B79" i="102"/>
  <c r="C79" i="102" s="1"/>
  <c r="B80" i="102"/>
  <c r="C80" i="102" s="1"/>
  <c r="B183" i="102"/>
  <c r="C183" i="102" s="1"/>
  <c r="B184" i="102"/>
  <c r="C184" i="102" s="1"/>
  <c r="B185" i="102"/>
  <c r="C185" i="102" s="1"/>
  <c r="B186" i="102"/>
  <c r="C186" i="102" s="1"/>
  <c r="D186" i="102"/>
  <c r="B187" i="102"/>
  <c r="D187" i="102" s="1"/>
  <c r="B188" i="102"/>
  <c r="D188" i="102" s="1"/>
  <c r="B189" i="102"/>
  <c r="D189" i="102" s="1"/>
  <c r="B190" i="102"/>
  <c r="C190" i="102" s="1"/>
  <c r="B191" i="102"/>
  <c r="C191" i="102" s="1"/>
  <c r="B192" i="102"/>
  <c r="C192" i="102" s="1"/>
  <c r="B193" i="102"/>
  <c r="C193" i="102" s="1"/>
  <c r="B194" i="102"/>
  <c r="C194" i="102" s="1"/>
  <c r="B195" i="102"/>
  <c r="C195" i="102" s="1"/>
  <c r="B196" i="102"/>
  <c r="C196" i="102" s="1"/>
  <c r="B197" i="102"/>
  <c r="C197" i="102" s="1"/>
  <c r="B198" i="102"/>
  <c r="C198" i="102" s="1"/>
  <c r="B199" i="102"/>
  <c r="C199" i="102" s="1"/>
  <c r="D199" i="102"/>
  <c r="B200" i="102"/>
  <c r="C200" i="102" s="1"/>
  <c r="D200" i="102"/>
  <c r="B176" i="102"/>
  <c r="C176" i="102" s="1"/>
  <c r="B177" i="102"/>
  <c r="C177" i="102" s="1"/>
  <c r="B178" i="102"/>
  <c r="C178" i="102" s="1"/>
  <c r="B179" i="102"/>
  <c r="D179" i="102" s="1"/>
  <c r="B180" i="102"/>
  <c r="C180" i="102" s="1"/>
  <c r="B181" i="102"/>
  <c r="C181" i="102" s="1"/>
  <c r="B182" i="102"/>
  <c r="C182" i="102" s="1"/>
  <c r="C208" i="102"/>
  <c r="M12" i="105"/>
  <c r="M13" i="105"/>
  <c r="M14" i="105"/>
  <c r="M15" i="105"/>
  <c r="M16" i="105"/>
  <c r="M17" i="105"/>
  <c r="M18" i="105"/>
  <c r="M19" i="105"/>
  <c r="M20" i="105"/>
  <c r="M21" i="105"/>
  <c r="M22" i="105"/>
  <c r="M23" i="105"/>
  <c r="M24" i="105"/>
  <c r="M25" i="105"/>
  <c r="M26" i="105"/>
  <c r="M27" i="105"/>
  <c r="M28" i="105"/>
  <c r="M29" i="105"/>
  <c r="M30" i="105"/>
  <c r="M31" i="105"/>
  <c r="M32" i="105"/>
  <c r="M33" i="105"/>
  <c r="M34" i="105"/>
  <c r="M35" i="105"/>
  <c r="M36" i="105"/>
  <c r="M37" i="105"/>
  <c r="M38" i="105"/>
  <c r="M39" i="105"/>
  <c r="M40" i="105"/>
  <c r="M41" i="105"/>
  <c r="M42" i="105"/>
  <c r="M43" i="105"/>
  <c r="M44" i="105"/>
  <c r="M45" i="105"/>
  <c r="M46" i="105"/>
  <c r="M47" i="105"/>
  <c r="M48" i="105"/>
  <c r="M49" i="105"/>
  <c r="M50" i="105"/>
  <c r="M51" i="105"/>
  <c r="M52" i="105"/>
  <c r="M53" i="105"/>
  <c r="M54" i="105"/>
  <c r="M55" i="105"/>
  <c r="M56" i="105"/>
  <c r="M57" i="105"/>
  <c r="M58" i="105"/>
  <c r="M59" i="105"/>
  <c r="M60" i="105"/>
  <c r="M61" i="105"/>
  <c r="M62" i="105"/>
  <c r="M63" i="105"/>
  <c r="M64" i="105"/>
  <c r="M65" i="105"/>
  <c r="M66" i="105"/>
  <c r="M67" i="105"/>
  <c r="M68" i="105"/>
  <c r="M69" i="105"/>
  <c r="M70" i="105"/>
  <c r="M71" i="105"/>
  <c r="M72" i="105"/>
  <c r="M73" i="105"/>
  <c r="M74" i="105"/>
  <c r="M75" i="105"/>
  <c r="M76" i="105"/>
  <c r="M77" i="105"/>
  <c r="M78" i="105"/>
  <c r="M79" i="105"/>
  <c r="M80" i="105"/>
  <c r="M81" i="105"/>
  <c r="M82" i="105"/>
  <c r="M83" i="105"/>
  <c r="M84" i="105"/>
  <c r="M85" i="105"/>
  <c r="M86" i="105"/>
  <c r="M87" i="105"/>
  <c r="M88" i="105"/>
  <c r="M89" i="105"/>
  <c r="M90" i="105"/>
  <c r="M91" i="105"/>
  <c r="M92" i="105"/>
  <c r="M93" i="105"/>
  <c r="M94" i="105"/>
  <c r="M95" i="105"/>
  <c r="M96" i="105"/>
  <c r="M97" i="105"/>
  <c r="M98" i="105"/>
  <c r="M99" i="105"/>
  <c r="M100" i="105"/>
  <c r="M101" i="105"/>
  <c r="M102" i="105"/>
  <c r="M103" i="105"/>
  <c r="M104" i="105"/>
  <c r="M105" i="105"/>
  <c r="M106" i="105"/>
  <c r="M107" i="105"/>
  <c r="M108" i="105"/>
  <c r="M109" i="105"/>
  <c r="M110" i="105"/>
  <c r="M111" i="105"/>
  <c r="M112" i="105"/>
  <c r="M113" i="105"/>
  <c r="M114" i="105"/>
  <c r="M115" i="105"/>
  <c r="M116" i="105"/>
  <c r="M117" i="105"/>
  <c r="M118" i="105"/>
  <c r="M119" i="105"/>
  <c r="M120" i="105"/>
  <c r="M121" i="105"/>
  <c r="M122" i="105"/>
  <c r="M123" i="105"/>
  <c r="M124" i="105"/>
  <c r="M125" i="105"/>
  <c r="M126" i="105"/>
  <c r="M127" i="105"/>
  <c r="M128" i="105"/>
  <c r="M129" i="105"/>
  <c r="M130" i="105"/>
  <c r="M131" i="105"/>
  <c r="M132" i="105"/>
  <c r="M133" i="105"/>
  <c r="M134" i="105"/>
  <c r="M135" i="105"/>
  <c r="M136" i="105"/>
  <c r="M137" i="105"/>
  <c r="M138" i="105"/>
  <c r="M139" i="105"/>
  <c r="M140" i="105"/>
  <c r="M141" i="105"/>
  <c r="M142" i="105"/>
  <c r="M143" i="105"/>
  <c r="M144" i="105"/>
  <c r="M145" i="105"/>
  <c r="M146" i="105"/>
  <c r="M147" i="105"/>
  <c r="M148" i="105"/>
  <c r="M149" i="105"/>
  <c r="M150" i="105"/>
  <c r="M151" i="105"/>
  <c r="M152" i="105"/>
  <c r="M153" i="105"/>
  <c r="M154" i="105"/>
  <c r="M155" i="105"/>
  <c r="M156" i="105"/>
  <c r="M157" i="105"/>
  <c r="M158" i="105"/>
  <c r="M159" i="105"/>
  <c r="M160" i="105"/>
  <c r="M161" i="105"/>
  <c r="M162" i="105"/>
  <c r="M163" i="105"/>
  <c r="M164" i="105"/>
  <c r="M165" i="105"/>
  <c r="M166" i="105"/>
  <c r="M167" i="105"/>
  <c r="M168" i="105"/>
  <c r="M169" i="105"/>
  <c r="M170" i="105"/>
  <c r="M171" i="105"/>
  <c r="M172" i="105"/>
  <c r="M173" i="105"/>
  <c r="M174" i="105"/>
  <c r="M175" i="105"/>
  <c r="M176" i="105"/>
  <c r="M177" i="105"/>
  <c r="M178" i="105"/>
  <c r="M179" i="105"/>
  <c r="M180" i="105"/>
  <c r="M181" i="105"/>
  <c r="M182" i="105"/>
  <c r="M183" i="105"/>
  <c r="M184" i="105"/>
  <c r="M185" i="105"/>
  <c r="M186" i="105"/>
  <c r="M187" i="105"/>
  <c r="M188" i="105"/>
  <c r="M189" i="105"/>
  <c r="M190" i="105"/>
  <c r="M191" i="105"/>
  <c r="M192" i="105"/>
  <c r="M193" i="105"/>
  <c r="M194" i="105"/>
  <c r="M195" i="105"/>
  <c r="M196" i="105"/>
  <c r="M197" i="105"/>
  <c r="M198" i="105"/>
  <c r="M199" i="105"/>
  <c r="M200" i="105"/>
  <c r="M201" i="105"/>
  <c r="M202" i="105"/>
  <c r="M203" i="105"/>
  <c r="M204" i="105"/>
  <c r="M205" i="105"/>
  <c r="M206" i="105"/>
  <c r="M207" i="105"/>
  <c r="M208" i="105"/>
  <c r="M209" i="105"/>
  <c r="M210" i="105"/>
  <c r="M211" i="105"/>
  <c r="M212" i="105"/>
  <c r="M213" i="105"/>
  <c r="M214" i="105"/>
  <c r="M215" i="105"/>
  <c r="M216" i="105"/>
  <c r="M217" i="105"/>
  <c r="M218" i="105"/>
  <c r="M219" i="105"/>
  <c r="M220" i="105"/>
  <c r="M221" i="105"/>
  <c r="M222" i="105"/>
  <c r="M223" i="105"/>
  <c r="M224" i="105"/>
  <c r="M225" i="105"/>
  <c r="M226" i="105"/>
  <c r="M227" i="105"/>
  <c r="M228" i="105"/>
  <c r="M229" i="105"/>
  <c r="M230" i="105"/>
  <c r="M231" i="105"/>
  <c r="M232" i="105"/>
  <c r="M233" i="105"/>
  <c r="M234" i="105"/>
  <c r="M235" i="105"/>
  <c r="M236" i="105"/>
  <c r="M237" i="105"/>
  <c r="M238" i="105"/>
  <c r="M239" i="105"/>
  <c r="M240" i="105"/>
  <c r="M241" i="105"/>
  <c r="M242" i="105"/>
  <c r="M243" i="105"/>
  <c r="M244" i="105"/>
  <c r="M245" i="105"/>
  <c r="M246" i="105"/>
  <c r="M247" i="105"/>
  <c r="M248" i="105"/>
  <c r="M249" i="105"/>
  <c r="M250" i="105"/>
  <c r="M251" i="105"/>
  <c r="M252" i="105"/>
  <c r="M253" i="105"/>
  <c r="M254" i="105"/>
  <c r="M255" i="105"/>
  <c r="M256" i="105"/>
  <c r="M257" i="105"/>
  <c r="M258" i="105"/>
  <c r="M259" i="105"/>
  <c r="M260" i="105"/>
  <c r="M261" i="105"/>
  <c r="M262" i="105"/>
  <c r="M263" i="105"/>
  <c r="M264" i="105"/>
  <c r="M265" i="105"/>
  <c r="M266" i="105"/>
  <c r="M267" i="105"/>
  <c r="M268" i="105"/>
  <c r="M269" i="105"/>
  <c r="M270" i="105"/>
  <c r="M271" i="105"/>
  <c r="M272" i="105"/>
  <c r="M273" i="105"/>
  <c r="M274" i="105"/>
  <c r="M275" i="105"/>
  <c r="M276" i="105"/>
  <c r="M277" i="105"/>
  <c r="M278" i="105"/>
  <c r="M279" i="105"/>
  <c r="M280" i="105"/>
  <c r="M281" i="105"/>
  <c r="M282" i="105"/>
  <c r="M283" i="105"/>
  <c r="M284" i="105"/>
  <c r="M285" i="105"/>
  <c r="M286" i="105"/>
  <c r="M287" i="105"/>
  <c r="M288" i="105"/>
  <c r="M289" i="105"/>
  <c r="M290" i="105"/>
  <c r="M291" i="105"/>
  <c r="M292" i="105"/>
  <c r="M293" i="105"/>
  <c r="M294" i="105"/>
  <c r="M295" i="105"/>
  <c r="M296" i="105"/>
  <c r="M297" i="105"/>
  <c r="M298" i="105"/>
  <c r="M299" i="105"/>
  <c r="M300" i="105"/>
  <c r="M301" i="105"/>
  <c r="M302" i="105"/>
  <c r="M303" i="105"/>
  <c r="M304" i="105"/>
  <c r="M305" i="105"/>
  <c r="M306" i="105"/>
  <c r="M307" i="105"/>
  <c r="M308" i="105"/>
  <c r="M309" i="105"/>
  <c r="M310" i="105"/>
  <c r="M311" i="105"/>
  <c r="M312" i="105"/>
  <c r="M313" i="105"/>
  <c r="M314" i="105"/>
  <c r="M315" i="105"/>
  <c r="M316" i="105"/>
  <c r="M317" i="105"/>
  <c r="M318" i="105"/>
  <c r="M319" i="105"/>
  <c r="M320" i="105"/>
  <c r="M321" i="105"/>
  <c r="M322" i="105"/>
  <c r="M323" i="105"/>
  <c r="M324" i="105"/>
  <c r="M325" i="105"/>
  <c r="M326" i="105"/>
  <c r="M327" i="105"/>
  <c r="M328" i="105"/>
  <c r="M329" i="105"/>
  <c r="M330" i="105"/>
  <c r="M331" i="105"/>
  <c r="M332" i="105"/>
  <c r="M333" i="105"/>
  <c r="M334" i="105"/>
  <c r="M335" i="105"/>
  <c r="M336" i="105"/>
  <c r="M337" i="105"/>
  <c r="M338" i="105"/>
  <c r="M339" i="105"/>
  <c r="M340" i="105"/>
  <c r="M341" i="105"/>
  <c r="M342" i="105"/>
  <c r="M343" i="105"/>
  <c r="M344" i="105"/>
  <c r="M345" i="105"/>
  <c r="M346" i="105"/>
  <c r="M347" i="105"/>
  <c r="M348" i="105"/>
  <c r="M349" i="105"/>
  <c r="M350" i="105"/>
  <c r="M351" i="105"/>
  <c r="M352" i="105"/>
  <c r="M353" i="105"/>
  <c r="M354" i="105"/>
  <c r="M355" i="105"/>
  <c r="M356" i="105"/>
  <c r="M357" i="105"/>
  <c r="M358" i="105"/>
  <c r="M359" i="105"/>
  <c r="M360" i="105"/>
  <c r="M361" i="105"/>
  <c r="M362" i="105"/>
  <c r="M363" i="105"/>
  <c r="M364" i="105"/>
  <c r="M365" i="105"/>
  <c r="M366" i="105"/>
  <c r="M367" i="105"/>
  <c r="M368" i="105"/>
  <c r="M369" i="105"/>
  <c r="M370" i="105"/>
  <c r="M371" i="105"/>
  <c r="M372" i="105"/>
  <c r="M373" i="105"/>
  <c r="M374" i="105"/>
  <c r="M375" i="105"/>
  <c r="M376" i="105"/>
  <c r="M377" i="105"/>
  <c r="M378" i="105"/>
  <c r="M379" i="105"/>
  <c r="M380" i="105"/>
  <c r="M381" i="105"/>
  <c r="M382" i="105"/>
  <c r="M383" i="105"/>
  <c r="M384" i="105"/>
  <c r="M385" i="105"/>
  <c r="M386" i="105"/>
  <c r="M387" i="105"/>
  <c r="M388" i="105"/>
  <c r="M389" i="105"/>
  <c r="M390" i="105"/>
  <c r="M391" i="105"/>
  <c r="M392" i="105"/>
  <c r="M393" i="105"/>
  <c r="M394" i="105"/>
  <c r="M395" i="105"/>
  <c r="M396" i="105"/>
  <c r="M397" i="105"/>
  <c r="M398" i="105"/>
  <c r="M399" i="105"/>
  <c r="M400" i="105"/>
  <c r="M401" i="105"/>
  <c r="M402" i="105"/>
  <c r="M403" i="105"/>
  <c r="M404" i="105"/>
  <c r="M405" i="105"/>
  <c r="M406" i="105"/>
  <c r="M407" i="105"/>
  <c r="M408" i="105"/>
  <c r="M409" i="105"/>
  <c r="M410" i="105"/>
  <c r="M411" i="105"/>
  <c r="M412" i="105"/>
  <c r="M413" i="105"/>
  <c r="M414" i="105"/>
  <c r="M415" i="105"/>
  <c r="M416" i="105"/>
  <c r="M417" i="105"/>
  <c r="M418" i="105"/>
  <c r="M419" i="105"/>
  <c r="M420" i="105"/>
  <c r="M421" i="105"/>
  <c r="M422" i="105"/>
  <c r="M423" i="105"/>
  <c r="M424" i="105"/>
  <c r="M425" i="105"/>
  <c r="M426" i="105"/>
  <c r="M427" i="105"/>
  <c r="M428" i="105"/>
  <c r="M429" i="105"/>
  <c r="M430" i="105"/>
  <c r="M431" i="105"/>
  <c r="M432" i="105"/>
  <c r="M433" i="105"/>
  <c r="M434" i="105"/>
  <c r="M435" i="105"/>
  <c r="M436" i="105"/>
  <c r="M437" i="105"/>
  <c r="M438" i="105"/>
  <c r="M439" i="105"/>
  <c r="M440" i="105"/>
  <c r="M441" i="105"/>
  <c r="M442" i="105"/>
  <c r="M443" i="105"/>
  <c r="M444" i="105"/>
  <c r="M445" i="105"/>
  <c r="M446" i="105"/>
  <c r="M447" i="105"/>
  <c r="M448" i="105"/>
  <c r="M449" i="105"/>
  <c r="M450" i="105"/>
  <c r="M451" i="105"/>
  <c r="M452" i="105"/>
  <c r="M453" i="105"/>
  <c r="M454" i="105"/>
  <c r="M455" i="105"/>
  <c r="M456" i="105"/>
  <c r="M457" i="105"/>
  <c r="M458" i="105"/>
  <c r="M459" i="105"/>
  <c r="M460" i="105"/>
  <c r="M461" i="105"/>
  <c r="M462" i="105"/>
  <c r="M463" i="105"/>
  <c r="M464" i="105"/>
  <c r="M465" i="105"/>
  <c r="M466" i="105"/>
  <c r="M467" i="105"/>
  <c r="M468" i="105"/>
  <c r="M469" i="105"/>
  <c r="M470" i="105"/>
  <c r="M471" i="105"/>
  <c r="M472" i="105"/>
  <c r="M473" i="105"/>
  <c r="M474" i="105"/>
  <c r="M475" i="105"/>
  <c r="M476" i="105"/>
  <c r="M477" i="105"/>
  <c r="M478" i="105"/>
  <c r="M479" i="105"/>
  <c r="M480" i="105"/>
  <c r="M481" i="105"/>
  <c r="M482" i="105"/>
  <c r="M483" i="105"/>
  <c r="M484" i="105"/>
  <c r="M485" i="105"/>
  <c r="M486" i="105"/>
  <c r="M487" i="105"/>
  <c r="M488" i="105"/>
  <c r="M489" i="105"/>
  <c r="M490" i="105"/>
  <c r="M491" i="105"/>
  <c r="M492" i="105"/>
  <c r="M493" i="105"/>
  <c r="M494" i="105"/>
  <c r="M495" i="105"/>
  <c r="M496" i="105"/>
  <c r="M497" i="105"/>
  <c r="M498" i="105"/>
  <c r="M499" i="105"/>
  <c r="M500" i="105"/>
  <c r="M501" i="105"/>
  <c r="M502" i="105"/>
  <c r="M503" i="105"/>
  <c r="M504" i="105"/>
  <c r="M505" i="105"/>
  <c r="M506" i="105"/>
  <c r="M507" i="105"/>
  <c r="M508" i="105"/>
  <c r="M509" i="105"/>
  <c r="M510" i="105"/>
  <c r="M511" i="105"/>
  <c r="M512" i="105"/>
  <c r="M513" i="105"/>
  <c r="M514" i="105"/>
  <c r="M515" i="105"/>
  <c r="M516" i="105"/>
  <c r="M517" i="105"/>
  <c r="M518" i="105"/>
  <c r="M519" i="105"/>
  <c r="M520" i="105"/>
  <c r="M521" i="105"/>
  <c r="M522" i="105"/>
  <c r="M523" i="105"/>
  <c r="M524" i="105"/>
  <c r="M525" i="105"/>
  <c r="M526" i="105"/>
  <c r="M527" i="105"/>
  <c r="M528" i="105"/>
  <c r="M529" i="105"/>
  <c r="M530" i="105"/>
  <c r="M531" i="105"/>
  <c r="M532" i="105"/>
  <c r="M533" i="105"/>
  <c r="M534" i="105"/>
  <c r="M535" i="105"/>
  <c r="M536" i="105"/>
  <c r="M537" i="105"/>
  <c r="M538" i="105"/>
  <c r="M539" i="105"/>
  <c r="M540" i="105"/>
  <c r="M541" i="105"/>
  <c r="M542" i="105"/>
  <c r="M543" i="105"/>
  <c r="M544" i="105"/>
  <c r="M545" i="105"/>
  <c r="M546" i="105"/>
  <c r="M547" i="105"/>
  <c r="M548" i="105"/>
  <c r="M549" i="105"/>
  <c r="M550" i="105"/>
  <c r="M551" i="105"/>
  <c r="M552" i="105"/>
  <c r="M553" i="105"/>
  <c r="M554" i="105"/>
  <c r="M555" i="105"/>
  <c r="M556" i="105"/>
  <c r="M557" i="105"/>
  <c r="M558" i="105"/>
  <c r="M559" i="105"/>
  <c r="M560" i="105"/>
  <c r="M561" i="105"/>
  <c r="M562" i="105"/>
  <c r="M563" i="105"/>
  <c r="M564" i="105"/>
  <c r="M565" i="105"/>
  <c r="M566" i="105"/>
  <c r="M567" i="105"/>
  <c r="M568" i="105"/>
  <c r="M569" i="105"/>
  <c r="M570" i="105"/>
  <c r="M571" i="105"/>
  <c r="M572" i="105"/>
  <c r="M573" i="105"/>
  <c r="M574" i="105"/>
  <c r="M575" i="105"/>
  <c r="M576" i="105"/>
  <c r="M577" i="105"/>
  <c r="M578" i="105"/>
  <c r="M579" i="105"/>
  <c r="M580" i="105"/>
  <c r="M581" i="105"/>
  <c r="M582" i="105"/>
  <c r="M583" i="105"/>
  <c r="M584" i="105"/>
  <c r="M585" i="105"/>
  <c r="M586" i="105"/>
  <c r="M587" i="105"/>
  <c r="M588" i="105"/>
  <c r="M589" i="105"/>
  <c r="M590" i="105"/>
  <c r="M591" i="105"/>
  <c r="M592" i="105"/>
  <c r="M593" i="105"/>
  <c r="M594" i="105"/>
  <c r="M595" i="105"/>
  <c r="M596" i="105"/>
  <c r="M597" i="105"/>
  <c r="M598" i="105"/>
  <c r="M599" i="105"/>
  <c r="M600" i="105"/>
  <c r="M601" i="105"/>
  <c r="M602" i="105"/>
  <c r="M603" i="105"/>
  <c r="M604" i="105"/>
  <c r="M605" i="105"/>
  <c r="M606" i="105"/>
  <c r="M607" i="105"/>
  <c r="M608" i="105"/>
  <c r="M609" i="105"/>
  <c r="M610" i="105"/>
  <c r="M611" i="105"/>
  <c r="M612" i="105"/>
  <c r="M613" i="105"/>
  <c r="M614" i="105"/>
  <c r="M615" i="105"/>
  <c r="M616" i="105"/>
  <c r="M617" i="105"/>
  <c r="M618" i="105"/>
  <c r="M619" i="105"/>
  <c r="M620" i="105"/>
  <c r="M621" i="105"/>
  <c r="M622" i="105"/>
  <c r="M623" i="105"/>
  <c r="M624" i="105"/>
  <c r="M625" i="105"/>
  <c r="M626" i="105"/>
  <c r="M627" i="105"/>
  <c r="M628" i="105"/>
  <c r="M629" i="105"/>
  <c r="M630" i="105"/>
  <c r="M631" i="105"/>
  <c r="M632" i="105"/>
  <c r="M633" i="105"/>
  <c r="M634" i="105"/>
  <c r="M635" i="105"/>
  <c r="M636" i="105"/>
  <c r="M637" i="105"/>
  <c r="M638" i="105"/>
  <c r="M639" i="105"/>
  <c r="M640" i="105"/>
  <c r="M641" i="105"/>
  <c r="M642" i="105"/>
  <c r="M643" i="105"/>
  <c r="M644" i="105"/>
  <c r="M645" i="105"/>
  <c r="M646" i="105"/>
  <c r="M647" i="105"/>
  <c r="M648" i="105"/>
  <c r="M649" i="105"/>
  <c r="M650" i="105"/>
  <c r="M651" i="105"/>
  <c r="M652" i="105"/>
  <c r="M653" i="105"/>
  <c r="M654" i="105"/>
  <c r="M11" i="105"/>
  <c r="G28" i="81"/>
  <c r="D197" i="81"/>
  <c r="D196" i="81"/>
  <c r="D195" i="81"/>
  <c r="D194" i="81"/>
  <c r="D193" i="81"/>
  <c r="D192" i="81"/>
  <c r="D191" i="81"/>
  <c r="D190" i="81"/>
  <c r="D189" i="81"/>
  <c r="D188" i="81"/>
  <c r="D187" i="81"/>
  <c r="D186" i="81"/>
  <c r="D185" i="81"/>
  <c r="D184" i="81"/>
  <c r="D183" i="81"/>
  <c r="D182" i="81"/>
  <c r="D181" i="81"/>
  <c r="D180" i="81"/>
  <c r="D179" i="81"/>
  <c r="D198" i="81" s="1"/>
  <c r="D178" i="81"/>
  <c r="D115" i="81"/>
  <c r="D116" i="81"/>
  <c r="D117" i="81"/>
  <c r="D118" i="81"/>
  <c r="D119" i="81"/>
  <c r="D120" i="81"/>
  <c r="D121" i="81"/>
  <c r="D122" i="81"/>
  <c r="D123" i="81"/>
  <c r="D124" i="81"/>
  <c r="D125" i="81"/>
  <c r="D126" i="81"/>
  <c r="D127" i="81"/>
  <c r="D128" i="81"/>
  <c r="D129" i="81"/>
  <c r="D130" i="81"/>
  <c r="D131" i="81"/>
  <c r="D132" i="81"/>
  <c r="D133" i="81"/>
  <c r="D134" i="81"/>
  <c r="I22" i="69"/>
  <c r="F25" i="69" a="1"/>
  <c r="F25" i="69" s="1"/>
  <c r="F24" i="69" a="1"/>
  <c r="F24" i="69" s="1"/>
  <c r="F23" i="69" a="1"/>
  <c r="F23" i="69" s="1"/>
  <c r="F19" i="69" a="1"/>
  <c r="F19" i="69" s="1"/>
  <c r="F15" i="69" a="1"/>
  <c r="F15" i="69" s="1"/>
  <c r="F14" i="69" a="1"/>
  <c r="F14" i="69" s="1"/>
  <c r="F11" i="69" a="1"/>
  <c r="F11" i="69" s="1"/>
  <c r="L4" i="117"/>
  <c r="L5" i="117"/>
  <c r="L6" i="117"/>
  <c r="L7" i="117"/>
  <c r="L8" i="117"/>
  <c r="L9" i="117"/>
  <c r="L10" i="117"/>
  <c r="L11" i="117"/>
  <c r="L12" i="117"/>
  <c r="L13" i="117"/>
  <c r="L14" i="117"/>
  <c r="L15" i="117"/>
  <c r="L16" i="117"/>
  <c r="L17" i="117"/>
  <c r="L18" i="117"/>
  <c r="L19" i="117"/>
  <c r="L20" i="117"/>
  <c r="L21" i="117"/>
  <c r="L22" i="117"/>
  <c r="L23" i="117"/>
  <c r="L24" i="117"/>
  <c r="L25" i="117"/>
  <c r="L26" i="117"/>
  <c r="L27" i="117"/>
  <c r="L28" i="117"/>
  <c r="L29" i="117"/>
  <c r="L30" i="117"/>
  <c r="L31" i="117"/>
  <c r="L32" i="117"/>
  <c r="L33" i="117"/>
  <c r="L34" i="117"/>
  <c r="L35" i="117"/>
  <c r="L36" i="117"/>
  <c r="L37" i="117"/>
  <c r="L38" i="117"/>
  <c r="L39" i="117"/>
  <c r="L40" i="117"/>
  <c r="L41" i="117"/>
  <c r="L42" i="117"/>
  <c r="L43" i="117"/>
  <c r="L44" i="117"/>
  <c r="L45" i="117"/>
  <c r="L46" i="117"/>
  <c r="L47" i="117"/>
  <c r="L48" i="117"/>
  <c r="L49" i="117"/>
  <c r="L50" i="117"/>
  <c r="L51" i="117"/>
  <c r="L52" i="117"/>
  <c r="L53" i="117"/>
  <c r="L54" i="117"/>
  <c r="L55" i="117"/>
  <c r="L56" i="117"/>
  <c r="L57" i="117"/>
  <c r="L58" i="117"/>
  <c r="L59" i="117"/>
  <c r="L60" i="117"/>
  <c r="L61" i="117"/>
  <c r="L62" i="117"/>
  <c r="L63" i="117"/>
  <c r="L64" i="117"/>
  <c r="L65" i="117"/>
  <c r="L66" i="117"/>
  <c r="L67" i="117"/>
  <c r="L68" i="117"/>
  <c r="L69" i="117"/>
  <c r="L70" i="117"/>
  <c r="L71" i="117"/>
  <c r="L72" i="117"/>
  <c r="L73" i="117"/>
  <c r="L74" i="117"/>
  <c r="L75" i="117"/>
  <c r="L76" i="117"/>
  <c r="L77" i="117"/>
  <c r="L78" i="117"/>
  <c r="L79" i="117"/>
  <c r="L80" i="117"/>
  <c r="L81" i="117"/>
  <c r="L82" i="117"/>
  <c r="L83" i="117"/>
  <c r="L84" i="117"/>
  <c r="L85" i="117"/>
  <c r="L86" i="117"/>
  <c r="L87" i="117"/>
  <c r="L88" i="117"/>
  <c r="L89" i="117"/>
  <c r="L90" i="117"/>
  <c r="L91" i="117"/>
  <c r="L92" i="117"/>
  <c r="L93" i="117"/>
  <c r="L94" i="117"/>
  <c r="L95" i="117"/>
  <c r="L96" i="117"/>
  <c r="L97" i="117"/>
  <c r="L98" i="117"/>
  <c r="L99" i="117"/>
  <c r="L100" i="117"/>
  <c r="L101" i="117"/>
  <c r="L102" i="117"/>
  <c r="L103" i="117"/>
  <c r="L104" i="117"/>
  <c r="L105" i="117"/>
  <c r="L106" i="117"/>
  <c r="L107" i="117"/>
  <c r="L108" i="117"/>
  <c r="L109" i="117"/>
  <c r="L110" i="117"/>
  <c r="L111" i="117"/>
  <c r="L112" i="117"/>
  <c r="L113" i="117"/>
  <c r="L114" i="117"/>
  <c r="L115" i="117"/>
  <c r="L116" i="117"/>
  <c r="L117" i="117"/>
  <c r="L118" i="117"/>
  <c r="L119" i="117"/>
  <c r="L120" i="117"/>
  <c r="L3" i="117"/>
  <c r="G25" i="76"/>
  <c r="D167" i="81"/>
  <c r="D166" i="81"/>
  <c r="D165" i="81"/>
  <c r="D164" i="81"/>
  <c r="D163" i="81"/>
  <c r="D162" i="81"/>
  <c r="D161" i="81"/>
  <c r="D160" i="81"/>
  <c r="D159" i="81"/>
  <c r="D158" i="81"/>
  <c r="D157" i="81"/>
  <c r="D156" i="81"/>
  <c r="D155" i="81"/>
  <c r="D154" i="81"/>
  <c r="D153" i="81"/>
  <c r="D152" i="81"/>
  <c r="D151" i="81"/>
  <c r="D150" i="81"/>
  <c r="D149" i="81"/>
  <c r="D148" i="81"/>
  <c r="S12" i="69"/>
  <c r="D190" i="102" l="1"/>
  <c r="D197" i="102"/>
  <c r="D193" i="102"/>
  <c r="D184" i="102"/>
  <c r="D183" i="102"/>
  <c r="D191" i="102"/>
  <c r="D192" i="102"/>
  <c r="D180" i="102"/>
  <c r="D194" i="102"/>
  <c r="E194" i="102" s="1"/>
  <c r="D185" i="102"/>
  <c r="E185" i="102" s="1"/>
  <c r="C189" i="102"/>
  <c r="E189" i="102" s="1"/>
  <c r="D198" i="102"/>
  <c r="E198" i="102" s="1"/>
  <c r="E186" i="102"/>
  <c r="C187" i="102"/>
  <c r="E187" i="102" s="1"/>
  <c r="E184" i="102"/>
  <c r="C188" i="102"/>
  <c r="E188" i="102" s="1"/>
  <c r="D182" i="102"/>
  <c r="E182" i="102" s="1"/>
  <c r="D79" i="102"/>
  <c r="E79" i="102" s="1"/>
  <c r="D80" i="102"/>
  <c r="E80" i="102" s="1"/>
  <c r="D196" i="102"/>
  <c r="E196" i="102" s="1"/>
  <c r="D178" i="102"/>
  <c r="E178" i="102" s="1"/>
  <c r="D195" i="102"/>
  <c r="E195" i="102" s="1"/>
  <c r="C179" i="102"/>
  <c r="E179" i="102" s="1"/>
  <c r="E197" i="102"/>
  <c r="E200" i="102"/>
  <c r="E183" i="102"/>
  <c r="E180" i="102"/>
  <c r="E193" i="102"/>
  <c r="E192" i="102"/>
  <c r="E191" i="102"/>
  <c r="E199" i="102"/>
  <c r="E190" i="102"/>
  <c r="D177" i="102"/>
  <c r="E177" i="102" s="1"/>
  <c r="D181" i="102"/>
  <c r="E181" i="102" s="1"/>
  <c r="D176" i="102"/>
  <c r="E176" i="102" s="1"/>
  <c r="D135" i="81"/>
  <c r="E84" i="81"/>
  <c r="E85" i="81"/>
  <c r="E86" i="81"/>
  <c r="E87" i="81"/>
  <c r="E88" i="81"/>
  <c r="E89" i="81"/>
  <c r="E90" i="81"/>
  <c r="E91" i="81"/>
  <c r="E92" i="81"/>
  <c r="E93" i="81"/>
  <c r="E94" i="81"/>
  <c r="E95" i="81"/>
  <c r="E96" i="81"/>
  <c r="E97" i="81"/>
  <c r="E98" i="81"/>
  <c r="E99" i="81"/>
  <c r="E100" i="81"/>
  <c r="E101" i="81"/>
  <c r="E83" i="81"/>
  <c r="E82" i="81"/>
  <c r="F81" i="86" l="1"/>
  <c r="F83" i="86"/>
  <c r="E26" i="86"/>
  <c r="Q57" i="85"/>
  <c r="F113" i="85"/>
  <c r="N57" i="87"/>
  <c r="I9" i="87"/>
  <c r="I7" i="87"/>
  <c r="N7" i="87"/>
  <c r="C4" i="87"/>
  <c r="G30" i="84"/>
  <c r="F74" i="84"/>
  <c r="F76" i="84"/>
  <c r="F77" i="84"/>
  <c r="F78" i="84"/>
  <c r="F79" i="84"/>
  <c r="F80" i="84"/>
  <c r="F81" i="84"/>
  <c r="F82" i="84"/>
  <c r="F83" i="84"/>
  <c r="F84" i="84"/>
  <c r="F85" i="84"/>
  <c r="F86" i="84"/>
  <c r="F87" i="84"/>
  <c r="F88" i="84"/>
  <c r="F89" i="84"/>
  <c r="F90" i="84"/>
  <c r="F91" i="84"/>
  <c r="F92" i="84"/>
  <c r="F93" i="84"/>
  <c r="F75" i="84"/>
  <c r="C6" i="89" l="1" a="1"/>
  <c r="C6" i="89" s="1"/>
  <c r="C7" i="89" a="1"/>
  <c r="C7" i="89" s="1"/>
  <c r="F24" i="92"/>
  <c r="G71" i="83"/>
  <c r="H20" i="94"/>
  <c r="J20" i="94"/>
  <c r="I20" i="94"/>
  <c r="G19" i="70" l="1"/>
  <c r="W5" i="69"/>
  <c r="G85" i="83"/>
  <c r="G84" i="83"/>
  <c r="G83" i="83"/>
  <c r="G82" i="83"/>
  <c r="G81" i="83"/>
  <c r="G80" i="83"/>
  <c r="G79" i="83"/>
  <c r="G78" i="83"/>
  <c r="G77" i="83"/>
  <c r="G76" i="83"/>
  <c r="G75" i="83"/>
  <c r="G74" i="83"/>
  <c r="G73" i="83"/>
  <c r="G72" i="83"/>
  <c r="B14" i="112"/>
  <c r="B15" i="112"/>
  <c r="B16" i="112"/>
  <c r="B17" i="112"/>
  <c r="B18" i="112"/>
  <c r="B19" i="112"/>
  <c r="B20" i="112"/>
  <c r="F57" i="83"/>
  <c r="F56" i="83"/>
  <c r="F55" i="83"/>
  <c r="F54" i="83"/>
  <c r="F53" i="83"/>
  <c r="F52" i="83"/>
  <c r="F51" i="83"/>
  <c r="F50" i="83"/>
  <c r="F49" i="83"/>
  <c r="F48" i="83"/>
  <c r="F47" i="83"/>
  <c r="F46" i="83"/>
  <c r="F45" i="83"/>
  <c r="F44" i="83"/>
  <c r="F43" i="83"/>
  <c r="F42" i="83"/>
  <c r="F41" i="83"/>
  <c r="F40" i="83"/>
  <c r="F39" i="83"/>
  <c r="Q130" i="85"/>
  <c r="Q129" i="85"/>
  <c r="Q128" i="85"/>
  <c r="Q127" i="85"/>
  <c r="Q126" i="85"/>
  <c r="Q125" i="85"/>
  <c r="Q124" i="85"/>
  <c r="Q123" i="85"/>
  <c r="Q122" i="85"/>
  <c r="Q121" i="85"/>
  <c r="Q120" i="85"/>
  <c r="Q119" i="85"/>
  <c r="Q118" i="85"/>
  <c r="Q117" i="85"/>
  <c r="Q116" i="85"/>
  <c r="Q115" i="85"/>
  <c r="Q114" i="85"/>
  <c r="Q113" i="85"/>
  <c r="Q112" i="85"/>
  <c r="P102" i="85"/>
  <c r="P101" i="85"/>
  <c r="P100" i="85"/>
  <c r="P99" i="85"/>
  <c r="P98" i="85"/>
  <c r="P97" i="85"/>
  <c r="P96" i="85"/>
  <c r="P95" i="85"/>
  <c r="P94" i="85"/>
  <c r="P93" i="85"/>
  <c r="P92" i="85"/>
  <c r="P91" i="85"/>
  <c r="P90" i="85"/>
  <c r="P89" i="85"/>
  <c r="P88" i="85"/>
  <c r="P87" i="85"/>
  <c r="P86" i="85"/>
  <c r="P85" i="85"/>
  <c r="P84" i="85"/>
  <c r="Q75" i="85"/>
  <c r="Q74" i="85"/>
  <c r="Q73" i="85"/>
  <c r="Q72" i="85"/>
  <c r="Q71" i="85"/>
  <c r="Q70" i="85"/>
  <c r="Q69" i="85"/>
  <c r="Q68" i="85"/>
  <c r="Q67" i="85"/>
  <c r="Q66" i="85"/>
  <c r="Q65" i="85"/>
  <c r="Q64" i="85"/>
  <c r="Q63" i="85"/>
  <c r="Q62" i="85"/>
  <c r="Q61" i="85"/>
  <c r="Q60" i="85"/>
  <c r="Q59" i="85"/>
  <c r="Q58" i="85"/>
  <c r="H130" i="85"/>
  <c r="H129" i="85"/>
  <c r="H128" i="85"/>
  <c r="H127" i="85"/>
  <c r="H126" i="85"/>
  <c r="H125" i="85"/>
  <c r="H124" i="85"/>
  <c r="H123" i="85"/>
  <c r="H122" i="85"/>
  <c r="H121" i="85"/>
  <c r="H120" i="85"/>
  <c r="H119" i="85"/>
  <c r="H118" i="85"/>
  <c r="H117" i="85"/>
  <c r="H116" i="85"/>
  <c r="H115" i="85"/>
  <c r="H114" i="85"/>
  <c r="H113" i="85"/>
  <c r="H112" i="85"/>
  <c r="G102" i="85"/>
  <c r="G101" i="85"/>
  <c r="G100" i="85"/>
  <c r="G99" i="85"/>
  <c r="G98" i="85"/>
  <c r="G97" i="85"/>
  <c r="G96" i="85"/>
  <c r="G95" i="85"/>
  <c r="G94" i="85"/>
  <c r="G93" i="85"/>
  <c r="G92" i="85"/>
  <c r="G91" i="85"/>
  <c r="G90" i="85"/>
  <c r="G89" i="85"/>
  <c r="G88" i="85"/>
  <c r="G87" i="85"/>
  <c r="G86" i="85"/>
  <c r="G85" i="85"/>
  <c r="G84" i="85"/>
  <c r="H75" i="85"/>
  <c r="H74" i="85"/>
  <c r="H73" i="85"/>
  <c r="H72" i="85"/>
  <c r="H71" i="85"/>
  <c r="H70" i="85"/>
  <c r="H69" i="85"/>
  <c r="H68" i="85"/>
  <c r="H67" i="85"/>
  <c r="H66" i="85"/>
  <c r="H65" i="85"/>
  <c r="H64" i="85"/>
  <c r="H63" i="85"/>
  <c r="H62" i="85"/>
  <c r="H61" i="85"/>
  <c r="H60" i="85"/>
  <c r="H59" i="85"/>
  <c r="H58" i="85"/>
  <c r="H57" i="85"/>
  <c r="H56" i="85"/>
  <c r="P47" i="85"/>
  <c r="P46" i="85"/>
  <c r="P45" i="85"/>
  <c r="P44" i="85"/>
  <c r="P43" i="85"/>
  <c r="P42" i="85"/>
  <c r="P41" i="85"/>
  <c r="P40" i="85"/>
  <c r="P39" i="85"/>
  <c r="P38" i="85"/>
  <c r="P37" i="85"/>
  <c r="P36" i="85"/>
  <c r="P35" i="85"/>
  <c r="P34" i="85"/>
  <c r="P33" i="85"/>
  <c r="P32" i="85"/>
  <c r="P31" i="85"/>
  <c r="P30" i="85"/>
  <c r="P29" i="85"/>
  <c r="G47" i="85"/>
  <c r="G46" i="85"/>
  <c r="G45" i="85"/>
  <c r="G44" i="85"/>
  <c r="G43" i="85"/>
  <c r="G42" i="85"/>
  <c r="G41" i="85"/>
  <c r="G40" i="85"/>
  <c r="G39" i="85"/>
  <c r="G38" i="85"/>
  <c r="G37" i="85"/>
  <c r="G36" i="85"/>
  <c r="G35" i="85"/>
  <c r="G34" i="85"/>
  <c r="G33" i="85"/>
  <c r="G32" i="85"/>
  <c r="G31" i="85"/>
  <c r="G30" i="85"/>
  <c r="G29" i="85"/>
  <c r="R46" i="112" l="1"/>
  <c r="R45" i="112"/>
  <c r="V10" i="112" l="1"/>
  <c r="S18" i="112" s="1"/>
  <c r="V9" i="112"/>
  <c r="S19" i="112" s="1"/>
  <c r="V8" i="112"/>
  <c r="S20" i="112" s="1"/>
  <c r="V7" i="112"/>
  <c r="S21" i="112" s="1"/>
  <c r="V6" i="112"/>
  <c r="S17" i="112" s="1"/>
  <c r="V5" i="112"/>
  <c r="S16" i="112" s="1"/>
  <c r="R36" i="112" l="1"/>
  <c r="R28" i="112"/>
  <c r="R35" i="112"/>
  <c r="R39" i="112"/>
  <c r="R38" i="112"/>
  <c r="R37" i="112"/>
  <c r="R34" i="112"/>
  <c r="R32" i="112"/>
  <c r="R33" i="112"/>
  <c r="R31" i="112"/>
  <c r="R27" i="112"/>
  <c r="D65" i="102" l="1"/>
  <c r="D64" i="102"/>
  <c r="E131" i="77"/>
  <c r="E139" i="77"/>
  <c r="E138" i="77"/>
  <c r="E137" i="77"/>
  <c r="E136" i="77"/>
  <c r="E135" i="77"/>
  <c r="E134" i="77"/>
  <c r="E133" i="77"/>
  <c r="E132" i="77"/>
  <c r="E130" i="77"/>
  <c r="D122" i="77"/>
  <c r="E42" i="79"/>
  <c r="F16" i="69"/>
  <c r="B38" i="79"/>
  <c r="B50" i="79"/>
  <c r="B58" i="79" s="1"/>
  <c r="B49" i="79"/>
  <c r="B57" i="79" s="1"/>
  <c r="I40" i="69" l="1"/>
  <c r="I41" i="69"/>
  <c r="E140" i="77"/>
  <c r="E41" i="79"/>
  <c r="F21" i="69" a="1"/>
  <c r="F21" i="69" s="1"/>
  <c r="I21" i="69" s="1"/>
  <c r="F20" i="69" a="1"/>
  <c r="F20" i="69" s="1"/>
  <c r="D32" i="79"/>
  <c r="D33" i="79"/>
  <c r="D34" i="79"/>
  <c r="D35" i="79"/>
  <c r="D31" i="79"/>
  <c r="D20" i="79"/>
  <c r="D21" i="79"/>
  <c r="D22" i="79"/>
  <c r="D23" i="79"/>
  <c r="D24" i="79"/>
  <c r="D25" i="79"/>
  <c r="D26" i="79"/>
  <c r="D27" i="79"/>
  <c r="D28" i="79"/>
  <c r="N23" i="115"/>
  <c r="N22" i="115"/>
  <c r="I16" i="69" l="1"/>
  <c r="F13" i="69" a="1"/>
  <c r="F13" i="69" s="1"/>
  <c r="F12" i="69" a="1"/>
  <c r="F12" i="69" s="1"/>
  <c r="F10" i="69" a="1"/>
  <c r="F10" i="69" s="1"/>
  <c r="I10" i="69" s="1"/>
  <c r="I19" i="69"/>
  <c r="I20" i="69"/>
  <c r="F18" i="69" l="1" a="1"/>
  <c r="F18" i="69" s="1"/>
  <c r="I18" i="69" s="1"/>
  <c r="I15" i="69" l="1"/>
  <c r="I25" i="69"/>
  <c r="D44" i="91" l="1"/>
  <c r="E44" i="91"/>
  <c r="C44" i="91"/>
  <c r="D18" i="91"/>
  <c r="D19" i="91"/>
  <c r="D20" i="91"/>
  <c r="D21" i="91"/>
  <c r="D17" i="91"/>
  <c r="H70" i="83"/>
  <c r="H71" i="83"/>
  <c r="H72" i="83"/>
  <c r="H73" i="83"/>
  <c r="H74" i="83"/>
  <c r="H75" i="83"/>
  <c r="H76" i="83"/>
  <c r="H77" i="83"/>
  <c r="H78" i="83"/>
  <c r="H79" i="83"/>
  <c r="H80" i="83"/>
  <c r="H81" i="83"/>
  <c r="H82" i="83"/>
  <c r="H83" i="83"/>
  <c r="H84" i="83"/>
  <c r="H85" i="83"/>
  <c r="B10" i="75"/>
  <c r="D168" i="81" l="1"/>
  <c r="G103" i="77" l="1"/>
  <c r="H103" i="77" s="1"/>
  <c r="G102" i="77"/>
  <c r="H102" i="77" s="1"/>
  <c r="G101" i="77"/>
  <c r="H101" i="77" s="1"/>
  <c r="G100" i="77"/>
  <c r="H100" i="77" s="1"/>
  <c r="G99" i="77"/>
  <c r="H99" i="77" s="1"/>
  <c r="G98" i="77"/>
  <c r="H98" i="77" s="1"/>
  <c r="G97" i="77"/>
  <c r="H97" i="77" s="1"/>
  <c r="G96" i="77"/>
  <c r="H96" i="77" s="1"/>
  <c r="G95" i="77"/>
  <c r="H95" i="77" s="1"/>
  <c r="G94" i="77"/>
  <c r="H94" i="77" s="1"/>
  <c r="G93" i="77"/>
  <c r="H93" i="77" s="1"/>
  <c r="G92" i="77"/>
  <c r="H92" i="77" s="1"/>
  <c r="G91" i="77"/>
  <c r="H91" i="77" s="1"/>
  <c r="G90" i="77"/>
  <c r="H90" i="77" s="1"/>
  <c r="G89" i="77"/>
  <c r="H89" i="77" s="1"/>
  <c r="G88" i="77"/>
  <c r="H88" i="77" s="1"/>
  <c r="N26" i="76"/>
  <c r="N27" i="76"/>
  <c r="N28" i="76"/>
  <c r="N29" i="76"/>
  <c r="N30" i="76"/>
  <c r="N31" i="76"/>
  <c r="N32" i="76"/>
  <c r="N33" i="76"/>
  <c r="N34" i="76"/>
  <c r="N35" i="76"/>
  <c r="N36" i="76"/>
  <c r="N37" i="76"/>
  <c r="N38" i="76"/>
  <c r="N39" i="76"/>
  <c r="N40" i="76"/>
  <c r="N41" i="76"/>
  <c r="N42" i="76"/>
  <c r="N43" i="76"/>
  <c r="N25" i="76"/>
  <c r="G26" i="76"/>
  <c r="G27" i="76"/>
  <c r="G28" i="76"/>
  <c r="G29" i="76"/>
  <c r="G30" i="76"/>
  <c r="G31" i="76"/>
  <c r="G32" i="76"/>
  <c r="G33" i="76"/>
  <c r="G34" i="76"/>
  <c r="G35" i="76"/>
  <c r="G36" i="76"/>
  <c r="G37" i="76"/>
  <c r="G38" i="76"/>
  <c r="G39" i="76"/>
  <c r="G40" i="76"/>
  <c r="G41" i="76"/>
  <c r="G42" i="76"/>
  <c r="G43" i="76"/>
  <c r="G24" i="76"/>
  <c r="H61" i="77"/>
  <c r="H62" i="77"/>
  <c r="H63" i="77"/>
  <c r="H64" i="77"/>
  <c r="H65" i="77"/>
  <c r="H66" i="77"/>
  <c r="H67" i="77"/>
  <c r="H68" i="77"/>
  <c r="H60" i="77"/>
  <c r="H37" i="77"/>
  <c r="H38" i="77"/>
  <c r="H39" i="77"/>
  <c r="H40" i="77"/>
  <c r="H41" i="77"/>
  <c r="H42" i="77"/>
  <c r="H36" i="77"/>
  <c r="H35" i="77"/>
  <c r="H14" i="77"/>
  <c r="H15" i="77"/>
  <c r="H16" i="77"/>
  <c r="H17" i="77"/>
  <c r="H18" i="77"/>
  <c r="H19" i="77"/>
  <c r="H13" i="77"/>
  <c r="H12" i="77"/>
  <c r="F82" i="86" l="1"/>
  <c r="F84" i="86"/>
  <c r="F85" i="86"/>
  <c r="F86" i="86"/>
  <c r="F87" i="86"/>
  <c r="F88" i="86"/>
  <c r="F89" i="86"/>
  <c r="F90" i="86"/>
  <c r="F91" i="86"/>
  <c r="F92" i="86"/>
  <c r="F93" i="86"/>
  <c r="F94" i="86"/>
  <c r="F95" i="86"/>
  <c r="F96" i="86"/>
  <c r="R43" i="112" l="1"/>
  <c r="R44" i="112"/>
  <c r="R42" i="112"/>
  <c r="R41" i="112"/>
  <c r="G17" i="69" l="1"/>
  <c r="G16" i="69"/>
  <c r="F39" i="79" l="1"/>
  <c r="F38" i="79"/>
  <c r="E39" i="79"/>
  <c r="F42" i="79"/>
  <c r="F41" i="79"/>
  <c r="F40" i="79"/>
  <c r="E38" i="79"/>
  <c r="E73" i="76"/>
  <c r="R130" i="85" l="1"/>
  <c r="R129" i="85"/>
  <c r="R128" i="85"/>
  <c r="R127" i="85"/>
  <c r="R126" i="85"/>
  <c r="R125" i="85"/>
  <c r="R124" i="85"/>
  <c r="R123" i="85"/>
  <c r="R122" i="85"/>
  <c r="R121" i="85"/>
  <c r="R120" i="85"/>
  <c r="R119" i="85"/>
  <c r="R118" i="85"/>
  <c r="R117" i="85"/>
  <c r="R116" i="85"/>
  <c r="R115" i="85"/>
  <c r="R114" i="85"/>
  <c r="R113" i="85"/>
  <c r="Q102" i="85"/>
  <c r="Q101" i="85"/>
  <c r="Q100" i="85"/>
  <c r="Q99" i="85"/>
  <c r="Q98" i="85"/>
  <c r="Q97" i="85"/>
  <c r="Q96" i="85"/>
  <c r="Q95" i="85"/>
  <c r="Q94" i="85"/>
  <c r="Q93" i="85"/>
  <c r="Q92" i="85"/>
  <c r="Q91" i="85"/>
  <c r="Q90" i="85"/>
  <c r="Q89" i="85"/>
  <c r="Q88" i="85"/>
  <c r="Q87" i="85"/>
  <c r="Q86" i="85"/>
  <c r="Q85" i="85"/>
  <c r="R75" i="85"/>
  <c r="R74" i="85"/>
  <c r="R73" i="85"/>
  <c r="R72" i="85"/>
  <c r="R71" i="85"/>
  <c r="R70" i="85"/>
  <c r="R69" i="85"/>
  <c r="R68" i="85"/>
  <c r="R67" i="85"/>
  <c r="R66" i="85"/>
  <c r="R65" i="85"/>
  <c r="R64" i="85"/>
  <c r="R63" i="85"/>
  <c r="R62" i="85"/>
  <c r="R61" i="85"/>
  <c r="R60" i="85"/>
  <c r="R59" i="85"/>
  <c r="R58" i="85"/>
  <c r="Q47" i="85"/>
  <c r="Q46" i="85"/>
  <c r="Q45" i="85"/>
  <c r="Q44" i="85"/>
  <c r="Q43" i="85"/>
  <c r="Q42" i="85"/>
  <c r="Q41" i="85"/>
  <c r="Q40" i="85"/>
  <c r="Q39" i="85"/>
  <c r="Q38" i="85"/>
  <c r="Q37" i="85"/>
  <c r="Q36" i="85"/>
  <c r="Q35" i="85"/>
  <c r="Q34" i="85"/>
  <c r="Q33" i="85"/>
  <c r="Q32" i="85"/>
  <c r="Q31" i="85"/>
  <c r="Q30" i="85"/>
  <c r="F34" i="85"/>
  <c r="H34" i="85" s="1"/>
  <c r="F57" i="85"/>
  <c r="F58" i="85"/>
  <c r="F59" i="85"/>
  <c r="F60" i="85"/>
  <c r="F61" i="85"/>
  <c r="F62" i="85"/>
  <c r="F63" i="85"/>
  <c r="F64" i="85"/>
  <c r="F65" i="85"/>
  <c r="F66" i="85"/>
  <c r="F67" i="85"/>
  <c r="F68" i="85"/>
  <c r="F69" i="85"/>
  <c r="F70" i="85"/>
  <c r="F71" i="85"/>
  <c r="F72" i="85"/>
  <c r="F73" i="85"/>
  <c r="F74" i="85"/>
  <c r="F75" i="85"/>
  <c r="G57" i="85"/>
  <c r="G58" i="85"/>
  <c r="I58" i="85" s="1"/>
  <c r="G59" i="85"/>
  <c r="I59" i="85" s="1"/>
  <c r="G60" i="85"/>
  <c r="I60" i="85" s="1"/>
  <c r="G61" i="85"/>
  <c r="I61" i="85" s="1"/>
  <c r="G62" i="85"/>
  <c r="I62" i="85" s="1"/>
  <c r="G63" i="85"/>
  <c r="I63" i="85" s="1"/>
  <c r="G64" i="85"/>
  <c r="I64" i="85" s="1"/>
  <c r="G65" i="85"/>
  <c r="I65" i="85" s="1"/>
  <c r="G66" i="85"/>
  <c r="I66" i="85" s="1"/>
  <c r="G67" i="85"/>
  <c r="I67" i="85" s="1"/>
  <c r="G68" i="85"/>
  <c r="I68" i="85" s="1"/>
  <c r="G69" i="85"/>
  <c r="I69" i="85" s="1"/>
  <c r="G70" i="85"/>
  <c r="I70" i="85" s="1"/>
  <c r="G71" i="85"/>
  <c r="I71" i="85" s="1"/>
  <c r="G72" i="85"/>
  <c r="I72" i="85" s="1"/>
  <c r="G73" i="85"/>
  <c r="I73" i="85" s="1"/>
  <c r="G74" i="85"/>
  <c r="I74" i="85" s="1"/>
  <c r="G75" i="85"/>
  <c r="I75" i="85" s="1"/>
  <c r="F56" i="85"/>
  <c r="E94" i="83"/>
  <c r="E95" i="83"/>
  <c r="E96" i="83"/>
  <c r="E97" i="83"/>
  <c r="E98" i="83"/>
  <c r="E99" i="83"/>
  <c r="E100" i="83"/>
  <c r="E101" i="83"/>
  <c r="E102" i="83"/>
  <c r="E103" i="83"/>
  <c r="E104" i="83"/>
  <c r="E105" i="83"/>
  <c r="E106" i="83"/>
  <c r="E107" i="83"/>
  <c r="E108" i="83"/>
  <c r="E109" i="83"/>
  <c r="E110" i="83"/>
  <c r="E111" i="83"/>
  <c r="E112" i="83"/>
  <c r="E93" i="83"/>
  <c r="I11" i="69"/>
  <c r="I14" i="69"/>
  <c r="I13" i="69"/>
  <c r="I12" i="69"/>
  <c r="I24" i="69"/>
  <c r="I23" i="69"/>
  <c r="B21" i="112" l="1"/>
  <c r="B22" i="112"/>
  <c r="B23" i="112"/>
  <c r="B24" i="112"/>
  <c r="B25" i="112"/>
  <c r="B26" i="112"/>
  <c r="B27" i="112"/>
  <c r="B28" i="112"/>
  <c r="B29" i="112"/>
  <c r="B30" i="112"/>
  <c r="B31" i="112"/>
  <c r="B32" i="112"/>
  <c r="B33" i="112"/>
  <c r="B34" i="112"/>
  <c r="B35" i="112"/>
  <c r="B36" i="112"/>
  <c r="B37" i="112"/>
  <c r="B38" i="112"/>
  <c r="B39" i="112"/>
  <c r="B40" i="112"/>
  <c r="B41" i="112"/>
  <c r="B42" i="112"/>
  <c r="B43" i="112"/>
  <c r="B44" i="112"/>
  <c r="B45" i="112"/>
  <c r="B46" i="112"/>
  <c r="B47" i="112"/>
  <c r="B48" i="112"/>
  <c r="B49" i="112"/>
  <c r="B50" i="112"/>
  <c r="B51" i="112"/>
  <c r="B52" i="112"/>
  <c r="B53" i="112"/>
  <c r="B54" i="112"/>
  <c r="B55" i="112"/>
  <c r="B56" i="112"/>
  <c r="B57" i="112"/>
  <c r="B58" i="112"/>
  <c r="B59" i="112"/>
  <c r="B60" i="112"/>
  <c r="B61" i="112"/>
  <c r="B62" i="112"/>
  <c r="B64" i="112"/>
  <c r="B63" i="112"/>
  <c r="B65" i="112"/>
  <c r="B66" i="112"/>
  <c r="B67" i="112"/>
  <c r="B68" i="112"/>
  <c r="B70" i="112"/>
  <c r="B69" i="112"/>
  <c r="B71" i="112"/>
  <c r="B72" i="112"/>
  <c r="B73" i="112"/>
  <c r="B74" i="112"/>
  <c r="B76" i="112"/>
  <c r="B75" i="112"/>
  <c r="B77" i="112"/>
  <c r="B78" i="112"/>
  <c r="B79" i="112"/>
  <c r="B80" i="112"/>
  <c r="B82" i="112"/>
  <c r="B81" i="112"/>
  <c r="B13" i="112"/>
  <c r="B12" i="112"/>
  <c r="B11" i="112"/>
  <c r="B10" i="112"/>
  <c r="B9" i="112"/>
  <c r="B8" i="112"/>
  <c r="B7" i="112"/>
  <c r="B6" i="112"/>
  <c r="B5" i="112"/>
  <c r="G84" i="77" l="1"/>
  <c r="H84" i="77" s="1"/>
  <c r="I22" i="94"/>
  <c r="O24" i="91"/>
  <c r="C4" i="89" a="1"/>
  <c r="C4" i="89" s="1"/>
  <c r="C5" i="89" a="1"/>
  <c r="C5" i="89" s="1"/>
  <c r="C3" i="89" a="1"/>
  <c r="C3" i="89" s="1"/>
  <c r="N18" i="91"/>
  <c r="M7" i="112" l="1"/>
  <c r="L3" i="88"/>
  <c r="L17" i="88"/>
  <c r="M17" i="88" s="1"/>
  <c r="L37" i="88"/>
  <c r="M37" i="88" s="1"/>
  <c r="L18" i="88"/>
  <c r="M18" i="88" s="1"/>
  <c r="L38" i="88"/>
  <c r="M38" i="88" s="1"/>
  <c r="L19" i="88"/>
  <c r="M19" i="88" s="1"/>
  <c r="L39" i="88"/>
  <c r="M39" i="88" s="1"/>
  <c r="L20" i="88"/>
  <c r="M20" i="88" s="1"/>
  <c r="L40" i="88"/>
  <c r="M40" i="88" s="1"/>
  <c r="L21" i="88"/>
  <c r="M21" i="88" s="1"/>
  <c r="L41" i="88"/>
  <c r="M41" i="88" s="1"/>
  <c r="L22" i="88"/>
  <c r="M22" i="88" s="1"/>
  <c r="L42" i="88"/>
  <c r="M42" i="88" s="1"/>
  <c r="L23" i="88"/>
  <c r="M23" i="88" s="1"/>
  <c r="L43" i="88"/>
  <c r="M43" i="88" s="1"/>
  <c r="L4" i="88"/>
  <c r="M4" i="88" s="1"/>
  <c r="L24" i="88"/>
  <c r="M24" i="88" s="1"/>
  <c r="L44" i="88"/>
  <c r="M44" i="88" s="1"/>
  <c r="L5" i="88"/>
  <c r="M5" i="88" s="1"/>
  <c r="L25" i="88"/>
  <c r="M25" i="88" s="1"/>
  <c r="L45" i="88"/>
  <c r="M45" i="88" s="1"/>
  <c r="L6" i="88"/>
  <c r="M6" i="88" s="1"/>
  <c r="L26" i="88"/>
  <c r="M26" i="88" s="1"/>
  <c r="L46" i="88"/>
  <c r="M46" i="88" s="1"/>
  <c r="L7" i="88"/>
  <c r="M7" i="88" s="1"/>
  <c r="L27" i="88"/>
  <c r="M27" i="88" s="1"/>
  <c r="L47" i="88"/>
  <c r="M47" i="88" s="1"/>
  <c r="L8" i="88"/>
  <c r="M8" i="88" s="1"/>
  <c r="L28" i="88"/>
  <c r="M28" i="88" s="1"/>
  <c r="L48" i="88"/>
  <c r="M48" i="88" s="1"/>
  <c r="L9" i="88"/>
  <c r="M9" i="88" s="1"/>
  <c r="L29" i="88"/>
  <c r="M29" i="88" s="1"/>
  <c r="L49" i="88"/>
  <c r="M49" i="88" s="1"/>
  <c r="L10" i="88"/>
  <c r="M10" i="88" s="1"/>
  <c r="L30" i="88"/>
  <c r="M30" i="88" s="1"/>
  <c r="L50" i="88"/>
  <c r="M50" i="88" s="1"/>
  <c r="L11" i="88"/>
  <c r="M11" i="88" s="1"/>
  <c r="L31" i="88"/>
  <c r="M31" i="88" s="1"/>
  <c r="L51" i="88"/>
  <c r="M51" i="88" s="1"/>
  <c r="L12" i="88"/>
  <c r="M12" i="88" s="1"/>
  <c r="L32" i="88"/>
  <c r="M32" i="88" s="1"/>
  <c r="L52" i="88"/>
  <c r="M52" i="88" s="1"/>
  <c r="L13" i="88"/>
  <c r="M13" i="88" s="1"/>
  <c r="L14" i="88"/>
  <c r="M14" i="88" s="1"/>
  <c r="L15" i="88"/>
  <c r="M15" i="88" s="1"/>
  <c r="L16" i="88"/>
  <c r="M16" i="88" s="1"/>
  <c r="L33" i="88"/>
  <c r="M33" i="88" s="1"/>
  <c r="L34" i="88"/>
  <c r="M34" i="88" s="1"/>
  <c r="L35" i="88"/>
  <c r="M35" i="88" s="1"/>
  <c r="L36" i="88"/>
  <c r="M36" i="88" s="1"/>
  <c r="L53" i="88"/>
  <c r="M53" i="88" s="1"/>
  <c r="L54" i="88"/>
  <c r="M54" i="88" s="1"/>
  <c r="M3" i="88"/>
  <c r="M107" i="112"/>
  <c r="M5" i="112"/>
  <c r="M25" i="112"/>
  <c r="M45" i="112"/>
  <c r="M65" i="112"/>
  <c r="M106" i="112"/>
  <c r="M6" i="112"/>
  <c r="M26" i="112"/>
  <c r="M46" i="112"/>
  <c r="M66" i="112"/>
  <c r="M105" i="112"/>
  <c r="M27" i="112"/>
  <c r="M47" i="112"/>
  <c r="M67" i="112"/>
  <c r="M104" i="112"/>
  <c r="M8" i="112"/>
  <c r="M28" i="112"/>
  <c r="M48" i="112"/>
  <c r="M68" i="112"/>
  <c r="M103" i="112"/>
  <c r="S43" i="112" s="1"/>
  <c r="M9" i="112"/>
  <c r="M29" i="112"/>
  <c r="M49" i="112"/>
  <c r="M70" i="112"/>
  <c r="M102" i="112"/>
  <c r="M10" i="112"/>
  <c r="M30" i="112"/>
  <c r="M50" i="112"/>
  <c r="M69" i="112"/>
  <c r="M101" i="112"/>
  <c r="M11" i="112"/>
  <c r="F38" i="83" s="1"/>
  <c r="M31" i="112"/>
  <c r="M51" i="112"/>
  <c r="M71" i="112"/>
  <c r="M100" i="112"/>
  <c r="M12" i="112"/>
  <c r="M32" i="112"/>
  <c r="M52" i="112"/>
  <c r="M72" i="112"/>
  <c r="M99" i="112"/>
  <c r="M13" i="112"/>
  <c r="M33" i="112"/>
  <c r="M73" i="112"/>
  <c r="M98" i="112"/>
  <c r="M14" i="112"/>
  <c r="M34" i="112"/>
  <c r="M54" i="112"/>
  <c r="M74" i="112"/>
  <c r="M97" i="112"/>
  <c r="M15" i="112"/>
  <c r="M35" i="112"/>
  <c r="M55" i="112"/>
  <c r="M76" i="112"/>
  <c r="M96" i="112"/>
  <c r="M16" i="112"/>
  <c r="M36" i="112"/>
  <c r="M56" i="112"/>
  <c r="M75" i="112"/>
  <c r="M95" i="112"/>
  <c r="M17" i="112"/>
  <c r="G68" i="83" s="1"/>
  <c r="H68" i="83" s="1"/>
  <c r="M37" i="112"/>
  <c r="M57" i="112"/>
  <c r="M77" i="112"/>
  <c r="M94" i="112"/>
  <c r="M18" i="112"/>
  <c r="M38" i="112"/>
  <c r="M58" i="112"/>
  <c r="M78" i="112"/>
  <c r="M93" i="112"/>
  <c r="S42" i="112" s="1"/>
  <c r="M19" i="112"/>
  <c r="M39" i="112"/>
  <c r="M59" i="112"/>
  <c r="M79" i="112"/>
  <c r="M92" i="112"/>
  <c r="M20" i="112"/>
  <c r="M40" i="112"/>
  <c r="M60" i="112"/>
  <c r="S45" i="112" s="1"/>
  <c r="M21" i="112"/>
  <c r="M41" i="112"/>
  <c r="M61" i="112"/>
  <c r="M90" i="112"/>
  <c r="M42" i="112"/>
  <c r="M62" i="112"/>
  <c r="M81" i="112"/>
  <c r="M53" i="112"/>
  <c r="M80" i="112"/>
  <c r="M91" i="112"/>
  <c r="M82" i="112"/>
  <c r="M22" i="112"/>
  <c r="G86" i="77" s="1"/>
  <c r="H86" i="77" s="1"/>
  <c r="M23" i="112"/>
  <c r="M89" i="112"/>
  <c r="M88" i="112"/>
  <c r="M24" i="112"/>
  <c r="M43" i="112"/>
  <c r="M44" i="112"/>
  <c r="M64" i="112"/>
  <c r="M63" i="112"/>
  <c r="S46" i="112" s="1"/>
  <c r="I11" i="87"/>
  <c r="I12" i="87"/>
  <c r="I17" i="87"/>
  <c r="I18" i="87"/>
  <c r="I23" i="87"/>
  <c r="I24" i="87"/>
  <c r="I29" i="87"/>
  <c r="I30" i="87"/>
  <c r="I35" i="87"/>
  <c r="I36" i="87"/>
  <c r="I41" i="87"/>
  <c r="I42" i="87"/>
  <c r="I47" i="87"/>
  <c r="I48" i="87"/>
  <c r="I53" i="87"/>
  <c r="I54" i="87"/>
  <c r="I59" i="87"/>
  <c r="I60" i="87"/>
  <c r="I65" i="87"/>
  <c r="I66" i="87"/>
  <c r="I71" i="87"/>
  <c r="I72" i="87"/>
  <c r="I77" i="87"/>
  <c r="I78" i="87"/>
  <c r="I83" i="87"/>
  <c r="I84" i="87"/>
  <c r="I89" i="87"/>
  <c r="I90" i="87"/>
  <c r="I95" i="87"/>
  <c r="I96" i="87"/>
  <c r="I101" i="87"/>
  <c r="I102" i="87"/>
  <c r="I107" i="87"/>
  <c r="I108" i="87"/>
  <c r="I113" i="87"/>
  <c r="I114" i="87"/>
  <c r="I119" i="87"/>
  <c r="I120" i="87"/>
  <c r="I125" i="87"/>
  <c r="I126" i="87"/>
  <c r="I131" i="87"/>
  <c r="I132" i="87"/>
  <c r="I137" i="87"/>
  <c r="I138" i="87"/>
  <c r="I143" i="87"/>
  <c r="I144" i="87"/>
  <c r="I149" i="87"/>
  <c r="I150" i="87"/>
  <c r="I155" i="87"/>
  <c r="I156" i="87"/>
  <c r="I161" i="87"/>
  <c r="I162" i="87"/>
  <c r="I167" i="87"/>
  <c r="I168" i="87"/>
  <c r="I173" i="87"/>
  <c r="I174" i="87"/>
  <c r="I179" i="87"/>
  <c r="I180" i="87"/>
  <c r="I185" i="87"/>
  <c r="I186" i="87"/>
  <c r="I191" i="87"/>
  <c r="I192" i="87"/>
  <c r="I197" i="87"/>
  <c r="I198" i="87"/>
  <c r="I203" i="87"/>
  <c r="I204" i="87"/>
  <c r="I209" i="87"/>
  <c r="I210" i="87"/>
  <c r="I215" i="87"/>
  <c r="I216" i="87"/>
  <c r="I221" i="87"/>
  <c r="I222" i="87"/>
  <c r="I227" i="87"/>
  <c r="I228" i="87"/>
  <c r="I233" i="87"/>
  <c r="I234" i="87"/>
  <c r="I239" i="87"/>
  <c r="I240" i="87"/>
  <c r="I245" i="87"/>
  <c r="I246" i="87"/>
  <c r="I251" i="87"/>
  <c r="I252" i="87"/>
  <c r="I257" i="87"/>
  <c r="I258" i="87"/>
  <c r="I263" i="87"/>
  <c r="I264" i="87"/>
  <c r="I269" i="87"/>
  <c r="I270" i="87"/>
  <c r="I275" i="87"/>
  <c r="I276" i="87"/>
  <c r="I281" i="87"/>
  <c r="I282" i="87"/>
  <c r="I287" i="87"/>
  <c r="I288" i="87"/>
  <c r="I293" i="87"/>
  <c r="I294" i="87"/>
  <c r="I299" i="87"/>
  <c r="I300" i="87"/>
  <c r="I305" i="87"/>
  <c r="I306" i="87"/>
  <c r="I311" i="87"/>
  <c r="I312" i="87"/>
  <c r="I317" i="87"/>
  <c r="I318" i="87"/>
  <c r="I323" i="87"/>
  <c r="I324" i="87"/>
  <c r="S36" i="112" l="1"/>
  <c r="C6" i="87"/>
  <c r="I10" i="87" s="1"/>
  <c r="S44" i="112"/>
  <c r="G87" i="77" s="1"/>
  <c r="H87" i="77" s="1"/>
  <c r="S33" i="112"/>
  <c r="S27" i="112"/>
  <c r="S32" i="112"/>
  <c r="S38" i="112"/>
  <c r="G67" i="83"/>
  <c r="H67" i="83" s="1"/>
  <c r="S31" i="112"/>
  <c r="G85" i="77"/>
  <c r="H85" i="77" s="1"/>
  <c r="S37" i="112"/>
  <c r="G69" i="83"/>
  <c r="H69" i="83" s="1"/>
  <c r="G66" i="83"/>
  <c r="H66" i="83" s="1"/>
  <c r="C5" i="87"/>
  <c r="S41" i="112"/>
  <c r="G70" i="83" s="1"/>
  <c r="S28" i="112"/>
  <c r="S39" i="112"/>
  <c r="S35" i="112"/>
  <c r="S34" i="112"/>
  <c r="U10" i="112"/>
  <c r="U9" i="112"/>
  <c r="U8" i="112"/>
  <c r="U7" i="112"/>
  <c r="U6" i="112"/>
  <c r="U5" i="112"/>
  <c r="T10" i="112"/>
  <c r="T9" i="112"/>
  <c r="T8" i="112"/>
  <c r="T7" i="112"/>
  <c r="T6" i="112"/>
  <c r="T5" i="112"/>
  <c r="F94" i="84" l="1"/>
  <c r="E72" i="76" l="1"/>
  <c r="E74" i="76"/>
  <c r="E75" i="76"/>
  <c r="E76" i="76"/>
  <c r="E77" i="76"/>
  <c r="E78" i="76"/>
  <c r="E79" i="76"/>
  <c r="E80" i="76"/>
  <c r="E81" i="76"/>
  <c r="E82" i="76"/>
  <c r="E83" i="76"/>
  <c r="E84" i="76"/>
  <c r="E85" i="76"/>
  <c r="E86" i="76"/>
  <c r="E87" i="76"/>
  <c r="E88" i="76"/>
  <c r="E89" i="76"/>
  <c r="E90" i="76"/>
  <c r="E71" i="76"/>
  <c r="L89" i="77" l="1"/>
  <c r="L93" i="77"/>
  <c r="L96" i="77"/>
  <c r="L91" i="77"/>
  <c r="L88" i="77"/>
  <c r="L76" i="83"/>
  <c r="L94" i="77"/>
  <c r="L72" i="83"/>
  <c r="L90" i="77"/>
  <c r="L77" i="83"/>
  <c r="L95" i="77"/>
  <c r="L74" i="83"/>
  <c r="L92" i="77"/>
  <c r="L70" i="83"/>
  <c r="L71" i="83"/>
  <c r="L75" i="83"/>
  <c r="L73" i="83"/>
  <c r="L78" i="83"/>
  <c r="R29" i="112"/>
  <c r="E91" i="76"/>
  <c r="K93" i="77" l="1"/>
  <c r="K90" i="77"/>
  <c r="K91" i="77"/>
  <c r="K95" i="77"/>
  <c r="K89" i="77"/>
  <c r="K96" i="77"/>
  <c r="K92" i="77"/>
  <c r="K94" i="77"/>
  <c r="K88" i="77"/>
  <c r="K76" i="83"/>
  <c r="K78" i="83"/>
  <c r="K73" i="83"/>
  <c r="K75" i="83"/>
  <c r="K71" i="83"/>
  <c r="K72" i="83"/>
  <c r="K70" i="83"/>
  <c r="K77" i="83"/>
  <c r="K74" i="83"/>
  <c r="D181" i="95"/>
  <c r="D59" i="95"/>
  <c r="D66" i="95"/>
  <c r="D115" i="95"/>
  <c r="D26" i="95"/>
  <c r="D146" i="95"/>
  <c r="D113" i="95"/>
  <c r="D177" i="95"/>
  <c r="D56" i="95"/>
  <c r="D173" i="95"/>
  <c r="D111" i="95"/>
  <c r="D30" i="95"/>
  <c r="D91" i="95"/>
  <c r="D104" i="95"/>
  <c r="D174" i="95"/>
  <c r="D99" i="95"/>
  <c r="D185" i="95"/>
  <c r="D153" i="95"/>
  <c r="D105" i="95"/>
  <c r="D180" i="95"/>
  <c r="D71" i="95"/>
  <c r="D10" i="95"/>
  <c r="D65" i="95"/>
  <c r="D172" i="95"/>
  <c r="D60" i="95"/>
  <c r="D42" i="95"/>
  <c r="D11" i="95"/>
  <c r="D160" i="95"/>
  <c r="D19" i="95"/>
  <c r="D121" i="95"/>
  <c r="D21" i="95"/>
  <c r="D178" i="95"/>
  <c r="D55" i="95"/>
  <c r="D53" i="95"/>
  <c r="D175" i="95"/>
  <c r="D176" i="95"/>
  <c r="D134" i="95"/>
  <c r="D12" i="95"/>
  <c r="D80" i="95"/>
  <c r="D156" i="95"/>
  <c r="D182" i="95"/>
  <c r="D137" i="95"/>
  <c r="D149" i="95"/>
  <c r="D39" i="95"/>
  <c r="D147" i="95"/>
  <c r="D141" i="95"/>
  <c r="D20" i="95"/>
  <c r="D154" i="95"/>
  <c r="D140" i="95"/>
  <c r="D143" i="95"/>
  <c r="D139" i="95"/>
  <c r="D165" i="95"/>
  <c r="D114" i="95"/>
  <c r="D144" i="95"/>
  <c r="D155" i="95"/>
  <c r="D28" i="95"/>
  <c r="D64" i="95"/>
  <c r="D27" i="95"/>
  <c r="D84" i="95"/>
  <c r="D127" i="95"/>
  <c r="D79" i="95"/>
  <c r="D171" i="95"/>
  <c r="D9" i="95"/>
  <c r="D103" i="95"/>
  <c r="D58" i="95"/>
  <c r="D57" i="95"/>
  <c r="D41" i="95"/>
  <c r="D13" i="95"/>
  <c r="D22" i="95"/>
  <c r="D69" i="95"/>
  <c r="D170" i="95"/>
  <c r="D85" i="95"/>
  <c r="D31" i="95"/>
  <c r="D119" i="95"/>
  <c r="D8" i="95"/>
  <c r="D75" i="95"/>
  <c r="D34" i="95"/>
  <c r="D183" i="95"/>
  <c r="D92" i="95"/>
  <c r="D52" i="95"/>
  <c r="D123" i="95"/>
  <c r="D36" i="95"/>
  <c r="D35" i="95"/>
  <c r="D15" i="95"/>
  <c r="D162" i="95"/>
  <c r="D100" i="95"/>
  <c r="D89" i="95"/>
  <c r="D46" i="95"/>
  <c r="D73" i="95"/>
  <c r="D47" i="95"/>
  <c r="D118" i="95"/>
  <c r="D97" i="95"/>
  <c r="D96" i="95"/>
  <c r="D98" i="95"/>
  <c r="D6" i="95"/>
  <c r="D152" i="95"/>
  <c r="D164" i="95"/>
  <c r="D136" i="95"/>
  <c r="D72" i="95"/>
  <c r="D107" i="95"/>
  <c r="D122" i="95"/>
  <c r="D90" i="95"/>
  <c r="D125" i="95"/>
  <c r="D95" i="95"/>
  <c r="D148" i="95"/>
  <c r="D74" i="95"/>
  <c r="D86" i="95"/>
  <c r="D45" i="95"/>
  <c r="D67" i="95"/>
  <c r="D142" i="95"/>
  <c r="D186" i="95"/>
  <c r="D16" i="95"/>
  <c r="D23" i="95"/>
  <c r="D68" i="95"/>
  <c r="D70" i="95"/>
  <c r="D61" i="95"/>
  <c r="D29" i="95"/>
  <c r="D63" i="95"/>
  <c r="D49" i="95"/>
  <c r="D158" i="95"/>
  <c r="D151" i="95"/>
  <c r="D44" i="95"/>
  <c r="D62" i="95"/>
  <c r="D135" i="95"/>
  <c r="D128" i="95"/>
  <c r="D145" i="95"/>
  <c r="D40" i="95"/>
  <c r="D184" i="95"/>
  <c r="D101" i="95"/>
  <c r="D166" i="95"/>
  <c r="D94" i="95"/>
  <c r="D167" i="95"/>
  <c r="D150" i="95"/>
  <c r="D25" i="95"/>
  <c r="D187" i="95"/>
  <c r="D188" i="95"/>
  <c r="D133" i="95"/>
  <c r="D43" i="95"/>
  <c r="D124" i="95"/>
  <c r="D93" i="95"/>
  <c r="D102" i="95"/>
  <c r="D161" i="95"/>
  <c r="D120" i="95"/>
  <c r="D77" i="95"/>
  <c r="D7" i="95"/>
  <c r="D76" i="95"/>
  <c r="D17" i="95"/>
  <c r="D38" i="95"/>
  <c r="D33" i="95"/>
  <c r="D82" i="95"/>
  <c r="D81" i="95"/>
  <c r="D4" i="95"/>
  <c r="D14" i="95"/>
  <c r="D169" i="95"/>
  <c r="D37" i="95"/>
  <c r="D88" i="95"/>
  <c r="D159" i="95"/>
  <c r="D5" i="95"/>
  <c r="D129" i="95"/>
  <c r="D87" i="95"/>
  <c r="D106" i="95"/>
  <c r="D54" i="95"/>
  <c r="D51" i="95"/>
  <c r="D24" i="95"/>
  <c r="D179" i="95"/>
  <c r="D78" i="95"/>
  <c r="D163" i="95"/>
  <c r="D132" i="95"/>
  <c r="D50" i="95"/>
  <c r="D110" i="95"/>
  <c r="D108" i="95"/>
  <c r="D109" i="95"/>
  <c r="D138" i="95"/>
  <c r="D168" i="95"/>
  <c r="D18" i="95"/>
  <c r="D48" i="95"/>
  <c r="D32" i="95"/>
  <c r="D112" i="95"/>
  <c r="G237" i="111" l="1"/>
  <c r="G236" i="111"/>
  <c r="G235" i="111"/>
  <c r="G234" i="111"/>
  <c r="G233" i="111"/>
  <c r="G232" i="111"/>
  <c r="G231" i="111"/>
  <c r="G230" i="111"/>
  <c r="G229" i="111"/>
  <c r="G228" i="111"/>
  <c r="G227" i="111"/>
  <c r="G226" i="111"/>
  <c r="G225" i="111"/>
  <c r="G224" i="111"/>
  <c r="G223" i="111"/>
  <c r="G222" i="111"/>
  <c r="G221" i="111"/>
  <c r="G220" i="111"/>
  <c r="G219" i="111"/>
  <c r="G218" i="111"/>
  <c r="G217" i="111"/>
  <c r="G216" i="111"/>
  <c r="G215" i="111"/>
  <c r="G214" i="111"/>
  <c r="G213" i="111"/>
  <c r="G212" i="111"/>
  <c r="G211" i="111"/>
  <c r="G210" i="111"/>
  <c r="G209" i="111"/>
  <c r="G208" i="111"/>
  <c r="G207" i="111"/>
  <c r="G206" i="111"/>
  <c r="G205" i="111"/>
  <c r="G204" i="111"/>
  <c r="G203" i="111"/>
  <c r="G202" i="111"/>
  <c r="G201" i="111"/>
  <c r="G200" i="111"/>
  <c r="G199" i="111"/>
  <c r="G198" i="111"/>
  <c r="G197" i="111"/>
  <c r="G196" i="111"/>
  <c r="G195" i="111"/>
  <c r="G194" i="111"/>
  <c r="G193" i="111"/>
  <c r="G192" i="111"/>
  <c r="G191" i="111"/>
  <c r="G190" i="111"/>
  <c r="G189" i="111"/>
  <c r="G188" i="111"/>
  <c r="G187" i="111"/>
  <c r="G186" i="111"/>
  <c r="G185" i="111"/>
  <c r="G184" i="111"/>
  <c r="G183" i="111"/>
  <c r="G182" i="111"/>
  <c r="G181" i="111"/>
  <c r="G180" i="111"/>
  <c r="G179" i="111"/>
  <c r="G178" i="111"/>
  <c r="G177" i="111"/>
  <c r="G176" i="111"/>
  <c r="G175" i="111"/>
  <c r="G174" i="111"/>
  <c r="G173" i="111"/>
  <c r="G172" i="111"/>
  <c r="G171" i="111"/>
  <c r="G170" i="111"/>
  <c r="G169" i="111"/>
  <c r="G168" i="111"/>
  <c r="G167" i="111"/>
  <c r="G166" i="111"/>
  <c r="G165" i="111"/>
  <c r="G164" i="111"/>
  <c r="G163" i="111"/>
  <c r="G162" i="111"/>
  <c r="G161" i="111"/>
  <c r="G160" i="111"/>
  <c r="G159" i="111"/>
  <c r="G158" i="111"/>
  <c r="G157" i="111"/>
  <c r="G156" i="111"/>
  <c r="G155" i="111"/>
  <c r="G154" i="111"/>
  <c r="G153" i="111"/>
  <c r="G152" i="111"/>
  <c r="G151" i="111"/>
  <c r="G150" i="111"/>
  <c r="G149" i="111"/>
  <c r="G148" i="111"/>
  <c r="G147" i="111"/>
  <c r="G146" i="111"/>
  <c r="G145" i="111"/>
  <c r="G144" i="111"/>
  <c r="G143" i="111"/>
  <c r="G142" i="111"/>
  <c r="G141" i="111"/>
  <c r="G139" i="111"/>
  <c r="G138" i="111"/>
  <c r="G137" i="111"/>
  <c r="G136" i="111"/>
  <c r="G135" i="111"/>
  <c r="G134" i="111"/>
  <c r="G133" i="111"/>
  <c r="G132" i="111"/>
  <c r="G131" i="111"/>
  <c r="G130" i="111"/>
  <c r="G129" i="111"/>
  <c r="G128" i="111"/>
  <c r="G127" i="111"/>
  <c r="G126" i="111"/>
  <c r="G125" i="111"/>
  <c r="G124" i="111"/>
  <c r="G123" i="111"/>
  <c r="G122" i="111"/>
  <c r="G121" i="111"/>
  <c r="G120" i="111"/>
  <c r="G119" i="111"/>
  <c r="G118" i="111"/>
  <c r="G117" i="111"/>
  <c r="G116" i="111"/>
  <c r="G115" i="111"/>
  <c r="G114" i="111"/>
  <c r="G113" i="111"/>
  <c r="G112" i="111"/>
  <c r="G111" i="111"/>
  <c r="G110" i="111"/>
  <c r="G109" i="111"/>
  <c r="G108" i="111"/>
  <c r="G107" i="111"/>
  <c r="G106" i="111"/>
  <c r="G105" i="111"/>
  <c r="G104" i="111"/>
  <c r="G103" i="111"/>
  <c r="G102" i="111"/>
  <c r="G101" i="111"/>
  <c r="G100" i="111"/>
  <c r="G99" i="111"/>
  <c r="G98" i="111"/>
  <c r="G97" i="111"/>
  <c r="G96" i="111"/>
  <c r="G95" i="111"/>
  <c r="G94" i="111"/>
  <c r="G93" i="111"/>
  <c r="G92" i="111"/>
  <c r="G91" i="111"/>
  <c r="G90" i="111"/>
  <c r="G89" i="111"/>
  <c r="G88" i="111"/>
  <c r="G87" i="111"/>
  <c r="G86" i="111"/>
  <c r="G85" i="111"/>
  <c r="G84" i="111"/>
  <c r="G83" i="111"/>
  <c r="G82" i="111"/>
  <c r="G81" i="111"/>
  <c r="G80" i="111"/>
  <c r="G79" i="111"/>
  <c r="G78" i="111"/>
  <c r="G77" i="111"/>
  <c r="G76" i="111"/>
  <c r="G75" i="111"/>
  <c r="G74" i="111"/>
  <c r="G73" i="111"/>
  <c r="G72" i="111"/>
  <c r="G71" i="111"/>
  <c r="G70" i="111"/>
  <c r="G69" i="111"/>
  <c r="G68" i="111"/>
  <c r="G67" i="111"/>
  <c r="G66" i="111"/>
  <c r="G65" i="111"/>
  <c r="G64" i="111"/>
  <c r="G63" i="111"/>
  <c r="G62" i="111"/>
  <c r="G61" i="111"/>
  <c r="G60" i="111"/>
  <c r="G59" i="111"/>
  <c r="G58" i="111"/>
  <c r="G57" i="111"/>
  <c r="G56" i="111"/>
  <c r="G55" i="111"/>
  <c r="G54" i="111"/>
  <c r="G53" i="111"/>
  <c r="G52" i="111"/>
  <c r="G51" i="111"/>
  <c r="G50" i="111"/>
  <c r="G49" i="111"/>
  <c r="G48" i="111"/>
  <c r="G47" i="111"/>
  <c r="G46" i="111"/>
  <c r="G45" i="111"/>
  <c r="G44" i="111"/>
  <c r="G43" i="111"/>
  <c r="G41" i="111"/>
  <c r="G40" i="111"/>
  <c r="G39" i="111"/>
  <c r="G38" i="111"/>
  <c r="G37" i="111"/>
  <c r="G36" i="111"/>
  <c r="G35" i="111"/>
  <c r="G34" i="111"/>
  <c r="G33" i="111"/>
  <c r="G32" i="111"/>
  <c r="G31" i="111"/>
  <c r="G30" i="111"/>
  <c r="G29" i="111"/>
  <c r="G28" i="111"/>
  <c r="G27" i="111"/>
  <c r="G26" i="111"/>
  <c r="G25" i="111"/>
  <c r="G24" i="111"/>
  <c r="G23" i="111"/>
  <c r="G22" i="111"/>
  <c r="G21" i="111"/>
  <c r="G20" i="111"/>
  <c r="G19" i="111"/>
  <c r="G140" i="111"/>
  <c r="G42" i="111"/>
  <c r="G17" i="111" l="1"/>
  <c r="H249" i="102" l="1"/>
  <c r="C50" i="79" s="1"/>
  <c r="C58" i="79" s="1"/>
  <c r="D58" i="79" s="1"/>
  <c r="H248" i="102"/>
  <c r="C49" i="79" l="1"/>
  <c r="C57" i="79" s="1"/>
  <c r="F248" i="102"/>
  <c r="J38" i="107"/>
  <c r="J35" i="107"/>
  <c r="J31" i="107"/>
  <c r="K27" i="107" l="1"/>
  <c r="K20" i="107"/>
  <c r="K14" i="107"/>
  <c r="I32" i="102"/>
  <c r="C22" i="79" s="1"/>
  <c r="I31" i="102"/>
  <c r="C21" i="79" s="1"/>
  <c r="N16" i="103"/>
  <c r="E40" i="110" l="1"/>
  <c r="G114" i="110"/>
  <c r="G113" i="110"/>
  <c r="G112" i="110"/>
  <c r="G111" i="110"/>
  <c r="G110" i="110"/>
  <c r="G103" i="110" l="1"/>
  <c r="G84" i="110"/>
  <c r="G97" i="110" l="1"/>
  <c r="G98" i="110"/>
  <c r="G95" i="110"/>
  <c r="G86" i="110"/>
  <c r="G85" i="110"/>
  <c r="G94" i="110"/>
  <c r="G93" i="110"/>
  <c r="G92" i="110"/>
  <c r="G89" i="110"/>
  <c r="G90" i="110"/>
  <c r="G87" i="110"/>
  <c r="G91" i="110"/>
  <c r="G88" i="110"/>
  <c r="P20" i="103" l="1"/>
  <c r="P18" i="103"/>
  <c r="P24" i="103"/>
  <c r="P23" i="103"/>
  <c r="P19" i="103"/>
  <c r="P21" i="103"/>
  <c r="P22" i="103"/>
  <c r="P25" i="103"/>
  <c r="P26" i="103"/>
  <c r="P17" i="103"/>
  <c r="G20" i="70" l="1"/>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G57" i="70"/>
  <c r="G58" i="70"/>
  <c r="G59" i="70"/>
  <c r="G60" i="70"/>
  <c r="G61" i="70"/>
  <c r="G62" i="70"/>
  <c r="G63" i="70"/>
  <c r="G64" i="70"/>
  <c r="G65" i="70"/>
  <c r="G66" i="70"/>
  <c r="G67" i="70"/>
  <c r="G68" i="70"/>
  <c r="G69" i="70"/>
  <c r="G70" i="70"/>
  <c r="G71" i="70"/>
  <c r="G72" i="70"/>
  <c r="G73" i="70"/>
  <c r="G74" i="70"/>
  <c r="G75" i="70"/>
  <c r="G76" i="70"/>
  <c r="G77" i="70"/>
  <c r="G78" i="70"/>
  <c r="G79" i="70"/>
  <c r="G80" i="70"/>
  <c r="G81" i="70"/>
  <c r="G82" i="70"/>
  <c r="G83" i="70"/>
  <c r="G84" i="70"/>
  <c r="G85" i="70"/>
  <c r="G86" i="70"/>
  <c r="G87" i="70"/>
  <c r="G88" i="70"/>
  <c r="G89" i="70"/>
  <c r="G90" i="70"/>
  <c r="G91" i="70"/>
  <c r="G92" i="70"/>
  <c r="G93" i="70"/>
  <c r="G94" i="70"/>
  <c r="G95" i="70"/>
  <c r="G96" i="70"/>
  <c r="G97" i="70"/>
  <c r="G98" i="70"/>
  <c r="G99" i="70"/>
  <c r="G100" i="70"/>
  <c r="G101" i="70"/>
  <c r="G102" i="70"/>
  <c r="G103" i="70"/>
  <c r="G104" i="70"/>
  <c r="G105" i="70"/>
  <c r="G106" i="70"/>
  <c r="G107" i="70"/>
  <c r="G108" i="70"/>
  <c r="G109" i="70"/>
  <c r="G110" i="70"/>
  <c r="G111" i="70"/>
  <c r="G112" i="70"/>
  <c r="G113" i="70"/>
  <c r="G114" i="70"/>
  <c r="G115" i="70"/>
  <c r="G116" i="70"/>
  <c r="G117" i="70"/>
  <c r="G118" i="70"/>
  <c r="G119" i="70"/>
  <c r="G120" i="70"/>
  <c r="G121" i="70"/>
  <c r="G122" i="70"/>
  <c r="G123" i="70"/>
  <c r="G124" i="70"/>
  <c r="G125" i="70"/>
  <c r="G126" i="70"/>
  <c r="G127" i="70"/>
  <c r="G128" i="70"/>
  <c r="G129" i="70"/>
  <c r="G130" i="70"/>
  <c r="G131" i="70"/>
  <c r="G132" i="70"/>
  <c r="G133" i="70"/>
  <c r="G134" i="70"/>
  <c r="G135" i="70"/>
  <c r="G136" i="70"/>
  <c r="G137" i="70"/>
  <c r="G138" i="70"/>
  <c r="G139" i="70"/>
  <c r="G140" i="70"/>
  <c r="G141" i="70"/>
  <c r="G142" i="70"/>
  <c r="G143" i="70"/>
  <c r="G144" i="70"/>
  <c r="G145" i="70"/>
  <c r="G146" i="70"/>
  <c r="G147" i="70"/>
  <c r="G148" i="70"/>
  <c r="G149" i="70"/>
  <c r="G150" i="70"/>
  <c r="G151" i="70"/>
  <c r="G152" i="70"/>
  <c r="G153" i="70"/>
  <c r="G154" i="70"/>
  <c r="G155" i="70"/>
  <c r="G156" i="70"/>
  <c r="G157" i="70"/>
  <c r="G158" i="70"/>
  <c r="G159" i="70"/>
  <c r="G160" i="70"/>
  <c r="G161" i="70"/>
  <c r="G162" i="70"/>
  <c r="G163" i="70"/>
  <c r="G164" i="70"/>
  <c r="G165" i="70"/>
  <c r="G166" i="70"/>
  <c r="G167" i="70"/>
  <c r="G168" i="70"/>
  <c r="G169" i="70"/>
  <c r="G170" i="70"/>
  <c r="G171" i="70"/>
  <c r="G172" i="70"/>
  <c r="G173" i="70"/>
  <c r="G174" i="70"/>
  <c r="G175" i="70"/>
  <c r="G176" i="70"/>
  <c r="G177" i="70"/>
  <c r="G178" i="70"/>
  <c r="G179" i="70"/>
  <c r="G180" i="70"/>
  <c r="G181" i="70"/>
  <c r="G182" i="70"/>
  <c r="G183" i="70"/>
  <c r="G184" i="70"/>
  <c r="G185" i="70"/>
  <c r="G186" i="70"/>
  <c r="G187" i="70"/>
  <c r="G188" i="70"/>
  <c r="G189" i="70"/>
  <c r="G190" i="70"/>
  <c r="G191" i="70"/>
  <c r="G192" i="70"/>
  <c r="G193" i="70"/>
  <c r="G194" i="70"/>
  <c r="G195" i="70"/>
  <c r="G196" i="70"/>
  <c r="G197" i="70"/>
  <c r="G198" i="70"/>
  <c r="G199" i="70"/>
  <c r="G200" i="70"/>
  <c r="G201" i="70"/>
  <c r="G202" i="70"/>
  <c r="G203" i="70"/>
  <c r="G204" i="70"/>
  <c r="G205" i="70"/>
  <c r="G206" i="70"/>
  <c r="G207" i="70"/>
  <c r="G208" i="70"/>
  <c r="G209" i="70"/>
  <c r="G210" i="70"/>
  <c r="G211" i="70"/>
  <c r="G212" i="70"/>
  <c r="G213" i="70"/>
  <c r="G214" i="70"/>
  <c r="G215" i="70"/>
  <c r="G216" i="70"/>
  <c r="G217" i="70"/>
  <c r="G218" i="70"/>
  <c r="G219" i="70"/>
  <c r="G220" i="70"/>
  <c r="G221" i="70"/>
  <c r="G222" i="70"/>
  <c r="G223" i="70"/>
  <c r="G224" i="70"/>
  <c r="G225" i="70"/>
  <c r="G226" i="70"/>
  <c r="G227" i="70"/>
  <c r="G228" i="70"/>
  <c r="G229" i="70"/>
  <c r="G230" i="70"/>
  <c r="G231" i="70"/>
  <c r="G232" i="70"/>
  <c r="G233" i="70"/>
  <c r="G234" i="70"/>
  <c r="G235" i="70"/>
  <c r="G236" i="70"/>
  <c r="G237" i="70"/>
  <c r="G238" i="70"/>
  <c r="G239" i="70"/>
  <c r="G240" i="70"/>
  <c r="G241" i="70"/>
  <c r="G242" i="70"/>
  <c r="G243" i="70"/>
  <c r="G244" i="70"/>
  <c r="G245" i="70"/>
  <c r="G246" i="70"/>
  <c r="G247" i="70"/>
  <c r="G248" i="70"/>
  <c r="G249" i="70"/>
  <c r="G250" i="70"/>
  <c r="G251" i="70"/>
  <c r="G252" i="70"/>
  <c r="G253" i="70"/>
  <c r="G254" i="70"/>
  <c r="G255" i="70"/>
  <c r="G256" i="70"/>
  <c r="G257" i="70"/>
  <c r="G258" i="70"/>
  <c r="G259" i="70"/>
  <c r="G260" i="70"/>
  <c r="G261" i="70"/>
  <c r="G262" i="70"/>
  <c r="G263" i="70"/>
  <c r="G264" i="70"/>
  <c r="G265" i="70"/>
  <c r="G266" i="70"/>
  <c r="G267" i="70"/>
  <c r="G268" i="70"/>
  <c r="G269" i="70"/>
  <c r="G270"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370" i="70"/>
  <c r="G371" i="70"/>
  <c r="G372" i="70"/>
  <c r="G373" i="70"/>
  <c r="G374" i="70"/>
  <c r="G375" i="70"/>
  <c r="G376" i="70"/>
  <c r="G377" i="70"/>
  <c r="G378" i="70"/>
  <c r="G379" i="70"/>
  <c r="G380" i="70"/>
  <c r="G381" i="70"/>
  <c r="G382" i="70"/>
  <c r="G383" i="70"/>
  <c r="G384" i="70"/>
  <c r="G385" i="70"/>
  <c r="G386" i="70"/>
  <c r="G387" i="70"/>
  <c r="G388" i="70"/>
  <c r="G389" i="70"/>
  <c r="G390" i="70"/>
  <c r="G391" i="70"/>
  <c r="G392" i="70"/>
  <c r="G393" i="70"/>
  <c r="G394" i="70"/>
  <c r="G395" i="70"/>
  <c r="G396" i="70"/>
  <c r="G397" i="70"/>
  <c r="G398" i="70"/>
  <c r="G399" i="70"/>
  <c r="G400" i="70"/>
  <c r="G401" i="70"/>
  <c r="G402" i="70"/>
  <c r="G403" i="70"/>
  <c r="G404" i="70"/>
  <c r="G405" i="70"/>
  <c r="G406" i="70"/>
  <c r="G407" i="70"/>
  <c r="G408" i="70"/>
  <c r="G409" i="70"/>
  <c r="G410" i="70"/>
  <c r="G411" i="70"/>
  <c r="E33" i="104" l="1"/>
  <c r="E35" i="104"/>
  <c r="E37" i="104"/>
  <c r="B25" i="104"/>
  <c r="M14" i="104" s="1"/>
  <c r="B26" i="104"/>
  <c r="M15" i="104" s="1"/>
  <c r="B27" i="104"/>
  <c r="M16" i="104" s="1"/>
  <c r="B28" i="104"/>
  <c r="M17" i="104" s="1"/>
  <c r="B29" i="104"/>
  <c r="M18" i="104" s="1"/>
  <c r="B30" i="104"/>
  <c r="M19" i="104" s="1"/>
  <c r="B31" i="104"/>
  <c r="M20" i="104" s="1"/>
  <c r="B32" i="104"/>
  <c r="M21" i="104" s="1"/>
  <c r="B33" i="104"/>
  <c r="B34" i="104"/>
  <c r="M22" i="104" s="1"/>
  <c r="B35" i="104"/>
  <c r="B36" i="104"/>
  <c r="M23" i="104" s="1"/>
  <c r="B37" i="104"/>
  <c r="B38" i="104"/>
  <c r="M24" i="104" s="1"/>
  <c r="B24" i="104"/>
  <c r="M13" i="104" s="1"/>
  <c r="D1" i="108" l="1"/>
  <c r="I38" i="107"/>
  <c r="G38" i="107"/>
  <c r="I35" i="107"/>
  <c r="G35" i="107"/>
  <c r="I31" i="107"/>
  <c r="G31" i="107"/>
  <c r="H26" i="107"/>
  <c r="I26" i="107" s="1"/>
  <c r="H25" i="107"/>
  <c r="H24" i="107"/>
  <c r="I24" i="107" s="1"/>
  <c r="H19" i="107"/>
  <c r="I19" i="107" s="1"/>
  <c r="H18" i="107"/>
  <c r="I18" i="107" s="1"/>
  <c r="H17" i="107"/>
  <c r="H13" i="107"/>
  <c r="I13" i="107" s="1"/>
  <c r="H12" i="107"/>
  <c r="I12" i="107" s="1"/>
  <c r="H11" i="107"/>
  <c r="L14" i="107"/>
  <c r="B2" i="107"/>
  <c r="A2" i="107"/>
  <c r="D1" i="107"/>
  <c r="D1" i="106"/>
  <c r="P654" i="105"/>
  <c r="N654" i="105" s="1"/>
  <c r="P653" i="105"/>
  <c r="N653" i="105" s="1"/>
  <c r="P652" i="105"/>
  <c r="N652" i="105" s="1"/>
  <c r="P651" i="105"/>
  <c r="N651" i="105" s="1"/>
  <c r="P650" i="105"/>
  <c r="N650" i="105" s="1"/>
  <c r="P649" i="105"/>
  <c r="N649" i="105" s="1"/>
  <c r="P648" i="105"/>
  <c r="N648" i="105" s="1"/>
  <c r="P647" i="105"/>
  <c r="N647" i="105" s="1"/>
  <c r="P646" i="105"/>
  <c r="N646" i="105" s="1"/>
  <c r="P645" i="105"/>
  <c r="N645" i="105" s="1"/>
  <c r="P644" i="105"/>
  <c r="N644" i="105" s="1"/>
  <c r="P643" i="105"/>
  <c r="N643" i="105" s="1"/>
  <c r="P642" i="105"/>
  <c r="N642" i="105" s="1"/>
  <c r="P641" i="105"/>
  <c r="N641" i="105" s="1"/>
  <c r="P640" i="105"/>
  <c r="N640" i="105" s="1"/>
  <c r="P639" i="105"/>
  <c r="N639" i="105" s="1"/>
  <c r="P638" i="105"/>
  <c r="N638" i="105" s="1"/>
  <c r="P637" i="105"/>
  <c r="N637" i="105" s="1"/>
  <c r="P636" i="105"/>
  <c r="N636" i="105" s="1"/>
  <c r="P635" i="105"/>
  <c r="N635" i="105" s="1"/>
  <c r="P634" i="105"/>
  <c r="N634" i="105" s="1"/>
  <c r="P633" i="105"/>
  <c r="N633" i="105" s="1"/>
  <c r="P632" i="105"/>
  <c r="N632" i="105" s="1"/>
  <c r="P631" i="105"/>
  <c r="N631" i="105" s="1"/>
  <c r="P630" i="105"/>
  <c r="N630" i="105" s="1"/>
  <c r="P629" i="105"/>
  <c r="N629" i="105" s="1"/>
  <c r="P628" i="105"/>
  <c r="N628" i="105" s="1"/>
  <c r="P627" i="105"/>
  <c r="N627" i="105" s="1"/>
  <c r="P626" i="105"/>
  <c r="N626" i="105" s="1"/>
  <c r="P625" i="105"/>
  <c r="N625" i="105" s="1"/>
  <c r="P624" i="105"/>
  <c r="N624" i="105" s="1"/>
  <c r="P623" i="105"/>
  <c r="N623" i="105" s="1"/>
  <c r="P622" i="105"/>
  <c r="N622" i="105" s="1"/>
  <c r="P621" i="105"/>
  <c r="N621" i="105" s="1"/>
  <c r="P620" i="105"/>
  <c r="N620" i="105" s="1"/>
  <c r="P619" i="105"/>
  <c r="N619" i="105" s="1"/>
  <c r="P618" i="105"/>
  <c r="N618" i="105" s="1"/>
  <c r="P617" i="105"/>
  <c r="N617" i="105" s="1"/>
  <c r="P616" i="105"/>
  <c r="N616" i="105" s="1"/>
  <c r="P615" i="105"/>
  <c r="N615" i="105" s="1"/>
  <c r="P614" i="105"/>
  <c r="N614" i="105" s="1"/>
  <c r="P613" i="105"/>
  <c r="N613" i="105" s="1"/>
  <c r="P612" i="105"/>
  <c r="N612" i="105" s="1"/>
  <c r="P611" i="105"/>
  <c r="N611" i="105" s="1"/>
  <c r="P610" i="105"/>
  <c r="N610" i="105" s="1"/>
  <c r="P609" i="105"/>
  <c r="N609" i="105" s="1"/>
  <c r="P608" i="105"/>
  <c r="N608" i="105" s="1"/>
  <c r="P607" i="105"/>
  <c r="N607" i="105" s="1"/>
  <c r="P606" i="105"/>
  <c r="N606" i="105" s="1"/>
  <c r="P605" i="105"/>
  <c r="N605" i="105" s="1"/>
  <c r="P604" i="105"/>
  <c r="N604" i="105" s="1"/>
  <c r="P603" i="105"/>
  <c r="N603" i="105" s="1"/>
  <c r="P602" i="105"/>
  <c r="N602" i="105" s="1"/>
  <c r="P601" i="105"/>
  <c r="N601" i="105" s="1"/>
  <c r="P600" i="105"/>
  <c r="N600" i="105" s="1"/>
  <c r="P599" i="105"/>
  <c r="N599" i="105" s="1"/>
  <c r="P598" i="105"/>
  <c r="N598" i="105" s="1"/>
  <c r="P597" i="105"/>
  <c r="N597" i="105" s="1"/>
  <c r="P596" i="105"/>
  <c r="N596" i="105" s="1"/>
  <c r="P595" i="105"/>
  <c r="N595" i="105" s="1"/>
  <c r="P594" i="105"/>
  <c r="N594" i="105" s="1"/>
  <c r="P593" i="105"/>
  <c r="N593" i="105" s="1"/>
  <c r="P592" i="105"/>
  <c r="N592" i="105" s="1"/>
  <c r="P591" i="105"/>
  <c r="N591" i="105" s="1"/>
  <c r="P590" i="105"/>
  <c r="N590" i="105" s="1"/>
  <c r="P589" i="105"/>
  <c r="N589" i="105" s="1"/>
  <c r="P588" i="105"/>
  <c r="N588" i="105" s="1"/>
  <c r="P587" i="105"/>
  <c r="N587" i="105" s="1"/>
  <c r="P586" i="105"/>
  <c r="N586" i="105" s="1"/>
  <c r="P585" i="105"/>
  <c r="N585" i="105" s="1"/>
  <c r="P584" i="105"/>
  <c r="N584" i="105" s="1"/>
  <c r="P583" i="105"/>
  <c r="N583" i="105" s="1"/>
  <c r="P582" i="105"/>
  <c r="N582" i="105" s="1"/>
  <c r="P581" i="105"/>
  <c r="N581" i="105" s="1"/>
  <c r="P580" i="105"/>
  <c r="N580" i="105" s="1"/>
  <c r="P579" i="105"/>
  <c r="N579" i="105" s="1"/>
  <c r="P578" i="105"/>
  <c r="N578" i="105" s="1"/>
  <c r="P577" i="105"/>
  <c r="N577" i="105" s="1"/>
  <c r="P576" i="105"/>
  <c r="N576" i="105" s="1"/>
  <c r="P575" i="105"/>
  <c r="N575" i="105" s="1"/>
  <c r="P574" i="105"/>
  <c r="N574" i="105" s="1"/>
  <c r="P573" i="105"/>
  <c r="N573" i="105" s="1"/>
  <c r="P572" i="105"/>
  <c r="N572" i="105" s="1"/>
  <c r="P571" i="105"/>
  <c r="N571" i="105" s="1"/>
  <c r="P570" i="105"/>
  <c r="N570" i="105" s="1"/>
  <c r="P569" i="105"/>
  <c r="N569" i="105" s="1"/>
  <c r="P568" i="105"/>
  <c r="N568" i="105" s="1"/>
  <c r="P567" i="105"/>
  <c r="N567" i="105" s="1"/>
  <c r="P566" i="105"/>
  <c r="N566" i="105" s="1"/>
  <c r="P565" i="105"/>
  <c r="N565" i="105" s="1"/>
  <c r="P564" i="105"/>
  <c r="N564" i="105" s="1"/>
  <c r="P563" i="105"/>
  <c r="N563" i="105" s="1"/>
  <c r="P562" i="105"/>
  <c r="N562" i="105" s="1"/>
  <c r="P561" i="105"/>
  <c r="N561" i="105" s="1"/>
  <c r="P560" i="105"/>
  <c r="N560" i="105" s="1"/>
  <c r="P559" i="105"/>
  <c r="N559" i="105" s="1"/>
  <c r="P558" i="105"/>
  <c r="N558" i="105" s="1"/>
  <c r="P557" i="105"/>
  <c r="N557" i="105" s="1"/>
  <c r="P556" i="105"/>
  <c r="N556" i="105" s="1"/>
  <c r="P555" i="105"/>
  <c r="N555" i="105" s="1"/>
  <c r="P554" i="105"/>
  <c r="N554" i="105" s="1"/>
  <c r="P553" i="105"/>
  <c r="N553" i="105" s="1"/>
  <c r="P552" i="105"/>
  <c r="N552" i="105" s="1"/>
  <c r="P551" i="105"/>
  <c r="N551" i="105" s="1"/>
  <c r="P550" i="105"/>
  <c r="N550" i="105" s="1"/>
  <c r="P549" i="105"/>
  <c r="N549" i="105" s="1"/>
  <c r="P548" i="105"/>
  <c r="N548" i="105" s="1"/>
  <c r="P547" i="105"/>
  <c r="N547" i="105" s="1"/>
  <c r="P546" i="105"/>
  <c r="N546" i="105" s="1"/>
  <c r="P545" i="105"/>
  <c r="N545" i="105" s="1"/>
  <c r="P544" i="105"/>
  <c r="N544" i="105" s="1"/>
  <c r="P543" i="105"/>
  <c r="N543" i="105" s="1"/>
  <c r="P542" i="105"/>
  <c r="N542" i="105" s="1"/>
  <c r="P541" i="105"/>
  <c r="N541" i="105" s="1"/>
  <c r="P540" i="105"/>
  <c r="N540" i="105" s="1"/>
  <c r="P539" i="105"/>
  <c r="N539" i="105" s="1"/>
  <c r="P538" i="105"/>
  <c r="N538" i="105" s="1"/>
  <c r="P537" i="105"/>
  <c r="N537" i="105" s="1"/>
  <c r="P536" i="105"/>
  <c r="N536" i="105" s="1"/>
  <c r="P535" i="105"/>
  <c r="N535" i="105" s="1"/>
  <c r="P534" i="105"/>
  <c r="N534" i="105" s="1"/>
  <c r="P533" i="105"/>
  <c r="N533" i="105" s="1"/>
  <c r="P532" i="105"/>
  <c r="N532" i="105" s="1"/>
  <c r="P531" i="105"/>
  <c r="N531" i="105" s="1"/>
  <c r="P530" i="105"/>
  <c r="N530" i="105" s="1"/>
  <c r="P529" i="105"/>
  <c r="N529" i="105" s="1"/>
  <c r="P528" i="105"/>
  <c r="N528" i="105" s="1"/>
  <c r="P527" i="105"/>
  <c r="N527" i="105" s="1"/>
  <c r="P526" i="105"/>
  <c r="N526" i="105" s="1"/>
  <c r="P525" i="105"/>
  <c r="N525" i="105" s="1"/>
  <c r="P524" i="105"/>
  <c r="N524" i="105" s="1"/>
  <c r="P523" i="105"/>
  <c r="N523" i="105" s="1"/>
  <c r="P522" i="105"/>
  <c r="N522" i="105" s="1"/>
  <c r="P521" i="105"/>
  <c r="N521" i="105" s="1"/>
  <c r="P520" i="105"/>
  <c r="N520" i="105" s="1"/>
  <c r="P519" i="105"/>
  <c r="N519" i="105" s="1"/>
  <c r="P518" i="105"/>
  <c r="N518" i="105" s="1"/>
  <c r="P517" i="105"/>
  <c r="N517" i="105" s="1"/>
  <c r="P516" i="105"/>
  <c r="N516" i="105" s="1"/>
  <c r="P515" i="105"/>
  <c r="N515" i="105" s="1"/>
  <c r="P514" i="105"/>
  <c r="N514" i="105" s="1"/>
  <c r="P513" i="105"/>
  <c r="N513" i="105" s="1"/>
  <c r="P512" i="105"/>
  <c r="N512" i="105" s="1"/>
  <c r="P511" i="105"/>
  <c r="N511" i="105" s="1"/>
  <c r="P510" i="105"/>
  <c r="N510" i="105" s="1"/>
  <c r="P509" i="105"/>
  <c r="N509" i="105" s="1"/>
  <c r="P508" i="105"/>
  <c r="N508" i="105" s="1"/>
  <c r="P507" i="105"/>
  <c r="N507" i="105" s="1"/>
  <c r="P506" i="105"/>
  <c r="N506" i="105" s="1"/>
  <c r="P505" i="105"/>
  <c r="N505" i="105" s="1"/>
  <c r="P504" i="105"/>
  <c r="N504" i="105" s="1"/>
  <c r="P503" i="105"/>
  <c r="N503" i="105" s="1"/>
  <c r="P502" i="105"/>
  <c r="N502" i="105" s="1"/>
  <c r="P501" i="105"/>
  <c r="N501" i="105" s="1"/>
  <c r="P500" i="105"/>
  <c r="N500" i="105" s="1"/>
  <c r="P499" i="105"/>
  <c r="N499" i="105" s="1"/>
  <c r="P498" i="105"/>
  <c r="N498" i="105" s="1"/>
  <c r="P497" i="105"/>
  <c r="N497" i="105" s="1"/>
  <c r="P496" i="105"/>
  <c r="N496" i="105" s="1"/>
  <c r="P495" i="105"/>
  <c r="N495" i="105" s="1"/>
  <c r="P494" i="105"/>
  <c r="N494" i="105" s="1"/>
  <c r="P493" i="105"/>
  <c r="N493" i="105" s="1"/>
  <c r="P492" i="105"/>
  <c r="N492" i="105" s="1"/>
  <c r="P491" i="105"/>
  <c r="N491" i="105" s="1"/>
  <c r="P490" i="105"/>
  <c r="N490" i="105" s="1"/>
  <c r="P489" i="105"/>
  <c r="N489" i="105" s="1"/>
  <c r="P488" i="105"/>
  <c r="N488" i="105" s="1"/>
  <c r="P487" i="105"/>
  <c r="N487" i="105" s="1"/>
  <c r="P486" i="105"/>
  <c r="N486" i="105" s="1"/>
  <c r="P485" i="105"/>
  <c r="N485" i="105" s="1"/>
  <c r="P484" i="105"/>
  <c r="N484" i="105" s="1"/>
  <c r="P483" i="105"/>
  <c r="N483" i="105" s="1"/>
  <c r="P482" i="105"/>
  <c r="N482" i="105" s="1"/>
  <c r="P481" i="105"/>
  <c r="N481" i="105" s="1"/>
  <c r="P480" i="105"/>
  <c r="N480" i="105" s="1"/>
  <c r="P479" i="105"/>
  <c r="N479" i="105" s="1"/>
  <c r="P478" i="105"/>
  <c r="N478" i="105" s="1"/>
  <c r="P477" i="105"/>
  <c r="N477" i="105" s="1"/>
  <c r="P476" i="105"/>
  <c r="N476" i="105" s="1"/>
  <c r="P475" i="105"/>
  <c r="N475" i="105" s="1"/>
  <c r="P474" i="105"/>
  <c r="N474" i="105" s="1"/>
  <c r="P473" i="105"/>
  <c r="N473" i="105" s="1"/>
  <c r="P472" i="105"/>
  <c r="N472" i="105" s="1"/>
  <c r="P471" i="105"/>
  <c r="N471" i="105" s="1"/>
  <c r="P470" i="105"/>
  <c r="N470" i="105" s="1"/>
  <c r="P469" i="105"/>
  <c r="N469" i="105" s="1"/>
  <c r="P468" i="105"/>
  <c r="N468" i="105" s="1"/>
  <c r="P467" i="105"/>
  <c r="N467" i="105" s="1"/>
  <c r="P466" i="105"/>
  <c r="N466" i="105" s="1"/>
  <c r="P465" i="105"/>
  <c r="N465" i="105" s="1"/>
  <c r="P464" i="105"/>
  <c r="N464" i="105" s="1"/>
  <c r="P463" i="105"/>
  <c r="N463" i="105" s="1"/>
  <c r="P462" i="105"/>
  <c r="N462" i="105" s="1"/>
  <c r="P461" i="105"/>
  <c r="N461" i="105" s="1"/>
  <c r="P460" i="105"/>
  <c r="N460" i="105" s="1"/>
  <c r="P459" i="105"/>
  <c r="N459" i="105" s="1"/>
  <c r="P458" i="105"/>
  <c r="N458" i="105" s="1"/>
  <c r="P457" i="105"/>
  <c r="N457" i="105" s="1"/>
  <c r="P456" i="105"/>
  <c r="N456" i="105" s="1"/>
  <c r="P455" i="105"/>
  <c r="N455" i="105" s="1"/>
  <c r="P454" i="105"/>
  <c r="N454" i="105" s="1"/>
  <c r="P453" i="105"/>
  <c r="N453" i="105" s="1"/>
  <c r="P452" i="105"/>
  <c r="N452" i="105" s="1"/>
  <c r="P451" i="105"/>
  <c r="N451" i="105" s="1"/>
  <c r="P450" i="105"/>
  <c r="N450" i="105" s="1"/>
  <c r="P449" i="105"/>
  <c r="N449" i="105" s="1"/>
  <c r="P448" i="105"/>
  <c r="N448" i="105" s="1"/>
  <c r="P447" i="105"/>
  <c r="N447" i="105" s="1"/>
  <c r="P446" i="105"/>
  <c r="N446" i="105" s="1"/>
  <c r="P445" i="105"/>
  <c r="N445" i="105" s="1"/>
  <c r="P444" i="105"/>
  <c r="N444" i="105" s="1"/>
  <c r="P443" i="105"/>
  <c r="N443" i="105" s="1"/>
  <c r="P442" i="105"/>
  <c r="N442" i="105" s="1"/>
  <c r="P441" i="105"/>
  <c r="N441" i="105" s="1"/>
  <c r="P440" i="105"/>
  <c r="N440" i="105" s="1"/>
  <c r="P439" i="105"/>
  <c r="N439" i="105" s="1"/>
  <c r="P438" i="105"/>
  <c r="N438" i="105" s="1"/>
  <c r="P437" i="105"/>
  <c r="N437" i="105" s="1"/>
  <c r="P436" i="105"/>
  <c r="N436" i="105" s="1"/>
  <c r="P435" i="105"/>
  <c r="N435" i="105" s="1"/>
  <c r="P434" i="105"/>
  <c r="N434" i="105" s="1"/>
  <c r="P433" i="105"/>
  <c r="N433" i="105" s="1"/>
  <c r="P432" i="105"/>
  <c r="N432" i="105" s="1"/>
  <c r="P431" i="105"/>
  <c r="N431" i="105" s="1"/>
  <c r="P430" i="105"/>
  <c r="N430" i="105" s="1"/>
  <c r="P429" i="105"/>
  <c r="N429" i="105" s="1"/>
  <c r="P428" i="105"/>
  <c r="N428" i="105" s="1"/>
  <c r="P427" i="105"/>
  <c r="N427" i="105" s="1"/>
  <c r="P426" i="105"/>
  <c r="N426" i="105" s="1"/>
  <c r="P425" i="105"/>
  <c r="N425" i="105" s="1"/>
  <c r="P424" i="105"/>
  <c r="N424" i="105" s="1"/>
  <c r="P423" i="105"/>
  <c r="N423" i="105" s="1"/>
  <c r="P422" i="105"/>
  <c r="N422" i="105" s="1"/>
  <c r="P421" i="105"/>
  <c r="N421" i="105" s="1"/>
  <c r="P420" i="105"/>
  <c r="N420" i="105" s="1"/>
  <c r="P419" i="105"/>
  <c r="N419" i="105" s="1"/>
  <c r="P418" i="105"/>
  <c r="N418" i="105" s="1"/>
  <c r="P417" i="105"/>
  <c r="N417" i="105" s="1"/>
  <c r="P416" i="105"/>
  <c r="N416" i="105" s="1"/>
  <c r="P415" i="105"/>
  <c r="N415" i="105" s="1"/>
  <c r="P414" i="105"/>
  <c r="N414" i="105" s="1"/>
  <c r="P413" i="105"/>
  <c r="N413" i="105" s="1"/>
  <c r="P412" i="105"/>
  <c r="N412" i="105" s="1"/>
  <c r="P411" i="105"/>
  <c r="N411" i="105" s="1"/>
  <c r="P410" i="105"/>
  <c r="N410" i="105" s="1"/>
  <c r="P409" i="105"/>
  <c r="N409" i="105" s="1"/>
  <c r="P408" i="105"/>
  <c r="N408" i="105" s="1"/>
  <c r="P407" i="105"/>
  <c r="N407" i="105" s="1"/>
  <c r="P406" i="105"/>
  <c r="N406" i="105" s="1"/>
  <c r="P405" i="105"/>
  <c r="N405" i="105" s="1"/>
  <c r="P404" i="105"/>
  <c r="N404" i="105" s="1"/>
  <c r="P403" i="105"/>
  <c r="N403" i="105" s="1"/>
  <c r="P402" i="105"/>
  <c r="N402" i="105" s="1"/>
  <c r="P401" i="105"/>
  <c r="N401" i="105" s="1"/>
  <c r="P400" i="105"/>
  <c r="N400" i="105" s="1"/>
  <c r="P399" i="105"/>
  <c r="N399" i="105" s="1"/>
  <c r="P398" i="105"/>
  <c r="N398" i="105" s="1"/>
  <c r="P397" i="105"/>
  <c r="N397" i="105" s="1"/>
  <c r="P396" i="105"/>
  <c r="N396" i="105" s="1"/>
  <c r="P395" i="105"/>
  <c r="N395" i="105" s="1"/>
  <c r="P394" i="105"/>
  <c r="N394" i="105" s="1"/>
  <c r="P393" i="105"/>
  <c r="N393" i="105" s="1"/>
  <c r="P392" i="105"/>
  <c r="N392" i="105" s="1"/>
  <c r="P391" i="105"/>
  <c r="N391" i="105" s="1"/>
  <c r="P390" i="105"/>
  <c r="N390" i="105" s="1"/>
  <c r="P389" i="105"/>
  <c r="N389" i="105" s="1"/>
  <c r="P388" i="105"/>
  <c r="N388" i="105" s="1"/>
  <c r="P387" i="105"/>
  <c r="N387" i="105" s="1"/>
  <c r="P386" i="105"/>
  <c r="N386" i="105" s="1"/>
  <c r="P385" i="105"/>
  <c r="N385" i="105" s="1"/>
  <c r="P384" i="105"/>
  <c r="N384" i="105" s="1"/>
  <c r="P383" i="105"/>
  <c r="N383" i="105" s="1"/>
  <c r="P382" i="105"/>
  <c r="N382" i="105" s="1"/>
  <c r="P381" i="105"/>
  <c r="N381" i="105" s="1"/>
  <c r="P380" i="105"/>
  <c r="N380" i="105" s="1"/>
  <c r="P379" i="105"/>
  <c r="N379" i="105" s="1"/>
  <c r="P378" i="105"/>
  <c r="N378" i="105" s="1"/>
  <c r="P377" i="105"/>
  <c r="N377" i="105" s="1"/>
  <c r="P376" i="105"/>
  <c r="N376" i="105" s="1"/>
  <c r="P375" i="105"/>
  <c r="N375" i="105" s="1"/>
  <c r="P374" i="105"/>
  <c r="N374" i="105" s="1"/>
  <c r="P373" i="105"/>
  <c r="N373" i="105" s="1"/>
  <c r="P372" i="105"/>
  <c r="N372" i="105" s="1"/>
  <c r="P371" i="105"/>
  <c r="N371" i="105" s="1"/>
  <c r="P370" i="105"/>
  <c r="N370" i="105" s="1"/>
  <c r="P369" i="105"/>
  <c r="N369" i="105" s="1"/>
  <c r="P368" i="105"/>
  <c r="N368" i="105" s="1"/>
  <c r="P367" i="105"/>
  <c r="N367" i="105" s="1"/>
  <c r="P366" i="105"/>
  <c r="N366" i="105" s="1"/>
  <c r="P365" i="105"/>
  <c r="N365" i="105" s="1"/>
  <c r="P364" i="105"/>
  <c r="N364" i="105" s="1"/>
  <c r="P363" i="105"/>
  <c r="N363" i="105" s="1"/>
  <c r="P362" i="105"/>
  <c r="N362" i="105" s="1"/>
  <c r="P361" i="105"/>
  <c r="N361" i="105" s="1"/>
  <c r="P360" i="105"/>
  <c r="N360" i="105" s="1"/>
  <c r="P359" i="105"/>
  <c r="N359" i="105" s="1"/>
  <c r="P358" i="105"/>
  <c r="N358" i="105" s="1"/>
  <c r="P357" i="105"/>
  <c r="N357" i="105" s="1"/>
  <c r="P356" i="105"/>
  <c r="N356" i="105" s="1"/>
  <c r="P355" i="105"/>
  <c r="N355" i="105" s="1"/>
  <c r="P354" i="105"/>
  <c r="N354" i="105" s="1"/>
  <c r="P353" i="105"/>
  <c r="N353" i="105" s="1"/>
  <c r="P352" i="105"/>
  <c r="N352" i="105" s="1"/>
  <c r="P351" i="105"/>
  <c r="N351" i="105" s="1"/>
  <c r="P350" i="105"/>
  <c r="N350" i="105" s="1"/>
  <c r="P349" i="105"/>
  <c r="N349" i="105" s="1"/>
  <c r="P348" i="105"/>
  <c r="N348" i="105" s="1"/>
  <c r="P347" i="105"/>
  <c r="N347" i="105" s="1"/>
  <c r="P346" i="105"/>
  <c r="N346" i="105" s="1"/>
  <c r="P345" i="105"/>
  <c r="N345" i="105" s="1"/>
  <c r="P344" i="105"/>
  <c r="N344" i="105" s="1"/>
  <c r="P343" i="105"/>
  <c r="N343" i="105" s="1"/>
  <c r="P342" i="105"/>
  <c r="N342" i="105" s="1"/>
  <c r="P341" i="105"/>
  <c r="N341" i="105" s="1"/>
  <c r="P340" i="105"/>
  <c r="N340" i="105" s="1"/>
  <c r="P339" i="105"/>
  <c r="N339" i="105" s="1"/>
  <c r="P338" i="105"/>
  <c r="N338" i="105" s="1"/>
  <c r="P337" i="105"/>
  <c r="N337" i="105" s="1"/>
  <c r="P336" i="105"/>
  <c r="N336" i="105" s="1"/>
  <c r="P335" i="105"/>
  <c r="N335" i="105" s="1"/>
  <c r="P334" i="105"/>
  <c r="N334" i="105" s="1"/>
  <c r="P333" i="105"/>
  <c r="N333" i="105" s="1"/>
  <c r="P332" i="105"/>
  <c r="N332" i="105" s="1"/>
  <c r="P331" i="105"/>
  <c r="N331" i="105" s="1"/>
  <c r="P330" i="105"/>
  <c r="N330" i="105" s="1"/>
  <c r="P329" i="105"/>
  <c r="N329" i="105" s="1"/>
  <c r="P328" i="105"/>
  <c r="N328" i="105" s="1"/>
  <c r="P327" i="105"/>
  <c r="N327" i="105" s="1"/>
  <c r="P326" i="105"/>
  <c r="N326" i="105" s="1"/>
  <c r="P325" i="105"/>
  <c r="N325" i="105" s="1"/>
  <c r="P324" i="105"/>
  <c r="N324" i="105" s="1"/>
  <c r="P323" i="105"/>
  <c r="N323" i="105" s="1"/>
  <c r="P322" i="105"/>
  <c r="N322" i="105" s="1"/>
  <c r="P321" i="105"/>
  <c r="N321" i="105" s="1"/>
  <c r="P320" i="105"/>
  <c r="N320" i="105" s="1"/>
  <c r="P319" i="105"/>
  <c r="N319" i="105" s="1"/>
  <c r="P318" i="105"/>
  <c r="N318" i="105" s="1"/>
  <c r="P317" i="105"/>
  <c r="N317" i="105" s="1"/>
  <c r="P316" i="105"/>
  <c r="N316" i="105" s="1"/>
  <c r="P315" i="105"/>
  <c r="N315" i="105" s="1"/>
  <c r="P314" i="105"/>
  <c r="N314" i="105" s="1"/>
  <c r="P313" i="105"/>
  <c r="N313" i="105" s="1"/>
  <c r="P312" i="105"/>
  <c r="N312" i="105" s="1"/>
  <c r="P311" i="105"/>
  <c r="N311" i="105" s="1"/>
  <c r="P310" i="105"/>
  <c r="N310" i="105" s="1"/>
  <c r="P309" i="105"/>
  <c r="N309" i="105" s="1"/>
  <c r="P308" i="105"/>
  <c r="N308" i="105" s="1"/>
  <c r="P307" i="105"/>
  <c r="N307" i="105" s="1"/>
  <c r="P306" i="105"/>
  <c r="N306" i="105" s="1"/>
  <c r="P305" i="105"/>
  <c r="N305" i="105" s="1"/>
  <c r="P304" i="105"/>
  <c r="N304" i="105" s="1"/>
  <c r="P303" i="105"/>
  <c r="N303" i="105" s="1"/>
  <c r="P302" i="105"/>
  <c r="N302" i="105" s="1"/>
  <c r="P301" i="105"/>
  <c r="N301" i="105" s="1"/>
  <c r="P300" i="105"/>
  <c r="N300" i="105" s="1"/>
  <c r="P299" i="105"/>
  <c r="N299" i="105" s="1"/>
  <c r="P298" i="105"/>
  <c r="N298" i="105" s="1"/>
  <c r="P297" i="105"/>
  <c r="N297" i="105" s="1"/>
  <c r="P296" i="105"/>
  <c r="N296" i="105" s="1"/>
  <c r="P295" i="105"/>
  <c r="N295" i="105" s="1"/>
  <c r="P294" i="105"/>
  <c r="N294" i="105" s="1"/>
  <c r="P293" i="105"/>
  <c r="N293" i="105" s="1"/>
  <c r="P292" i="105"/>
  <c r="N292" i="105" s="1"/>
  <c r="P291" i="105"/>
  <c r="N291" i="105" s="1"/>
  <c r="P290" i="105"/>
  <c r="N290" i="105" s="1"/>
  <c r="P289" i="105"/>
  <c r="N289" i="105" s="1"/>
  <c r="P288" i="105"/>
  <c r="N288" i="105" s="1"/>
  <c r="P287" i="105"/>
  <c r="N287" i="105" s="1"/>
  <c r="P286" i="105"/>
  <c r="N286" i="105" s="1"/>
  <c r="P285" i="105"/>
  <c r="N285" i="105" s="1"/>
  <c r="P284" i="105"/>
  <c r="N284" i="105" s="1"/>
  <c r="P283" i="105"/>
  <c r="N283" i="105" s="1"/>
  <c r="P282" i="105"/>
  <c r="N282" i="105" s="1"/>
  <c r="P281" i="105"/>
  <c r="N281" i="105" s="1"/>
  <c r="P280" i="105"/>
  <c r="N280" i="105" s="1"/>
  <c r="P279" i="105"/>
  <c r="N279" i="105" s="1"/>
  <c r="P278" i="105"/>
  <c r="N278" i="105" s="1"/>
  <c r="P277" i="105"/>
  <c r="N277" i="105" s="1"/>
  <c r="P276" i="105"/>
  <c r="N276" i="105" s="1"/>
  <c r="P275" i="105"/>
  <c r="N275" i="105" s="1"/>
  <c r="P274" i="105"/>
  <c r="N274" i="105" s="1"/>
  <c r="P273" i="105"/>
  <c r="N273" i="105" s="1"/>
  <c r="P272" i="105"/>
  <c r="N272" i="105" s="1"/>
  <c r="P271" i="105"/>
  <c r="N271" i="105" s="1"/>
  <c r="P270" i="105"/>
  <c r="N270" i="105" s="1"/>
  <c r="P269" i="105"/>
  <c r="N269" i="105" s="1"/>
  <c r="P268" i="105"/>
  <c r="N268" i="105" s="1"/>
  <c r="P267" i="105"/>
  <c r="N267" i="105" s="1"/>
  <c r="P266" i="105"/>
  <c r="N266" i="105" s="1"/>
  <c r="P265" i="105"/>
  <c r="N265" i="105" s="1"/>
  <c r="P264" i="105"/>
  <c r="N264" i="105" s="1"/>
  <c r="P263" i="105"/>
  <c r="N263" i="105" s="1"/>
  <c r="P262" i="105"/>
  <c r="N262" i="105" s="1"/>
  <c r="P261" i="105"/>
  <c r="N261" i="105" s="1"/>
  <c r="P260" i="105"/>
  <c r="N260" i="105" s="1"/>
  <c r="P259" i="105"/>
  <c r="N259" i="105" s="1"/>
  <c r="P258" i="105"/>
  <c r="N258" i="105" s="1"/>
  <c r="P257" i="105"/>
  <c r="N257" i="105" s="1"/>
  <c r="P256" i="105"/>
  <c r="N256" i="105" s="1"/>
  <c r="P255" i="105"/>
  <c r="N255" i="105" s="1"/>
  <c r="P254" i="105"/>
  <c r="N254" i="105" s="1"/>
  <c r="P253" i="105"/>
  <c r="N253" i="105" s="1"/>
  <c r="P252" i="105"/>
  <c r="N252" i="105" s="1"/>
  <c r="P251" i="105"/>
  <c r="N251" i="105" s="1"/>
  <c r="P250" i="105"/>
  <c r="N250" i="105" s="1"/>
  <c r="P249" i="105"/>
  <c r="N249" i="105" s="1"/>
  <c r="P248" i="105"/>
  <c r="N248" i="105" s="1"/>
  <c r="P247" i="105"/>
  <c r="N247" i="105" s="1"/>
  <c r="P246" i="105"/>
  <c r="N246" i="105" s="1"/>
  <c r="P245" i="105"/>
  <c r="N245" i="105" s="1"/>
  <c r="P244" i="105"/>
  <c r="N244" i="105" s="1"/>
  <c r="P243" i="105"/>
  <c r="N243" i="105" s="1"/>
  <c r="P242" i="105"/>
  <c r="N242" i="105" s="1"/>
  <c r="P241" i="105"/>
  <c r="N241" i="105" s="1"/>
  <c r="P240" i="105"/>
  <c r="N240" i="105" s="1"/>
  <c r="P239" i="105"/>
  <c r="N239" i="105" s="1"/>
  <c r="P238" i="105"/>
  <c r="N238" i="105" s="1"/>
  <c r="P237" i="105"/>
  <c r="N237" i="105" s="1"/>
  <c r="P236" i="105"/>
  <c r="N236" i="105" s="1"/>
  <c r="P235" i="105"/>
  <c r="N235" i="105" s="1"/>
  <c r="P234" i="105"/>
  <c r="N234" i="105" s="1"/>
  <c r="P233" i="105"/>
  <c r="N233" i="105" s="1"/>
  <c r="P232" i="105"/>
  <c r="N232" i="105" s="1"/>
  <c r="P231" i="105"/>
  <c r="N231" i="105" s="1"/>
  <c r="P230" i="105"/>
  <c r="N230" i="105" s="1"/>
  <c r="P229" i="105"/>
  <c r="N229" i="105" s="1"/>
  <c r="P228" i="105"/>
  <c r="N228" i="105" s="1"/>
  <c r="P227" i="105"/>
  <c r="N227" i="105" s="1"/>
  <c r="P226" i="105"/>
  <c r="N226" i="105" s="1"/>
  <c r="P225" i="105"/>
  <c r="N225" i="105" s="1"/>
  <c r="P224" i="105"/>
  <c r="N224" i="105" s="1"/>
  <c r="P223" i="105"/>
  <c r="N223" i="105" s="1"/>
  <c r="P222" i="105"/>
  <c r="N222" i="105" s="1"/>
  <c r="P221" i="105"/>
  <c r="N221" i="105" s="1"/>
  <c r="P220" i="105"/>
  <c r="N220" i="105" s="1"/>
  <c r="P219" i="105"/>
  <c r="N219" i="105" s="1"/>
  <c r="P218" i="105"/>
  <c r="N218" i="105" s="1"/>
  <c r="P217" i="105"/>
  <c r="N217" i="105" s="1"/>
  <c r="P216" i="105"/>
  <c r="N216" i="105" s="1"/>
  <c r="P215" i="105"/>
  <c r="N215" i="105" s="1"/>
  <c r="P214" i="105"/>
  <c r="N214" i="105" s="1"/>
  <c r="P213" i="105"/>
  <c r="N213" i="105" s="1"/>
  <c r="P212" i="105"/>
  <c r="N212" i="105" s="1"/>
  <c r="P211" i="105"/>
  <c r="N211" i="105" s="1"/>
  <c r="P210" i="105"/>
  <c r="N210" i="105" s="1"/>
  <c r="P209" i="105"/>
  <c r="N209" i="105" s="1"/>
  <c r="P208" i="105"/>
  <c r="N208" i="105" s="1"/>
  <c r="P207" i="105"/>
  <c r="N207" i="105" s="1"/>
  <c r="P206" i="105"/>
  <c r="N206" i="105" s="1"/>
  <c r="P205" i="105"/>
  <c r="N205" i="105" s="1"/>
  <c r="P204" i="105"/>
  <c r="N204" i="105" s="1"/>
  <c r="P203" i="105"/>
  <c r="N203" i="105" s="1"/>
  <c r="P202" i="105"/>
  <c r="N202" i="105" s="1"/>
  <c r="P201" i="105"/>
  <c r="N201" i="105" s="1"/>
  <c r="P200" i="105"/>
  <c r="N200" i="105" s="1"/>
  <c r="P199" i="105"/>
  <c r="N199" i="105" s="1"/>
  <c r="P198" i="105"/>
  <c r="N198" i="105" s="1"/>
  <c r="P197" i="105"/>
  <c r="N197" i="105" s="1"/>
  <c r="P196" i="105"/>
  <c r="N196" i="105" s="1"/>
  <c r="P195" i="105"/>
  <c r="N195" i="105" s="1"/>
  <c r="P194" i="105"/>
  <c r="N194" i="105" s="1"/>
  <c r="P193" i="105"/>
  <c r="N193" i="105" s="1"/>
  <c r="P192" i="105"/>
  <c r="N192" i="105" s="1"/>
  <c r="P191" i="105"/>
  <c r="N191" i="105" s="1"/>
  <c r="P190" i="105"/>
  <c r="N190" i="105" s="1"/>
  <c r="P189" i="105"/>
  <c r="N189" i="105" s="1"/>
  <c r="P188" i="105"/>
  <c r="N188" i="105" s="1"/>
  <c r="P187" i="105"/>
  <c r="N187" i="105" s="1"/>
  <c r="P186" i="105"/>
  <c r="N186" i="105" s="1"/>
  <c r="P185" i="105"/>
  <c r="N185" i="105" s="1"/>
  <c r="P184" i="105"/>
  <c r="N184" i="105" s="1"/>
  <c r="P183" i="105"/>
  <c r="N183" i="105" s="1"/>
  <c r="P182" i="105"/>
  <c r="N182" i="105" s="1"/>
  <c r="P181" i="105"/>
  <c r="N181" i="105" s="1"/>
  <c r="P180" i="105"/>
  <c r="N180" i="105" s="1"/>
  <c r="P179" i="105"/>
  <c r="N179" i="105" s="1"/>
  <c r="P178" i="105"/>
  <c r="N178" i="105" s="1"/>
  <c r="P177" i="105"/>
  <c r="N177" i="105" s="1"/>
  <c r="P176" i="105"/>
  <c r="N176" i="105" s="1"/>
  <c r="P175" i="105"/>
  <c r="N175" i="105" s="1"/>
  <c r="P174" i="105"/>
  <c r="N174" i="105" s="1"/>
  <c r="P173" i="105"/>
  <c r="N173" i="105" s="1"/>
  <c r="P172" i="105"/>
  <c r="N172" i="105" s="1"/>
  <c r="P171" i="105"/>
  <c r="N171" i="105" s="1"/>
  <c r="P170" i="105"/>
  <c r="N170" i="105" s="1"/>
  <c r="P169" i="105"/>
  <c r="N169" i="105" s="1"/>
  <c r="P168" i="105"/>
  <c r="N168" i="105" s="1"/>
  <c r="P167" i="105"/>
  <c r="N167" i="105" s="1"/>
  <c r="P166" i="105"/>
  <c r="N166" i="105" s="1"/>
  <c r="P165" i="105"/>
  <c r="N165" i="105" s="1"/>
  <c r="P164" i="105"/>
  <c r="N164" i="105" s="1"/>
  <c r="P163" i="105"/>
  <c r="N163" i="105" s="1"/>
  <c r="P162" i="105"/>
  <c r="N162" i="105" s="1"/>
  <c r="P161" i="105"/>
  <c r="N161" i="105" s="1"/>
  <c r="P160" i="105"/>
  <c r="N160" i="105" s="1"/>
  <c r="P159" i="105"/>
  <c r="N159" i="105" s="1"/>
  <c r="P158" i="105"/>
  <c r="N158" i="105" s="1"/>
  <c r="P157" i="105"/>
  <c r="N157" i="105" s="1"/>
  <c r="P156" i="105"/>
  <c r="N156" i="105" s="1"/>
  <c r="P155" i="105"/>
  <c r="N155" i="105" s="1"/>
  <c r="P154" i="105"/>
  <c r="N154" i="105" s="1"/>
  <c r="P153" i="105"/>
  <c r="N153" i="105" s="1"/>
  <c r="P152" i="105"/>
  <c r="N152" i="105" s="1"/>
  <c r="P151" i="105"/>
  <c r="N151" i="105" s="1"/>
  <c r="P150" i="105"/>
  <c r="N150" i="105" s="1"/>
  <c r="P149" i="105"/>
  <c r="N149" i="105" s="1"/>
  <c r="P148" i="105"/>
  <c r="N148" i="105" s="1"/>
  <c r="P147" i="105"/>
  <c r="N147" i="105" s="1"/>
  <c r="P146" i="105"/>
  <c r="N146" i="105" s="1"/>
  <c r="P145" i="105"/>
  <c r="N145" i="105" s="1"/>
  <c r="P144" i="105"/>
  <c r="N144" i="105" s="1"/>
  <c r="P143" i="105"/>
  <c r="N143" i="105" s="1"/>
  <c r="P142" i="105"/>
  <c r="N142" i="105" s="1"/>
  <c r="P141" i="105"/>
  <c r="N141" i="105" s="1"/>
  <c r="P140" i="105"/>
  <c r="N140" i="105" s="1"/>
  <c r="P139" i="105"/>
  <c r="N139" i="105" s="1"/>
  <c r="P138" i="105"/>
  <c r="N138" i="105" s="1"/>
  <c r="P137" i="105"/>
  <c r="N137" i="105" s="1"/>
  <c r="P136" i="105"/>
  <c r="N136" i="105" s="1"/>
  <c r="P135" i="105"/>
  <c r="N135" i="105" s="1"/>
  <c r="P134" i="105"/>
  <c r="N134" i="105" s="1"/>
  <c r="P133" i="105"/>
  <c r="N133" i="105" s="1"/>
  <c r="P132" i="105"/>
  <c r="N132" i="105" s="1"/>
  <c r="P131" i="105"/>
  <c r="N131" i="105" s="1"/>
  <c r="P130" i="105"/>
  <c r="N130" i="105" s="1"/>
  <c r="P129" i="105"/>
  <c r="N129" i="105" s="1"/>
  <c r="P128" i="105"/>
  <c r="N128" i="105" s="1"/>
  <c r="P127" i="105"/>
  <c r="N127" i="105" s="1"/>
  <c r="P126" i="105"/>
  <c r="N126" i="105" s="1"/>
  <c r="P125" i="105"/>
  <c r="N125" i="105" s="1"/>
  <c r="P124" i="105"/>
  <c r="N124" i="105" s="1"/>
  <c r="P123" i="105"/>
  <c r="N123" i="105" s="1"/>
  <c r="P122" i="105"/>
  <c r="N122" i="105" s="1"/>
  <c r="P121" i="105"/>
  <c r="N121" i="105" s="1"/>
  <c r="P120" i="105"/>
  <c r="N120" i="105" s="1"/>
  <c r="P119" i="105"/>
  <c r="N119" i="105" s="1"/>
  <c r="P118" i="105"/>
  <c r="N118" i="105" s="1"/>
  <c r="P117" i="105"/>
  <c r="N117" i="105" s="1"/>
  <c r="P116" i="105"/>
  <c r="N116" i="105" s="1"/>
  <c r="P115" i="105"/>
  <c r="N115" i="105" s="1"/>
  <c r="P114" i="105"/>
  <c r="N114" i="105" s="1"/>
  <c r="P113" i="105"/>
  <c r="N113" i="105" s="1"/>
  <c r="P112" i="105"/>
  <c r="N112" i="105" s="1"/>
  <c r="P111" i="105"/>
  <c r="N111" i="105" s="1"/>
  <c r="P110" i="105"/>
  <c r="N110" i="105" s="1"/>
  <c r="P109" i="105"/>
  <c r="N109" i="105" s="1"/>
  <c r="P108" i="105"/>
  <c r="N108" i="105" s="1"/>
  <c r="P107" i="105"/>
  <c r="N107" i="105" s="1"/>
  <c r="P106" i="105"/>
  <c r="N106" i="105" s="1"/>
  <c r="P105" i="105"/>
  <c r="N105" i="105" s="1"/>
  <c r="P104" i="105"/>
  <c r="N104" i="105" s="1"/>
  <c r="P103" i="105"/>
  <c r="N103" i="105" s="1"/>
  <c r="P102" i="105"/>
  <c r="N102" i="105" s="1"/>
  <c r="P101" i="105"/>
  <c r="N101" i="105" s="1"/>
  <c r="P100" i="105"/>
  <c r="N100" i="105" s="1"/>
  <c r="P99" i="105"/>
  <c r="N99" i="105" s="1"/>
  <c r="P98" i="105"/>
  <c r="N98" i="105" s="1"/>
  <c r="P97" i="105"/>
  <c r="N97" i="105" s="1"/>
  <c r="P96" i="105"/>
  <c r="N96" i="105" s="1"/>
  <c r="P95" i="105"/>
  <c r="N95" i="105" s="1"/>
  <c r="P94" i="105"/>
  <c r="N94" i="105" s="1"/>
  <c r="P93" i="105"/>
  <c r="N93" i="105" s="1"/>
  <c r="P92" i="105"/>
  <c r="N92" i="105" s="1"/>
  <c r="P91" i="105"/>
  <c r="N91" i="105" s="1"/>
  <c r="P90" i="105"/>
  <c r="N90" i="105" s="1"/>
  <c r="P89" i="105"/>
  <c r="N89" i="105" s="1"/>
  <c r="P88" i="105"/>
  <c r="N88" i="105" s="1"/>
  <c r="P87" i="105"/>
  <c r="N87" i="105" s="1"/>
  <c r="P86" i="105"/>
  <c r="N86" i="105" s="1"/>
  <c r="P85" i="105"/>
  <c r="N85" i="105" s="1"/>
  <c r="P84" i="105"/>
  <c r="N84" i="105" s="1"/>
  <c r="P83" i="105"/>
  <c r="N83" i="105" s="1"/>
  <c r="P82" i="105"/>
  <c r="N82" i="105" s="1"/>
  <c r="P81" i="105"/>
  <c r="N81" i="105" s="1"/>
  <c r="P80" i="105"/>
  <c r="N80" i="105" s="1"/>
  <c r="P79" i="105"/>
  <c r="N79" i="105" s="1"/>
  <c r="P78" i="105"/>
  <c r="N78" i="105" s="1"/>
  <c r="P77" i="105"/>
  <c r="N77" i="105" s="1"/>
  <c r="P76" i="105"/>
  <c r="N76" i="105" s="1"/>
  <c r="P75" i="105"/>
  <c r="N75" i="105" s="1"/>
  <c r="P74" i="105"/>
  <c r="N74" i="105" s="1"/>
  <c r="P73" i="105"/>
  <c r="N73" i="105" s="1"/>
  <c r="P72" i="105"/>
  <c r="N72" i="105" s="1"/>
  <c r="P71" i="105"/>
  <c r="N71" i="105" s="1"/>
  <c r="P70" i="105"/>
  <c r="N70" i="105" s="1"/>
  <c r="P69" i="105"/>
  <c r="N69" i="105" s="1"/>
  <c r="P68" i="105"/>
  <c r="N68" i="105" s="1"/>
  <c r="P67" i="105"/>
  <c r="N67" i="105" s="1"/>
  <c r="P66" i="105"/>
  <c r="N66" i="105" s="1"/>
  <c r="P65" i="105"/>
  <c r="N65" i="105" s="1"/>
  <c r="P64" i="105"/>
  <c r="N64" i="105" s="1"/>
  <c r="P63" i="105"/>
  <c r="N63" i="105" s="1"/>
  <c r="P62" i="105"/>
  <c r="N62" i="105" s="1"/>
  <c r="P61" i="105"/>
  <c r="N61" i="105" s="1"/>
  <c r="P60" i="105"/>
  <c r="N60" i="105" s="1"/>
  <c r="P59" i="105"/>
  <c r="N59" i="105" s="1"/>
  <c r="P58" i="105"/>
  <c r="N58" i="105" s="1"/>
  <c r="P57" i="105"/>
  <c r="N57" i="105" s="1"/>
  <c r="P56" i="105"/>
  <c r="N56" i="105" s="1"/>
  <c r="P55" i="105"/>
  <c r="N55" i="105" s="1"/>
  <c r="P54" i="105"/>
  <c r="N54" i="105" s="1"/>
  <c r="P53" i="105"/>
  <c r="N53" i="105" s="1"/>
  <c r="P52" i="105"/>
  <c r="N52" i="105" s="1"/>
  <c r="P51" i="105"/>
  <c r="N51" i="105" s="1"/>
  <c r="P50" i="105"/>
  <c r="N50" i="105" s="1"/>
  <c r="P49" i="105"/>
  <c r="N49" i="105" s="1"/>
  <c r="P48" i="105"/>
  <c r="N48" i="105" s="1"/>
  <c r="P47" i="105"/>
  <c r="N47" i="105" s="1"/>
  <c r="P46" i="105"/>
  <c r="N46" i="105" s="1"/>
  <c r="P45" i="105"/>
  <c r="N45" i="105" s="1"/>
  <c r="P44" i="105"/>
  <c r="N44" i="105" s="1"/>
  <c r="P43" i="105"/>
  <c r="N43" i="105" s="1"/>
  <c r="P42" i="105"/>
  <c r="N42" i="105" s="1"/>
  <c r="P41" i="105"/>
  <c r="N41" i="105" s="1"/>
  <c r="P40" i="105"/>
  <c r="N40" i="105" s="1"/>
  <c r="P39" i="105"/>
  <c r="N39" i="105" s="1"/>
  <c r="P38" i="105"/>
  <c r="N38" i="105" s="1"/>
  <c r="P37" i="105"/>
  <c r="N37" i="105" s="1"/>
  <c r="P36" i="105"/>
  <c r="N36" i="105" s="1"/>
  <c r="P35" i="105"/>
  <c r="N35" i="105" s="1"/>
  <c r="P34" i="105"/>
  <c r="N34" i="105" s="1"/>
  <c r="P33" i="105"/>
  <c r="N33" i="105" s="1"/>
  <c r="P32" i="105"/>
  <c r="N32" i="105" s="1"/>
  <c r="P31" i="105"/>
  <c r="N31" i="105" s="1"/>
  <c r="P30" i="105"/>
  <c r="N30" i="105" s="1"/>
  <c r="P29" i="105"/>
  <c r="N29" i="105" s="1"/>
  <c r="P28" i="105"/>
  <c r="N28" i="105" s="1"/>
  <c r="P27" i="105"/>
  <c r="N27" i="105" s="1"/>
  <c r="P26" i="105"/>
  <c r="N26" i="105" s="1"/>
  <c r="P25" i="105"/>
  <c r="N25" i="105" s="1"/>
  <c r="P24" i="105"/>
  <c r="N24" i="105" s="1"/>
  <c r="P23" i="105"/>
  <c r="N23" i="105" s="1"/>
  <c r="P22" i="105"/>
  <c r="N22" i="105" s="1"/>
  <c r="P21" i="105"/>
  <c r="N21" i="105" s="1"/>
  <c r="P20" i="105"/>
  <c r="N20" i="105" s="1"/>
  <c r="P19" i="105"/>
  <c r="N19" i="105" s="1"/>
  <c r="P18" i="105"/>
  <c r="N18" i="105" s="1"/>
  <c r="P17" i="105"/>
  <c r="N17" i="105" s="1"/>
  <c r="P16" i="105"/>
  <c r="N16" i="105" s="1"/>
  <c r="P15" i="105"/>
  <c r="N15" i="105" s="1"/>
  <c r="P14" i="105"/>
  <c r="N14" i="105" s="1"/>
  <c r="P13" i="105"/>
  <c r="N13" i="105" s="1"/>
  <c r="P12" i="105"/>
  <c r="N12" i="105" s="1"/>
  <c r="P11" i="105"/>
  <c r="P10" i="105"/>
  <c r="M10" i="105"/>
  <c r="B2" i="105"/>
  <c r="A2" i="105"/>
  <c r="G1" i="105"/>
  <c r="B99" i="104"/>
  <c r="B67" i="104"/>
  <c r="B50" i="104"/>
  <c r="M34" i="104"/>
  <c r="CK4" i="103"/>
  <c r="CK7" i="103"/>
  <c r="M12" i="104"/>
  <c r="A22" i="104"/>
  <c r="A21" i="104"/>
  <c r="B20" i="104"/>
  <c r="H34" i="104" s="1"/>
  <c r="A12" i="104"/>
  <c r="CK5" i="103"/>
  <c r="A11" i="104"/>
  <c r="A10" i="104"/>
  <c r="Q9" i="104"/>
  <c r="A9" i="104"/>
  <c r="Q8" i="104"/>
  <c r="A8" i="104"/>
  <c r="B7" i="104"/>
  <c r="H33" i="104" s="1"/>
  <c r="B3" i="104"/>
  <c r="B2" i="104"/>
  <c r="DI281" i="103"/>
  <c r="DH281" i="103"/>
  <c r="BH280" i="103"/>
  <c r="DI280" i="103"/>
  <c r="DH280" i="103"/>
  <c r="BI279" i="103"/>
  <c r="DI279" i="103"/>
  <c r="DH279" i="103"/>
  <c r="BN278" i="103"/>
  <c r="DI278" i="103"/>
  <c r="DH278" i="103"/>
  <c r="DJ278" i="103"/>
  <c r="DI277" i="103"/>
  <c r="DH277" i="103"/>
  <c r="DI276" i="103"/>
  <c r="DH276" i="103"/>
  <c r="BL275" i="103"/>
  <c r="DI275" i="103"/>
  <c r="DH275" i="103"/>
  <c r="DJ275" i="103"/>
  <c r="DI274" i="103"/>
  <c r="DH274" i="103"/>
  <c r="BJ273" i="103"/>
  <c r="DI273" i="103"/>
  <c r="DH273" i="103"/>
  <c r="BI272" i="103"/>
  <c r="DI272" i="103"/>
  <c r="DH272" i="103"/>
  <c r="BI271" i="103"/>
  <c r="DI271" i="103"/>
  <c r="DH271" i="103"/>
  <c r="DK271" i="103" s="1"/>
  <c r="DL271" i="103" s="1"/>
  <c r="DJ271" i="103"/>
  <c r="DI270" i="103"/>
  <c r="DH270" i="103"/>
  <c r="DK270" i="103" s="1"/>
  <c r="DL270" i="103" s="1"/>
  <c r="DI269" i="103"/>
  <c r="DH269" i="103"/>
  <c r="DK269" i="103" s="1"/>
  <c r="DL269" i="103" s="1"/>
  <c r="DI268" i="103"/>
  <c r="DH268" i="103"/>
  <c r="DK268" i="103" s="1"/>
  <c r="DL268" i="103" s="1"/>
  <c r="BJ267" i="103"/>
  <c r="DI267" i="103"/>
  <c r="DH267" i="103"/>
  <c r="DK267" i="103" s="1"/>
  <c r="DL267" i="103" s="1"/>
  <c r="BM266" i="103"/>
  <c r="DI266" i="103"/>
  <c r="DH266" i="103"/>
  <c r="DK266" i="103" s="1"/>
  <c r="DL266" i="103" s="1"/>
  <c r="BM265" i="103"/>
  <c r="DI265" i="103"/>
  <c r="DH265" i="103"/>
  <c r="DK265" i="103" s="1"/>
  <c r="DL265" i="103" s="1"/>
  <c r="BJ264" i="103"/>
  <c r="DI264" i="103"/>
  <c r="DH264" i="103"/>
  <c r="DK264" i="103" s="1"/>
  <c r="DL264" i="103" s="1"/>
  <c r="DI263" i="103"/>
  <c r="DH263" i="103"/>
  <c r="DK263" i="103" s="1"/>
  <c r="DL263" i="103" s="1"/>
  <c r="BH262" i="103"/>
  <c r="DI262" i="103"/>
  <c r="DH262" i="103"/>
  <c r="DK262" i="103" s="1"/>
  <c r="DL262" i="103" s="1"/>
  <c r="DI261" i="103"/>
  <c r="DH261" i="103"/>
  <c r="DK261" i="103" s="1"/>
  <c r="DL261" i="103" s="1"/>
  <c r="BK260" i="103"/>
  <c r="DI260" i="103"/>
  <c r="DH260" i="103"/>
  <c r="DK260" i="103" s="1"/>
  <c r="DL260" i="103" s="1"/>
  <c r="BJ259" i="103"/>
  <c r="DI259" i="103"/>
  <c r="DH259" i="103"/>
  <c r="DK259" i="103" s="1"/>
  <c r="DL259" i="103" s="1"/>
  <c r="BL258" i="103"/>
  <c r="DI258" i="103"/>
  <c r="DH258" i="103"/>
  <c r="DK258" i="103" s="1"/>
  <c r="DL258" i="103" s="1"/>
  <c r="BN257" i="103"/>
  <c r="DI257" i="103"/>
  <c r="DH257" i="103"/>
  <c r="DK257" i="103" s="1"/>
  <c r="DL257" i="103" s="1"/>
  <c r="BM256" i="103"/>
  <c r="DI256" i="103"/>
  <c r="DH256" i="103"/>
  <c r="DK256" i="103" s="1"/>
  <c r="DL256" i="103" s="1"/>
  <c r="BM255" i="103"/>
  <c r="DI255" i="103"/>
  <c r="DH255" i="103"/>
  <c r="DK255" i="103" s="1"/>
  <c r="DL255" i="103" s="1"/>
  <c r="BK254" i="103"/>
  <c r="DI254" i="103"/>
  <c r="DH254" i="103"/>
  <c r="DK254" i="103" s="1"/>
  <c r="DL254" i="103" s="1"/>
  <c r="BI253" i="103"/>
  <c r="DI253" i="103"/>
  <c r="DH253" i="103"/>
  <c r="DK253" i="103" s="1"/>
  <c r="DL253" i="103" s="1"/>
  <c r="BI252" i="103"/>
  <c r="DI252" i="103"/>
  <c r="DH252" i="103"/>
  <c r="DK252" i="103" s="1"/>
  <c r="DL252" i="103" s="1"/>
  <c r="BL251" i="103"/>
  <c r="DI251" i="103"/>
  <c r="DH251" i="103"/>
  <c r="DK251" i="103" s="1"/>
  <c r="DL251" i="103" s="1"/>
  <c r="DI250" i="103"/>
  <c r="DH250" i="103"/>
  <c r="DK250" i="103" s="1"/>
  <c r="DL250" i="103" s="1"/>
  <c r="BI249" i="103"/>
  <c r="DI249" i="103"/>
  <c r="DH249" i="103"/>
  <c r="DK249" i="103" s="1"/>
  <c r="DL249" i="103" s="1"/>
  <c r="BI248" i="103"/>
  <c r="DI248" i="103"/>
  <c r="DH248" i="103"/>
  <c r="DK248" i="103" s="1"/>
  <c r="DL248" i="103" s="1"/>
  <c r="DJ248" i="103"/>
  <c r="DI247" i="103"/>
  <c r="DH247" i="103"/>
  <c r="DK247" i="103" s="1"/>
  <c r="DL247" i="103" s="1"/>
  <c r="BJ246" i="103"/>
  <c r="DI246" i="103"/>
  <c r="DH246" i="103"/>
  <c r="DK246" i="103" s="1"/>
  <c r="DL246" i="103" s="1"/>
  <c r="BN245" i="103"/>
  <c r="DI245" i="103"/>
  <c r="DH245" i="103"/>
  <c r="DK245" i="103" s="1"/>
  <c r="DL245" i="103" s="1"/>
  <c r="DL244" i="103"/>
  <c r="DI244" i="103"/>
  <c r="DH244" i="103"/>
  <c r="BL243" i="103"/>
  <c r="DI243" i="103"/>
  <c r="DH243" i="103"/>
  <c r="BI242" i="103"/>
  <c r="DI242" i="103"/>
  <c r="DH242" i="103"/>
  <c r="BN241" i="103"/>
  <c r="DI241" i="103"/>
  <c r="DH241" i="103"/>
  <c r="DI240" i="103"/>
  <c r="DH240" i="103"/>
  <c r="DI239" i="103"/>
  <c r="DH239" i="103"/>
  <c r="BH238" i="103"/>
  <c r="DI238" i="103"/>
  <c r="DH238" i="103"/>
  <c r="DJ238" i="103"/>
  <c r="DI237" i="103"/>
  <c r="DH237" i="103"/>
  <c r="DK237" i="103" s="1"/>
  <c r="DL237" i="103" s="1"/>
  <c r="BN236" i="103"/>
  <c r="DI236" i="103"/>
  <c r="DH236" i="103"/>
  <c r="BL235" i="103"/>
  <c r="DI235" i="103"/>
  <c r="DH235" i="103"/>
  <c r="BI234" i="103"/>
  <c r="DI234" i="103"/>
  <c r="DH234" i="103"/>
  <c r="BJ233" i="103"/>
  <c r="DI233" i="103"/>
  <c r="DH233" i="103"/>
  <c r="BL232" i="103"/>
  <c r="DI232" i="103"/>
  <c r="DH232" i="103"/>
  <c r="BH231" i="103"/>
  <c r="DI231" i="103"/>
  <c r="DH231" i="103"/>
  <c r="BN230" i="103"/>
  <c r="DI230" i="103"/>
  <c r="DH230" i="103"/>
  <c r="DJ230" i="103"/>
  <c r="DI229" i="103"/>
  <c r="DH229" i="103"/>
  <c r="BL228" i="103"/>
  <c r="DL228" i="103"/>
  <c r="DI228" i="103"/>
  <c r="DH228" i="103"/>
  <c r="BN227" i="103"/>
  <c r="DI227" i="103"/>
  <c r="DH227" i="103"/>
  <c r="DJ227" i="103"/>
  <c r="DI226" i="103"/>
  <c r="DH226" i="103"/>
  <c r="DK226" i="103" s="1"/>
  <c r="DL226" i="103" s="1"/>
  <c r="BK225" i="103"/>
  <c r="DI225" i="103"/>
  <c r="DH225" i="103"/>
  <c r="DK225" i="103" s="1"/>
  <c r="DL225" i="103" s="1"/>
  <c r="DJ225" i="103"/>
  <c r="DI224" i="103"/>
  <c r="DH224" i="103"/>
  <c r="BJ223" i="103"/>
  <c r="DI223" i="103"/>
  <c r="DH223" i="103"/>
  <c r="BN222" i="103"/>
  <c r="DI222" i="103"/>
  <c r="DH222" i="103"/>
  <c r="DJ222" i="103"/>
  <c r="DI221" i="103"/>
  <c r="DH221" i="103"/>
  <c r="DK221" i="103" s="1"/>
  <c r="DL221" i="103" s="1"/>
  <c r="BJ220" i="103"/>
  <c r="DI220" i="103"/>
  <c r="DH220" i="103"/>
  <c r="BN219" i="103"/>
  <c r="DI219" i="103"/>
  <c r="DH219" i="103"/>
  <c r="DI218" i="103"/>
  <c r="DH218" i="103"/>
  <c r="DI217" i="103"/>
  <c r="DH217" i="103"/>
  <c r="DI216" i="103"/>
  <c r="DH216" i="103"/>
  <c r="DK216" i="103" s="1"/>
  <c r="DL216" i="103" s="1"/>
  <c r="BJ215" i="103"/>
  <c r="DI215" i="103"/>
  <c r="DH215" i="103"/>
  <c r="DK215" i="103" s="1"/>
  <c r="DL215" i="103" s="1"/>
  <c r="BM214" i="103"/>
  <c r="DI214" i="103"/>
  <c r="DH214" i="103"/>
  <c r="BN213" i="103"/>
  <c r="DI213" i="103"/>
  <c r="DH213" i="103"/>
  <c r="BL212" i="103"/>
  <c r="DI212" i="103"/>
  <c r="DH212" i="103"/>
  <c r="BI211" i="103"/>
  <c r="DI211" i="103"/>
  <c r="DH211" i="103"/>
  <c r="BM210" i="103"/>
  <c r="DI210" i="103"/>
  <c r="DH210" i="103"/>
  <c r="DI209" i="103"/>
  <c r="DH209" i="103"/>
  <c r="DJ209" i="103"/>
  <c r="DI208" i="103"/>
  <c r="DH208" i="103"/>
  <c r="DI207" i="103"/>
  <c r="DH207" i="103"/>
  <c r="DI206" i="103"/>
  <c r="DH206" i="103"/>
  <c r="DJ206" i="103"/>
  <c r="DI205" i="103"/>
  <c r="DH205" i="103"/>
  <c r="DJ205" i="103"/>
  <c r="DI204" i="103"/>
  <c r="DH204" i="103"/>
  <c r="BM203" i="103"/>
  <c r="DI203" i="103"/>
  <c r="DH203" i="103"/>
  <c r="DI202" i="103"/>
  <c r="DH202" i="103"/>
  <c r="BJ201" i="103"/>
  <c r="DI201" i="103"/>
  <c r="DH201" i="103"/>
  <c r="DI200" i="103"/>
  <c r="DH200" i="103"/>
  <c r="BJ199" i="103"/>
  <c r="DI199" i="103"/>
  <c r="DH199" i="103"/>
  <c r="BK198" i="103"/>
  <c r="DI198" i="103"/>
  <c r="DH198" i="103"/>
  <c r="BN197" i="103"/>
  <c r="DL197" i="103"/>
  <c r="DI197" i="103"/>
  <c r="DH197" i="103"/>
  <c r="DI196" i="103"/>
  <c r="DH196" i="103"/>
  <c r="DK196" i="103" s="1"/>
  <c r="DL196" i="103" s="1"/>
  <c r="DI195" i="103"/>
  <c r="DH195" i="103"/>
  <c r="BJ194" i="103"/>
  <c r="DI194" i="103"/>
  <c r="DH194" i="103"/>
  <c r="BL193" i="103"/>
  <c r="DI193" i="103"/>
  <c r="DH193" i="103"/>
  <c r="BH192" i="103"/>
  <c r="DI192" i="103"/>
  <c r="DH192" i="103"/>
  <c r="DK192" i="103" s="1"/>
  <c r="DL192" i="103" s="1"/>
  <c r="DI191" i="103"/>
  <c r="DH191" i="103"/>
  <c r="DK191" i="103" s="1"/>
  <c r="DL191" i="103" s="1"/>
  <c r="DI190" i="103"/>
  <c r="DH190" i="103"/>
  <c r="BL189" i="103"/>
  <c r="DI189" i="103"/>
  <c r="DH189" i="103"/>
  <c r="BI188" i="103"/>
  <c r="DI188" i="103"/>
  <c r="DH188" i="103"/>
  <c r="DI187" i="103"/>
  <c r="DH187" i="103"/>
  <c r="DJ187" i="103"/>
  <c r="DI186" i="103"/>
  <c r="DH186" i="103"/>
  <c r="DI185" i="103"/>
  <c r="DH185" i="103"/>
  <c r="BH184" i="103"/>
  <c r="DI184" i="103"/>
  <c r="DH184" i="103"/>
  <c r="BN183" i="103"/>
  <c r="DI183" i="103"/>
  <c r="DH183" i="103"/>
  <c r="BJ182" i="103"/>
  <c r="DI182" i="103"/>
  <c r="DH182" i="103"/>
  <c r="DK182" i="103" s="1"/>
  <c r="DL182" i="103" s="1"/>
  <c r="DI181" i="103"/>
  <c r="DH181" i="103"/>
  <c r="DI180" i="103"/>
  <c r="DH180" i="103"/>
  <c r="DI179" i="103"/>
  <c r="DH179" i="103"/>
  <c r="BN178" i="103"/>
  <c r="DI178" i="103"/>
  <c r="DH178" i="103"/>
  <c r="DI177" i="103"/>
  <c r="DH177" i="103"/>
  <c r="BH176" i="103"/>
  <c r="DI176" i="103"/>
  <c r="DH176" i="103"/>
  <c r="BM175" i="103"/>
  <c r="DI175" i="103"/>
  <c r="DH175" i="103"/>
  <c r="BH174" i="103"/>
  <c r="DI174" i="103"/>
  <c r="DH174" i="103"/>
  <c r="BI173" i="103"/>
  <c r="DL173" i="103"/>
  <c r="DI173" i="103"/>
  <c r="DH173" i="103"/>
  <c r="DI172" i="103"/>
  <c r="DH172" i="103"/>
  <c r="DI171" i="103"/>
  <c r="DH171" i="103"/>
  <c r="DI170" i="103"/>
  <c r="DH170" i="103"/>
  <c r="BJ169" i="103"/>
  <c r="DI169" i="103"/>
  <c r="DH169" i="103"/>
  <c r="DI168" i="103"/>
  <c r="DH168" i="103"/>
  <c r="DJ168" i="103"/>
  <c r="DI167" i="103"/>
  <c r="DH167" i="103"/>
  <c r="BM166" i="103"/>
  <c r="DI166" i="103"/>
  <c r="DH166" i="103"/>
  <c r="BJ165" i="103"/>
  <c r="DI165" i="103"/>
  <c r="DH165" i="103"/>
  <c r="BL164" i="103"/>
  <c r="DI164" i="103"/>
  <c r="DH164" i="103"/>
  <c r="DI163" i="103"/>
  <c r="DH163" i="103"/>
  <c r="BI162" i="103"/>
  <c r="DI162" i="103"/>
  <c r="DH162" i="103"/>
  <c r="BK161" i="103"/>
  <c r="DI161" i="103"/>
  <c r="DH161" i="103"/>
  <c r="DI160" i="103"/>
  <c r="DH160" i="103"/>
  <c r="DK160" i="103" s="1"/>
  <c r="DL160" i="103" s="1"/>
  <c r="BO159" i="103"/>
  <c r="BP159" i="103" s="1"/>
  <c r="DJ160" i="103"/>
  <c r="DI159" i="103"/>
  <c r="DH159" i="103"/>
  <c r="BM158" i="103"/>
  <c r="DI158" i="103"/>
  <c r="DH158" i="103"/>
  <c r="BH157" i="103"/>
  <c r="DI157" i="103"/>
  <c r="DH157" i="103"/>
  <c r="DI156" i="103"/>
  <c r="DH156" i="103"/>
  <c r="BM155" i="103"/>
  <c r="DI155" i="103"/>
  <c r="DH155" i="103"/>
  <c r="BJ154" i="103"/>
  <c r="DI154" i="103"/>
  <c r="DH154" i="103"/>
  <c r="DK154" i="103" s="1"/>
  <c r="DL154" i="103" s="1"/>
  <c r="BL153" i="103"/>
  <c r="DI153" i="103"/>
  <c r="DH153" i="103"/>
  <c r="BK152" i="103"/>
  <c r="DI152" i="103"/>
  <c r="DH152" i="103"/>
  <c r="DJ152" i="103"/>
  <c r="DI151" i="103"/>
  <c r="DH151" i="103"/>
  <c r="BJ150" i="103"/>
  <c r="DI150" i="103"/>
  <c r="DH150" i="103"/>
  <c r="BM149" i="103"/>
  <c r="DI149" i="103"/>
  <c r="DH149" i="103"/>
  <c r="DI148" i="103"/>
  <c r="DH148" i="103"/>
  <c r="BN147" i="103"/>
  <c r="DI147" i="103"/>
  <c r="DH147" i="103"/>
  <c r="BJ146" i="103"/>
  <c r="DI146" i="103"/>
  <c r="DH146" i="103"/>
  <c r="BK145" i="103"/>
  <c r="DI145" i="103"/>
  <c r="DH145" i="103"/>
  <c r="DK145" i="103" s="1"/>
  <c r="DL145" i="103" s="1"/>
  <c r="DI144" i="103"/>
  <c r="DH144" i="103"/>
  <c r="DK144" i="103" s="1"/>
  <c r="DL144" i="103" s="1"/>
  <c r="DI143" i="103"/>
  <c r="DH143" i="103"/>
  <c r="DI142" i="103"/>
  <c r="DH142" i="103"/>
  <c r="BH141" i="103"/>
  <c r="DI141" i="103"/>
  <c r="DH141" i="103"/>
  <c r="BN140" i="103"/>
  <c r="DI140" i="103"/>
  <c r="DH140" i="103"/>
  <c r="DJ140" i="103"/>
  <c r="DI139" i="103"/>
  <c r="DH139" i="103"/>
  <c r="BM138" i="103"/>
  <c r="DI138" i="103"/>
  <c r="DH138" i="103"/>
  <c r="DK138" i="103" s="1"/>
  <c r="DL138" i="103" s="1"/>
  <c r="BL137" i="103"/>
  <c r="DI137" i="103"/>
  <c r="DH137" i="103"/>
  <c r="BN136" i="103"/>
  <c r="DI136" i="103"/>
  <c r="DH136" i="103"/>
  <c r="BN135" i="103"/>
  <c r="DI135" i="103"/>
  <c r="DH135" i="103"/>
  <c r="DI134" i="103"/>
  <c r="DH134" i="103"/>
  <c r="DJ134" i="103"/>
  <c r="DL133" i="103"/>
  <c r="DI133" i="103"/>
  <c r="DH133" i="103"/>
  <c r="BM132" i="103"/>
  <c r="DI132" i="103"/>
  <c r="DH132" i="103"/>
  <c r="DJ132" i="103"/>
  <c r="DI131" i="103"/>
  <c r="DH131" i="103"/>
  <c r="DI130" i="103"/>
  <c r="DH130" i="103"/>
  <c r="DI129" i="103"/>
  <c r="DH129" i="103"/>
  <c r="BK128" i="103"/>
  <c r="DI128" i="103"/>
  <c r="DH128" i="103"/>
  <c r="DJ128" i="103"/>
  <c r="DI127" i="103"/>
  <c r="DH127" i="103"/>
  <c r="DK127" i="103" s="1"/>
  <c r="DL127" i="103" s="1"/>
  <c r="BH126" i="103"/>
  <c r="DI126" i="103"/>
  <c r="DH126" i="103"/>
  <c r="DI125" i="103"/>
  <c r="DH125" i="103"/>
  <c r="DK125" i="103" s="1"/>
  <c r="DL125" i="103" s="1"/>
  <c r="BJ124" i="103"/>
  <c r="DI124" i="103"/>
  <c r="DH124" i="103"/>
  <c r="BH123" i="103"/>
  <c r="DI123" i="103"/>
  <c r="DH123" i="103"/>
  <c r="DI122" i="103"/>
  <c r="DH122" i="103"/>
  <c r="DK122" i="103" s="1"/>
  <c r="DL122" i="103" s="1"/>
  <c r="DI121" i="103"/>
  <c r="DH121" i="103"/>
  <c r="BI120" i="103"/>
  <c r="DI120" i="103"/>
  <c r="DH120" i="103"/>
  <c r="DI119" i="103"/>
  <c r="DH119" i="103"/>
  <c r="DK119" i="103" s="1"/>
  <c r="DL119" i="103" s="1"/>
  <c r="DJ119" i="103"/>
  <c r="DI118" i="103"/>
  <c r="DH118" i="103"/>
  <c r="DK118" i="103" s="1"/>
  <c r="DL118" i="103" s="1"/>
  <c r="BL117" i="103"/>
  <c r="DI117" i="103"/>
  <c r="DH117" i="103"/>
  <c r="BL116" i="103"/>
  <c r="DI116" i="103"/>
  <c r="DH116" i="103"/>
  <c r="DK116" i="103" s="1"/>
  <c r="DL116" i="103" s="1"/>
  <c r="DJ116" i="103"/>
  <c r="DI115" i="103"/>
  <c r="DH115" i="103"/>
  <c r="DJ115" i="103"/>
  <c r="DI114" i="103"/>
  <c r="DH114" i="103"/>
  <c r="DI113" i="103"/>
  <c r="DH113" i="103"/>
  <c r="BM112" i="103"/>
  <c r="DI112" i="103"/>
  <c r="DH112" i="103"/>
  <c r="BL111" i="103"/>
  <c r="DI111" i="103"/>
  <c r="DH111" i="103"/>
  <c r="BI110" i="103"/>
  <c r="DI110" i="103"/>
  <c r="DH110" i="103"/>
  <c r="DI109" i="103"/>
  <c r="DH109" i="103"/>
  <c r="DJ109" i="103"/>
  <c r="DI108" i="103"/>
  <c r="DH108" i="103"/>
  <c r="BH107" i="103"/>
  <c r="DI106" i="103"/>
  <c r="DH106" i="103"/>
  <c r="BK106" i="103"/>
  <c r="DI105" i="103"/>
  <c r="DH105" i="103"/>
  <c r="BJ105" i="103"/>
  <c r="DI104" i="103"/>
  <c r="DH104" i="103"/>
  <c r="DI103" i="103"/>
  <c r="DH103" i="103"/>
  <c r="DK103" i="103" s="1"/>
  <c r="DL103" i="103" s="1"/>
  <c r="DI102" i="103"/>
  <c r="DH102" i="103"/>
  <c r="DI101" i="103"/>
  <c r="DH101" i="103"/>
  <c r="DK101" i="103" s="1"/>
  <c r="DL101" i="103" s="1"/>
  <c r="BJ101" i="103"/>
  <c r="DI100" i="103"/>
  <c r="DH100" i="103"/>
  <c r="DI99" i="103"/>
  <c r="DH99" i="103"/>
  <c r="DI98" i="103"/>
  <c r="DH98" i="103"/>
  <c r="BI98" i="103"/>
  <c r="DI97" i="103"/>
  <c r="DH97" i="103"/>
  <c r="DI96" i="103"/>
  <c r="DH96" i="103"/>
  <c r="DJ96" i="103"/>
  <c r="DI95" i="103"/>
  <c r="DH95" i="103"/>
  <c r="DK95" i="103" s="1"/>
  <c r="DL95" i="103" s="1"/>
  <c r="DI94" i="103"/>
  <c r="DH94" i="103"/>
  <c r="DK94" i="103" s="1"/>
  <c r="DL94" i="103" s="1"/>
  <c r="BI94" i="103"/>
  <c r="DI93" i="103"/>
  <c r="DH93" i="103"/>
  <c r="DI92" i="103"/>
  <c r="DH92" i="103"/>
  <c r="DI91" i="103"/>
  <c r="DH91" i="103"/>
  <c r="DI90" i="103"/>
  <c r="DH90" i="103"/>
  <c r="BK90" i="103"/>
  <c r="DI89" i="103"/>
  <c r="DH89" i="103"/>
  <c r="DK89" i="103" s="1"/>
  <c r="DL89" i="103" s="1"/>
  <c r="DI88" i="103"/>
  <c r="DH88" i="103"/>
  <c r="BI88" i="103"/>
  <c r="DI87" i="103"/>
  <c r="DH87" i="103"/>
  <c r="DI86" i="103"/>
  <c r="DH86" i="103"/>
  <c r="BJ86" i="103"/>
  <c r="DI85" i="103"/>
  <c r="DH85" i="103"/>
  <c r="BN85" i="103"/>
  <c r="DI84" i="103"/>
  <c r="DH84" i="103"/>
  <c r="DI83" i="103"/>
  <c r="DH83" i="103"/>
  <c r="DJ83" i="103"/>
  <c r="DI82" i="103"/>
  <c r="DH82" i="103"/>
  <c r="BN82" i="103"/>
  <c r="DI81" i="103"/>
  <c r="DH81" i="103"/>
  <c r="BL81" i="103"/>
  <c r="DI80" i="103"/>
  <c r="DH80" i="103"/>
  <c r="DK80" i="103" s="1"/>
  <c r="DL80" i="103" s="1"/>
  <c r="BN80" i="103"/>
  <c r="DI79" i="103"/>
  <c r="DH79" i="103"/>
  <c r="DK79" i="103" s="1"/>
  <c r="DL79" i="103" s="1"/>
  <c r="BK79" i="103"/>
  <c r="DI78" i="103"/>
  <c r="DH78" i="103"/>
  <c r="DK78" i="103" s="1"/>
  <c r="DL78" i="103" s="1"/>
  <c r="BI78" i="103"/>
  <c r="DI77" i="103"/>
  <c r="DH77" i="103"/>
  <c r="DJ77" i="103"/>
  <c r="DI76" i="103"/>
  <c r="DH76" i="103"/>
  <c r="DJ76" i="103"/>
  <c r="DI75" i="103"/>
  <c r="DH75" i="103"/>
  <c r="DK75" i="103" s="1"/>
  <c r="DL75" i="103" s="1"/>
  <c r="DI74" i="103"/>
  <c r="DH74" i="103"/>
  <c r="BM74" i="103"/>
  <c r="DI73" i="103"/>
  <c r="DH73" i="103"/>
  <c r="BO73" i="103"/>
  <c r="BP73" i="103" s="1"/>
  <c r="DJ73" i="103"/>
  <c r="DI72" i="103"/>
  <c r="DH72" i="103"/>
  <c r="DJ72" i="103"/>
  <c r="DI71" i="103"/>
  <c r="DH71" i="103"/>
  <c r="BH71" i="103"/>
  <c r="DI70" i="103"/>
  <c r="DH70" i="103"/>
  <c r="DI69" i="103"/>
  <c r="DH69" i="103"/>
  <c r="DI68" i="103"/>
  <c r="DH68" i="103"/>
  <c r="DJ68" i="103"/>
  <c r="DI67" i="103"/>
  <c r="DH67" i="103"/>
  <c r="DK67" i="103" s="1"/>
  <c r="DL67" i="103" s="1"/>
  <c r="DI66" i="103"/>
  <c r="DH66" i="103"/>
  <c r="DI65" i="103"/>
  <c r="DH65" i="103"/>
  <c r="BN65" i="103"/>
  <c r="DI64" i="103"/>
  <c r="DH64" i="103"/>
  <c r="BI64" i="103"/>
  <c r="DI63" i="103"/>
  <c r="DH63" i="103"/>
  <c r="DI62" i="103"/>
  <c r="DH62" i="103"/>
  <c r="DI61" i="103"/>
  <c r="DH61" i="103"/>
  <c r="BH61" i="103"/>
  <c r="DI60" i="103"/>
  <c r="DH60" i="103"/>
  <c r="DI59" i="103"/>
  <c r="DH59" i="103"/>
  <c r="DK59" i="103" s="1"/>
  <c r="DL59" i="103" s="1"/>
  <c r="BL59" i="103"/>
  <c r="DI58" i="103"/>
  <c r="DH58" i="103"/>
  <c r="DK58" i="103" s="1"/>
  <c r="DL58" i="103" s="1"/>
  <c r="BL58" i="103"/>
  <c r="DI57" i="103"/>
  <c r="DH57" i="103"/>
  <c r="DK57" i="103" s="1"/>
  <c r="DL57" i="103" s="1"/>
  <c r="BN57" i="103"/>
  <c r="DI56" i="103"/>
  <c r="DH56" i="103"/>
  <c r="DK56" i="103" s="1"/>
  <c r="DL56" i="103" s="1"/>
  <c r="DI55" i="103"/>
  <c r="DH55" i="103"/>
  <c r="DK55" i="103" s="1"/>
  <c r="DL55" i="103" s="1"/>
  <c r="BK55" i="103"/>
  <c r="DI54" i="103"/>
  <c r="DH54" i="103"/>
  <c r="DK54" i="103" s="1"/>
  <c r="DL54" i="103" s="1"/>
  <c r="BH54" i="103"/>
  <c r="DI53" i="103"/>
  <c r="DH53" i="103"/>
  <c r="DK53" i="103" s="1"/>
  <c r="DL53" i="103" s="1"/>
  <c r="DI52" i="103"/>
  <c r="DH52" i="103"/>
  <c r="DK52" i="103" s="1"/>
  <c r="DL52" i="103" s="1"/>
  <c r="DI51" i="103"/>
  <c r="DH51" i="103"/>
  <c r="DK51" i="103" s="1"/>
  <c r="DL51" i="103" s="1"/>
  <c r="BJ51" i="103"/>
  <c r="DI50" i="103"/>
  <c r="DH50" i="103"/>
  <c r="DK50" i="103" s="1"/>
  <c r="DL50" i="103" s="1"/>
  <c r="BL50" i="103"/>
  <c r="DI49" i="103"/>
  <c r="DH49" i="103"/>
  <c r="DK49" i="103" s="1"/>
  <c r="DL49" i="103" s="1"/>
  <c r="DI48" i="103"/>
  <c r="DH48" i="103"/>
  <c r="DK48" i="103" s="1"/>
  <c r="DL48" i="103" s="1"/>
  <c r="DI47" i="103"/>
  <c r="DH47" i="103"/>
  <c r="DK47" i="103" s="1"/>
  <c r="DL47" i="103" s="1"/>
  <c r="BK47" i="103"/>
  <c r="DI46" i="103"/>
  <c r="DH46" i="103"/>
  <c r="BH46" i="103"/>
  <c r="DI45" i="103"/>
  <c r="DH45" i="103"/>
  <c r="DJ45" i="103"/>
  <c r="DI44" i="103"/>
  <c r="DH44" i="103"/>
  <c r="BM44" i="103"/>
  <c r="DI43" i="103"/>
  <c r="DH43" i="103"/>
  <c r="DI42" i="103"/>
  <c r="DH42" i="103"/>
  <c r="DK42" i="103" s="1"/>
  <c r="DL42" i="103" s="1"/>
  <c r="DI41" i="103"/>
  <c r="DH41" i="103"/>
  <c r="BM41" i="103"/>
  <c r="DI40" i="103"/>
  <c r="DH40" i="103"/>
  <c r="BI40" i="103"/>
  <c r="DI39" i="103"/>
  <c r="DH39" i="103"/>
  <c r="DK39" i="103" s="1"/>
  <c r="DL39" i="103" s="1"/>
  <c r="BH39" i="103"/>
  <c r="DI38" i="103"/>
  <c r="DH38" i="103"/>
  <c r="DI37" i="103"/>
  <c r="DH37" i="103"/>
  <c r="DI36" i="103"/>
  <c r="DH36" i="103"/>
  <c r="DJ36" i="103"/>
  <c r="DI35" i="103"/>
  <c r="DH35" i="103"/>
  <c r="DJ35" i="103"/>
  <c r="DI34" i="103"/>
  <c r="DH34" i="103"/>
  <c r="DI33" i="103"/>
  <c r="DH33" i="103"/>
  <c r="BN33" i="103"/>
  <c r="DI32" i="103"/>
  <c r="DH32" i="103"/>
  <c r="DI31" i="103"/>
  <c r="DH31" i="103"/>
  <c r="DK31" i="103" s="1"/>
  <c r="DL31" i="103" s="1"/>
  <c r="BK31" i="103"/>
  <c r="DI30" i="103"/>
  <c r="DH30" i="103"/>
  <c r="BJ30" i="103"/>
  <c r="DI29" i="103"/>
  <c r="DH29" i="103"/>
  <c r="BL29" i="103"/>
  <c r="DI28" i="103"/>
  <c r="DH28" i="103"/>
  <c r="BL28" i="103"/>
  <c r="DI27" i="103"/>
  <c r="DH27" i="103"/>
  <c r="DI26" i="103"/>
  <c r="DH26" i="103"/>
  <c r="DI25" i="103"/>
  <c r="DH25" i="103"/>
  <c r="DI24" i="103"/>
  <c r="DH24" i="103"/>
  <c r="BH24" i="103"/>
  <c r="DI23" i="103"/>
  <c r="DH23" i="103"/>
  <c r="DK23" i="103" s="1"/>
  <c r="DL23" i="103" s="1"/>
  <c r="DJ23" i="103"/>
  <c r="DI22" i="103"/>
  <c r="DH22" i="103"/>
  <c r="DK22" i="103" s="1"/>
  <c r="DL22" i="103" s="1"/>
  <c r="BN22" i="103"/>
  <c r="DI21" i="103"/>
  <c r="DH21" i="103"/>
  <c r="DK21" i="103" s="1"/>
  <c r="DL21" i="103" s="1"/>
  <c r="CH21" i="103"/>
  <c r="CI21" i="103" s="1"/>
  <c r="DI20" i="103"/>
  <c r="DH20" i="103"/>
  <c r="DK20" i="103" s="1"/>
  <c r="DL20" i="103" s="1"/>
  <c r="CH20" i="103"/>
  <c r="CI20" i="103" s="1"/>
  <c r="BL20" i="103"/>
  <c r="DI19" i="103"/>
  <c r="DH19" i="103"/>
  <c r="DK19" i="103" s="1"/>
  <c r="DL19" i="103" s="1"/>
  <c r="CH19" i="103"/>
  <c r="BJ19" i="103"/>
  <c r="DI18" i="103"/>
  <c r="DH18" i="103"/>
  <c r="DK18" i="103" s="1"/>
  <c r="DL18" i="103" s="1"/>
  <c r="CH18" i="103"/>
  <c r="X18" i="103"/>
  <c r="DI17" i="103"/>
  <c r="DH17" i="103"/>
  <c r="DK17" i="103" s="1"/>
  <c r="DL17" i="103" s="1"/>
  <c r="CH17" i="103"/>
  <c r="CI17" i="103" s="1"/>
  <c r="BJ17" i="103"/>
  <c r="DI16" i="103"/>
  <c r="DH16" i="103"/>
  <c r="DK16" i="103" s="1"/>
  <c r="DL16" i="103" s="1"/>
  <c r="CK16" i="103"/>
  <c r="CH16" i="103"/>
  <c r="DI15" i="103"/>
  <c r="DH15" i="103"/>
  <c r="DK15" i="103" s="1"/>
  <c r="DL15" i="103" s="1"/>
  <c r="CK15" i="103"/>
  <c r="CH15" i="103"/>
  <c r="BL15" i="103"/>
  <c r="AA15" i="103"/>
  <c r="Z15" i="103"/>
  <c r="Y15" i="103"/>
  <c r="DI14" i="103"/>
  <c r="DH14" i="103"/>
  <c r="DK14" i="103" s="1"/>
  <c r="DL14" i="103" s="1"/>
  <c r="CH14" i="103"/>
  <c r="BI14" i="103"/>
  <c r="AH14" i="103"/>
  <c r="DI13" i="103"/>
  <c r="DH13" i="103"/>
  <c r="CK13" i="103"/>
  <c r="CH13" i="103"/>
  <c r="CI13" i="103" s="1"/>
  <c r="AJ13" i="103"/>
  <c r="AH13" i="103"/>
  <c r="AA13" i="103"/>
  <c r="Z13" i="103"/>
  <c r="DI12" i="103"/>
  <c r="DH12" i="103"/>
  <c r="CH12" i="103"/>
  <c r="BM12" i="103"/>
  <c r="AJ12" i="103"/>
  <c r="AH12" i="103"/>
  <c r="AA12" i="103"/>
  <c r="Z12" i="103"/>
  <c r="Y12" i="103"/>
  <c r="DI11" i="103"/>
  <c r="DH11" i="103"/>
  <c r="CH11" i="103"/>
  <c r="BO11" i="103"/>
  <c r="BP11" i="103" s="1"/>
  <c r="DJ11" i="103"/>
  <c r="AJ11" i="103"/>
  <c r="AH11" i="103"/>
  <c r="AA11" i="103"/>
  <c r="Z11" i="103"/>
  <c r="Y11" i="103"/>
  <c r="DI10" i="103"/>
  <c r="DH10" i="103"/>
  <c r="CQ12" i="103"/>
  <c r="CK10" i="103"/>
  <c r="CH10" i="103"/>
  <c r="CG10" i="103"/>
  <c r="BN179" i="103" s="1"/>
  <c r="CB10" i="103"/>
  <c r="BI21" i="103" s="1"/>
  <c r="BJ10" i="103"/>
  <c r="AJ10" i="103"/>
  <c r="AH10" i="103"/>
  <c r="DI9" i="103"/>
  <c r="DH9" i="103"/>
  <c r="CQ11" i="103"/>
  <c r="C24" i="79" s="1"/>
  <c r="CK9" i="103"/>
  <c r="CH9" i="103"/>
  <c r="CI9" i="103" s="1"/>
  <c r="BJ9" i="103"/>
  <c r="AJ9" i="103"/>
  <c r="AH9" i="103"/>
  <c r="DI8" i="103"/>
  <c r="DH8" i="103"/>
  <c r="CH8" i="103"/>
  <c r="CI8" i="103" s="1"/>
  <c r="AJ8" i="103"/>
  <c r="AH8" i="103"/>
  <c r="AA8" i="103"/>
  <c r="Z8" i="103"/>
  <c r="Y8" i="103"/>
  <c r="DI7" i="103"/>
  <c r="DH7" i="103"/>
  <c r="CQ7" i="103"/>
  <c r="CH7" i="103"/>
  <c r="BM7" i="103"/>
  <c r="AJ7" i="103"/>
  <c r="AA7" i="103"/>
  <c r="Z7" i="103"/>
  <c r="Y7" i="103"/>
  <c r="DI6" i="103"/>
  <c r="DH6" i="103"/>
  <c r="CH6" i="103"/>
  <c r="BI6" i="103"/>
  <c r="AJ6" i="103"/>
  <c r="AA6" i="103"/>
  <c r="Z6" i="103"/>
  <c r="Y6" i="103"/>
  <c r="DI5" i="103"/>
  <c r="DH5" i="103"/>
  <c r="CH5" i="103"/>
  <c r="AJ5" i="103"/>
  <c r="AH5" i="103"/>
  <c r="DI4" i="103"/>
  <c r="DH4" i="103"/>
  <c r="CQ4" i="103"/>
  <c r="CH4" i="103"/>
  <c r="CI4" i="103" s="1"/>
  <c r="BL4" i="103"/>
  <c r="AJ4" i="103"/>
  <c r="AH4" i="103"/>
  <c r="AA4" i="103"/>
  <c r="Z4" i="103"/>
  <c r="Y4" i="103"/>
  <c r="A4" i="103"/>
  <c r="A5" i="103" s="1"/>
  <c r="A6" i="103" s="1"/>
  <c r="A7" i="103" s="1"/>
  <c r="A8" i="103" s="1"/>
  <c r="A9" i="103" s="1"/>
  <c r="A10" i="103" s="1"/>
  <c r="A11" i="103" s="1"/>
  <c r="A12" i="103" s="1"/>
  <c r="A13" i="103" s="1"/>
  <c r="DI3" i="103"/>
  <c r="DH3" i="103"/>
  <c r="CK3" i="103"/>
  <c r="CH3" i="103"/>
  <c r="BJ3" i="103"/>
  <c r="AJ3" i="103"/>
  <c r="AH3" i="103"/>
  <c r="AA3" i="103"/>
  <c r="Z3" i="103"/>
  <c r="Y3" i="103"/>
  <c r="CH2" i="103"/>
  <c r="CG2" i="103"/>
  <c r="CF2" i="103"/>
  <c r="CE2" i="103"/>
  <c r="CD2" i="103"/>
  <c r="CC2" i="103"/>
  <c r="CB2" i="103"/>
  <c r="CA2" i="103"/>
  <c r="CV1" i="103"/>
  <c r="CU1" i="103"/>
  <c r="G268" i="102"/>
  <c r="G267" i="102"/>
  <c r="G266" i="102"/>
  <c r="G265" i="102"/>
  <c r="G264" i="102"/>
  <c r="F249" i="102"/>
  <c r="G58" i="110" s="1"/>
  <c r="B232" i="102"/>
  <c r="B231" i="102"/>
  <c r="B230" i="102"/>
  <c r="B213" i="102"/>
  <c r="C213" i="102" s="1"/>
  <c r="B212" i="102"/>
  <c r="C212" i="102" s="1"/>
  <c r="B211" i="102"/>
  <c r="B210" i="102"/>
  <c r="B209" i="102"/>
  <c r="B207" i="102"/>
  <c r="C207" i="102" s="1"/>
  <c r="B206" i="102"/>
  <c r="B205" i="102"/>
  <c r="C205" i="102" s="1"/>
  <c r="B204" i="102"/>
  <c r="B175" i="102"/>
  <c r="C175" i="102" s="1"/>
  <c r="B174" i="102"/>
  <c r="C174" i="102" s="1"/>
  <c r="B173" i="102"/>
  <c r="C173" i="102" s="1"/>
  <c r="B172" i="102"/>
  <c r="B171" i="102"/>
  <c r="B170" i="102"/>
  <c r="C170" i="102" s="1"/>
  <c r="B169" i="102"/>
  <c r="B168" i="102"/>
  <c r="C168" i="102" s="1"/>
  <c r="B167" i="102"/>
  <c r="B166" i="102"/>
  <c r="C166" i="102" s="1"/>
  <c r="B165" i="102"/>
  <c r="B164" i="102"/>
  <c r="C164" i="102" s="1"/>
  <c r="B163" i="102"/>
  <c r="C163" i="102" s="1"/>
  <c r="B162" i="102"/>
  <c r="C162" i="102" s="1"/>
  <c r="B161" i="102"/>
  <c r="C161" i="102" s="1"/>
  <c r="B160" i="102"/>
  <c r="C160" i="102" s="1"/>
  <c r="B159" i="102"/>
  <c r="C159" i="102" s="1"/>
  <c r="B158" i="102"/>
  <c r="C158" i="102" s="1"/>
  <c r="B157" i="102"/>
  <c r="C157" i="102" s="1"/>
  <c r="B156" i="102"/>
  <c r="C156" i="102" s="1"/>
  <c r="B155" i="102"/>
  <c r="B154" i="102"/>
  <c r="C154" i="102" s="1"/>
  <c r="B153" i="102"/>
  <c r="B152" i="102"/>
  <c r="C152" i="102" s="1"/>
  <c r="B151" i="102"/>
  <c r="B150" i="102"/>
  <c r="C150" i="102" s="1"/>
  <c r="B149" i="102"/>
  <c r="C149" i="102" s="1"/>
  <c r="B148" i="102"/>
  <c r="C148" i="102" s="1"/>
  <c r="B147" i="102"/>
  <c r="B146" i="102"/>
  <c r="C146" i="102" s="1"/>
  <c r="B145" i="102"/>
  <c r="B144" i="102"/>
  <c r="C144" i="102" s="1"/>
  <c r="B143" i="102"/>
  <c r="B142" i="102"/>
  <c r="C142" i="102" s="1"/>
  <c r="B141" i="102"/>
  <c r="C141" i="102" s="1"/>
  <c r="B140" i="102"/>
  <c r="C140" i="102" s="1"/>
  <c r="B139" i="102"/>
  <c r="C139" i="102" s="1"/>
  <c r="B138" i="102"/>
  <c r="B137" i="102"/>
  <c r="C137" i="102" s="1"/>
  <c r="B136" i="102"/>
  <c r="B135" i="102"/>
  <c r="C135" i="102" s="1"/>
  <c r="B134" i="102"/>
  <c r="B133" i="102"/>
  <c r="C133" i="102" s="1"/>
  <c r="B132" i="102"/>
  <c r="B131" i="102"/>
  <c r="C131" i="102" s="1"/>
  <c r="B130" i="102"/>
  <c r="B129" i="102"/>
  <c r="C129" i="102" s="1"/>
  <c r="B128" i="102"/>
  <c r="B127" i="102"/>
  <c r="C127" i="102" s="1"/>
  <c r="B126" i="102"/>
  <c r="B125" i="102"/>
  <c r="C125" i="102" s="1"/>
  <c r="B124" i="102"/>
  <c r="B123" i="102"/>
  <c r="C123" i="102" s="1"/>
  <c r="B122" i="102"/>
  <c r="C122" i="102" s="1"/>
  <c r="B121" i="102"/>
  <c r="C121" i="102" s="1"/>
  <c r="B120" i="102"/>
  <c r="B119" i="102"/>
  <c r="C119" i="102" s="1"/>
  <c r="B118" i="102"/>
  <c r="B117" i="102"/>
  <c r="C117" i="102" s="1"/>
  <c r="B116" i="102"/>
  <c r="C116" i="102" s="1"/>
  <c r="B115" i="102"/>
  <c r="C115" i="102" s="1"/>
  <c r="B114" i="102"/>
  <c r="C114" i="102" s="1"/>
  <c r="B113" i="102"/>
  <c r="B112" i="102"/>
  <c r="C112" i="102" s="1"/>
  <c r="B111" i="102"/>
  <c r="B110" i="102"/>
  <c r="B109" i="102"/>
  <c r="C109" i="102" s="1"/>
  <c r="B108" i="102"/>
  <c r="C108" i="102" s="1"/>
  <c r="B107" i="102"/>
  <c r="C107" i="102" s="1"/>
  <c r="B106" i="102"/>
  <c r="C106" i="102" s="1"/>
  <c r="B105" i="102"/>
  <c r="C105" i="102" s="1"/>
  <c r="B104" i="102"/>
  <c r="B103" i="102"/>
  <c r="C103" i="102" s="1"/>
  <c r="B102" i="102"/>
  <c r="B101" i="102"/>
  <c r="C101" i="102" s="1"/>
  <c r="B100" i="102"/>
  <c r="B99" i="102"/>
  <c r="C99" i="102" s="1"/>
  <c r="B98" i="102"/>
  <c r="B97" i="102"/>
  <c r="C97" i="102" s="1"/>
  <c r="B96" i="102"/>
  <c r="B95" i="102"/>
  <c r="C95" i="102" s="1"/>
  <c r="B94" i="102"/>
  <c r="C94" i="102" s="1"/>
  <c r="B93" i="102"/>
  <c r="C93" i="102" s="1"/>
  <c r="B92" i="102"/>
  <c r="B91" i="102"/>
  <c r="C91" i="102" s="1"/>
  <c r="B90" i="102"/>
  <c r="B89" i="102"/>
  <c r="C89" i="102" s="1"/>
  <c r="B88" i="102"/>
  <c r="C88" i="102" s="1"/>
  <c r="B87" i="102"/>
  <c r="C87" i="102" s="1"/>
  <c r="B86" i="102"/>
  <c r="C86" i="102" s="1"/>
  <c r="B85" i="102"/>
  <c r="C85" i="102" s="1"/>
  <c r="B84" i="102"/>
  <c r="B83" i="102"/>
  <c r="C83" i="102" s="1"/>
  <c r="B82" i="102"/>
  <c r="B81" i="102"/>
  <c r="C81" i="102" s="1"/>
  <c r="C65" i="102"/>
  <c r="A65" i="102"/>
  <c r="B35" i="79" s="1"/>
  <c r="C64" i="102"/>
  <c r="A64" i="102"/>
  <c r="B34" i="79" s="1"/>
  <c r="A63" i="102"/>
  <c r="B33" i="79" s="1"/>
  <c r="C62" i="102"/>
  <c r="J62" i="102" s="1"/>
  <c r="A62" i="102"/>
  <c r="B32" i="79" s="1"/>
  <c r="C61" i="102"/>
  <c r="J61" i="102" s="1"/>
  <c r="A61" i="102"/>
  <c r="B31" i="79" s="1"/>
  <c r="I38" i="102"/>
  <c r="A38" i="102"/>
  <c r="B28" i="79" s="1"/>
  <c r="I37" i="102"/>
  <c r="C27" i="79" s="1"/>
  <c r="A37" i="102"/>
  <c r="B27" i="79" s="1"/>
  <c r="I36" i="102"/>
  <c r="A36" i="102"/>
  <c r="B26" i="79" s="1"/>
  <c r="I35" i="102"/>
  <c r="A35" i="102"/>
  <c r="B25" i="79" s="1"/>
  <c r="A34" i="102"/>
  <c r="B24" i="79" s="1"/>
  <c r="I33" i="102"/>
  <c r="C23" i="79" s="1"/>
  <c r="A33" i="102"/>
  <c r="B23" i="79" s="1"/>
  <c r="F32" i="102"/>
  <c r="A32" i="102"/>
  <c r="B22" i="79" s="1"/>
  <c r="A31" i="102"/>
  <c r="B21" i="79" s="1"/>
  <c r="A30" i="102"/>
  <c r="B20" i="79" s="1"/>
  <c r="E20" i="79" s="1"/>
  <c r="D1" i="102"/>
  <c r="C1" i="101"/>
  <c r="C231" i="102" l="1"/>
  <c r="A24" i="107"/>
  <c r="F24" i="107" s="1"/>
  <c r="L27" i="107" s="1"/>
  <c r="C230" i="102"/>
  <c r="A17" i="107"/>
  <c r="F17" i="107" s="1"/>
  <c r="L20" i="107" s="1"/>
  <c r="C232" i="102"/>
  <c r="A38" i="107"/>
  <c r="F38" i="107" s="1"/>
  <c r="L38" i="107" s="1"/>
  <c r="M38" i="107" s="1"/>
  <c r="CK14" i="103"/>
  <c r="M11" i="104"/>
  <c r="D84" i="102"/>
  <c r="C84" i="102"/>
  <c r="D132" i="102"/>
  <c r="C132" i="102"/>
  <c r="D134" i="102"/>
  <c r="C134" i="102"/>
  <c r="D92" i="102"/>
  <c r="C92" i="102"/>
  <c r="D102" i="102"/>
  <c r="C102" i="102"/>
  <c r="D118" i="102"/>
  <c r="C118" i="102"/>
  <c r="D124" i="102"/>
  <c r="C124" i="102"/>
  <c r="E124" i="102" s="1"/>
  <c r="D172" i="102"/>
  <c r="C172" i="102"/>
  <c r="D34" i="102"/>
  <c r="D110" i="102"/>
  <c r="C110" i="102"/>
  <c r="D126" i="102"/>
  <c r="C126" i="102"/>
  <c r="D147" i="102"/>
  <c r="C147" i="102"/>
  <c r="D165" i="102"/>
  <c r="C165" i="102"/>
  <c r="D167" i="102"/>
  <c r="C167" i="102"/>
  <c r="D120" i="102"/>
  <c r="C120" i="102"/>
  <c r="D136" i="102"/>
  <c r="C136" i="102"/>
  <c r="D153" i="102"/>
  <c r="C153" i="102"/>
  <c r="D138" i="102"/>
  <c r="C138" i="102"/>
  <c r="E138" i="102" s="1"/>
  <c r="D155" i="102"/>
  <c r="C155" i="102"/>
  <c r="D111" i="102"/>
  <c r="C111" i="102"/>
  <c r="D143" i="102"/>
  <c r="C143" i="102"/>
  <c r="D169" i="102"/>
  <c r="C169" i="102"/>
  <c r="D96" i="102"/>
  <c r="C96" i="102"/>
  <c r="D113" i="102"/>
  <c r="C113" i="102"/>
  <c r="D145" i="102"/>
  <c r="C145" i="102"/>
  <c r="D100" i="102"/>
  <c r="C100" i="102"/>
  <c r="D151" i="102"/>
  <c r="C151" i="102"/>
  <c r="D104" i="102"/>
  <c r="C104" i="102"/>
  <c r="D90" i="102"/>
  <c r="C90" i="102"/>
  <c r="D171" i="102"/>
  <c r="C171" i="102"/>
  <c r="D128" i="102"/>
  <c r="C128" i="102"/>
  <c r="D82" i="102"/>
  <c r="C82" i="102"/>
  <c r="D98" i="102"/>
  <c r="C98" i="102"/>
  <c r="D130" i="102"/>
  <c r="C130" i="102"/>
  <c r="BI191" i="103"/>
  <c r="BI196" i="103"/>
  <c r="BO8" i="103"/>
  <c r="F21" i="79"/>
  <c r="E21" i="79"/>
  <c r="G21" i="79" s="1"/>
  <c r="F34" i="79"/>
  <c r="E34" i="79"/>
  <c r="F35" i="79"/>
  <c r="E35" i="79"/>
  <c r="F20" i="79"/>
  <c r="F25" i="79"/>
  <c r="E25" i="79"/>
  <c r="F31" i="79"/>
  <c r="E31" i="79"/>
  <c r="F22" i="79"/>
  <c r="E22" i="79"/>
  <c r="G22" i="79" s="1"/>
  <c r="F26" i="79"/>
  <c r="E26" i="79"/>
  <c r="F32" i="79"/>
  <c r="E32" i="79"/>
  <c r="F23" i="79"/>
  <c r="E23" i="79"/>
  <c r="G23" i="79" s="1"/>
  <c r="F27" i="79"/>
  <c r="E27" i="79"/>
  <c r="G27" i="79" s="1"/>
  <c r="F33" i="79"/>
  <c r="E33" i="79"/>
  <c r="F24" i="79"/>
  <c r="E24" i="79"/>
  <c r="G24" i="79" s="1"/>
  <c r="E28" i="79"/>
  <c r="F28" i="79"/>
  <c r="E264" i="102"/>
  <c r="C38" i="79"/>
  <c r="G38" i="79" s="1"/>
  <c r="E265" i="102"/>
  <c r="C39" i="79"/>
  <c r="G39" i="79" s="1"/>
  <c r="E266" i="102"/>
  <c r="C40" i="79"/>
  <c r="E267" i="102"/>
  <c r="C41" i="79"/>
  <c r="E268" i="102"/>
  <c r="C42" i="79"/>
  <c r="G61" i="102"/>
  <c r="C31" i="79"/>
  <c r="F62" i="102"/>
  <c r="C32" i="79"/>
  <c r="F36" i="102"/>
  <c r="C26" i="79"/>
  <c r="D38" i="102"/>
  <c r="C28" i="79"/>
  <c r="E35" i="102"/>
  <c r="C25" i="79"/>
  <c r="H14" i="107"/>
  <c r="M31" i="107"/>
  <c r="N11" i="105"/>
  <c r="C206" i="102" s="1"/>
  <c r="M35" i="107"/>
  <c r="D233" i="102" s="1"/>
  <c r="G102" i="110"/>
  <c r="Q12" i="104"/>
  <c r="BO190" i="103"/>
  <c r="J64" i="102"/>
  <c r="M10" i="104"/>
  <c r="Q10" i="104"/>
  <c r="J65" i="102"/>
  <c r="E37" i="102"/>
  <c r="D37" i="102"/>
  <c r="F34" i="102"/>
  <c r="BM249" i="103"/>
  <c r="BN249" i="103"/>
  <c r="F35" i="102"/>
  <c r="H76" i="77"/>
  <c r="CK11" i="103"/>
  <c r="E21" i="104"/>
  <c r="N11" i="104" s="1"/>
  <c r="E38" i="102"/>
  <c r="F38" i="102"/>
  <c r="BN247" i="103"/>
  <c r="CK12" i="103"/>
  <c r="H50" i="77"/>
  <c r="BN6" i="103"/>
  <c r="BO162" i="103"/>
  <c r="BO176" i="103"/>
  <c r="H27" i="77"/>
  <c r="DJ141" i="103"/>
  <c r="BO50" i="103"/>
  <c r="DJ6" i="103"/>
  <c r="BL249" i="103"/>
  <c r="BJ114" i="103"/>
  <c r="DJ192" i="103"/>
  <c r="BJ249" i="103"/>
  <c r="BK249" i="103"/>
  <c r="I11" i="107"/>
  <c r="I14" i="107" s="1"/>
  <c r="D88" i="102"/>
  <c r="E88" i="102" s="1"/>
  <c r="BM39" i="103"/>
  <c r="BN39" i="103"/>
  <c r="BH28" i="103"/>
  <c r="BM59" i="103"/>
  <c r="BN162" i="103"/>
  <c r="BJ6" i="103"/>
  <c r="BK6" i="103"/>
  <c r="M9" i="104"/>
  <c r="BL6" i="103"/>
  <c r="DJ105" i="103"/>
  <c r="BM131" i="103"/>
  <c r="BL247" i="103"/>
  <c r="H27" i="107"/>
  <c r="G101" i="110" s="1"/>
  <c r="I25" i="107"/>
  <c r="I27" i="107" s="1"/>
  <c r="M27" i="107" s="1"/>
  <c r="D232" i="102" s="1"/>
  <c r="DJ263" i="103"/>
  <c r="BH6" i="103"/>
  <c r="CK17" i="103"/>
  <c r="BI28" i="103"/>
  <c r="BN59" i="103"/>
  <c r="BJ28" i="103"/>
  <c r="BL131" i="103"/>
  <c r="BK247" i="103"/>
  <c r="E61" i="102"/>
  <c r="BM6" i="103"/>
  <c r="DJ28" i="103"/>
  <c r="BM247" i="103"/>
  <c r="DJ26" i="103"/>
  <c r="BI26" i="103"/>
  <c r="BM160" i="103"/>
  <c r="BL160" i="103"/>
  <c r="BL121" i="103"/>
  <c r="BM121" i="103"/>
  <c r="BH26" i="103"/>
  <c r="E34" i="102"/>
  <c r="BK23" i="103"/>
  <c r="BH80" i="103"/>
  <c r="BK132" i="103"/>
  <c r="BI167" i="103"/>
  <c r="BL178" i="103"/>
  <c r="BL23" i="103"/>
  <c r="BO56" i="103"/>
  <c r="BJ80" i="103"/>
  <c r="BL132" i="103"/>
  <c r="BM167" i="103"/>
  <c r="BM178" i="103"/>
  <c r="BM23" i="103"/>
  <c r="BJ39" i="103"/>
  <c r="BL80" i="103"/>
  <c r="BN132" i="103"/>
  <c r="BN167" i="103"/>
  <c r="D94" i="102"/>
  <c r="E94" i="102" s="1"/>
  <c r="BL39" i="103"/>
  <c r="BM80" i="103"/>
  <c r="BJ247" i="103"/>
  <c r="BN38" i="103"/>
  <c r="BO227" i="103"/>
  <c r="BI24" i="103"/>
  <c r="BK124" i="103"/>
  <c r="BL24" i="103"/>
  <c r="BM46" i="103"/>
  <c r="BM124" i="103"/>
  <c r="BM139" i="103"/>
  <c r="BK169" i="103"/>
  <c r="BO36" i="103"/>
  <c r="DJ46" i="103"/>
  <c r="BM82" i="103"/>
  <c r="BN237" i="103"/>
  <c r="BN60" i="103"/>
  <c r="BL214" i="103"/>
  <c r="BL255" i="103"/>
  <c r="BJ23" i="103"/>
  <c r="BN51" i="103"/>
  <c r="BO24" i="103"/>
  <c r="BK58" i="103"/>
  <c r="BL199" i="103"/>
  <c r="BN124" i="103"/>
  <c r="BN107" i="103"/>
  <c r="BL169" i="103"/>
  <c r="DJ125" i="103"/>
  <c r="BJ131" i="103"/>
  <c r="D161" i="102"/>
  <c r="E161" i="102" s="1"/>
  <c r="CI18" i="103"/>
  <c r="BI132" i="103"/>
  <c r="BN255" i="103"/>
  <c r="BM51" i="103"/>
  <c r="DJ133" i="103"/>
  <c r="BJ139" i="103"/>
  <c r="BK257" i="103"/>
  <c r="BL124" i="103"/>
  <c r="BK139" i="103"/>
  <c r="BL257" i="103"/>
  <c r="BO208" i="103"/>
  <c r="BN46" i="103"/>
  <c r="BN199" i="103"/>
  <c r="DJ20" i="103"/>
  <c r="BN277" i="103"/>
  <c r="DJ108" i="103"/>
  <c r="BK131" i="103"/>
  <c r="DJ147" i="103"/>
  <c r="DJ170" i="103"/>
  <c r="BI280" i="103"/>
  <c r="BI13" i="103"/>
  <c r="DJ13" i="103"/>
  <c r="BM236" i="103"/>
  <c r="BM280" i="103"/>
  <c r="BM13" i="103"/>
  <c r="BK158" i="103"/>
  <c r="BN13" i="103"/>
  <c r="BI16" i="103"/>
  <c r="BL16" i="103"/>
  <c r="BJ16" i="103"/>
  <c r="BN56" i="103"/>
  <c r="BH91" i="103"/>
  <c r="BM91" i="103"/>
  <c r="DJ91" i="103"/>
  <c r="BN91" i="103"/>
  <c r="BH214" i="103"/>
  <c r="BN214" i="103"/>
  <c r="BI91" i="103"/>
  <c r="BI192" i="103"/>
  <c r="BI214" i="103"/>
  <c r="BL219" i="103"/>
  <c r="D157" i="102"/>
  <c r="BL86" i="103"/>
  <c r="BN86" i="103"/>
  <c r="BK91" i="103"/>
  <c r="BH104" i="103"/>
  <c r="BN104" i="103"/>
  <c r="BJ192" i="103"/>
  <c r="BJ214" i="103"/>
  <c r="BM219" i="103"/>
  <c r="BI86" i="103"/>
  <c r="BL192" i="103"/>
  <c r="BK214" i="103"/>
  <c r="BM122" i="103"/>
  <c r="BK122" i="103"/>
  <c r="DJ123" i="103"/>
  <c r="BN122" i="103"/>
  <c r="BL244" i="103"/>
  <c r="BM244" i="103"/>
  <c r="BN244" i="103"/>
  <c r="BI244" i="103"/>
  <c r="BJ122" i="103"/>
  <c r="DJ41" i="103"/>
  <c r="BN100" i="103"/>
  <c r="BH100" i="103"/>
  <c r="BM100" i="103"/>
  <c r="BL100" i="103"/>
  <c r="BJ100" i="103"/>
  <c r="BI100" i="103"/>
  <c r="BK178" i="103"/>
  <c r="DJ179" i="103"/>
  <c r="BK183" i="103"/>
  <c r="BL211" i="103"/>
  <c r="BN229" i="103"/>
  <c r="BO33" i="103"/>
  <c r="BL280" i="103"/>
  <c r="BL25" i="103"/>
  <c r="BM25" i="103"/>
  <c r="BN25" i="103"/>
  <c r="BH244" i="103"/>
  <c r="BN41" i="103"/>
  <c r="BI111" i="103"/>
  <c r="BM183" i="103"/>
  <c r="BI240" i="103"/>
  <c r="BK240" i="103"/>
  <c r="BN240" i="103"/>
  <c r="BM240" i="103"/>
  <c r="BL240" i="103"/>
  <c r="BM211" i="103"/>
  <c r="DJ212" i="103"/>
  <c r="BH122" i="103"/>
  <c r="BH211" i="103"/>
  <c r="CQ5" i="103"/>
  <c r="I30" i="102" s="1"/>
  <c r="CQ3" i="103"/>
  <c r="J63" i="102" s="1"/>
  <c r="BI117" i="103"/>
  <c r="BJ211" i="103"/>
  <c r="BM117" i="103"/>
  <c r="BJ183" i="103"/>
  <c r="BK211" i="103"/>
  <c r="BJ240" i="103"/>
  <c r="BI10" i="103"/>
  <c r="BI19" i="103"/>
  <c r="BI81" i="103"/>
  <c r="BH96" i="103"/>
  <c r="BI108" i="103"/>
  <c r="BJ164" i="103"/>
  <c r="BH203" i="103"/>
  <c r="BJ234" i="103"/>
  <c r="BM260" i="103"/>
  <c r="D115" i="102"/>
  <c r="E115" i="102" s="1"/>
  <c r="BO175" i="103"/>
  <c r="BK19" i="103"/>
  <c r="BM29" i="103"/>
  <c r="BO34" i="103"/>
  <c r="BI61" i="103"/>
  <c r="BK77" i="103"/>
  <c r="BL96" i="103"/>
  <c r="BJ108" i="103"/>
  <c r="BJ133" i="103"/>
  <c r="BM164" i="103"/>
  <c r="BJ203" i="103"/>
  <c r="BK234" i="103"/>
  <c r="BK237" i="103"/>
  <c r="BN260" i="103"/>
  <c r="BM3" i="103"/>
  <c r="BL19" i="103"/>
  <c r="BN29" i="103"/>
  <c r="BJ61" i="103"/>
  <c r="BM96" i="103"/>
  <c r="BL108" i="103"/>
  <c r="BL184" i="103"/>
  <c r="BK203" i="103"/>
  <c r="BI220" i="103"/>
  <c r="BL234" i="103"/>
  <c r="BL237" i="103"/>
  <c r="BH257" i="103"/>
  <c r="BH277" i="103"/>
  <c r="D35" i="102"/>
  <c r="BN3" i="103"/>
  <c r="BM19" i="103"/>
  <c r="BH23" i="103"/>
  <c r="BI39" i="103"/>
  <c r="BO49" i="103"/>
  <c r="BK61" i="103"/>
  <c r="BN96" i="103"/>
  <c r="BK105" i="103"/>
  <c r="BM108" i="103"/>
  <c r="BI131" i="103"/>
  <c r="BM184" i="103"/>
  <c r="BK199" i="103"/>
  <c r="BL203" i="103"/>
  <c r="BN215" i="103"/>
  <c r="BK220" i="103"/>
  <c r="BM234" i="103"/>
  <c r="BM237" i="103"/>
  <c r="BJ257" i="103"/>
  <c r="BK277" i="103"/>
  <c r="BM61" i="103"/>
  <c r="BI231" i="103"/>
  <c r="BH191" i="103"/>
  <c r="DJ204" i="103"/>
  <c r="DJ221" i="103"/>
  <c r="BM272" i="103"/>
  <c r="BK30" i="103"/>
  <c r="BM17" i="103"/>
  <c r="BN23" i="103"/>
  <c r="BI36" i="103"/>
  <c r="BH106" i="103"/>
  <c r="BJ120" i="103"/>
  <c r="BI127" i="103"/>
  <c r="BN131" i="103"/>
  <c r="BK166" i="103"/>
  <c r="BK191" i="103"/>
  <c r="DJ200" i="103"/>
  <c r="BH213" i="103"/>
  <c r="D149" i="102"/>
  <c r="E149" i="102" s="1"/>
  <c r="BH59" i="103"/>
  <c r="BJ106" i="103"/>
  <c r="BH235" i="103"/>
  <c r="BN7" i="103"/>
  <c r="BL36" i="103"/>
  <c r="BM55" i="103"/>
  <c r="BJ98" i="103"/>
  <c r="BJ157" i="103"/>
  <c r="BN166" i="103"/>
  <c r="BM191" i="103"/>
  <c r="BN210" i="103"/>
  <c r="BJ213" i="103"/>
  <c r="BI235" i="103"/>
  <c r="BL238" i="103"/>
  <c r="DJ258" i="103"/>
  <c r="BI262" i="103"/>
  <c r="BN19" i="103"/>
  <c r="BL272" i="103"/>
  <c r="BK231" i="103"/>
  <c r="BM257" i="103"/>
  <c r="BN123" i="103"/>
  <c r="BL231" i="103"/>
  <c r="BH7" i="103"/>
  <c r="BL55" i="103"/>
  <c r="BN127" i="103"/>
  <c r="BL191" i="103"/>
  <c r="BI213" i="103"/>
  <c r="BN9" i="103"/>
  <c r="BM36" i="103"/>
  <c r="DJ50" i="103"/>
  <c r="BN55" i="103"/>
  <c r="BJ59" i="103"/>
  <c r="BJ94" i="103"/>
  <c r="BL98" i="103"/>
  <c r="DJ101" i="103"/>
  <c r="BN106" i="103"/>
  <c r="BI146" i="103"/>
  <c r="BK157" i="103"/>
  <c r="BN191" i="103"/>
  <c r="BM235" i="103"/>
  <c r="BM238" i="103"/>
  <c r="BH247" i="103"/>
  <c r="DJ250" i="103"/>
  <c r="BJ255" i="103"/>
  <c r="BL61" i="103"/>
  <c r="BN108" i="103"/>
  <c r="BN234" i="103"/>
  <c r="BO148" i="103"/>
  <c r="BI123" i="103"/>
  <c r="BH194" i="103"/>
  <c r="BH17" i="103"/>
  <c r="BH30" i="103"/>
  <c r="BN61" i="103"/>
  <c r="BM123" i="103"/>
  <c r="BK50" i="103"/>
  <c r="BJ55" i="103"/>
  <c r="DJ235" i="103"/>
  <c r="BK9" i="103"/>
  <c r="DJ19" i="103"/>
  <c r="BK101" i="103"/>
  <c r="BH210" i="103"/>
  <c r="BM231" i="103"/>
  <c r="BL9" i="103"/>
  <c r="BK36" i="103"/>
  <c r="DJ61" i="103"/>
  <c r="BN231" i="103"/>
  <c r="BM9" i="103"/>
  <c r="DJ30" i="103"/>
  <c r="BI59" i="103"/>
  <c r="DJ124" i="103"/>
  <c r="BN94" i="103"/>
  <c r="BN98" i="103"/>
  <c r="BI121" i="103"/>
  <c r="BI124" i="103"/>
  <c r="BN146" i="103"/>
  <c r="DJ232" i="103"/>
  <c r="BN235" i="103"/>
  <c r="BI247" i="103"/>
  <c r="BK255" i="103"/>
  <c r="BN258" i="103"/>
  <c r="BN43" i="103"/>
  <c r="BM43" i="103"/>
  <c r="BL43" i="103"/>
  <c r="BI43" i="103"/>
  <c r="BJ43" i="103"/>
  <c r="BM67" i="103"/>
  <c r="BJ67" i="103"/>
  <c r="BN67" i="103"/>
  <c r="BK67" i="103"/>
  <c r="BI177" i="103"/>
  <c r="BM177" i="103"/>
  <c r="BK177" i="103"/>
  <c r="BH177" i="103"/>
  <c r="DJ178" i="103"/>
  <c r="BL185" i="103"/>
  <c r="BK185" i="103"/>
  <c r="BH145" i="103"/>
  <c r="BI168" i="103"/>
  <c r="BL168" i="103"/>
  <c r="BK168" i="103"/>
  <c r="BL14" i="103"/>
  <c r="BI185" i="103"/>
  <c r="BI209" i="103"/>
  <c r="BN209" i="103"/>
  <c r="BM209" i="103"/>
  <c r="DJ210" i="103"/>
  <c r="BN223" i="103"/>
  <c r="CI16" i="103"/>
  <c r="BK57" i="103"/>
  <c r="BJ197" i="103"/>
  <c r="D122" i="102"/>
  <c r="E122" i="102" s="1"/>
  <c r="D163" i="102"/>
  <c r="E163" i="102" s="1"/>
  <c r="DJ5" i="103"/>
  <c r="BL5" i="103"/>
  <c r="BJ60" i="103"/>
  <c r="BK76" i="103"/>
  <c r="BH118" i="103"/>
  <c r="BL141" i="103"/>
  <c r="BM145" i="103"/>
  <c r="BK153" i="103"/>
  <c r="BN168" i="103"/>
  <c r="BN185" i="103"/>
  <c r="BK197" i="103"/>
  <c r="DJ244" i="103"/>
  <c r="BJ250" i="103"/>
  <c r="DJ251" i="103"/>
  <c r="BN250" i="103"/>
  <c r="BH5" i="103"/>
  <c r="BJ21" i="103"/>
  <c r="BI27" i="103"/>
  <c r="BN27" i="103"/>
  <c r="BO27" i="103"/>
  <c r="BI34" i="103"/>
  <c r="BH44" i="103"/>
  <c r="BL47" i="103"/>
  <c r="BK60" i="103"/>
  <c r="BL76" i="103"/>
  <c r="BJ95" i="103"/>
  <c r="DJ95" i="103"/>
  <c r="DJ102" i="103"/>
  <c r="BL102" i="103"/>
  <c r="BJ102" i="103"/>
  <c r="BH102" i="103"/>
  <c r="BM102" i="103"/>
  <c r="BI102" i="103"/>
  <c r="BJ118" i="103"/>
  <c r="BH128" i="103"/>
  <c r="BI135" i="103"/>
  <c r="BH135" i="103"/>
  <c r="DJ136" i="103"/>
  <c r="BJ138" i="103"/>
  <c r="BM141" i="103"/>
  <c r="BN158" i="103"/>
  <c r="BL158" i="103"/>
  <c r="DJ159" i="103"/>
  <c r="BI161" i="103"/>
  <c r="BL197" i="103"/>
  <c r="BL209" i="103"/>
  <c r="BH224" i="103"/>
  <c r="BN224" i="103"/>
  <c r="BL224" i="103"/>
  <c r="BJ224" i="103"/>
  <c r="BM224" i="103"/>
  <c r="BK224" i="103"/>
  <c r="BK250" i="103"/>
  <c r="BI5" i="103"/>
  <c r="BO226" i="103"/>
  <c r="CI6" i="103"/>
  <c r="BL21" i="103"/>
  <c r="BL27" i="103"/>
  <c r="BJ34" i="103"/>
  <c r="BI44" i="103"/>
  <c r="BM47" i="103"/>
  <c r="DJ54" i="103"/>
  <c r="BM60" i="103"/>
  <c r="BM76" i="103"/>
  <c r="BK95" i="103"/>
  <c r="BL99" i="103"/>
  <c r="BM99" i="103"/>
  <c r="BI99" i="103"/>
  <c r="BN102" i="103"/>
  <c r="BH115" i="103"/>
  <c r="BN115" i="103"/>
  <c r="BM115" i="103"/>
  <c r="BK115" i="103"/>
  <c r="BI128" i="103"/>
  <c r="BK135" i="103"/>
  <c r="BK138" i="103"/>
  <c r="BH158" i="103"/>
  <c r="BM197" i="103"/>
  <c r="BN205" i="103"/>
  <c r="BI205" i="103"/>
  <c r="BI224" i="103"/>
  <c r="BL250" i="103"/>
  <c r="DJ266" i="103"/>
  <c r="BN265" i="103"/>
  <c r="BJ265" i="103"/>
  <c r="BH265" i="103"/>
  <c r="BJ5" i="103"/>
  <c r="BO10" i="103"/>
  <c r="BM10" i="103"/>
  <c r="BM27" i="103"/>
  <c r="BK34" i="103"/>
  <c r="DJ40" i="103"/>
  <c r="BK44" i="103"/>
  <c r="BN47" i="103"/>
  <c r="BO58" i="103"/>
  <c r="DJ58" i="103"/>
  <c r="BM84" i="103"/>
  <c r="BN84" i="103"/>
  <c r="BJ84" i="103"/>
  <c r="DJ84" i="103"/>
  <c r="BK84" i="103"/>
  <c r="BH84" i="103"/>
  <c r="BI115" i="103"/>
  <c r="BJ128" i="103"/>
  <c r="BL135" i="103"/>
  <c r="DJ146" i="103"/>
  <c r="BI158" i="103"/>
  <c r="BI166" i="103"/>
  <c r="BJ166" i="103"/>
  <c r="DJ167" i="103"/>
  <c r="DJ169" i="103"/>
  <c r="BN173" i="103"/>
  <c r="DJ186" i="103"/>
  <c r="BH201" i="103"/>
  <c r="BL201" i="103"/>
  <c r="BK205" i="103"/>
  <c r="BH255" i="103"/>
  <c r="BK265" i="103"/>
  <c r="BK5" i="103"/>
  <c r="BH10" i="103"/>
  <c r="BL41" i="103"/>
  <c r="BK41" i="103"/>
  <c r="BH41" i="103"/>
  <c r="BI41" i="103"/>
  <c r="BJ41" i="103"/>
  <c r="BL44" i="103"/>
  <c r="DJ55" i="103"/>
  <c r="BI55" i="103"/>
  <c r="BH55" i="103"/>
  <c r="BI58" i="103"/>
  <c r="BJ115" i="103"/>
  <c r="BL125" i="103"/>
  <c r="BM125" i="103"/>
  <c r="BI125" i="103"/>
  <c r="BM135" i="103"/>
  <c r="DJ142" i="103"/>
  <c r="BJ158" i="103"/>
  <c r="BH166" i="103"/>
  <c r="BJ186" i="103"/>
  <c r="BI186" i="103"/>
  <c r="BN186" i="103"/>
  <c r="BL186" i="103"/>
  <c r="BK186" i="103"/>
  <c r="BI201" i="103"/>
  <c r="BI255" i="103"/>
  <c r="BL265" i="103"/>
  <c r="BK274" i="103"/>
  <c r="BL134" i="103"/>
  <c r="DJ135" i="103"/>
  <c r="BH134" i="103"/>
  <c r="BN134" i="103"/>
  <c r="BM134" i="103"/>
  <c r="BJ134" i="103"/>
  <c r="BK134" i="103"/>
  <c r="D106" i="102"/>
  <c r="E106" i="102" s="1"/>
  <c r="BJ22" i="103"/>
  <c r="DJ67" i="103"/>
  <c r="BJ116" i="103"/>
  <c r="BI136" i="103"/>
  <c r="BJ155" i="103"/>
  <c r="BJ228" i="103"/>
  <c r="BH271" i="103"/>
  <c r="BM275" i="103"/>
  <c r="DJ279" i="103"/>
  <c r="BK209" i="103"/>
  <c r="BI228" i="103"/>
  <c r="BJ14" i="103"/>
  <c r="BH168" i="103"/>
  <c r="BI141" i="103"/>
  <c r="D141" i="102"/>
  <c r="E141" i="102" s="1"/>
  <c r="BM5" i="103"/>
  <c r="BH65" i="103"/>
  <c r="BN198" i="103"/>
  <c r="BL198" i="103"/>
  <c r="DJ199" i="103"/>
  <c r="BM31" i="103"/>
  <c r="BO31" i="103"/>
  <c r="BN31" i="103"/>
  <c r="BI74" i="103"/>
  <c r="DJ92" i="103"/>
  <c r="BN92" i="103"/>
  <c r="BI92" i="103"/>
  <c r="BH92" i="103"/>
  <c r="BH228" i="103"/>
  <c r="BM38" i="103"/>
  <c r="BJ85" i="103"/>
  <c r="BH112" i="103"/>
  <c r="BL179" i="103"/>
  <c r="BK179" i="103"/>
  <c r="BH179" i="103"/>
  <c r="BM179" i="103"/>
  <c r="BI179" i="103"/>
  <c r="BL22" i="103"/>
  <c r="BJ271" i="103"/>
  <c r="D86" i="102"/>
  <c r="E86" i="102" s="1"/>
  <c r="D108" i="102"/>
  <c r="E108" i="102" s="1"/>
  <c r="D159" i="102"/>
  <c r="E159" i="102" s="1"/>
  <c r="D175" i="102"/>
  <c r="E175" i="102" s="1"/>
  <c r="BM4" i="103"/>
  <c r="BO12" i="103"/>
  <c r="BJ20" i="103"/>
  <c r="DJ22" i="103"/>
  <c r="BN71" i="103"/>
  <c r="BM71" i="103"/>
  <c r="BL71" i="103"/>
  <c r="BJ71" i="103"/>
  <c r="BH82" i="103"/>
  <c r="BH127" i="103"/>
  <c r="BM127" i="103"/>
  <c r="BI152" i="103"/>
  <c r="DJ180" i="103"/>
  <c r="BK222" i="103"/>
  <c r="BL276" i="103"/>
  <c r="BK276" i="103"/>
  <c r="DJ277" i="103"/>
  <c r="E31" i="102"/>
  <c r="F31" i="102"/>
  <c r="BH197" i="103"/>
  <c r="BO76" i="103"/>
  <c r="BI76" i="103"/>
  <c r="BH76" i="103"/>
  <c r="BN76" i="103"/>
  <c r="BM185" i="103"/>
  <c r="BO128" i="103"/>
  <c r="BN128" i="103"/>
  <c r="DJ129" i="103"/>
  <c r="BL128" i="103"/>
  <c r="BM128" i="103"/>
  <c r="BI151" i="103"/>
  <c r="BJ151" i="103"/>
  <c r="BN151" i="103"/>
  <c r="BM151" i="103"/>
  <c r="BK151" i="103"/>
  <c r="DJ34" i="103"/>
  <c r="BH74" i="103"/>
  <c r="BK278" i="103"/>
  <c r="BH52" i="103"/>
  <c r="BM52" i="103"/>
  <c r="BK52" i="103"/>
  <c r="BI85" i="103"/>
  <c r="BH206" i="103"/>
  <c r="BN206" i="103"/>
  <c r="BM206" i="103"/>
  <c r="BI206" i="103"/>
  <c r="BL206" i="103"/>
  <c r="BK206" i="103"/>
  <c r="BJ206" i="103"/>
  <c r="BI225" i="103"/>
  <c r="BN225" i="103"/>
  <c r="BJ65" i="103"/>
  <c r="BI116" i="103"/>
  <c r="BN116" i="103"/>
  <c r="BL31" i="103"/>
  <c r="BO42" i="103"/>
  <c r="BK42" i="103"/>
  <c r="BI42" i="103"/>
  <c r="BN49" i="103"/>
  <c r="BM65" i="103"/>
  <c r="BM85" i="103"/>
  <c r="BM92" i="103"/>
  <c r="BI130" i="103"/>
  <c r="BJ130" i="103"/>
  <c r="BM279" i="103"/>
  <c r="BL279" i="103"/>
  <c r="BN279" i="103"/>
  <c r="BJ279" i="103"/>
  <c r="BI267" i="103"/>
  <c r="BH267" i="103"/>
  <c r="BH12" i="103"/>
  <c r="BL18" i="103"/>
  <c r="DJ18" i="103"/>
  <c r="BK20" i="103"/>
  <c r="DJ29" i="103"/>
  <c r="BI29" i="103"/>
  <c r="BH29" i="103"/>
  <c r="DJ52" i="103"/>
  <c r="BI82" i="103"/>
  <c r="BJ152" i="103"/>
  <c r="BH171" i="103"/>
  <c r="BL171" i="103"/>
  <c r="BJ180" i="103"/>
  <c r="BL180" i="103"/>
  <c r="DJ181" i="103"/>
  <c r="BK180" i="103"/>
  <c r="BN180" i="103"/>
  <c r="DJ219" i="103"/>
  <c r="BM218" i="103"/>
  <c r="BH218" i="103"/>
  <c r="BL218" i="103"/>
  <c r="BK218" i="103"/>
  <c r="BJ218" i="103"/>
  <c r="BL222" i="103"/>
  <c r="BK236" i="103"/>
  <c r="BJ236" i="103"/>
  <c r="BH236" i="103"/>
  <c r="DJ237" i="103"/>
  <c r="BM263" i="103"/>
  <c r="BL263" i="103"/>
  <c r="BK263" i="103"/>
  <c r="BI263" i="103"/>
  <c r="DJ264" i="103"/>
  <c r="BJ263" i="103"/>
  <c r="BN263" i="103"/>
  <c r="BH263" i="103"/>
  <c r="BL267" i="103"/>
  <c r="BH276" i="103"/>
  <c r="BH67" i="103"/>
  <c r="CI12" i="103"/>
  <c r="DJ47" i="103"/>
  <c r="BJ47" i="103"/>
  <c r="BI47" i="103"/>
  <c r="BJ149" i="103"/>
  <c r="BN177" i="103"/>
  <c r="BN226" i="103"/>
  <c r="BL149" i="103"/>
  <c r="CI14" i="103"/>
  <c r="BN216" i="103"/>
  <c r="BM216" i="103"/>
  <c r="BH85" i="103"/>
  <c r="DJ85" i="103"/>
  <c r="BI65" i="103"/>
  <c r="BL88" i="103"/>
  <c r="D173" i="102"/>
  <c r="E173" i="102" s="1"/>
  <c r="BN88" i="103"/>
  <c r="BI198" i="103"/>
  <c r="BJ225" i="103"/>
  <c r="BL65" i="103"/>
  <c r="BL92" i="103"/>
  <c r="BN52" i="103"/>
  <c r="BM198" i="103"/>
  <c r="BK228" i="103"/>
  <c r="BL252" i="103"/>
  <c r="BN252" i="103"/>
  <c r="BM252" i="103"/>
  <c r="DJ10" i="103"/>
  <c r="BI12" i="103"/>
  <c r="BM18" i="103"/>
  <c r="BJ29" i="103"/>
  <c r="DJ42" i="103"/>
  <c r="BO53" i="103"/>
  <c r="BK53" i="103"/>
  <c r="BL53" i="103"/>
  <c r="BI71" i="103"/>
  <c r="BJ82" i="103"/>
  <c r="DJ86" i="103"/>
  <c r="BM86" i="103"/>
  <c r="BM90" i="103"/>
  <c r="BJ90" i="103"/>
  <c r="DJ90" i="103"/>
  <c r="BJ113" i="103"/>
  <c r="BK113" i="103"/>
  <c r="DJ114" i="103"/>
  <c r="BJ127" i="103"/>
  <c r="BI171" i="103"/>
  <c r="BI180" i="103"/>
  <c r="BK208" i="103"/>
  <c r="BJ208" i="103"/>
  <c r="BH208" i="103"/>
  <c r="BI208" i="103"/>
  <c r="DJ226" i="103"/>
  <c r="DJ229" i="103"/>
  <c r="BI236" i="103"/>
  <c r="BJ239" i="103"/>
  <c r="BK239" i="103"/>
  <c r="BL256" i="103"/>
  <c r="BM267" i="103"/>
  <c r="BI276" i="103"/>
  <c r="BI145" i="103"/>
  <c r="BN145" i="103"/>
  <c r="BJ243" i="103"/>
  <c r="BN243" i="103"/>
  <c r="BK243" i="103"/>
  <c r="BH43" i="103"/>
  <c r="BK141" i="103"/>
  <c r="BN141" i="103"/>
  <c r="DJ154" i="103"/>
  <c r="BN153" i="103"/>
  <c r="BM153" i="103"/>
  <c r="BJ177" i="103"/>
  <c r="BH185" i="103"/>
  <c r="BH57" i="103"/>
  <c r="BI134" i="103"/>
  <c r="BH153" i="103"/>
  <c r="BH190" i="103"/>
  <c r="BJ190" i="103"/>
  <c r="BI197" i="103"/>
  <c r="BH47" i="103"/>
  <c r="BH60" i="103"/>
  <c r="DJ60" i="103"/>
  <c r="BJ76" i="103"/>
  <c r="BM118" i="103"/>
  <c r="BN118" i="103"/>
  <c r="BK118" i="103"/>
  <c r="BL145" i="103"/>
  <c r="BI153" i="103"/>
  <c r="BM168" i="103"/>
  <c r="BJ209" i="103"/>
  <c r="BJ161" i="103"/>
  <c r="BN161" i="103"/>
  <c r="BL161" i="103"/>
  <c r="DJ162" i="103"/>
  <c r="BI195" i="103"/>
  <c r="BN195" i="103"/>
  <c r="BK195" i="103"/>
  <c r="BJ195" i="103"/>
  <c r="DJ198" i="103"/>
  <c r="BN5" i="103"/>
  <c r="BJ88" i="103"/>
  <c r="BH151" i="103"/>
  <c r="BH195" i="103"/>
  <c r="BK216" i="103"/>
  <c r="BH248" i="103"/>
  <c r="DJ249" i="103"/>
  <c r="BN248" i="103"/>
  <c r="BJ248" i="103"/>
  <c r="BM248" i="103"/>
  <c r="BL248" i="103"/>
  <c r="BK248" i="103"/>
  <c r="BL35" i="103"/>
  <c r="BN35" i="103"/>
  <c r="BM35" i="103"/>
  <c r="DJ44" i="103"/>
  <c r="BJ112" i="103"/>
  <c r="BI112" i="103"/>
  <c r="BN126" i="103"/>
  <c r="BM126" i="103"/>
  <c r="BL126" i="103"/>
  <c r="BJ126" i="103"/>
  <c r="BI126" i="103"/>
  <c r="BM195" i="103"/>
  <c r="BH198" i="103"/>
  <c r="BL216" i="103"/>
  <c r="BL221" i="103"/>
  <c r="BM221" i="103"/>
  <c r="BH221" i="103"/>
  <c r="BK221" i="103"/>
  <c r="BJ221" i="103"/>
  <c r="BI221" i="103"/>
  <c r="BI275" i="103"/>
  <c r="BJ275" i="103"/>
  <c r="BH275" i="103"/>
  <c r="BN275" i="103"/>
  <c r="BM15" i="103"/>
  <c r="BH35" i="103"/>
  <c r="BI52" i="103"/>
  <c r="BJ74" i="103"/>
  <c r="BJ92" i="103"/>
  <c r="BH136" i="103"/>
  <c r="DJ137" i="103"/>
  <c r="BM271" i="103"/>
  <c r="BN271" i="103"/>
  <c r="BK271" i="103"/>
  <c r="BL271" i="103"/>
  <c r="BI35" i="103"/>
  <c r="BH45" i="103"/>
  <c r="BJ52" i="103"/>
  <c r="BL74" i="103"/>
  <c r="BK85" i="103"/>
  <c r="BL112" i="103"/>
  <c r="CI15" i="103"/>
  <c r="BI20" i="103"/>
  <c r="BM20" i="103"/>
  <c r="BN20" i="103"/>
  <c r="BJ35" i="103"/>
  <c r="BN74" i="103"/>
  <c r="BK136" i="103"/>
  <c r="BL152" i="103"/>
  <c r="DJ153" i="103"/>
  <c r="BN152" i="103"/>
  <c r="BM152" i="103"/>
  <c r="BL175" i="103"/>
  <c r="DJ196" i="103"/>
  <c r="DJ207" i="103"/>
  <c r="BL225" i="103"/>
  <c r="BK242" i="103"/>
  <c r="BN242" i="103"/>
  <c r="BM242" i="103"/>
  <c r="BJ242" i="103"/>
  <c r="BL242" i="103"/>
  <c r="BH20" i="103"/>
  <c r="BK35" i="103"/>
  <c r="BH42" i="103"/>
  <c r="BL89" i="103"/>
  <c r="BM89" i="103"/>
  <c r="BI89" i="103"/>
  <c r="BN112" i="103"/>
  <c r="BN130" i="103"/>
  <c r="BL136" i="103"/>
  <c r="BH152" i="103"/>
  <c r="BH188" i="103"/>
  <c r="BL188" i="103"/>
  <c r="BJ188" i="103"/>
  <c r="BJ196" i="103"/>
  <c r="DJ197" i="103"/>
  <c r="BN196" i="103"/>
  <c r="BK196" i="103"/>
  <c r="BL196" i="103"/>
  <c r="BM225" i="103"/>
  <c r="BM228" i="103"/>
  <c r="BH242" i="103"/>
  <c r="BH252" i="103"/>
  <c r="DJ256" i="103"/>
  <c r="BH279" i="103"/>
  <c r="D31" i="102"/>
  <c r="BJ12" i="103"/>
  <c r="BN26" i="103"/>
  <c r="BM26" i="103"/>
  <c r="BJ26" i="103"/>
  <c r="BK29" i="103"/>
  <c r="BI50" i="103"/>
  <c r="BH50" i="103"/>
  <c r="BJ53" i="103"/>
  <c r="BL82" i="103"/>
  <c r="BH86" i="103"/>
  <c r="BH90" i="103"/>
  <c r="BH124" i="103"/>
  <c r="BK127" i="103"/>
  <c r="BI157" i="103"/>
  <c r="DJ158" i="103"/>
  <c r="BM157" i="103"/>
  <c r="BN157" i="103"/>
  <c r="BJ171" i="103"/>
  <c r="BL236" i="103"/>
  <c r="BH239" i="103"/>
  <c r="DJ243" i="103"/>
  <c r="BN267" i="103"/>
  <c r="BM276" i="103"/>
  <c r="BI183" i="103"/>
  <c r="DJ184" i="103"/>
  <c r="BL241" i="103"/>
  <c r="BI241" i="103"/>
  <c r="BH241" i="103"/>
  <c r="DJ80" i="103"/>
  <c r="BI80" i="103"/>
  <c r="BM106" i="103"/>
  <c r="DJ106" i="103"/>
  <c r="BH131" i="103"/>
  <c r="BI139" i="103"/>
  <c r="BH139" i="103"/>
  <c r="BH183" i="103"/>
  <c r="BH220" i="103"/>
  <c r="BM241" i="103"/>
  <c r="BM258" i="103"/>
  <c r="BH13" i="103"/>
  <c r="BH33" i="103"/>
  <c r="BH51" i="103"/>
  <c r="BI104" i="103"/>
  <c r="BI107" i="103"/>
  <c r="BJ110" i="103"/>
  <c r="BI140" i="103"/>
  <c r="DJ161" i="103"/>
  <c r="BN160" i="103"/>
  <c r="BI266" i="103"/>
  <c r="BL270" i="103"/>
  <c r="BM270" i="103"/>
  <c r="BO64" i="103"/>
  <c r="DJ185" i="103"/>
  <c r="BN184" i="103"/>
  <c r="BI215" i="103"/>
  <c r="DJ216" i="103"/>
  <c r="BI3" i="103"/>
  <c r="BJ13" i="103"/>
  <c r="BO17" i="103"/>
  <c r="BO273" i="103"/>
  <c r="BO23" i="103"/>
  <c r="BH25" i="103"/>
  <c r="BK33" i="103"/>
  <c r="BI46" i="103"/>
  <c r="BI51" i="103"/>
  <c r="BJ64" i="103"/>
  <c r="BJ78" i="103"/>
  <c r="BJ104" i="103"/>
  <c r="BJ107" i="103"/>
  <c r="BL110" i="103"/>
  <c r="BM140" i="103"/>
  <c r="BH160" i="103"/>
  <c r="BK167" i="103"/>
  <c r="BJ167" i="103"/>
  <c r="BH167" i="103"/>
  <c r="BI174" i="103"/>
  <c r="BH178" i="103"/>
  <c r="BI184" i="103"/>
  <c r="BK215" i="103"/>
  <c r="BM254" i="103"/>
  <c r="BL266" i="103"/>
  <c r="BH270" i="103"/>
  <c r="BL273" i="103"/>
  <c r="BM277" i="103"/>
  <c r="BL277" i="103"/>
  <c r="BJ277" i="103"/>
  <c r="BK3" i="103"/>
  <c r="BO38" i="103"/>
  <c r="BL33" i="103"/>
  <c r="BL104" i="103"/>
  <c r="BN110" i="103"/>
  <c r="BI160" i="103"/>
  <c r="BJ174" i="103"/>
  <c r="BI178" i="103"/>
  <c r="BJ184" i="103"/>
  <c r="BL215" i="103"/>
  <c r="BH237" i="103"/>
  <c r="BJ237" i="103"/>
  <c r="BI270" i="103"/>
  <c r="BO51" i="103"/>
  <c r="BL140" i="103"/>
  <c r="BK140" i="103"/>
  <c r="BJ140" i="103"/>
  <c r="BH140" i="103"/>
  <c r="BK13" i="103"/>
  <c r="BJ25" i="103"/>
  <c r="BJ46" i="103"/>
  <c r="BM64" i="103"/>
  <c r="BL78" i="103"/>
  <c r="BK107" i="103"/>
  <c r="BL3" i="103"/>
  <c r="BK7" i="103"/>
  <c r="BI9" i="103"/>
  <c r="BL13" i="103"/>
  <c r="BI17" i="103"/>
  <c r="BI23" i="103"/>
  <c r="BI30" i="103"/>
  <c r="BK46" i="103"/>
  <c r="BL51" i="103"/>
  <c r="BN78" i="103"/>
  <c r="BJ91" i="103"/>
  <c r="BL94" i="103"/>
  <c r="BM104" i="103"/>
  <c r="BM107" i="103"/>
  <c r="BM114" i="103"/>
  <c r="BN114" i="103"/>
  <c r="BK114" i="103"/>
  <c r="BH114" i="103"/>
  <c r="BH132" i="103"/>
  <c r="BK160" i="103"/>
  <c r="BL167" i="103"/>
  <c r="BL174" i="103"/>
  <c r="BJ178" i="103"/>
  <c r="BK184" i="103"/>
  <c r="BI199" i="103"/>
  <c r="BI203" i="103"/>
  <c r="BM215" i="103"/>
  <c r="BJ231" i="103"/>
  <c r="BI237" i="103"/>
  <c r="BK270" i="103"/>
  <c r="BI277" i="103"/>
  <c r="DJ215" i="103"/>
  <c r="DJ241" i="103"/>
  <c r="BM81" i="103"/>
  <c r="BI96" i="103"/>
  <c r="BM111" i="103"/>
  <c r="BL120" i="103"/>
  <c r="BJ123" i="103"/>
  <c r="BK146" i="103"/>
  <c r="BJ96" i="103"/>
  <c r="BH108" i="103"/>
  <c r="BN120" i="103"/>
  <c r="BK123" i="103"/>
  <c r="BL146" i="103"/>
  <c r="C210" i="102"/>
  <c r="BI63" i="103"/>
  <c r="BH63" i="103"/>
  <c r="BM63" i="103"/>
  <c r="DJ63" i="103"/>
  <c r="BK63" i="103"/>
  <c r="BO63" i="103"/>
  <c r="BN63" i="103"/>
  <c r="BL63" i="103"/>
  <c r="BJ63" i="103"/>
  <c r="D81" i="102"/>
  <c r="D97" i="102"/>
  <c r="D112" i="102"/>
  <c r="D87" i="102"/>
  <c r="D162" i="102"/>
  <c r="D127" i="102"/>
  <c r="D140" i="102"/>
  <c r="D156" i="102"/>
  <c r="D168" i="102"/>
  <c r="G62" i="102"/>
  <c r="E62" i="102"/>
  <c r="D91" i="102"/>
  <c r="D107" i="102"/>
  <c r="D121" i="102"/>
  <c r="D137" i="102"/>
  <c r="D150" i="102"/>
  <c r="BJ66" i="103"/>
  <c r="BI66" i="103"/>
  <c r="BN66" i="103"/>
  <c r="BL66" i="103"/>
  <c r="BO66" i="103"/>
  <c r="BM66" i="103"/>
  <c r="BK66" i="103"/>
  <c r="BH66" i="103"/>
  <c r="D160" i="102"/>
  <c r="D144" i="102"/>
  <c r="D95" i="102"/>
  <c r="D125" i="102"/>
  <c r="D154" i="102"/>
  <c r="BJ75" i="103"/>
  <c r="BI75" i="103"/>
  <c r="BH75" i="103"/>
  <c r="BN75" i="103"/>
  <c r="BM75" i="103"/>
  <c r="BL75" i="103"/>
  <c r="DJ75" i="103"/>
  <c r="BO75" i="103"/>
  <c r="BK75" i="103"/>
  <c r="BH163" i="103"/>
  <c r="BN163" i="103"/>
  <c r="BM163" i="103"/>
  <c r="DJ164" i="103"/>
  <c r="BK163" i="103"/>
  <c r="BO163" i="103"/>
  <c r="BL163" i="103"/>
  <c r="BJ163" i="103"/>
  <c r="BI163" i="103"/>
  <c r="F33" i="102"/>
  <c r="D33" i="102"/>
  <c r="D117" i="102"/>
  <c r="BN97" i="103"/>
  <c r="BM97" i="103"/>
  <c r="BL97" i="103"/>
  <c r="DJ97" i="103"/>
  <c r="BK97" i="103"/>
  <c r="BJ97" i="103"/>
  <c r="BI97" i="103"/>
  <c r="BH97" i="103"/>
  <c r="BO97" i="103"/>
  <c r="D131" i="102"/>
  <c r="E32" i="102"/>
  <c r="D32" i="102"/>
  <c r="D89" i="102"/>
  <c r="D105" i="102"/>
  <c r="D119" i="102"/>
  <c r="D135" i="102"/>
  <c r="D148" i="102"/>
  <c r="D164" i="102"/>
  <c r="D174" i="102"/>
  <c r="BI37" i="103"/>
  <c r="BM37" i="103"/>
  <c r="BO37" i="103"/>
  <c r="BN37" i="103"/>
  <c r="BL37" i="103"/>
  <c r="BJ37" i="103"/>
  <c r="BK37" i="103"/>
  <c r="DJ37" i="103"/>
  <c r="BH37" i="103"/>
  <c r="BN62" i="103"/>
  <c r="BM62" i="103"/>
  <c r="BJ62" i="103"/>
  <c r="BH62" i="103"/>
  <c r="DJ62" i="103"/>
  <c r="BO62" i="103"/>
  <c r="BL62" i="103"/>
  <c r="BK62" i="103"/>
  <c r="BI62" i="103"/>
  <c r="DJ66" i="103"/>
  <c r="D133" i="102"/>
  <c r="F37" i="102"/>
  <c r="E36" i="102"/>
  <c r="D36" i="102"/>
  <c r="D99" i="102"/>
  <c r="D158" i="102"/>
  <c r="D170" i="102"/>
  <c r="BN32" i="103"/>
  <c r="BO32" i="103"/>
  <c r="BM32" i="103"/>
  <c r="BL32" i="103"/>
  <c r="BK32" i="103"/>
  <c r="DJ32" i="103"/>
  <c r="BJ32" i="103"/>
  <c r="BI32" i="103"/>
  <c r="BH32" i="103"/>
  <c r="D103" i="102"/>
  <c r="D146" i="102"/>
  <c r="D85" i="102"/>
  <c r="D101" i="102"/>
  <c r="D116" i="102"/>
  <c r="D83" i="102"/>
  <c r="D114" i="102"/>
  <c r="D129" i="102"/>
  <c r="D142" i="102"/>
  <c r="E33" i="102"/>
  <c r="D93" i="102"/>
  <c r="D109" i="102"/>
  <c r="D123" i="102"/>
  <c r="D139" i="102"/>
  <c r="D152" i="102"/>
  <c r="D166" i="102"/>
  <c r="BO274" i="103"/>
  <c r="BO193" i="103"/>
  <c r="BO189" i="103"/>
  <c r="BO182" i="103"/>
  <c r="BO136" i="103"/>
  <c r="CI5" i="103"/>
  <c r="DJ8" i="103"/>
  <c r="BN8" i="103"/>
  <c r="BM8" i="103"/>
  <c r="BL8" i="103"/>
  <c r="BK8" i="103"/>
  <c r="BJ8" i="103"/>
  <c r="BI8" i="103"/>
  <c r="BH8" i="103"/>
  <c r="BN4" i="103"/>
  <c r="BO7" i="103"/>
  <c r="DJ7" i="103"/>
  <c r="BI218" i="103"/>
  <c r="BI169" i="103"/>
  <c r="BK14" i="103"/>
  <c r="BN15" i="103"/>
  <c r="DJ15" i="103"/>
  <c r="BK16" i="103"/>
  <c r="BO272" i="103"/>
  <c r="BO239" i="103"/>
  <c r="BN18" i="103"/>
  <c r="BK21" i="103"/>
  <c r="BK22" i="103"/>
  <c r="BO35" i="103"/>
  <c r="BH40" i="103"/>
  <c r="BL40" i="103"/>
  <c r="BM45" i="103"/>
  <c r="BL45" i="103"/>
  <c r="BI45" i="103"/>
  <c r="BJ54" i="103"/>
  <c r="BI54" i="103"/>
  <c r="BN54" i="103"/>
  <c r="BO71" i="103"/>
  <c r="BJ79" i="103"/>
  <c r="BI79" i="103"/>
  <c r="BH79" i="103"/>
  <c r="BN79" i="103"/>
  <c r="BM79" i="103"/>
  <c r="BL79" i="103"/>
  <c r="BO82" i="103"/>
  <c r="BN103" i="103"/>
  <c r="BM103" i="103"/>
  <c r="BL103" i="103"/>
  <c r="DJ103" i="103"/>
  <c r="BK103" i="103"/>
  <c r="BJ103" i="103"/>
  <c r="BI103" i="103"/>
  <c r="BH103" i="103"/>
  <c r="BO147" i="103"/>
  <c r="BO165" i="103"/>
  <c r="BM181" i="103"/>
  <c r="BL181" i="103"/>
  <c r="DJ182" i="103"/>
  <c r="BK181" i="103"/>
  <c r="BJ181" i="103"/>
  <c r="BH181" i="103"/>
  <c r="BO181" i="103"/>
  <c r="BN181" i="103"/>
  <c r="BI181" i="103"/>
  <c r="BO15" i="103"/>
  <c r="BO18" i="103"/>
  <c r="BL48" i="103"/>
  <c r="DJ48" i="103"/>
  <c r="BK48" i="103"/>
  <c r="BH48" i="103"/>
  <c r="BL70" i="103"/>
  <c r="DJ70" i="103"/>
  <c r="BK70" i="103"/>
  <c r="BH70" i="103"/>
  <c r="BN70" i="103"/>
  <c r="BO103" i="103"/>
  <c r="BN119" i="103"/>
  <c r="BM119" i="103"/>
  <c r="BL119" i="103"/>
  <c r="DJ120" i="103"/>
  <c r="BK119" i="103"/>
  <c r="BJ119" i="103"/>
  <c r="BI119" i="103"/>
  <c r="BH119" i="103"/>
  <c r="BO135" i="103"/>
  <c r="BO138" i="103"/>
  <c r="BN144" i="103"/>
  <c r="BL144" i="103"/>
  <c r="DJ145" i="103"/>
  <c r="BK144" i="103"/>
  <c r="BI144" i="103"/>
  <c r="BO144" i="103"/>
  <c r="BM144" i="103"/>
  <c r="BJ144" i="103"/>
  <c r="BH144" i="103"/>
  <c r="BN156" i="103"/>
  <c r="BL156" i="103"/>
  <c r="DJ157" i="103"/>
  <c r="BK156" i="103"/>
  <c r="BI156" i="103"/>
  <c r="BO156" i="103"/>
  <c r="BM156" i="103"/>
  <c r="BJ156" i="103"/>
  <c r="BH156" i="103"/>
  <c r="BO4" i="103"/>
  <c r="F61" i="102"/>
  <c r="BO3" i="103"/>
  <c r="DJ3" i="103"/>
  <c r="BH4" i="103"/>
  <c r="BI7" i="103"/>
  <c r="BO222" i="103"/>
  <c r="BO149" i="103"/>
  <c r="BO219" i="103"/>
  <c r="BO194" i="103"/>
  <c r="BO9" i="103"/>
  <c r="DJ9" i="103"/>
  <c r="BK10" i="103"/>
  <c r="BK12" i="103"/>
  <c r="BM14" i="103"/>
  <c r="BH15" i="103"/>
  <c r="BM16" i="103"/>
  <c r="BK17" i="103"/>
  <c r="BH18" i="103"/>
  <c r="BO19" i="103"/>
  <c r="BM21" i="103"/>
  <c r="DJ21" i="103"/>
  <c r="BM22" i="103"/>
  <c r="BJ24" i="103"/>
  <c r="DJ24" i="103"/>
  <c r="BO25" i="103"/>
  <c r="BK26" i="103"/>
  <c r="BK28" i="103"/>
  <c r="BO29" i="103"/>
  <c r="BL30" i="103"/>
  <c r="BM34" i="103"/>
  <c r="BL38" i="103"/>
  <c r="BH38" i="103"/>
  <c r="BJ40" i="103"/>
  <c r="BO41" i="103"/>
  <c r="BL42" i="103"/>
  <c r="BJ45" i="103"/>
  <c r="BI48" i="103"/>
  <c r="BM49" i="103"/>
  <c r="BL49" i="103"/>
  <c r="BI49" i="103"/>
  <c r="BN53" i="103"/>
  <c r="BK54" i="103"/>
  <c r="BL56" i="103"/>
  <c r="DJ56" i="103"/>
  <c r="BK56" i="103"/>
  <c r="BH56" i="103"/>
  <c r="BN68" i="103"/>
  <c r="BM68" i="103"/>
  <c r="BJ68" i="103"/>
  <c r="BH68" i="103"/>
  <c r="BI69" i="103"/>
  <c r="BH69" i="103"/>
  <c r="BM69" i="103"/>
  <c r="DJ69" i="103"/>
  <c r="BK69" i="103"/>
  <c r="BI70" i="103"/>
  <c r="BJ72" i="103"/>
  <c r="BI72" i="103"/>
  <c r="BH72" i="103"/>
  <c r="BN72" i="103"/>
  <c r="BL72" i="103"/>
  <c r="BO79" i="103"/>
  <c r="BJ83" i="103"/>
  <c r="BI83" i="103"/>
  <c r="BH83" i="103"/>
  <c r="BN83" i="103"/>
  <c r="BM83" i="103"/>
  <c r="BL83" i="103"/>
  <c r="BN87" i="103"/>
  <c r="BM87" i="103"/>
  <c r="BL87" i="103"/>
  <c r="DJ87" i="103"/>
  <c r="BK87" i="103"/>
  <c r="BJ87" i="103"/>
  <c r="BI87" i="103"/>
  <c r="BH87" i="103"/>
  <c r="BO119" i="103"/>
  <c r="BO124" i="103"/>
  <c r="BN129" i="103"/>
  <c r="BM129" i="103"/>
  <c r="BL129" i="103"/>
  <c r="DJ130" i="103"/>
  <c r="BK129" i="103"/>
  <c r="BJ129" i="103"/>
  <c r="BI129" i="103"/>
  <c r="BH129" i="103"/>
  <c r="DJ173" i="103"/>
  <c r="BK172" i="103"/>
  <c r="BJ172" i="103"/>
  <c r="BI172" i="103"/>
  <c r="BH172" i="103"/>
  <c r="BN172" i="103"/>
  <c r="BO172" i="103"/>
  <c r="BM172" i="103"/>
  <c r="BL172" i="103"/>
  <c r="BO191" i="103"/>
  <c r="BM200" i="103"/>
  <c r="BL200" i="103"/>
  <c r="DJ201" i="103"/>
  <c r="BK200" i="103"/>
  <c r="BJ200" i="103"/>
  <c r="BH200" i="103"/>
  <c r="BO200" i="103"/>
  <c r="BN200" i="103"/>
  <c r="BI200" i="103"/>
  <c r="BO230" i="103"/>
  <c r="DJ4" i="103"/>
  <c r="BN218" i="103"/>
  <c r="BN139" i="103"/>
  <c r="BH3" i="103"/>
  <c r="BI4" i="103"/>
  <c r="BO6" i="103"/>
  <c r="BJ7" i="103"/>
  <c r="CI7" i="103"/>
  <c r="BH9" i="103"/>
  <c r="BL10" i="103"/>
  <c r="CI10" i="103"/>
  <c r="CI11" i="103"/>
  <c r="BL12" i="103"/>
  <c r="BO13" i="103"/>
  <c r="BN14" i="103"/>
  <c r="DJ14" i="103"/>
  <c r="BI15" i="103"/>
  <c r="BN16" i="103"/>
  <c r="DJ16" i="103"/>
  <c r="BL17" i="103"/>
  <c r="BI18" i="103"/>
  <c r="BO260" i="103"/>
  <c r="BO266" i="103"/>
  <c r="BO258" i="103"/>
  <c r="BO251" i="103"/>
  <c r="BO246" i="103"/>
  <c r="BH19" i="103"/>
  <c r="BO20" i="103"/>
  <c r="BN21" i="103"/>
  <c r="BO22" i="103"/>
  <c r="BK24" i="103"/>
  <c r="DJ25" i="103"/>
  <c r="BK25" i="103"/>
  <c r="BL26" i="103"/>
  <c r="BH27" i="103"/>
  <c r="BM28" i="103"/>
  <c r="BM30" i="103"/>
  <c r="BH31" i="103"/>
  <c r="BM33" i="103"/>
  <c r="BI33" i="103"/>
  <c r="BN34" i="103"/>
  <c r="BI38" i="103"/>
  <c r="DJ38" i="103"/>
  <c r="BK40" i="103"/>
  <c r="BM42" i="103"/>
  <c r="BO43" i="103"/>
  <c r="BO44" i="103"/>
  <c r="BK45" i="103"/>
  <c r="BO47" i="103"/>
  <c r="BJ48" i="103"/>
  <c r="BH49" i="103"/>
  <c r="DJ49" i="103"/>
  <c r="BL54" i="103"/>
  <c r="BI56" i="103"/>
  <c r="BM57" i="103"/>
  <c r="BL57" i="103"/>
  <c r="BI57" i="103"/>
  <c r="BO57" i="103"/>
  <c r="DJ57" i="103"/>
  <c r="BI60" i="103"/>
  <c r="BO61" i="103"/>
  <c r="BI68" i="103"/>
  <c r="BJ69" i="103"/>
  <c r="BJ70" i="103"/>
  <c r="BK72" i="103"/>
  <c r="BN77" i="103"/>
  <c r="BM77" i="103"/>
  <c r="BL77" i="103"/>
  <c r="BJ77" i="103"/>
  <c r="BI77" i="103"/>
  <c r="BH77" i="103"/>
  <c r="BK83" i="103"/>
  <c r="BO87" i="103"/>
  <c r="BO126" i="103"/>
  <c r="BO129" i="103"/>
  <c r="BO133" i="103"/>
  <c r="BJ142" i="103"/>
  <c r="BH142" i="103"/>
  <c r="BO142" i="103"/>
  <c r="BM142" i="103"/>
  <c r="DJ143" i="103"/>
  <c r="BN142" i="103"/>
  <c r="BL142" i="103"/>
  <c r="BK142" i="103"/>
  <c r="BI142" i="103"/>
  <c r="BJ4" i="103"/>
  <c r="BO14" i="103"/>
  <c r="BJ15" i="103"/>
  <c r="BO16" i="103"/>
  <c r="BJ18" i="103"/>
  <c r="BO21" i="103"/>
  <c r="BJ27" i="103"/>
  <c r="BN28" i="103"/>
  <c r="BN30" i="103"/>
  <c r="BI31" i="103"/>
  <c r="BN36" i="103"/>
  <c r="BJ36" i="103"/>
  <c r="BJ38" i="103"/>
  <c r="BO39" i="103"/>
  <c r="BM40" i="103"/>
  <c r="BN45" i="103"/>
  <c r="BM48" i="103"/>
  <c r="BJ49" i="103"/>
  <c r="BM54" i="103"/>
  <c r="BO55" i="103"/>
  <c r="BJ56" i="103"/>
  <c r="BK68" i="103"/>
  <c r="BL69" i="103"/>
  <c r="BM70" i="103"/>
  <c r="BM72" i="103"/>
  <c r="BO83" i="103"/>
  <c r="BN93" i="103"/>
  <c r="BM93" i="103"/>
  <c r="BL93" i="103"/>
  <c r="DJ93" i="103"/>
  <c r="BK93" i="103"/>
  <c r="BJ93" i="103"/>
  <c r="BI93" i="103"/>
  <c r="BH93" i="103"/>
  <c r="BO104" i="103"/>
  <c r="BO112" i="103"/>
  <c r="BO137" i="103"/>
  <c r="CI3" i="103"/>
  <c r="BK4" i="103"/>
  <c r="BO5" i="103"/>
  <c r="BL7" i="103"/>
  <c r="BN10" i="103"/>
  <c r="BN12" i="103"/>
  <c r="DJ12" i="103"/>
  <c r="BH14" i="103"/>
  <c r="BK15" i="103"/>
  <c r="BH16" i="103"/>
  <c r="BN17" i="103"/>
  <c r="DJ17" i="103"/>
  <c r="BK18" i="103"/>
  <c r="CI19" i="103"/>
  <c r="BH21" i="103"/>
  <c r="BH22" i="103"/>
  <c r="BM24" i="103"/>
  <c r="BI25" i="103"/>
  <c r="BO26" i="103"/>
  <c r="BK27" i="103"/>
  <c r="DJ27" i="103"/>
  <c r="BO28" i="103"/>
  <c r="BO30" i="103"/>
  <c r="BJ31" i="103"/>
  <c r="DJ31" i="103"/>
  <c r="BJ33" i="103"/>
  <c r="DJ33" i="103"/>
  <c r="BH36" i="103"/>
  <c r="BK38" i="103"/>
  <c r="BN40" i="103"/>
  <c r="BJ44" i="103"/>
  <c r="BN44" i="103"/>
  <c r="BO45" i="103"/>
  <c r="BN48" i="103"/>
  <c r="BK49" i="103"/>
  <c r="BN50" i="103"/>
  <c r="BM50" i="103"/>
  <c r="BJ50" i="103"/>
  <c r="BO54" i="103"/>
  <c r="BM56" i="103"/>
  <c r="BJ57" i="103"/>
  <c r="BN58" i="103"/>
  <c r="BM58" i="103"/>
  <c r="BJ58" i="103"/>
  <c r="BH58" i="103"/>
  <c r="BO65" i="103"/>
  <c r="BL68" i="103"/>
  <c r="BN69" i="103"/>
  <c r="BO70" i="103"/>
  <c r="BO72" i="103"/>
  <c r="BO74" i="103"/>
  <c r="BO77" i="103"/>
  <c r="DJ79" i="103"/>
  <c r="BO93" i="103"/>
  <c r="BN109" i="103"/>
  <c r="BM109" i="103"/>
  <c r="BL109" i="103"/>
  <c r="DJ110" i="103"/>
  <c r="BK109" i="103"/>
  <c r="BJ109" i="103"/>
  <c r="BI109" i="103"/>
  <c r="BH109" i="103"/>
  <c r="BN169" i="103"/>
  <c r="BO220" i="103"/>
  <c r="BO164" i="103"/>
  <c r="BO238" i="103"/>
  <c r="BO155" i="103"/>
  <c r="BO173" i="103"/>
  <c r="BI22" i="103"/>
  <c r="BN24" i="103"/>
  <c r="BH34" i="103"/>
  <c r="BL34" i="103"/>
  <c r="BO40" i="103"/>
  <c r="BN42" i="103"/>
  <c r="BJ42" i="103"/>
  <c r="BO48" i="103"/>
  <c r="BI53" i="103"/>
  <c r="BH53" i="103"/>
  <c r="BM53" i="103"/>
  <c r="DJ53" i="103"/>
  <c r="BO59" i="103"/>
  <c r="BL64" i="103"/>
  <c r="DJ64" i="103"/>
  <c r="BK64" i="103"/>
  <c r="BH64" i="103"/>
  <c r="BN64" i="103"/>
  <c r="BO68" i="103"/>
  <c r="BO69" i="103"/>
  <c r="BN90" i="103"/>
  <c r="BO100" i="103"/>
  <c r="BO109" i="103"/>
  <c r="BM143" i="103"/>
  <c r="DJ144" i="103"/>
  <c r="BK143" i="103"/>
  <c r="BJ143" i="103"/>
  <c r="BH143" i="103"/>
  <c r="BO143" i="103"/>
  <c r="BN143" i="103"/>
  <c r="BL143" i="103"/>
  <c r="BI143" i="103"/>
  <c r="BO187" i="103"/>
  <c r="BO67" i="103"/>
  <c r="BK78" i="103"/>
  <c r="DJ78" i="103"/>
  <c r="BN81" i="103"/>
  <c r="BO84" i="103"/>
  <c r="BK88" i="103"/>
  <c r="DJ88" i="103"/>
  <c r="BN89" i="103"/>
  <c r="BO90" i="103"/>
  <c r="BK94" i="103"/>
  <c r="DJ94" i="103"/>
  <c r="BL95" i="103"/>
  <c r="BK98" i="103"/>
  <c r="DJ98" i="103"/>
  <c r="BN99" i="103"/>
  <c r="BL101" i="103"/>
  <c r="BL105" i="103"/>
  <c r="BO106" i="103"/>
  <c r="BK110" i="103"/>
  <c r="DJ111" i="103"/>
  <c r="BN111" i="103"/>
  <c r="BL113" i="103"/>
  <c r="BO114" i="103"/>
  <c r="BK116" i="103"/>
  <c r="DJ117" i="103"/>
  <c r="BN117" i="103"/>
  <c r="BO118" i="103"/>
  <c r="BK120" i="103"/>
  <c r="DJ121" i="103"/>
  <c r="BN121" i="103"/>
  <c r="BO122" i="103"/>
  <c r="BN125" i="103"/>
  <c r="BK130" i="103"/>
  <c r="DJ131" i="103"/>
  <c r="BN137" i="103"/>
  <c r="DJ156" i="103"/>
  <c r="BK155" i="103"/>
  <c r="BI155" i="103"/>
  <c r="BH155" i="103"/>
  <c r="BN155" i="103"/>
  <c r="BM162" i="103"/>
  <c r="DJ163" i="103"/>
  <c r="BK162" i="103"/>
  <c r="BJ162" i="103"/>
  <c r="BH162" i="103"/>
  <c r="BN176" i="103"/>
  <c r="BM176" i="103"/>
  <c r="BL176" i="103"/>
  <c r="DJ177" i="103"/>
  <c r="BK176" i="103"/>
  <c r="BI176" i="103"/>
  <c r="BO178" i="103"/>
  <c r="DJ190" i="103"/>
  <c r="BK189" i="103"/>
  <c r="BJ189" i="103"/>
  <c r="BI189" i="103"/>
  <c r="BH189" i="103"/>
  <c r="BN189" i="103"/>
  <c r="DJ194" i="103"/>
  <c r="BK193" i="103"/>
  <c r="BJ193" i="103"/>
  <c r="BI193" i="103"/>
  <c r="BH193" i="103"/>
  <c r="BN193" i="103"/>
  <c r="BO197" i="103"/>
  <c r="BO81" i="103"/>
  <c r="BO89" i="103"/>
  <c r="BM95" i="103"/>
  <c r="BO99" i="103"/>
  <c r="BM101" i="103"/>
  <c r="BM105" i="103"/>
  <c r="BO111" i="103"/>
  <c r="BM113" i="103"/>
  <c r="BO117" i="103"/>
  <c r="BO121" i="103"/>
  <c r="BO125" i="103"/>
  <c r="BL130" i="103"/>
  <c r="BO131" i="103"/>
  <c r="BI133" i="103"/>
  <c r="BL133" i="103"/>
  <c r="BO145" i="103"/>
  <c r="BN150" i="103"/>
  <c r="BL150" i="103"/>
  <c r="DJ151" i="103"/>
  <c r="BK150" i="103"/>
  <c r="BI150" i="103"/>
  <c r="BH154" i="103"/>
  <c r="BN154" i="103"/>
  <c r="BM154" i="103"/>
  <c r="DJ155" i="103"/>
  <c r="BK154" i="103"/>
  <c r="BO158" i="103"/>
  <c r="BO168" i="103"/>
  <c r="BO185" i="103"/>
  <c r="BO205" i="103"/>
  <c r="BO210" i="103"/>
  <c r="BO257" i="103"/>
  <c r="BK39" i="103"/>
  <c r="DJ39" i="103"/>
  <c r="BK43" i="103"/>
  <c r="DJ43" i="103"/>
  <c r="BL46" i="103"/>
  <c r="BK51" i="103"/>
  <c r="DJ51" i="103"/>
  <c r="BL52" i="103"/>
  <c r="BK59" i="103"/>
  <c r="DJ59" i="103"/>
  <c r="BL60" i="103"/>
  <c r="BK65" i="103"/>
  <c r="DJ65" i="103"/>
  <c r="BI67" i="103"/>
  <c r="BK71" i="103"/>
  <c r="DJ71" i="103"/>
  <c r="BK74" i="103"/>
  <c r="DJ74" i="103"/>
  <c r="BM78" i="103"/>
  <c r="BO80" i="103"/>
  <c r="BH81" i="103"/>
  <c r="BK82" i="103"/>
  <c r="DJ82" i="103"/>
  <c r="BI84" i="103"/>
  <c r="BL85" i="103"/>
  <c r="BO86" i="103"/>
  <c r="BM88" i="103"/>
  <c r="BH89" i="103"/>
  <c r="BI90" i="103"/>
  <c r="BL91" i="103"/>
  <c r="BO92" i="103"/>
  <c r="BM94" i="103"/>
  <c r="BN95" i="103"/>
  <c r="BO96" i="103"/>
  <c r="BM98" i="103"/>
  <c r="BH99" i="103"/>
  <c r="BK100" i="103"/>
  <c r="DJ100" i="103"/>
  <c r="BN101" i="103"/>
  <c r="BO102" i="103"/>
  <c r="BK104" i="103"/>
  <c r="DJ104" i="103"/>
  <c r="BN105" i="103"/>
  <c r="BI106" i="103"/>
  <c r="BL107" i="103"/>
  <c r="BO108" i="103"/>
  <c r="BM110" i="103"/>
  <c r="BH111" i="103"/>
  <c r="BK112" i="103"/>
  <c r="DJ113" i="103"/>
  <c r="BN113" i="103"/>
  <c r="BI114" i="103"/>
  <c r="BL115" i="103"/>
  <c r="BM116" i="103"/>
  <c r="BH117" i="103"/>
  <c r="BI118" i="103"/>
  <c r="BM120" i="103"/>
  <c r="BH121" i="103"/>
  <c r="BI122" i="103"/>
  <c r="BL123" i="103"/>
  <c r="BH125" i="103"/>
  <c r="BK126" i="103"/>
  <c r="DJ127" i="103"/>
  <c r="BL127" i="103"/>
  <c r="BM130" i="103"/>
  <c r="BH133" i="103"/>
  <c r="BJ136" i="103"/>
  <c r="BM136" i="103"/>
  <c r="DJ150" i="103"/>
  <c r="BK149" i="103"/>
  <c r="BI149" i="103"/>
  <c r="BH149" i="103"/>
  <c r="BN149" i="103"/>
  <c r="BH150" i="103"/>
  <c r="BI154" i="103"/>
  <c r="BL155" i="103"/>
  <c r="BL162" i="103"/>
  <c r="DJ176" i="103"/>
  <c r="BK175" i="103"/>
  <c r="BJ175" i="103"/>
  <c r="BI175" i="103"/>
  <c r="BH175" i="103"/>
  <c r="BN175" i="103"/>
  <c r="BJ176" i="103"/>
  <c r="BM189" i="103"/>
  <c r="BM193" i="103"/>
  <c r="BJ212" i="103"/>
  <c r="BI212" i="103"/>
  <c r="BH212" i="103"/>
  <c r="BO212" i="103"/>
  <c r="BN212" i="103"/>
  <c r="BM212" i="103"/>
  <c r="BK212" i="103"/>
  <c r="BO95" i="103"/>
  <c r="BO101" i="103"/>
  <c r="BO105" i="103"/>
  <c r="BO113" i="103"/>
  <c r="BH148" i="103"/>
  <c r="BN148" i="103"/>
  <c r="BM148" i="103"/>
  <c r="DJ149" i="103"/>
  <c r="BK148" i="103"/>
  <c r="BM170" i="103"/>
  <c r="BL170" i="103"/>
  <c r="DJ171" i="103"/>
  <c r="BK170" i="103"/>
  <c r="BJ170" i="103"/>
  <c r="BH170" i="103"/>
  <c r="BL202" i="103"/>
  <c r="DJ203" i="103"/>
  <c r="BK202" i="103"/>
  <c r="BJ202" i="103"/>
  <c r="BI202" i="103"/>
  <c r="BH202" i="103"/>
  <c r="BO202" i="103"/>
  <c r="BJ204" i="103"/>
  <c r="BI204" i="103"/>
  <c r="BO204" i="103"/>
  <c r="BN204" i="103"/>
  <c r="BM204" i="103"/>
  <c r="BL204" i="103"/>
  <c r="BH204" i="103"/>
  <c r="DJ208" i="103"/>
  <c r="BK207" i="103"/>
  <c r="BJ207" i="103"/>
  <c r="BI207" i="103"/>
  <c r="BO207" i="103"/>
  <c r="BN207" i="103"/>
  <c r="BM207" i="103"/>
  <c r="BH207" i="103"/>
  <c r="BM217" i="103"/>
  <c r="BL217" i="103"/>
  <c r="DJ218" i="103"/>
  <c r="BK217" i="103"/>
  <c r="BO217" i="103"/>
  <c r="BN217" i="103"/>
  <c r="BJ217" i="103"/>
  <c r="BI217" i="103"/>
  <c r="BH217" i="103"/>
  <c r="BJ268" i="103"/>
  <c r="BH268" i="103"/>
  <c r="BM268" i="103"/>
  <c r="BL268" i="103"/>
  <c r="BO268" i="103"/>
  <c r="BN268" i="103"/>
  <c r="BK268" i="103"/>
  <c r="BI268" i="103"/>
  <c r="DJ269" i="103"/>
  <c r="BO78" i="103"/>
  <c r="BJ81" i="103"/>
  <c r="BO88" i="103"/>
  <c r="BJ89" i="103"/>
  <c r="BO94" i="103"/>
  <c r="BH95" i="103"/>
  <c r="BO98" i="103"/>
  <c r="BJ99" i="103"/>
  <c r="BH101" i="103"/>
  <c r="BH105" i="103"/>
  <c r="BO110" i="103"/>
  <c r="BJ111" i="103"/>
  <c r="BH113" i="103"/>
  <c r="BO116" i="103"/>
  <c r="BJ117" i="103"/>
  <c r="BO120" i="103"/>
  <c r="BJ121" i="103"/>
  <c r="BJ125" i="103"/>
  <c r="BO130" i="103"/>
  <c r="BK133" i="103"/>
  <c r="BM137" i="103"/>
  <c r="DJ138" i="103"/>
  <c r="BK137" i="103"/>
  <c r="BH137" i="103"/>
  <c r="BO141" i="103"/>
  <c r="BM147" i="103"/>
  <c r="DJ148" i="103"/>
  <c r="BK147" i="103"/>
  <c r="BJ147" i="103"/>
  <c r="BH147" i="103"/>
  <c r="BI148" i="103"/>
  <c r="BM150" i="103"/>
  <c r="BL154" i="103"/>
  <c r="BI170" i="103"/>
  <c r="BO179" i="103"/>
  <c r="BM187" i="103"/>
  <c r="BL187" i="103"/>
  <c r="DJ188" i="103"/>
  <c r="BK187" i="103"/>
  <c r="BJ187" i="103"/>
  <c r="BH187" i="103"/>
  <c r="BO198" i="103"/>
  <c r="BM202" i="103"/>
  <c r="BK204" i="103"/>
  <c r="BL207" i="103"/>
  <c r="BO223" i="103"/>
  <c r="BO46" i="103"/>
  <c r="BO52" i="103"/>
  <c r="BO60" i="103"/>
  <c r="BL67" i="103"/>
  <c r="BH78" i="103"/>
  <c r="BK81" i="103"/>
  <c r="DJ81" i="103"/>
  <c r="BL84" i="103"/>
  <c r="BO85" i="103"/>
  <c r="BH88" i="103"/>
  <c r="BK89" i="103"/>
  <c r="DJ89" i="103"/>
  <c r="BL90" i="103"/>
  <c r="BO91" i="103"/>
  <c r="BH94" i="103"/>
  <c r="BI95" i="103"/>
  <c r="BH98" i="103"/>
  <c r="BK99" i="103"/>
  <c r="DJ99" i="103"/>
  <c r="BI101" i="103"/>
  <c r="BI105" i="103"/>
  <c r="BL106" i="103"/>
  <c r="BO107" i="103"/>
  <c r="BH110" i="103"/>
  <c r="BK111" i="103"/>
  <c r="DJ112" i="103"/>
  <c r="BI113" i="103"/>
  <c r="BL114" i="103"/>
  <c r="BO115" i="103"/>
  <c r="BH116" i="103"/>
  <c r="BK117" i="103"/>
  <c r="DJ118" i="103"/>
  <c r="BL118" i="103"/>
  <c r="BH120" i="103"/>
  <c r="BK121" i="103"/>
  <c r="DJ122" i="103"/>
  <c r="BL122" i="103"/>
  <c r="BO123" i="103"/>
  <c r="BK125" i="103"/>
  <c r="DJ126" i="103"/>
  <c r="BO127" i="103"/>
  <c r="BH130" i="103"/>
  <c r="BO132" i="103"/>
  <c r="BM133" i="103"/>
  <c r="BI137" i="103"/>
  <c r="BN138" i="103"/>
  <c r="BL138" i="103"/>
  <c r="BI138" i="103"/>
  <c r="BI147" i="103"/>
  <c r="BJ148" i="103"/>
  <c r="BO150" i="103"/>
  <c r="BO154" i="103"/>
  <c r="BO160" i="103"/>
  <c r="BN165" i="103"/>
  <c r="BM165" i="103"/>
  <c r="BL165" i="103"/>
  <c r="DJ166" i="103"/>
  <c r="BK165" i="103"/>
  <c r="BI165" i="103"/>
  <c r="BO167" i="103"/>
  <c r="BN170" i="103"/>
  <c r="BN182" i="103"/>
  <c r="BM182" i="103"/>
  <c r="BL182" i="103"/>
  <c r="DJ183" i="103"/>
  <c r="BK182" i="103"/>
  <c r="BI182" i="103"/>
  <c r="BO184" i="103"/>
  <c r="BI187" i="103"/>
  <c r="BN202" i="103"/>
  <c r="BO236" i="103"/>
  <c r="DJ262" i="103"/>
  <c r="BK261" i="103"/>
  <c r="BI261" i="103"/>
  <c r="BM261" i="103"/>
  <c r="BO261" i="103"/>
  <c r="BN261" i="103"/>
  <c r="BJ261" i="103"/>
  <c r="BH261" i="103"/>
  <c r="BL261" i="103"/>
  <c r="BK80" i="103"/>
  <c r="BK86" i="103"/>
  <c r="BK92" i="103"/>
  <c r="BK96" i="103"/>
  <c r="BK102" i="103"/>
  <c r="BK108" i="103"/>
  <c r="BN133" i="103"/>
  <c r="BJ137" i="103"/>
  <c r="BH138" i="103"/>
  <c r="DJ139" i="103"/>
  <c r="BL147" i="103"/>
  <c r="BL148" i="103"/>
  <c r="BO153" i="103"/>
  <c r="DJ165" i="103"/>
  <c r="BK164" i="103"/>
  <c r="BI164" i="103"/>
  <c r="BH164" i="103"/>
  <c r="BN164" i="103"/>
  <c r="BH165" i="103"/>
  <c r="BO170" i="103"/>
  <c r="BM173" i="103"/>
  <c r="BL173" i="103"/>
  <c r="DJ174" i="103"/>
  <c r="BK173" i="103"/>
  <c r="BJ173" i="103"/>
  <c r="BH173" i="103"/>
  <c r="BH182" i="103"/>
  <c r="BN187" i="103"/>
  <c r="BN190" i="103"/>
  <c r="BM190" i="103"/>
  <c r="BL190" i="103"/>
  <c r="DJ191" i="103"/>
  <c r="BK190" i="103"/>
  <c r="BI190" i="103"/>
  <c r="BN194" i="103"/>
  <c r="BM194" i="103"/>
  <c r="BL194" i="103"/>
  <c r="DJ195" i="103"/>
  <c r="BK194" i="103"/>
  <c r="BI194" i="103"/>
  <c r="DJ213" i="103"/>
  <c r="BO221" i="103"/>
  <c r="BK229" i="103"/>
  <c r="BI230" i="103"/>
  <c r="DJ233" i="103"/>
  <c r="BK232" i="103"/>
  <c r="BJ232" i="103"/>
  <c r="BI232" i="103"/>
  <c r="BN232" i="103"/>
  <c r="BN233" i="103"/>
  <c r="BM233" i="103"/>
  <c r="BL233" i="103"/>
  <c r="BI233" i="103"/>
  <c r="DJ234" i="103"/>
  <c r="BM245" i="103"/>
  <c r="BL245" i="103"/>
  <c r="DJ246" i="103"/>
  <c r="BK245" i="103"/>
  <c r="BJ245" i="103"/>
  <c r="BH245" i="103"/>
  <c r="BJ132" i="103"/>
  <c r="BO134" i="103"/>
  <c r="BJ135" i="103"/>
  <c r="BL139" i="103"/>
  <c r="BO140" i="103"/>
  <c r="BJ141" i="103"/>
  <c r="BJ145" i="103"/>
  <c r="BM146" i="103"/>
  <c r="BL151" i="103"/>
  <c r="BO152" i="103"/>
  <c r="BJ153" i="103"/>
  <c r="BL157" i="103"/>
  <c r="BJ160" i="103"/>
  <c r="BM161" i="103"/>
  <c r="BL166" i="103"/>
  <c r="BJ168" i="103"/>
  <c r="BM169" i="103"/>
  <c r="BK171" i="103"/>
  <c r="DJ172" i="103"/>
  <c r="BK174" i="103"/>
  <c r="DJ175" i="103"/>
  <c r="BL177" i="103"/>
  <c r="BJ179" i="103"/>
  <c r="BM180" i="103"/>
  <c r="BL183" i="103"/>
  <c r="BJ185" i="103"/>
  <c r="BM186" i="103"/>
  <c r="BK188" i="103"/>
  <c r="DJ189" i="103"/>
  <c r="BJ191" i="103"/>
  <c r="BK192" i="103"/>
  <c r="DJ193" i="103"/>
  <c r="BL195" i="103"/>
  <c r="BM196" i="103"/>
  <c r="BJ198" i="103"/>
  <c r="BM199" i="103"/>
  <c r="BK201" i="103"/>
  <c r="DJ202" i="103"/>
  <c r="BN208" i="103"/>
  <c r="BM208" i="103"/>
  <c r="BL208" i="103"/>
  <c r="BM213" i="103"/>
  <c r="BL213" i="103"/>
  <c r="DJ214" i="103"/>
  <c r="BK213" i="103"/>
  <c r="BJ216" i="103"/>
  <c r="BI216" i="103"/>
  <c r="BH216" i="103"/>
  <c r="DJ217" i="103"/>
  <c r="BL229" i="103"/>
  <c r="BJ230" i="103"/>
  <c r="BH232" i="103"/>
  <c r="BH233" i="103"/>
  <c r="DJ239" i="103"/>
  <c r="BK238" i="103"/>
  <c r="BJ238" i="103"/>
  <c r="BI238" i="103"/>
  <c r="BN238" i="103"/>
  <c r="BN239" i="103"/>
  <c r="BM239" i="103"/>
  <c r="BL239" i="103"/>
  <c r="BI239" i="103"/>
  <c r="DJ240" i="103"/>
  <c r="BI245" i="103"/>
  <c r="BO146" i="103"/>
  <c r="BO161" i="103"/>
  <c r="BO169" i="103"/>
  <c r="BM171" i="103"/>
  <c r="BM174" i="103"/>
  <c r="BO180" i="103"/>
  <c r="BO186" i="103"/>
  <c r="BM188" i="103"/>
  <c r="BM192" i="103"/>
  <c r="BO196" i="103"/>
  <c r="BO199" i="103"/>
  <c r="BM201" i="103"/>
  <c r="BM205" i="103"/>
  <c r="BL205" i="103"/>
  <c r="BO218" i="103"/>
  <c r="BJ222" i="103"/>
  <c r="BI222" i="103"/>
  <c r="BH222" i="103"/>
  <c r="DJ223" i="103"/>
  <c r="BO229" i="103"/>
  <c r="BM232" i="103"/>
  <c r="BK233" i="103"/>
  <c r="BO242" i="103"/>
  <c r="BO245" i="103"/>
  <c r="BO139" i="103"/>
  <c r="BH146" i="103"/>
  <c r="BO151" i="103"/>
  <c r="BO157" i="103"/>
  <c r="BH161" i="103"/>
  <c r="BO166" i="103"/>
  <c r="BH169" i="103"/>
  <c r="BN171" i="103"/>
  <c r="BN174" i="103"/>
  <c r="BO177" i="103"/>
  <c r="BH180" i="103"/>
  <c r="BO183" i="103"/>
  <c r="BH186" i="103"/>
  <c r="BN188" i="103"/>
  <c r="BN192" i="103"/>
  <c r="BO195" i="103"/>
  <c r="BH196" i="103"/>
  <c r="BH199" i="103"/>
  <c r="BN201" i="103"/>
  <c r="BH205" i="103"/>
  <c r="BL210" i="103"/>
  <c r="DJ211" i="103"/>
  <c r="BK210" i="103"/>
  <c r="BJ210" i="103"/>
  <c r="BM223" i="103"/>
  <c r="BL223" i="103"/>
  <c r="DJ224" i="103"/>
  <c r="BK223" i="103"/>
  <c r="BJ226" i="103"/>
  <c r="BI226" i="103"/>
  <c r="BH226" i="103"/>
  <c r="BM226" i="103"/>
  <c r="BM227" i="103"/>
  <c r="BL227" i="103"/>
  <c r="DJ228" i="103"/>
  <c r="BK227" i="103"/>
  <c r="BH227" i="103"/>
  <c r="BO228" i="103"/>
  <c r="BO232" i="103"/>
  <c r="BO233" i="103"/>
  <c r="BO254" i="103"/>
  <c r="BO171" i="103"/>
  <c r="BO174" i="103"/>
  <c r="BO188" i="103"/>
  <c r="BO192" i="103"/>
  <c r="BO201" i="103"/>
  <c r="BO203" i="103"/>
  <c r="BO211" i="103"/>
  <c r="DJ220" i="103"/>
  <c r="BK219" i="103"/>
  <c r="BJ219" i="103"/>
  <c r="BI219" i="103"/>
  <c r="BH223" i="103"/>
  <c r="BK226" i="103"/>
  <c r="BI227" i="103"/>
  <c r="BO247" i="103"/>
  <c r="BO256" i="103"/>
  <c r="BJ205" i="103"/>
  <c r="BI210" i="103"/>
  <c r="BO213" i="103"/>
  <c r="BO216" i="103"/>
  <c r="BH219" i="103"/>
  <c r="BN220" i="103"/>
  <c r="BM220" i="103"/>
  <c r="BL220" i="103"/>
  <c r="BM222" i="103"/>
  <c r="BI223" i="103"/>
  <c r="BL226" i="103"/>
  <c r="BJ227" i="103"/>
  <c r="BN246" i="103"/>
  <c r="BM246" i="103"/>
  <c r="BL246" i="103"/>
  <c r="DJ247" i="103"/>
  <c r="BK246" i="103"/>
  <c r="BI246" i="103"/>
  <c r="BO265" i="103"/>
  <c r="BJ229" i="103"/>
  <c r="BI229" i="103"/>
  <c r="BH229" i="103"/>
  <c r="BM229" i="103"/>
  <c r="BM230" i="103"/>
  <c r="BL230" i="103"/>
  <c r="DJ231" i="103"/>
  <c r="BK230" i="103"/>
  <c r="BH230" i="103"/>
  <c r="BH246" i="103"/>
  <c r="DJ252" i="103"/>
  <c r="BK251" i="103"/>
  <c r="BJ251" i="103"/>
  <c r="BI251" i="103"/>
  <c r="BH251" i="103"/>
  <c r="BN251" i="103"/>
  <c r="BM251" i="103"/>
  <c r="DJ254" i="103"/>
  <c r="BK253" i="103"/>
  <c r="BM253" i="103"/>
  <c r="BI259" i="103"/>
  <c r="DJ260" i="103"/>
  <c r="BK259" i="103"/>
  <c r="BN264" i="103"/>
  <c r="BL264" i="103"/>
  <c r="BH264" i="103"/>
  <c r="DJ265" i="103"/>
  <c r="BO235" i="103"/>
  <c r="BO241" i="103"/>
  <c r="BM243" i="103"/>
  <c r="BO244" i="103"/>
  <c r="BM250" i="103"/>
  <c r="BO252" i="103"/>
  <c r="BH253" i="103"/>
  <c r="BH259" i="103"/>
  <c r="BL262" i="103"/>
  <c r="BJ262" i="103"/>
  <c r="BN262" i="103"/>
  <c r="BI264" i="103"/>
  <c r="BJ278" i="103"/>
  <c r="BI278" i="103"/>
  <c r="BH278" i="103"/>
  <c r="BM278" i="103"/>
  <c r="BL278" i="103"/>
  <c r="Q11" i="104"/>
  <c r="Q13" i="104"/>
  <c r="DJ270" i="103"/>
  <c r="BK269" i="103"/>
  <c r="BI269" i="103"/>
  <c r="BN269" i="103"/>
  <c r="BM269" i="103"/>
  <c r="BO243" i="103"/>
  <c r="BO250" i="103"/>
  <c r="BJ253" i="103"/>
  <c r="BL254" i="103"/>
  <c r="BN254" i="103"/>
  <c r="BN256" i="103"/>
  <c r="BH256" i="103"/>
  <c r="BL259" i="103"/>
  <c r="BK264" i="103"/>
  <c r="BH269" i="103"/>
  <c r="BO209" i="103"/>
  <c r="BO215" i="103"/>
  <c r="BO225" i="103"/>
  <c r="BO234" i="103"/>
  <c r="BJ235" i="103"/>
  <c r="BO240" i="103"/>
  <c r="BJ241" i="103"/>
  <c r="BH243" i="103"/>
  <c r="BJ244" i="103"/>
  <c r="BO249" i="103"/>
  <c r="BH250" i="103"/>
  <c r="BJ252" i="103"/>
  <c r="BL253" i="103"/>
  <c r="BH254" i="103"/>
  <c r="BI256" i="103"/>
  <c r="DJ257" i="103"/>
  <c r="BH258" i="103"/>
  <c r="BJ258" i="103"/>
  <c r="BM259" i="103"/>
  <c r="BJ260" i="103"/>
  <c r="BL260" i="103"/>
  <c r="BK262" i="103"/>
  <c r="BM264" i="103"/>
  <c r="BJ269" i="103"/>
  <c r="BO278" i="103"/>
  <c r="BN203" i="103"/>
  <c r="BO206" i="103"/>
  <c r="BH209" i="103"/>
  <c r="BN211" i="103"/>
  <c r="BO214" i="103"/>
  <c r="BH215" i="103"/>
  <c r="BN221" i="103"/>
  <c r="BO224" i="103"/>
  <c r="BH225" i="103"/>
  <c r="BN228" i="103"/>
  <c r="BO231" i="103"/>
  <c r="BH234" i="103"/>
  <c r="BK235" i="103"/>
  <c r="DJ236" i="103"/>
  <c r="BO237" i="103"/>
  <c r="BH240" i="103"/>
  <c r="BK241" i="103"/>
  <c r="DJ242" i="103"/>
  <c r="BI243" i="103"/>
  <c r="BK244" i="103"/>
  <c r="DJ245" i="103"/>
  <c r="BO248" i="103"/>
  <c r="BH249" i="103"/>
  <c r="BI250" i="103"/>
  <c r="BK252" i="103"/>
  <c r="DJ253" i="103"/>
  <c r="BN253" i="103"/>
  <c r="BI254" i="103"/>
  <c r="DJ255" i="103"/>
  <c r="BJ256" i="103"/>
  <c r="BI258" i="103"/>
  <c r="DJ259" i="103"/>
  <c r="BN259" i="103"/>
  <c r="BH260" i="103"/>
  <c r="DJ261" i="103"/>
  <c r="BM262" i="103"/>
  <c r="BO264" i="103"/>
  <c r="BL269" i="103"/>
  <c r="DJ274" i="103"/>
  <c r="BK273" i="103"/>
  <c r="BI273" i="103"/>
  <c r="BN273" i="103"/>
  <c r="BM273" i="103"/>
  <c r="BN274" i="103"/>
  <c r="BM274" i="103"/>
  <c r="BL274" i="103"/>
  <c r="BI274" i="103"/>
  <c r="BH274" i="103"/>
  <c r="BO277" i="103"/>
  <c r="M8" i="104"/>
  <c r="BO253" i="103"/>
  <c r="BJ254" i="103"/>
  <c r="BK256" i="103"/>
  <c r="BK258" i="103"/>
  <c r="BO259" i="103"/>
  <c r="BI260" i="103"/>
  <c r="BO262" i="103"/>
  <c r="BH266" i="103"/>
  <c r="BN266" i="103"/>
  <c r="DJ267" i="103"/>
  <c r="BK266" i="103"/>
  <c r="BJ266" i="103"/>
  <c r="BO269" i="103"/>
  <c r="BH272" i="103"/>
  <c r="BN272" i="103"/>
  <c r="DJ273" i="103"/>
  <c r="BK272" i="103"/>
  <c r="BJ272" i="103"/>
  <c r="BH273" i="103"/>
  <c r="BJ274" i="103"/>
  <c r="BO255" i="103"/>
  <c r="BI257" i="103"/>
  <c r="BO263" i="103"/>
  <c r="BI265" i="103"/>
  <c r="BK267" i="103"/>
  <c r="DJ268" i="103"/>
  <c r="BN270" i="103"/>
  <c r="BO271" i="103"/>
  <c r="BK275" i="103"/>
  <c r="DJ276" i="103"/>
  <c r="BN276" i="103"/>
  <c r="BO279" i="103"/>
  <c r="BJ280" i="103"/>
  <c r="N10" i="105"/>
  <c r="C211" i="102" s="1"/>
  <c r="BO270" i="103"/>
  <c r="BO276" i="103"/>
  <c r="BK280" i="103"/>
  <c r="DJ281" i="103"/>
  <c r="BO267" i="103"/>
  <c r="BJ270" i="103"/>
  <c r="DJ272" i="103"/>
  <c r="BO275" i="103"/>
  <c r="BJ276" i="103"/>
  <c r="BK279" i="103"/>
  <c r="DJ280" i="103"/>
  <c r="BN280" i="103"/>
  <c r="I17" i="107"/>
  <c r="I20" i="107" s="1"/>
  <c r="M20" i="107" s="1"/>
  <c r="D231" i="102" s="1"/>
  <c r="H20" i="107"/>
  <c r="G99" i="110" s="1"/>
  <c r="BO280" i="103"/>
  <c r="F112" i="83"/>
  <c r="F111" i="83"/>
  <c r="F110" i="83"/>
  <c r="F109" i="83"/>
  <c r="F108" i="83"/>
  <c r="F107" i="83"/>
  <c r="F106" i="83"/>
  <c r="F105" i="83"/>
  <c r="F104" i="83"/>
  <c r="F103" i="83"/>
  <c r="F102" i="83"/>
  <c r="F101" i="83"/>
  <c r="F100" i="83"/>
  <c r="F99" i="83"/>
  <c r="F98" i="83"/>
  <c r="F97" i="83"/>
  <c r="F96" i="83"/>
  <c r="F95" i="83"/>
  <c r="F94" i="83"/>
  <c r="F93" i="83"/>
  <c r="D72" i="81"/>
  <c r="D71" i="81"/>
  <c r="D70" i="81"/>
  <c r="D69" i="81"/>
  <c r="D68" i="81"/>
  <c r="D67" i="81"/>
  <c r="D66" i="81"/>
  <c r="D65" i="81"/>
  <c r="D64" i="81"/>
  <c r="D63" i="81"/>
  <c r="D62" i="81"/>
  <c r="D61" i="81"/>
  <c r="D60" i="81"/>
  <c r="D59" i="81"/>
  <c r="D58" i="81"/>
  <c r="D57" i="81"/>
  <c r="D56" i="81"/>
  <c r="D55" i="81"/>
  <c r="D54" i="81"/>
  <c r="D53" i="81"/>
  <c r="F45" i="81"/>
  <c r="G45" i="81" s="1"/>
  <c r="F44" i="81"/>
  <c r="G44" i="81" s="1"/>
  <c r="F43" i="81"/>
  <c r="G43" i="81" s="1"/>
  <c r="F42" i="81"/>
  <c r="G42" i="81" s="1"/>
  <c r="F41" i="81"/>
  <c r="G41" i="81" s="1"/>
  <c r="F40" i="81"/>
  <c r="G40" i="81" s="1"/>
  <c r="F39" i="81"/>
  <c r="G39" i="81" s="1"/>
  <c r="F38" i="81"/>
  <c r="G38" i="81" s="1"/>
  <c r="F37" i="81"/>
  <c r="G37" i="81" s="1"/>
  <c r="F36" i="81"/>
  <c r="G36" i="81" s="1"/>
  <c r="F35" i="81"/>
  <c r="G35" i="81" s="1"/>
  <c r="F34" i="81"/>
  <c r="G34" i="81" s="1"/>
  <c r="F33" i="81"/>
  <c r="G33" i="81" s="1"/>
  <c r="F32" i="81"/>
  <c r="G32" i="81" s="1"/>
  <c r="F31" i="81"/>
  <c r="G31" i="81" s="1"/>
  <c r="F30" i="81"/>
  <c r="G30" i="81" s="1"/>
  <c r="F29" i="81"/>
  <c r="G29" i="81" s="1"/>
  <c r="F28" i="81"/>
  <c r="F27" i="81"/>
  <c r="G27" i="81" s="1"/>
  <c r="F26" i="81"/>
  <c r="G26" i="81" s="1"/>
  <c r="E58" i="79"/>
  <c r="D57" i="79"/>
  <c r="E57" i="79" s="1"/>
  <c r="E50" i="79"/>
  <c r="E49" i="79"/>
  <c r="I69" i="94"/>
  <c r="H69" i="94"/>
  <c r="I68" i="94"/>
  <c r="H68" i="94"/>
  <c r="I67" i="94"/>
  <c r="H67" i="94"/>
  <c r="I66" i="94"/>
  <c r="H66" i="94"/>
  <c r="I65" i="94"/>
  <c r="H65" i="94"/>
  <c r="I64" i="94"/>
  <c r="H64" i="94"/>
  <c r="I63" i="94"/>
  <c r="H63" i="94"/>
  <c r="I62" i="94"/>
  <c r="H62" i="94"/>
  <c r="I61" i="94"/>
  <c r="H61" i="94"/>
  <c r="I60" i="94"/>
  <c r="H60" i="94"/>
  <c r="I59" i="94"/>
  <c r="H59" i="94"/>
  <c r="I58" i="94"/>
  <c r="H58" i="94"/>
  <c r="I57" i="94"/>
  <c r="H57" i="94"/>
  <c r="I56" i="94"/>
  <c r="H56" i="94"/>
  <c r="I55" i="94"/>
  <c r="H55" i="94"/>
  <c r="I54" i="94"/>
  <c r="H54" i="94"/>
  <c r="I53" i="94"/>
  <c r="H53" i="94"/>
  <c r="I52" i="94"/>
  <c r="H52" i="94"/>
  <c r="I51" i="94"/>
  <c r="H51" i="94"/>
  <c r="I50" i="94"/>
  <c r="H50" i="94"/>
  <c r="I49" i="94"/>
  <c r="H49" i="94"/>
  <c r="I48" i="94"/>
  <c r="H48" i="94"/>
  <c r="I47" i="94"/>
  <c r="H47" i="94"/>
  <c r="I46" i="94"/>
  <c r="H46" i="94"/>
  <c r="I45" i="94"/>
  <c r="H45" i="94"/>
  <c r="I44" i="94"/>
  <c r="H44" i="94"/>
  <c r="I43" i="94"/>
  <c r="H43" i="94"/>
  <c r="I42" i="94"/>
  <c r="H42" i="94"/>
  <c r="I41" i="94"/>
  <c r="H41" i="94"/>
  <c r="I40" i="94"/>
  <c r="H40" i="94"/>
  <c r="I39" i="94"/>
  <c r="H39" i="94"/>
  <c r="I38" i="94"/>
  <c r="H38" i="94"/>
  <c r="I37" i="94"/>
  <c r="H37" i="94"/>
  <c r="I36" i="94"/>
  <c r="H36" i="94"/>
  <c r="I35" i="94"/>
  <c r="H35" i="94"/>
  <c r="I34" i="94"/>
  <c r="H34" i="94"/>
  <c r="I33" i="94"/>
  <c r="H33" i="94"/>
  <c r="I32" i="94"/>
  <c r="H32" i="94"/>
  <c r="I31" i="94"/>
  <c r="H31" i="94"/>
  <c r="I30" i="94"/>
  <c r="H30" i="94"/>
  <c r="I29" i="94"/>
  <c r="H29" i="94"/>
  <c r="I28" i="94"/>
  <c r="H28" i="94"/>
  <c r="I27" i="94"/>
  <c r="H27" i="94"/>
  <c r="I26" i="94"/>
  <c r="H26" i="94"/>
  <c r="I25" i="94"/>
  <c r="H25" i="94"/>
  <c r="I24" i="94"/>
  <c r="H24" i="94"/>
  <c r="I23" i="94"/>
  <c r="H23" i="94"/>
  <c r="H22" i="94"/>
  <c r="I21" i="94"/>
  <c r="H21" i="94"/>
  <c r="F67" i="92"/>
  <c r="F66" i="92"/>
  <c r="F65" i="92"/>
  <c r="F64" i="92"/>
  <c r="F63" i="92"/>
  <c r="F62" i="92"/>
  <c r="F61" i="92"/>
  <c r="F60" i="92"/>
  <c r="F59" i="92"/>
  <c r="F58" i="92"/>
  <c r="F57" i="92"/>
  <c r="F56" i="92"/>
  <c r="F55" i="92"/>
  <c r="F54" i="92"/>
  <c r="F53" i="92"/>
  <c r="F52" i="92"/>
  <c r="F51" i="92"/>
  <c r="F50" i="92"/>
  <c r="F41" i="92"/>
  <c r="F40" i="92"/>
  <c r="F39" i="92"/>
  <c r="F38" i="92"/>
  <c r="F37" i="92"/>
  <c r="F36" i="92"/>
  <c r="F35" i="92"/>
  <c r="F34" i="92"/>
  <c r="F33" i="92"/>
  <c r="F32" i="92"/>
  <c r="F31" i="92"/>
  <c r="F30" i="92"/>
  <c r="F29" i="92"/>
  <c r="F28" i="92"/>
  <c r="F27" i="92"/>
  <c r="F26" i="92"/>
  <c r="F25" i="92"/>
  <c r="O22" i="91"/>
  <c r="P17" i="91"/>
  <c r="O17" i="91"/>
  <c r="N17" i="91"/>
  <c r="G56" i="85"/>
  <c r="F28" i="85"/>
  <c r="F48" i="92"/>
  <c r="F22" i="92"/>
  <c r="P18" i="91"/>
  <c r="L57" i="87"/>
  <c r="M57" i="87" s="1"/>
  <c r="M56" i="87"/>
  <c r="M55" i="87"/>
  <c r="M54" i="87"/>
  <c r="M53" i="87"/>
  <c r="M52" i="87"/>
  <c r="M51" i="87"/>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6" i="87"/>
  <c r="M15" i="87"/>
  <c r="M14" i="87"/>
  <c r="M13" i="87"/>
  <c r="M12" i="87"/>
  <c r="M11" i="87"/>
  <c r="M10" i="87"/>
  <c r="M9" i="87"/>
  <c r="M7" i="87"/>
  <c r="G130" i="85"/>
  <c r="I130" i="85" s="1"/>
  <c r="F130" i="85"/>
  <c r="G129" i="85"/>
  <c r="I129" i="85" s="1"/>
  <c r="F129" i="85"/>
  <c r="G128" i="85"/>
  <c r="I128" i="85" s="1"/>
  <c r="F128" i="85"/>
  <c r="G127" i="85"/>
  <c r="I127" i="85" s="1"/>
  <c r="F127" i="85"/>
  <c r="G126" i="85"/>
  <c r="I126" i="85" s="1"/>
  <c r="F126" i="85"/>
  <c r="G125" i="85"/>
  <c r="I125" i="85" s="1"/>
  <c r="F125" i="85"/>
  <c r="G124" i="85"/>
  <c r="I124" i="85" s="1"/>
  <c r="F124" i="85"/>
  <c r="G123" i="85"/>
  <c r="I123" i="85" s="1"/>
  <c r="F123" i="85"/>
  <c r="G122" i="85"/>
  <c r="I122" i="85" s="1"/>
  <c r="F122" i="85"/>
  <c r="G121" i="85"/>
  <c r="I121" i="85" s="1"/>
  <c r="F121" i="85"/>
  <c r="G120" i="85"/>
  <c r="I120" i="85" s="1"/>
  <c r="F120" i="85"/>
  <c r="G119" i="85"/>
  <c r="I119" i="85" s="1"/>
  <c r="F119" i="85"/>
  <c r="G118" i="85"/>
  <c r="I118" i="85" s="1"/>
  <c r="F118" i="85"/>
  <c r="G117" i="85"/>
  <c r="I117" i="85" s="1"/>
  <c r="F117" i="85"/>
  <c r="G116" i="85"/>
  <c r="I116" i="85" s="1"/>
  <c r="F116" i="85"/>
  <c r="G115" i="85"/>
  <c r="I115" i="85" s="1"/>
  <c r="F115" i="85"/>
  <c r="G114" i="85"/>
  <c r="I114" i="85" s="1"/>
  <c r="F114" i="85"/>
  <c r="G113" i="85"/>
  <c r="F112" i="85"/>
  <c r="F111" i="85"/>
  <c r="F102" i="85"/>
  <c r="H102" i="85" s="1"/>
  <c r="E102" i="85"/>
  <c r="F101" i="85"/>
  <c r="H101" i="85" s="1"/>
  <c r="E101" i="85"/>
  <c r="F100" i="85"/>
  <c r="H100" i="85" s="1"/>
  <c r="E100" i="85"/>
  <c r="F99" i="85"/>
  <c r="H99" i="85" s="1"/>
  <c r="E99" i="85"/>
  <c r="F98" i="85"/>
  <c r="H98" i="85" s="1"/>
  <c r="E98" i="85"/>
  <c r="F97" i="85"/>
  <c r="H97" i="85" s="1"/>
  <c r="E97" i="85"/>
  <c r="F96" i="85"/>
  <c r="H96" i="85" s="1"/>
  <c r="E96" i="85"/>
  <c r="F95" i="85"/>
  <c r="H95" i="85" s="1"/>
  <c r="E95" i="85"/>
  <c r="F94" i="85"/>
  <c r="H94" i="85" s="1"/>
  <c r="E94" i="85"/>
  <c r="F93" i="85"/>
  <c r="H93" i="85" s="1"/>
  <c r="E93" i="85"/>
  <c r="F92" i="85"/>
  <c r="H92" i="85" s="1"/>
  <c r="E92" i="85"/>
  <c r="F91" i="85"/>
  <c r="H91" i="85" s="1"/>
  <c r="E91" i="85"/>
  <c r="F90" i="85"/>
  <c r="H90" i="85" s="1"/>
  <c r="E90" i="85"/>
  <c r="F89" i="85"/>
  <c r="H89" i="85" s="1"/>
  <c r="E89" i="85"/>
  <c r="F88" i="85"/>
  <c r="H88" i="85" s="1"/>
  <c r="E88" i="85"/>
  <c r="F87" i="85"/>
  <c r="H87" i="85" s="1"/>
  <c r="E87" i="85"/>
  <c r="F86" i="85"/>
  <c r="H86" i="85" s="1"/>
  <c r="E86" i="85"/>
  <c r="E85" i="85"/>
  <c r="E84" i="85"/>
  <c r="E83" i="85"/>
  <c r="F47" i="85"/>
  <c r="H47" i="85" s="1"/>
  <c r="E47" i="85"/>
  <c r="F46" i="85"/>
  <c r="H46" i="85" s="1"/>
  <c r="E46" i="85"/>
  <c r="F45" i="85"/>
  <c r="H45" i="85" s="1"/>
  <c r="E45" i="85"/>
  <c r="F44" i="85"/>
  <c r="H44" i="85" s="1"/>
  <c r="E44" i="85"/>
  <c r="F43" i="85"/>
  <c r="H43" i="85" s="1"/>
  <c r="E43" i="85"/>
  <c r="F42" i="85"/>
  <c r="H42" i="85" s="1"/>
  <c r="E42" i="85"/>
  <c r="F41" i="85"/>
  <c r="H41" i="85" s="1"/>
  <c r="E41" i="85"/>
  <c r="F40" i="85"/>
  <c r="H40" i="85" s="1"/>
  <c r="E40" i="85"/>
  <c r="F39" i="85"/>
  <c r="H39" i="85" s="1"/>
  <c r="E39" i="85"/>
  <c r="F38" i="85"/>
  <c r="H38" i="85" s="1"/>
  <c r="E38" i="85"/>
  <c r="F37" i="85"/>
  <c r="H37" i="85" s="1"/>
  <c r="E37" i="85"/>
  <c r="F36" i="85"/>
  <c r="H36" i="85" s="1"/>
  <c r="E36" i="85"/>
  <c r="F35" i="85"/>
  <c r="H35" i="85" s="1"/>
  <c r="E35" i="85"/>
  <c r="E34" i="85"/>
  <c r="F33" i="85"/>
  <c r="H33" i="85" s="1"/>
  <c r="E33" i="85"/>
  <c r="F32" i="85"/>
  <c r="H32" i="85" s="1"/>
  <c r="E32" i="85"/>
  <c r="E31" i="85"/>
  <c r="F30" i="85"/>
  <c r="E30" i="85"/>
  <c r="E29" i="85"/>
  <c r="E28" i="85"/>
  <c r="E74" i="84"/>
  <c r="G65" i="84"/>
  <c r="G64" i="84"/>
  <c r="G63" i="84"/>
  <c r="G62" i="84"/>
  <c r="G61" i="84"/>
  <c r="G60" i="84"/>
  <c r="G59" i="84"/>
  <c r="G58" i="84"/>
  <c r="G57" i="84"/>
  <c r="G56" i="84"/>
  <c r="G55" i="84"/>
  <c r="G54" i="84"/>
  <c r="G53" i="84"/>
  <c r="G52" i="84"/>
  <c r="G51" i="84"/>
  <c r="G50" i="84"/>
  <c r="G49" i="84"/>
  <c r="G48" i="84"/>
  <c r="G40" i="84"/>
  <c r="G39" i="84"/>
  <c r="G38" i="84"/>
  <c r="G37" i="84"/>
  <c r="G36" i="84"/>
  <c r="G35" i="84"/>
  <c r="G34" i="84"/>
  <c r="G33" i="84"/>
  <c r="G32" i="84"/>
  <c r="G31" i="84"/>
  <c r="G29" i="84"/>
  <c r="G28" i="84"/>
  <c r="G27" i="84"/>
  <c r="G26" i="84"/>
  <c r="G25" i="84"/>
  <c r="G24" i="84"/>
  <c r="G23" i="84"/>
  <c r="E25" i="82"/>
  <c r="E24" i="82"/>
  <c r="E23" i="82"/>
  <c r="E22" i="82"/>
  <c r="E20" i="80"/>
  <c r="E19" i="80"/>
  <c r="E18" i="80"/>
  <c r="E17" i="80"/>
  <c r="E16" i="80"/>
  <c r="E15" i="80"/>
  <c r="E14" i="80"/>
  <c r="D155" i="77"/>
  <c r="N63" i="76"/>
  <c r="G63" i="76"/>
  <c r="N24" i="76"/>
  <c r="E33" i="69"/>
  <c r="E34" i="69" s="1"/>
  <c r="E134" i="102" l="1"/>
  <c r="E100" i="102"/>
  <c r="E110" i="102"/>
  <c r="E84" i="102"/>
  <c r="E102" i="102"/>
  <c r="D228" i="102"/>
  <c r="D229" i="102"/>
  <c r="E98" i="102"/>
  <c r="E145" i="102"/>
  <c r="E153" i="102"/>
  <c r="E172" i="102"/>
  <c r="E118" i="102"/>
  <c r="E171" i="102"/>
  <c r="E169" i="102"/>
  <c r="E167" i="102"/>
  <c r="E90" i="102"/>
  <c r="E143" i="102"/>
  <c r="E165" i="102"/>
  <c r="E92" i="102"/>
  <c r="E126" i="102"/>
  <c r="E136" i="102"/>
  <c r="E104" i="102"/>
  <c r="E111" i="102"/>
  <c r="E147" i="102"/>
  <c r="E130" i="102"/>
  <c r="E128" i="102"/>
  <c r="E96" i="102"/>
  <c r="E120" i="102"/>
  <c r="E151" i="102"/>
  <c r="E155" i="102"/>
  <c r="E82" i="102"/>
  <c r="E132" i="102"/>
  <c r="E113" i="102"/>
  <c r="C204" i="102"/>
  <c r="G25" i="79"/>
  <c r="G26" i="79"/>
  <c r="G31" i="79"/>
  <c r="G32" i="79"/>
  <c r="G81" i="86"/>
  <c r="G83" i="86"/>
  <c r="G94" i="86"/>
  <c r="G91" i="86"/>
  <c r="G90" i="86"/>
  <c r="G89" i="86"/>
  <c r="G96" i="86"/>
  <c r="G86" i="86"/>
  <c r="G93" i="86"/>
  <c r="G95" i="86"/>
  <c r="G84" i="86"/>
  <c r="G87" i="86"/>
  <c r="G85" i="86"/>
  <c r="G82" i="86"/>
  <c r="G92" i="86"/>
  <c r="G88" i="86"/>
  <c r="G28" i="85"/>
  <c r="P83" i="85"/>
  <c r="Q111" i="85"/>
  <c r="G83" i="85"/>
  <c r="H111" i="85"/>
  <c r="Q56" i="85"/>
  <c r="P28" i="85"/>
  <c r="F17" i="69"/>
  <c r="I17" i="69" s="1"/>
  <c r="G28" i="79"/>
  <c r="E20" i="82"/>
  <c r="E263" i="102"/>
  <c r="G59" i="110" s="1"/>
  <c r="G63" i="102"/>
  <c r="C33" i="79"/>
  <c r="G33" i="79" s="1"/>
  <c r="G65" i="102"/>
  <c r="C35" i="79"/>
  <c r="G35" i="79" s="1"/>
  <c r="G64" i="102"/>
  <c r="C34" i="79"/>
  <c r="G34" i="79" s="1"/>
  <c r="F30" i="102"/>
  <c r="F29" i="102" s="1"/>
  <c r="C20" i="79"/>
  <c r="G20" i="79" s="1"/>
  <c r="E59" i="79"/>
  <c r="P103" i="85"/>
  <c r="Q76" i="85"/>
  <c r="P48" i="85"/>
  <c r="Q131" i="85"/>
  <c r="O18" i="91"/>
  <c r="M18" i="91" s="1"/>
  <c r="I56" i="85" s="1"/>
  <c r="M17" i="87"/>
  <c r="E12" i="80"/>
  <c r="E23" i="75" s="1"/>
  <c r="J49" i="94"/>
  <c r="J57" i="94"/>
  <c r="J34" i="94"/>
  <c r="J42" i="94"/>
  <c r="J27" i="94"/>
  <c r="J35" i="94"/>
  <c r="J47" i="94"/>
  <c r="J55" i="94"/>
  <c r="J59" i="94"/>
  <c r="J24" i="94"/>
  <c r="J40" i="94"/>
  <c r="J44" i="94"/>
  <c r="J52" i="94"/>
  <c r="F84" i="85"/>
  <c r="E63" i="102"/>
  <c r="F63" i="102"/>
  <c r="C209" i="102"/>
  <c r="G21" i="104"/>
  <c r="H21" i="104" s="1"/>
  <c r="R12" i="104" s="1"/>
  <c r="G108" i="110"/>
  <c r="D30" i="102"/>
  <c r="D29" i="102" s="1"/>
  <c r="E64" i="102"/>
  <c r="E30" i="102"/>
  <c r="E29" i="102" s="1"/>
  <c r="F64" i="102"/>
  <c r="F65" i="102"/>
  <c r="E65" i="102"/>
  <c r="G35" i="102"/>
  <c r="G34" i="102"/>
  <c r="G38" i="102"/>
  <c r="G111" i="85"/>
  <c r="J41" i="94"/>
  <c r="F31" i="85"/>
  <c r="J43" i="94"/>
  <c r="BP51" i="103"/>
  <c r="J25" i="94"/>
  <c r="J26" i="94"/>
  <c r="J36" i="94"/>
  <c r="E146" i="102"/>
  <c r="J50" i="94"/>
  <c r="J53" i="94"/>
  <c r="G112" i="85"/>
  <c r="J51" i="94"/>
  <c r="E157" i="102"/>
  <c r="E164" i="102"/>
  <c r="E127" i="102"/>
  <c r="E150" i="102"/>
  <c r="J54" i="94"/>
  <c r="G57" i="83"/>
  <c r="J56" i="94"/>
  <c r="E142" i="102"/>
  <c r="BP124" i="103"/>
  <c r="J48" i="94"/>
  <c r="J66" i="94"/>
  <c r="BP19" i="103"/>
  <c r="J67" i="94"/>
  <c r="BP6" i="103"/>
  <c r="F49" i="92"/>
  <c r="F68" i="92" s="1"/>
  <c r="BP236" i="103"/>
  <c r="BP107" i="103"/>
  <c r="J58" i="94"/>
  <c r="J68" i="94"/>
  <c r="BP231" i="103"/>
  <c r="J33" i="94"/>
  <c r="E131" i="102"/>
  <c r="E152" i="102"/>
  <c r="E170" i="102"/>
  <c r="E135" i="102"/>
  <c r="E144" i="102"/>
  <c r="E166" i="102"/>
  <c r="E125" i="102"/>
  <c r="E148" i="102"/>
  <c r="E85" i="102"/>
  <c r="BP146" i="103"/>
  <c r="BP131" i="103"/>
  <c r="BP23" i="103"/>
  <c r="BP67" i="103"/>
  <c r="BP257" i="103"/>
  <c r="BP24" i="103"/>
  <c r="BP41" i="103"/>
  <c r="BP157" i="103"/>
  <c r="BP234" i="103"/>
  <c r="BP192" i="103"/>
  <c r="BP277" i="103"/>
  <c r="BP128" i="103"/>
  <c r="BP242" i="103"/>
  <c r="BP39" i="103"/>
  <c r="BP183" i="103"/>
  <c r="BP185" i="103"/>
  <c r="BP61" i="103"/>
  <c r="BP247" i="103"/>
  <c r="BP197" i="103"/>
  <c r="BP7" i="103"/>
  <c r="BP106" i="103"/>
  <c r="BP273" i="103"/>
  <c r="BP221" i="103"/>
  <c r="BP50" i="103"/>
  <c r="BP122" i="103"/>
  <c r="BP214" i="103"/>
  <c r="BP96" i="103"/>
  <c r="BP211" i="103"/>
  <c r="BP100" i="103"/>
  <c r="G32" i="102"/>
  <c r="G31" i="102"/>
  <c r="BP203" i="103"/>
  <c r="BP218" i="103"/>
  <c r="BP168" i="103"/>
  <c r="BP91" i="103"/>
  <c r="BP52" i="103"/>
  <c r="BP47" i="103"/>
  <c r="BP9" i="103"/>
  <c r="BP152" i="103"/>
  <c r="BP145" i="103"/>
  <c r="BP10" i="103"/>
  <c r="BP108" i="103"/>
  <c r="BP102" i="103"/>
  <c r="BP123" i="103"/>
  <c r="BP186" i="103"/>
  <c r="BP92" i="103"/>
  <c r="BP28" i="103"/>
  <c r="BP275" i="103"/>
  <c r="BP244" i="103"/>
  <c r="BP208" i="103"/>
  <c r="BP132" i="103"/>
  <c r="BP86" i="103"/>
  <c r="BP74" i="103"/>
  <c r="BP26" i="103"/>
  <c r="BP153" i="103"/>
  <c r="BP228" i="103"/>
  <c r="BP58" i="103"/>
  <c r="BP85" i="103"/>
  <c r="BP12" i="103"/>
  <c r="BP184" i="103"/>
  <c r="BP43" i="103"/>
  <c r="BP82" i="103"/>
  <c r="BP280" i="103"/>
  <c r="BP195" i="103"/>
  <c r="BP213" i="103"/>
  <c r="BP54" i="103"/>
  <c r="BP139" i="103"/>
  <c r="BP30" i="103"/>
  <c r="BP45" i="103"/>
  <c r="BP248" i="103"/>
  <c r="BP222" i="103"/>
  <c r="BP251" i="103"/>
  <c r="BP271" i="103"/>
  <c r="BP180" i="103"/>
  <c r="BP174" i="103"/>
  <c r="BP80" i="103"/>
  <c r="BP118" i="103"/>
  <c r="BP42" i="103"/>
  <c r="BP31" i="103"/>
  <c r="E129" i="102"/>
  <c r="BP241" i="103"/>
  <c r="BP194" i="103"/>
  <c r="BP178" i="103"/>
  <c r="BP250" i="103"/>
  <c r="BP64" i="103"/>
  <c r="BP116" i="103"/>
  <c r="BP84" i="103"/>
  <c r="BP5" i="103"/>
  <c r="BP126" i="103"/>
  <c r="BP155" i="103"/>
  <c r="BP110" i="103"/>
  <c r="BP158" i="103"/>
  <c r="BP279" i="103"/>
  <c r="BP171" i="103"/>
  <c r="BP167" i="103"/>
  <c r="BP176" i="103"/>
  <c r="BP35" i="103"/>
  <c r="BP267" i="103"/>
  <c r="BP201" i="103"/>
  <c r="BP115" i="103"/>
  <c r="BP27" i="103"/>
  <c r="BP224" i="103"/>
  <c r="BP164" i="103"/>
  <c r="BP136" i="103"/>
  <c r="BP114" i="103"/>
  <c r="BP258" i="103"/>
  <c r="BP188" i="103"/>
  <c r="BP127" i="103"/>
  <c r="BP141" i="103"/>
  <c r="BP25" i="103"/>
  <c r="BP29" i="103"/>
  <c r="BP206" i="103"/>
  <c r="BP177" i="103"/>
  <c r="BP65" i="103"/>
  <c r="BP13" i="103"/>
  <c r="BP263" i="103"/>
  <c r="BP237" i="103"/>
  <c r="BP220" i="103"/>
  <c r="BP238" i="103"/>
  <c r="BP198" i="103"/>
  <c r="BP166" i="103"/>
  <c r="BP60" i="103"/>
  <c r="D78" i="102"/>
  <c r="BP191" i="103"/>
  <c r="BP20" i="103"/>
  <c r="BP76" i="103"/>
  <c r="BP46" i="103"/>
  <c r="BP55" i="103"/>
  <c r="BP215" i="103"/>
  <c r="BP3" i="103"/>
  <c r="BP104" i="103"/>
  <c r="BP179" i="103"/>
  <c r="BP239" i="103"/>
  <c r="BP134" i="103"/>
  <c r="BP71" i="103"/>
  <c r="BP265" i="103"/>
  <c r="BP34" i="103"/>
  <c r="BP44" i="103"/>
  <c r="BP270" i="103"/>
  <c r="BP260" i="103"/>
  <c r="BP140" i="103"/>
  <c r="BP135" i="103"/>
  <c r="BP255" i="103"/>
  <c r="BP233" i="103"/>
  <c r="BP160" i="103"/>
  <c r="BP190" i="103"/>
  <c r="BP94" i="103"/>
  <c r="BP112" i="103"/>
  <c r="BP90" i="103"/>
  <c r="BP59" i="103"/>
  <c r="BP14" i="103"/>
  <c r="BP38" i="103"/>
  <c r="BP249" i="103"/>
  <c r="BP199" i="103"/>
  <c r="BP98" i="103"/>
  <c r="BP101" i="103"/>
  <c r="BP268" i="103"/>
  <c r="BP125" i="103"/>
  <c r="BP81" i="103"/>
  <c r="BP154" i="103"/>
  <c r="BP143" i="103"/>
  <c r="BP109" i="103"/>
  <c r="BP21" i="103"/>
  <c r="BP77" i="103"/>
  <c r="BP18" i="103"/>
  <c r="BP40" i="103"/>
  <c r="E139" i="102"/>
  <c r="E101" i="102"/>
  <c r="G36" i="102"/>
  <c r="E133" i="102"/>
  <c r="BP62" i="103"/>
  <c r="E119" i="102"/>
  <c r="BP97" i="103"/>
  <c r="BP163" i="103"/>
  <c r="BP75" i="103"/>
  <c r="E137" i="102"/>
  <c r="E81" i="102"/>
  <c r="BP226" i="103"/>
  <c r="BP259" i="103"/>
  <c r="BP230" i="103"/>
  <c r="BP219" i="103"/>
  <c r="BP196" i="103"/>
  <c r="BP137" i="103"/>
  <c r="BP212" i="103"/>
  <c r="BP99" i="103"/>
  <c r="BP89" i="103"/>
  <c r="BP193" i="103"/>
  <c r="BP17" i="103"/>
  <c r="BP119" i="103"/>
  <c r="BP48" i="103"/>
  <c r="E93" i="102"/>
  <c r="E114" i="102"/>
  <c r="E103" i="102"/>
  <c r="H61" i="102"/>
  <c r="E154" i="102"/>
  <c r="E95" i="102"/>
  <c r="E91" i="102"/>
  <c r="E156" i="102"/>
  <c r="E87" i="102"/>
  <c r="BP63" i="103"/>
  <c r="BP243" i="103"/>
  <c r="BP269" i="103"/>
  <c r="BP169" i="103"/>
  <c r="BP232" i="103"/>
  <c r="BP182" i="103"/>
  <c r="BP165" i="103"/>
  <c r="BP147" i="103"/>
  <c r="BP95" i="103"/>
  <c r="BP217" i="103"/>
  <c r="BP170" i="103"/>
  <c r="BP175" i="103"/>
  <c r="BP150" i="103"/>
  <c r="BP133" i="103"/>
  <c r="BP121" i="103"/>
  <c r="BP53" i="103"/>
  <c r="BP36" i="103"/>
  <c r="BP200" i="103"/>
  <c r="BP87" i="103"/>
  <c r="BP56" i="103"/>
  <c r="BP15" i="103"/>
  <c r="BP156" i="103"/>
  <c r="BP181" i="103"/>
  <c r="E123" i="102"/>
  <c r="E83" i="102"/>
  <c r="E105" i="102"/>
  <c r="E160" i="102"/>
  <c r="E121" i="102"/>
  <c r="E140" i="102"/>
  <c r="BP276" i="103"/>
  <c r="BP266" i="103"/>
  <c r="BP209" i="103"/>
  <c r="BP210" i="103"/>
  <c r="BP223" i="103"/>
  <c r="BP227" i="103"/>
  <c r="BP173" i="103"/>
  <c r="BP78" i="103"/>
  <c r="BP113" i="103"/>
  <c r="BP207" i="103"/>
  <c r="BP204" i="103"/>
  <c r="BP162" i="103"/>
  <c r="BP49" i="103"/>
  <c r="BP69" i="103"/>
  <c r="BP144" i="103"/>
  <c r="E158" i="102"/>
  <c r="G37" i="102"/>
  <c r="BP37" i="103"/>
  <c r="E174" i="102"/>
  <c r="E117" i="102"/>
  <c r="H62" i="102"/>
  <c r="E112" i="102"/>
  <c r="BP272" i="103"/>
  <c r="BP254" i="103"/>
  <c r="BP264" i="103"/>
  <c r="BP161" i="103"/>
  <c r="BP138" i="103"/>
  <c r="BP202" i="103"/>
  <c r="BP148" i="103"/>
  <c r="BP149" i="103"/>
  <c r="BP111" i="103"/>
  <c r="BP16" i="103"/>
  <c r="BP142" i="103"/>
  <c r="BP72" i="103"/>
  <c r="BP70" i="103"/>
  <c r="BP79" i="103"/>
  <c r="BP32" i="103"/>
  <c r="BP278" i="103"/>
  <c r="BP225" i="103"/>
  <c r="BP235" i="103"/>
  <c r="BP256" i="103"/>
  <c r="BP205" i="103"/>
  <c r="BP151" i="103"/>
  <c r="BP117" i="103"/>
  <c r="BP93" i="103"/>
  <c r="BP57" i="103"/>
  <c r="BP172" i="103"/>
  <c r="BP68" i="103"/>
  <c r="BP4" i="103"/>
  <c r="BP8" i="103"/>
  <c r="E109" i="102"/>
  <c r="E116" i="102"/>
  <c r="E99" i="102"/>
  <c r="E89" i="102"/>
  <c r="G33" i="102"/>
  <c r="BP66" i="103"/>
  <c r="E107" i="102"/>
  <c r="E97" i="102"/>
  <c r="BP253" i="103"/>
  <c r="BP274" i="103"/>
  <c r="BP240" i="103"/>
  <c r="BP252" i="103"/>
  <c r="BP262" i="103"/>
  <c r="BP246" i="103"/>
  <c r="BP229" i="103"/>
  <c r="BP216" i="103"/>
  <c r="BP245" i="103"/>
  <c r="BP261" i="103"/>
  <c r="BP130" i="103"/>
  <c r="BP120" i="103"/>
  <c r="BP88" i="103"/>
  <c r="BP187" i="103"/>
  <c r="BP105" i="103"/>
  <c r="BP189" i="103"/>
  <c r="BP22" i="103"/>
  <c r="BP33" i="103"/>
  <c r="BP129" i="103"/>
  <c r="BP83" i="103"/>
  <c r="BP103" i="103"/>
  <c r="E168" i="102"/>
  <c r="E162" i="102"/>
  <c r="D73" i="81"/>
  <c r="J28" i="94"/>
  <c r="J32" i="94"/>
  <c r="J39" i="94"/>
  <c r="D49" i="79"/>
  <c r="F49" i="79" s="1"/>
  <c r="G42" i="83"/>
  <c r="G50" i="83"/>
  <c r="F29" i="85"/>
  <c r="J64" i="94"/>
  <c r="G43" i="83"/>
  <c r="G51" i="83"/>
  <c r="D50" i="79"/>
  <c r="F50" i="79" s="1"/>
  <c r="G44" i="83"/>
  <c r="G52" i="83"/>
  <c r="J23" i="94"/>
  <c r="J29" i="94"/>
  <c r="J61" i="94"/>
  <c r="J65" i="94"/>
  <c r="G45" i="83"/>
  <c r="G53" i="83"/>
  <c r="F85" i="85"/>
  <c r="H85" i="85" s="1"/>
  <c r="G46" i="83"/>
  <c r="G54" i="83"/>
  <c r="J37" i="94"/>
  <c r="J62" i="94"/>
  <c r="J69" i="94"/>
  <c r="G47" i="83"/>
  <c r="G55" i="83"/>
  <c r="F83" i="85"/>
  <c r="J31" i="94"/>
  <c r="G40" i="83"/>
  <c r="G48" i="83"/>
  <c r="G56" i="83"/>
  <c r="F23" i="92"/>
  <c r="J45" i="94"/>
  <c r="J63" i="94"/>
  <c r="G41" i="83"/>
  <c r="G49" i="83"/>
  <c r="J21" i="94"/>
  <c r="N45" i="76"/>
  <c r="E21" i="75" s="1"/>
  <c r="G45" i="76"/>
  <c r="G17" i="70"/>
  <c r="G46" i="81"/>
  <c r="E24" i="75" s="1"/>
  <c r="F113" i="83"/>
  <c r="G44" i="91"/>
  <c r="J30" i="94"/>
  <c r="J60" i="94"/>
  <c r="J38" i="94"/>
  <c r="M8" i="87"/>
  <c r="J22" i="94"/>
  <c r="M17" i="91"/>
  <c r="J46" i="94"/>
  <c r="C203" i="102" l="1"/>
  <c r="E22" i="104"/>
  <c r="G60" i="102"/>
  <c r="H63" i="102"/>
  <c r="G97" i="86"/>
  <c r="H83" i="85"/>
  <c r="G29" i="79"/>
  <c r="G36" i="79"/>
  <c r="E20" i="75"/>
  <c r="G41" i="79"/>
  <c r="G42" i="79"/>
  <c r="E40" i="79"/>
  <c r="G40" i="79" s="1"/>
  <c r="G43" i="79" s="1"/>
  <c r="F51" i="79"/>
  <c r="I112" i="85"/>
  <c r="I111" i="85"/>
  <c r="R56" i="85"/>
  <c r="Q84" i="85"/>
  <c r="Q103" i="85" s="1"/>
  <c r="Q83" i="85"/>
  <c r="R112" i="85"/>
  <c r="R131" i="85" s="1"/>
  <c r="R57" i="85"/>
  <c r="R76" i="85" s="1"/>
  <c r="R111" i="85"/>
  <c r="Q29" i="85"/>
  <c r="Q48" i="85" s="1"/>
  <c r="Q28" i="85"/>
  <c r="I57" i="85"/>
  <c r="I76" i="85" s="1"/>
  <c r="I113" i="85"/>
  <c r="H31" i="85"/>
  <c r="H30" i="85"/>
  <c r="H29" i="85"/>
  <c r="H84" i="85"/>
  <c r="H103" i="85" s="1"/>
  <c r="H28" i="85"/>
  <c r="G38" i="83"/>
  <c r="I226" i="87"/>
  <c r="G39" i="83"/>
  <c r="G58" i="83" s="1"/>
  <c r="E27" i="104"/>
  <c r="N16" i="104" s="1"/>
  <c r="G62" i="110"/>
  <c r="E60" i="102"/>
  <c r="H9" i="110"/>
  <c r="H10" i="110"/>
  <c r="H8" i="110"/>
  <c r="G30" i="102"/>
  <c r="H64" i="102"/>
  <c r="F60" i="102"/>
  <c r="H65" i="102"/>
  <c r="F42" i="92"/>
  <c r="E30" i="75" s="1"/>
  <c r="E78" i="102"/>
  <c r="E11" i="104" s="1"/>
  <c r="N10" i="104" s="1"/>
  <c r="H86" i="83"/>
  <c r="H104" i="77"/>
  <c r="J70" i="94"/>
  <c r="E34" i="75" s="1"/>
  <c r="G22" i="104" l="1"/>
  <c r="H22" i="104" s="1"/>
  <c r="R13" i="104" s="1"/>
  <c r="N12" i="104"/>
  <c r="D207" i="102"/>
  <c r="D208" i="102"/>
  <c r="D212" i="102"/>
  <c r="D204" i="102"/>
  <c r="D206" i="102"/>
  <c r="D205" i="102"/>
  <c r="D213" i="102"/>
  <c r="D211" i="102"/>
  <c r="D209" i="102"/>
  <c r="D210" i="102"/>
  <c r="G109" i="110"/>
  <c r="H48" i="85"/>
  <c r="E22" i="75"/>
  <c r="G60" i="110" s="1"/>
  <c r="I131" i="85"/>
  <c r="E25" i="75"/>
  <c r="I124" i="87"/>
  <c r="I136" i="87"/>
  <c r="I154" i="87"/>
  <c r="I16" i="87"/>
  <c r="I322" i="87"/>
  <c r="I280" i="87"/>
  <c r="I106" i="87"/>
  <c r="I40" i="87"/>
  <c r="I250" i="87"/>
  <c r="I220" i="87"/>
  <c r="I274" i="87"/>
  <c r="I286" i="87"/>
  <c r="I262" i="87"/>
  <c r="I88" i="87"/>
  <c r="I196" i="87"/>
  <c r="I160" i="87"/>
  <c r="I298" i="87"/>
  <c r="I34" i="87"/>
  <c r="I130" i="87"/>
  <c r="I112" i="87"/>
  <c r="I304" i="87"/>
  <c r="I208" i="87"/>
  <c r="I100" i="87"/>
  <c r="I310" i="87"/>
  <c r="I22" i="87"/>
  <c r="I238" i="87"/>
  <c r="I148" i="87"/>
  <c r="I58" i="87"/>
  <c r="I46" i="87"/>
  <c r="I28" i="87"/>
  <c r="I64" i="87"/>
  <c r="I184" i="87"/>
  <c r="I202" i="87"/>
  <c r="I142" i="87"/>
  <c r="I82" i="87"/>
  <c r="I190" i="87"/>
  <c r="I232" i="87"/>
  <c r="I292" i="87"/>
  <c r="I268" i="87"/>
  <c r="I178" i="87"/>
  <c r="I166" i="87"/>
  <c r="I256" i="87"/>
  <c r="I94" i="87"/>
  <c r="I118" i="87"/>
  <c r="I244" i="87"/>
  <c r="I172" i="87"/>
  <c r="I316" i="87"/>
  <c r="I214" i="87"/>
  <c r="I70" i="87"/>
  <c r="I52" i="87"/>
  <c r="I76" i="87"/>
  <c r="G103" i="85"/>
  <c r="S29" i="112"/>
  <c r="E27" i="86" s="1"/>
  <c r="I51" i="87"/>
  <c r="I243" i="87"/>
  <c r="I201" i="87"/>
  <c r="I273" i="87"/>
  <c r="I303" i="87"/>
  <c r="I57" i="87"/>
  <c r="I81" i="87"/>
  <c r="I105" i="87"/>
  <c r="I309" i="87"/>
  <c r="I153" i="87"/>
  <c r="I267" i="87"/>
  <c r="I45" i="87"/>
  <c r="I165" i="87"/>
  <c r="I21" i="87"/>
  <c r="I99" i="87"/>
  <c r="I123" i="87"/>
  <c r="I315" i="87"/>
  <c r="I183" i="87"/>
  <c r="I117" i="87"/>
  <c r="I15" i="87"/>
  <c r="I291" i="87"/>
  <c r="I189" i="87"/>
  <c r="I93" i="87"/>
  <c r="I249" i="87"/>
  <c r="I87" i="87"/>
  <c r="I69" i="87"/>
  <c r="I213" i="87"/>
  <c r="I159" i="87"/>
  <c r="I135" i="87"/>
  <c r="I39" i="87"/>
  <c r="I63" i="87"/>
  <c r="I141" i="87"/>
  <c r="I177" i="87"/>
  <c r="I237" i="87"/>
  <c r="I207" i="87"/>
  <c r="I27" i="87"/>
  <c r="I147" i="87"/>
  <c r="I255" i="87"/>
  <c r="I75" i="87"/>
  <c r="I129" i="87"/>
  <c r="I279" i="87"/>
  <c r="I171" i="87"/>
  <c r="I297" i="87"/>
  <c r="I225" i="87"/>
  <c r="I261" i="87"/>
  <c r="I231" i="87"/>
  <c r="I33" i="87"/>
  <c r="I111" i="87"/>
  <c r="I195" i="87"/>
  <c r="I321" i="87"/>
  <c r="I285" i="87"/>
  <c r="I219" i="87"/>
  <c r="H131" i="85"/>
  <c r="E34" i="104"/>
  <c r="G74" i="110"/>
  <c r="E38" i="104"/>
  <c r="N24" i="104" s="1"/>
  <c r="G78" i="110"/>
  <c r="G63" i="110"/>
  <c r="E25" i="104"/>
  <c r="N14" i="104" s="1"/>
  <c r="G80" i="110"/>
  <c r="E24" i="104"/>
  <c r="G68" i="110"/>
  <c r="H60" i="102"/>
  <c r="E9" i="104" s="1"/>
  <c r="G11" i="104"/>
  <c r="H11" i="104" s="1"/>
  <c r="R10" i="104" s="1"/>
  <c r="G104" i="110"/>
  <c r="G53" i="110"/>
  <c r="G54" i="110"/>
  <c r="H6" i="110"/>
  <c r="H7" i="110"/>
  <c r="H5" i="110"/>
  <c r="G29" i="102"/>
  <c r="D8" i="104" s="1"/>
  <c r="N8" i="104" s="1"/>
  <c r="G48" i="85"/>
  <c r="H76" i="85"/>
  <c r="D20" i="104" l="1"/>
  <c r="E14" i="75" s="1"/>
  <c r="G69" i="110"/>
  <c r="N13" i="104"/>
  <c r="G75" i="110"/>
  <c r="N22" i="104"/>
  <c r="G9" i="104"/>
  <c r="H9" i="104" s="1"/>
  <c r="R9" i="104" s="1"/>
  <c r="N9" i="104"/>
  <c r="D203" i="102"/>
  <c r="E26" i="104"/>
  <c r="E32" i="75"/>
  <c r="E27" i="75"/>
  <c r="E66" i="86"/>
  <c r="C3" i="87"/>
  <c r="E57" i="86"/>
  <c r="E60" i="86"/>
  <c r="E25" i="86"/>
  <c r="E54" i="86"/>
  <c r="E33" i="86"/>
  <c r="E28" i="86"/>
  <c r="E71" i="86"/>
  <c r="E67" i="86"/>
  <c r="E38" i="86"/>
  <c r="E65" i="86"/>
  <c r="E31" i="86"/>
  <c r="E36" i="86"/>
  <c r="E62" i="86"/>
  <c r="E42" i="86"/>
  <c r="E69" i="86"/>
  <c r="E35" i="86"/>
  <c r="E72" i="86"/>
  <c r="E64" i="86"/>
  <c r="E61" i="86"/>
  <c r="E43" i="86"/>
  <c r="E30" i="86"/>
  <c r="E70" i="86"/>
  <c r="E44" i="86"/>
  <c r="E34" i="86"/>
  <c r="E58" i="86"/>
  <c r="E29" i="86"/>
  <c r="E63" i="86"/>
  <c r="E32" i="86"/>
  <c r="E41" i="86"/>
  <c r="E59" i="86"/>
  <c r="E37" i="86"/>
  <c r="E55" i="86"/>
  <c r="E40" i="86"/>
  <c r="E68" i="86"/>
  <c r="E56" i="86"/>
  <c r="E39" i="86"/>
  <c r="E53" i="86"/>
  <c r="G46" i="110"/>
  <c r="G79" i="110"/>
  <c r="E44" i="104"/>
  <c r="E29" i="104"/>
  <c r="N18" i="104" s="1"/>
  <c r="G66" i="110"/>
  <c r="G47" i="110"/>
  <c r="G48" i="110"/>
  <c r="G81" i="110"/>
  <c r="G57" i="110"/>
  <c r="G107" i="110"/>
  <c r="G8" i="104"/>
  <c r="H8" i="104" s="1"/>
  <c r="R8" i="104" s="1"/>
  <c r="G106" i="110"/>
  <c r="G56" i="110"/>
  <c r="M32" i="104" l="1"/>
  <c r="G44" i="110"/>
  <c r="N15" i="104"/>
  <c r="G61" i="110"/>
  <c r="I187" i="87"/>
  <c r="I109" i="87"/>
  <c r="I313" i="87"/>
  <c r="I283" i="87"/>
  <c r="I61" i="87"/>
  <c r="I211" i="87"/>
  <c r="I55" i="87"/>
  <c r="I253" i="87"/>
  <c r="I121" i="87"/>
  <c r="I73" i="87"/>
  <c r="I67" i="87"/>
  <c r="I181" i="87"/>
  <c r="I85" i="87"/>
  <c r="I91" i="87"/>
  <c r="I13" i="87"/>
  <c r="I103" i="87"/>
  <c r="I319" i="87"/>
  <c r="I301" i="87"/>
  <c r="I43" i="87"/>
  <c r="I205" i="87"/>
  <c r="I145" i="87"/>
  <c r="I307" i="87"/>
  <c r="I247" i="87"/>
  <c r="I241" i="87"/>
  <c r="I217" i="87"/>
  <c r="I235" i="87"/>
  <c r="I271" i="87"/>
  <c r="I175" i="87"/>
  <c r="I277" i="87"/>
  <c r="I37" i="87"/>
  <c r="I49" i="87"/>
  <c r="I229" i="87"/>
  <c r="I19" i="87"/>
  <c r="I223" i="87"/>
  <c r="I259" i="87"/>
  <c r="I127" i="87"/>
  <c r="I295" i="87"/>
  <c r="I193" i="87"/>
  <c r="I199" i="87"/>
  <c r="I115" i="87"/>
  <c r="I139" i="87"/>
  <c r="I151" i="87"/>
  <c r="I31" i="87"/>
  <c r="I169" i="87"/>
  <c r="I79" i="87"/>
  <c r="I289" i="87"/>
  <c r="I97" i="87"/>
  <c r="I133" i="87"/>
  <c r="I265" i="87"/>
  <c r="I157" i="87"/>
  <c r="I25" i="87"/>
  <c r="I163" i="87"/>
  <c r="E73" i="86"/>
  <c r="E45" i="86"/>
  <c r="E36" i="104"/>
  <c r="G76" i="110"/>
  <c r="E31" i="104"/>
  <c r="N20" i="104" s="1"/>
  <c r="G72" i="110"/>
  <c r="G50" i="110"/>
  <c r="G67" i="110"/>
  <c r="G77" i="110" l="1"/>
  <c r="N23" i="104"/>
  <c r="E28" i="75"/>
  <c r="G82" i="110" s="1"/>
  <c r="I32" i="87"/>
  <c r="N10" i="87" s="1"/>
  <c r="I86" i="87"/>
  <c r="N18" i="87" s="1"/>
  <c r="I236" i="87"/>
  <c r="N43" i="87" s="1"/>
  <c r="I116" i="87"/>
  <c r="N23" i="87" s="1"/>
  <c r="I320" i="87"/>
  <c r="I272" i="87"/>
  <c r="N49" i="87" s="1"/>
  <c r="I68" i="87"/>
  <c r="N15" i="87" s="1"/>
  <c r="G46" i="84" s="1"/>
  <c r="I44" i="87"/>
  <c r="N12" i="87" s="1"/>
  <c r="G47" i="84" s="1"/>
  <c r="I266" i="87"/>
  <c r="N48" i="87" s="1"/>
  <c r="I104" i="87"/>
  <c r="N21" i="87" s="1"/>
  <c r="I188" i="87"/>
  <c r="N35" i="87" s="1"/>
  <c r="I170" i="87"/>
  <c r="N32" i="87" s="1"/>
  <c r="I206" i="87"/>
  <c r="N38" i="87" s="1"/>
  <c r="I284" i="87"/>
  <c r="N51" i="87" s="1"/>
  <c r="I62" i="87"/>
  <c r="I110" i="87"/>
  <c r="N22" i="87" s="1"/>
  <c r="I26" i="87"/>
  <c r="N9" i="87" s="1"/>
  <c r="I122" i="87"/>
  <c r="N24" i="87" s="1"/>
  <c r="I14" i="87"/>
  <c r="I146" i="87"/>
  <c r="N28" i="87" s="1"/>
  <c r="I200" i="87"/>
  <c r="N37" i="87" s="1"/>
  <c r="I254" i="87"/>
  <c r="N46" i="87" s="1"/>
  <c r="I20" i="87"/>
  <c r="N8" i="87" s="1"/>
  <c r="I164" i="87"/>
  <c r="N31" i="87" s="1"/>
  <c r="I260" i="87"/>
  <c r="N47" i="87" s="1"/>
  <c r="I152" i="87"/>
  <c r="N29" i="87" s="1"/>
  <c r="I56" i="87"/>
  <c r="N14" i="87" s="1"/>
  <c r="G22" i="84" s="1"/>
  <c r="G41" i="84" s="1"/>
  <c r="I80" i="87"/>
  <c r="N17" i="87" s="1"/>
  <c r="I98" i="87"/>
  <c r="N20" i="87" s="1"/>
  <c r="I50" i="87"/>
  <c r="N13" i="87" s="1"/>
  <c r="I230" i="87"/>
  <c r="N42" i="87" s="1"/>
  <c r="I74" i="87"/>
  <c r="N16" i="87" s="1"/>
  <c r="I308" i="87"/>
  <c r="N55" i="87" s="1"/>
  <c r="I134" i="87"/>
  <c r="N26" i="87" s="1"/>
  <c r="I92" i="87"/>
  <c r="N19" i="87" s="1"/>
  <c r="I140" i="87"/>
  <c r="N27" i="87" s="1"/>
  <c r="I296" i="87"/>
  <c r="N53" i="87" s="1"/>
  <c r="I302" i="87"/>
  <c r="N54" i="87" s="1"/>
  <c r="I314" i="87"/>
  <c r="N56" i="87" s="1"/>
  <c r="I242" i="87"/>
  <c r="N44" i="87" s="1"/>
  <c r="I194" i="87"/>
  <c r="N36" i="87" s="1"/>
  <c r="I38" i="87"/>
  <c r="N11" i="87" s="1"/>
  <c r="I212" i="87"/>
  <c r="N39" i="87" s="1"/>
  <c r="I128" i="87"/>
  <c r="N25" i="87" s="1"/>
  <c r="I218" i="87"/>
  <c r="N40" i="87" s="1"/>
  <c r="I158" i="87"/>
  <c r="N30" i="87" s="1"/>
  <c r="I278" i="87"/>
  <c r="N50" i="87" s="1"/>
  <c r="I248" i="87"/>
  <c r="N45" i="87" s="1"/>
  <c r="G21" i="84" s="1"/>
  <c r="I176" i="87"/>
  <c r="N33" i="87" s="1"/>
  <c r="I182" i="87"/>
  <c r="N34" i="87" s="1"/>
  <c r="I8" i="87"/>
  <c r="I290" i="87"/>
  <c r="N52" i="87" s="1"/>
  <c r="I224" i="87"/>
  <c r="N41" i="87" s="1"/>
  <c r="G52" i="110"/>
  <c r="G73" i="110"/>
  <c r="E32" i="104" l="1"/>
  <c r="G66" i="84"/>
  <c r="E26" i="75" s="1"/>
  <c r="G83" i="110" l="1"/>
  <c r="N21" i="104"/>
  <c r="G45" i="110"/>
  <c r="E43" i="104"/>
  <c r="G70" i="110"/>
  <c r="E30" i="104"/>
  <c r="N19" i="104" s="1"/>
  <c r="I30" i="67"/>
  <c r="G71" i="110" l="1"/>
  <c r="G51" i="110"/>
  <c r="C2" i="67"/>
  <c r="C51" i="67" l="1"/>
  <c r="C43" i="67"/>
  <c r="I23" i="67" s="1"/>
  <c r="C35" i="67"/>
  <c r="C58" i="67"/>
  <c r="C50" i="67"/>
  <c r="C42" i="67"/>
  <c r="C34" i="67"/>
  <c r="C28" i="67"/>
  <c r="I14" i="67" s="1"/>
  <c r="C24" i="67"/>
  <c r="I13" i="67" s="1"/>
  <c r="C20" i="67"/>
  <c r="C16" i="67"/>
  <c r="C12" i="67"/>
  <c r="C8" i="67"/>
  <c r="C4" i="67"/>
  <c r="C57" i="67"/>
  <c r="C49" i="67"/>
  <c r="C41" i="67"/>
  <c r="C33" i="67"/>
  <c r="I21" i="67" s="1"/>
  <c r="C56" i="67"/>
  <c r="C48" i="67"/>
  <c r="C40" i="67"/>
  <c r="C32" i="67"/>
  <c r="I19" i="67" s="1"/>
  <c r="C27" i="67"/>
  <c r="C23" i="67"/>
  <c r="C19" i="67"/>
  <c r="I11" i="67" s="1"/>
  <c r="C15" i="67"/>
  <c r="C11" i="67"/>
  <c r="I12" i="67" s="1"/>
  <c r="C7" i="67"/>
  <c r="I6" i="67" s="1"/>
  <c r="C3" i="67"/>
  <c r="I3" i="67" s="1"/>
  <c r="C54" i="67"/>
  <c r="I25" i="67" s="1"/>
  <c r="C46" i="67"/>
  <c r="C38" i="67"/>
  <c r="I20" i="67" s="1"/>
  <c r="C26" i="67"/>
  <c r="I15" i="67" s="1"/>
  <c r="C22" i="67"/>
  <c r="C18" i="67"/>
  <c r="C14" i="67"/>
  <c r="I26" i="67" s="1"/>
  <c r="C10" i="67"/>
  <c r="C6" i="67"/>
  <c r="I5" i="67" s="1"/>
  <c r="C52" i="67"/>
  <c r="C44" i="67"/>
  <c r="C36" i="67"/>
  <c r="C29" i="67"/>
  <c r="I16" i="67" s="1"/>
  <c r="C25" i="67"/>
  <c r="I17" i="67" s="1"/>
  <c r="C21" i="67"/>
  <c r="C17" i="67"/>
  <c r="I10" i="67" s="1"/>
  <c r="C13" i="67"/>
  <c r="C9" i="67"/>
  <c r="I8" i="67" s="1"/>
  <c r="C5" i="67"/>
  <c r="I4" i="67" s="1"/>
  <c r="C55" i="67"/>
  <c r="C30" i="67"/>
  <c r="I18" i="67" s="1"/>
  <c r="C53" i="67"/>
  <c r="I24" i="67" s="1"/>
  <c r="C45" i="67"/>
  <c r="C39" i="67"/>
  <c r="C47" i="67"/>
  <c r="C37" i="67"/>
  <c r="C31" i="67"/>
  <c r="I22" i="67" l="1"/>
  <c r="I28" i="67"/>
  <c r="I7" i="67"/>
  <c r="I9" i="67"/>
  <c r="I27" i="67"/>
  <c r="G100" i="110" l="1"/>
  <c r="M14" i="107"/>
  <c r="D230" i="102" s="1"/>
  <c r="D227" i="102" s="1"/>
  <c r="E228" i="102" s="1"/>
  <c r="E12" i="104" l="1"/>
  <c r="G12" i="104" s="1"/>
  <c r="H12" i="104" s="1"/>
  <c r="E229" i="102"/>
  <c r="E231" i="102"/>
  <c r="E233" i="102"/>
  <c r="E232" i="102"/>
  <c r="E230" i="102"/>
  <c r="G55" i="110" l="1"/>
  <c r="G105" i="110"/>
  <c r="R11" i="104"/>
  <c r="E10" i="104"/>
  <c r="G10" i="104" s="1"/>
  <c r="D7" i="104"/>
  <c r="E227" i="102"/>
  <c r="E13" i="75" l="1"/>
  <c r="M31" i="104"/>
  <c r="E102" i="81" l="1"/>
  <c r="G64" i="110" l="1"/>
  <c r="E35" i="75"/>
  <c r="E28" i="104"/>
  <c r="N17" i="104" s="1"/>
  <c r="G49" i="110" l="1"/>
  <c r="D23" i="104"/>
  <c r="G65" i="110"/>
  <c r="F34" i="75"/>
  <c r="F20" i="75"/>
  <c r="F32" i="75"/>
  <c r="E15" i="75"/>
  <c r="E16" i="75" s="1"/>
  <c r="F26" i="75"/>
  <c r="F25" i="75"/>
  <c r="F22" i="75"/>
  <c r="F27" i="75"/>
  <c r="F28" i="75"/>
  <c r="F23" i="75"/>
  <c r="F30" i="75"/>
  <c r="F24" i="75"/>
  <c r="F21" i="75"/>
  <c r="M33" i="104" l="1"/>
  <c r="E39" i="104"/>
  <c r="E6" i="104"/>
  <c r="F35" i="75"/>
  <c r="F38" i="104" l="1"/>
  <c r="F36" i="104"/>
  <c r="F34" i="104"/>
  <c r="F25" i="104"/>
  <c r="F26" i="104"/>
  <c r="F27" i="104"/>
  <c r="F28" i="104"/>
  <c r="F29" i="104"/>
  <c r="F30" i="104"/>
  <c r="F31" i="104"/>
  <c r="F32" i="104"/>
  <c r="F24" i="104"/>
  <c r="F11" i="104"/>
  <c r="F7" i="104"/>
  <c r="I33" i="104" s="1"/>
  <c r="F20" i="104"/>
  <c r="I34" i="104" s="1"/>
  <c r="F12" i="104"/>
  <c r="F23" i="104"/>
  <c r="I35" i="104" s="1"/>
  <c r="F10" i="104"/>
  <c r="F8" i="104"/>
  <c r="F22" i="104"/>
  <c r="F9" i="104"/>
  <c r="F21" i="104"/>
  <c r="F6" i="10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Chelsea Tomek</author>
  </authors>
  <commentList>
    <comment ref="B100" authorId="0" shapeId="0" xr:uid="{141AFA46-6270-407E-89E4-50EA89AD528B}">
      <text>
        <r>
          <rPr>
            <b/>
            <sz val="9"/>
            <color indexed="81"/>
            <rFont val="Tahoma"/>
            <family val="2"/>
          </rPr>
          <t>Chelsea Tomek:</t>
        </r>
        <r>
          <rPr>
            <sz val="9"/>
            <color indexed="81"/>
            <rFont val="Tahoma"/>
            <family val="2"/>
          </rPr>
          <t xml:space="preserve">
Total mLs submitted into 1mL row in app
</t>
        </r>
      </text>
    </comment>
    <comment ref="C100" authorId="0" shapeId="0" xr:uid="{6AC10B2E-FBBD-4F5A-9220-C613F306DCC0}">
      <text>
        <r>
          <rPr>
            <b/>
            <sz val="9"/>
            <color indexed="81"/>
            <rFont val="Tahoma"/>
            <family val="2"/>
          </rPr>
          <t>Chelsea Tomek:</t>
        </r>
        <r>
          <rPr>
            <sz val="9"/>
            <color indexed="81"/>
            <rFont val="Tahoma"/>
            <family val="2"/>
          </rPr>
          <t xml:space="preserve">
Total mLs submitted into 1mL row in app
</t>
        </r>
      </text>
    </comment>
    <comment ref="D100" authorId="0" shapeId="0" xr:uid="{D5490D4B-4A1F-4389-A8D9-727E0D17BBFB}">
      <text>
        <r>
          <rPr>
            <b/>
            <sz val="9"/>
            <color indexed="81"/>
            <rFont val="Tahoma"/>
            <family val="2"/>
          </rPr>
          <t>Chelsea Tomek:</t>
        </r>
        <r>
          <rPr>
            <sz val="9"/>
            <color indexed="81"/>
            <rFont val="Tahoma"/>
            <family val="2"/>
          </rPr>
          <t xml:space="preserve">
Total mLs submitted into 1mL row in app
</t>
        </r>
      </text>
    </comment>
    <comment ref="B102" authorId="0" shapeId="0" xr:uid="{A679C91C-9BEE-409C-BC59-923294A4166B}">
      <text>
        <r>
          <rPr>
            <b/>
            <sz val="9"/>
            <color indexed="81"/>
            <rFont val="Tahoma"/>
            <family val="2"/>
          </rPr>
          <t>Chelsea Tomek:</t>
        </r>
        <r>
          <rPr>
            <sz val="9"/>
            <color indexed="81"/>
            <rFont val="Tahoma"/>
            <family val="2"/>
          </rPr>
          <t xml:space="preserve">
Added lbs of N2O + lbs of N2O/O2</t>
        </r>
      </text>
    </comment>
    <comment ref="C102" authorId="0" shapeId="0" xr:uid="{93C0CC9B-F007-4318-B50B-E4E7582914DD}">
      <text>
        <r>
          <rPr>
            <b/>
            <sz val="9"/>
            <color indexed="81"/>
            <rFont val="Tahoma"/>
            <family val="2"/>
          </rPr>
          <t>Chelsea Tomek:</t>
        </r>
        <r>
          <rPr>
            <sz val="9"/>
            <color indexed="81"/>
            <rFont val="Tahoma"/>
            <family val="2"/>
          </rPr>
          <t xml:space="preserve">
Added lbs of N2O + lbs of N2O/O2</t>
        </r>
      </text>
    </comment>
    <comment ref="D102" authorId="0" shapeId="0" xr:uid="{759CC006-D6E7-4260-810E-B601BD5FBE72}">
      <text>
        <r>
          <rPr>
            <b/>
            <sz val="9"/>
            <color indexed="81"/>
            <rFont val="Tahoma"/>
            <family val="2"/>
          </rPr>
          <t>Chelsea Tomek:</t>
        </r>
        <r>
          <rPr>
            <sz val="9"/>
            <color indexed="81"/>
            <rFont val="Tahoma"/>
            <family val="2"/>
          </rPr>
          <t xml:space="preserve">
Added lbs of N2O + lbs of N2O/O2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SOLOMON Brian (ENGIE Impact)</author>
  </authors>
  <commentList>
    <comment ref="E12" authorId="0" shapeId="0" xr:uid="{927C24DE-4043-4BCD-9F59-82547F918B96}">
      <text>
        <r>
          <rPr>
            <i/>
            <sz val="9"/>
            <color indexed="81"/>
            <rFont val="Tahoma"/>
            <family val="2"/>
          </rPr>
          <t xml:space="preserve">
Results from Scope 1 &amp; 2 inventory will auto-populate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0" authorId="0" shapeId="0" xr:uid="{3DA91C77-7B6F-427A-A6E6-CC79FF374859}">
      <text>
        <r>
          <rPr>
            <b/>
            <sz val="8"/>
            <rFont val="Tahoma"/>
            <family val="2"/>
          </rPr>
          <t>Standard natural gas received through the gas mains grid network in the UK. Note - contains limited biogas content</t>
        </r>
      </text>
    </comment>
    <comment ref="D11" authorId="0" shapeId="0" xr:uid="{4F7684F0-4E36-4CDB-BFE3-9C0F3501C3DD}">
      <text>
        <r>
          <rPr>
            <b/>
            <sz val="8"/>
            <rFont val="Tahoma"/>
            <family val="2"/>
          </rPr>
          <t>Liquid petroleum gas - used to power cooking stoves or heaters off grid and fuel some vehicles (such as, fork-lift trucks/vans).</t>
        </r>
      </text>
    </comment>
    <comment ref="D13" authorId="0" shapeId="0" xr:uid="{13C93143-4985-4707-81F1-566D2BC3E1A5}">
      <text>
        <r>
          <rPr>
            <b/>
            <sz val="8"/>
            <rFont val="Tahoma"/>
            <family val="2"/>
          </rPr>
          <t>Standard petrol bought from any local filling station (across the board forecourt fuel typically contains biofuel content).</t>
        </r>
      </text>
    </comment>
    <comment ref="D14" authorId="0" shapeId="0" xr:uid="{098ED745-DED4-43A6-B5A9-ED32D5F8D13B}">
      <text>
        <r>
          <rPr>
            <b/>
            <sz val="8"/>
            <rFont val="Tahoma"/>
            <family val="2"/>
          </rPr>
          <t>Heavy oil used as fuel in furnaces and boilers of power stations, industry, industrial heating and in ships.</t>
        </r>
      </text>
    </comment>
    <comment ref="D15" authorId="0" shapeId="0" xr:uid="{F4D4EB7E-D399-4FDD-A11C-DC47389C7544}">
      <text>
        <r>
          <rPr>
            <b/>
            <sz val="8"/>
            <rFont val="Tahoma"/>
            <family val="2"/>
          </rPr>
          <t>Main purpose is for heating/lighting on a domestic scale (also known as kerosene).</t>
        </r>
      </text>
    </comment>
    <comment ref="D23" authorId="0" shapeId="0" xr:uid="{4A62C79E-CA94-45B9-9E9C-C3B484A47466}">
      <text>
        <r>
          <rPr>
            <b/>
            <sz val="8"/>
            <rFont val="Tahoma"/>
            <family val="2"/>
          </rPr>
          <t>Fuel for piston-engined aircraft - a high octane petrol (also known as AVGAS).</t>
        </r>
      </text>
    </comment>
    <comment ref="D24" authorId="0" shapeId="0" xr:uid="{EAC947DA-0D08-4765-B73A-7B5C942A7E34}">
      <text>
        <r>
          <rPr>
            <b/>
            <sz val="8"/>
            <rFont val="Tahoma"/>
            <family val="2"/>
          </rPr>
          <t>Fuel for turbo-prop aircraft and jets (also known as jet fuel). Similar to kerosene used as a heating fuel, but refined to a higher quality.</t>
        </r>
      </text>
    </comment>
    <comment ref="D25" authorId="0" shapeId="0" xr:uid="{C35CD840-BB3A-4A5F-B5AD-3D0029B9E18B}">
      <text>
        <r>
          <rPr>
            <b/>
            <sz val="8"/>
            <rFont val="Tahoma"/>
            <family val="2"/>
          </rPr>
          <t>Compressed natural gas - a compressed version of the same natural gas you receive in the home.  Stored in cylinders for use as an alternative transport fuel.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K7" authorId="0" shapeId="0" xr:uid="{5F2FFF25-3090-4EE1-A2F9-C9A023EE48F6}">
      <text>
        <r>
          <rPr>
            <b/>
            <sz val="8"/>
            <rFont val="Tahoma"/>
            <family val="2"/>
          </rPr>
          <t>Standard natural gas received through the gas mains grid network in the UK. Note - contains limited biogas content.</t>
        </r>
      </text>
    </comment>
    <comment ref="K11" authorId="1" shapeId="0" xr:uid="{40E95A6A-4E1E-48D6-A8E7-761B1BEB755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K21" authorId="0" shapeId="0" xr:uid="{81907C00-14B2-44C1-8D92-C8B1E35B38EA}">
      <text>
        <r>
          <rPr>
            <b/>
            <sz val="8"/>
            <rFont val="Tahoma"/>
            <family val="2"/>
          </rPr>
          <t>Standard natural gas received through the gas mains grid network in the UK. Note - contains limited biogas content</t>
        </r>
      </text>
    </comment>
    <comment ref="K25" authorId="1" shapeId="0" xr:uid="{6A393DB3-E63C-4682-99FD-36B8CCF3A246}">
      <text>
        <r>
          <rPr>
            <b/>
            <sz val="9"/>
            <color indexed="81"/>
            <rFont val="Tahoma"/>
            <family val="2"/>
          </rPr>
          <t>Natural gas (100% mineral blend) factor is natural gas not obtained through the grid and therefore does not contain any biogas content. It can be used for calculating bespoke fuel mixtures.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E15908DA-5B0C-4DD0-B549-B1D22F66CDFF}">
      <text>
        <r>
          <rPr>
            <b/>
            <sz val="9"/>
            <color indexed="81"/>
            <rFont val="Tahoma"/>
            <family val="2"/>
          </rPr>
          <t>Standard natural gas received through the gas mains grid network in the UK. Note - contains limited biogas content.</t>
        </r>
      </text>
    </comment>
    <comment ref="B31" authorId="1" shapeId="0" xr:uid="{87969E4F-3070-41A4-8409-E07FE8A4427C}">
      <text>
        <r>
          <rPr>
            <sz val="9"/>
            <color indexed="81"/>
            <rFont val="Tahoma"/>
            <family val="2"/>
          </rPr>
          <t>Standard natural gas received through the gas mains grid network in the UK. Note - contains limited biogas content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tc={07AD35A5-A19F-4BBD-98D4-49C564150536}</author>
  </authors>
  <commentList>
    <comment ref="C1" authorId="0" shapeId="0" xr:uid="{07AD35A5-A19F-4BBD-98D4-49C564150536}">
      <text>
        <t>[Threaded comment]
Your version of Excel allows you to read this threaded comment; however, any edits to it will get removed if the file is opened in a newer version of Excel. Learn more: https://go.microsoft.com/fwlink/?linkid=870924
Comment:
    @BOTTOMLEY J (ENGIE Impact) for Cat 1 and 2, we reference cell F9 in the ‘Reporting Year &amp; Inflation Adj.’ tab. How is the inflation adjustment factor being incorporated for Cat 15?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<sst xmlns="http://schemas.openxmlformats.org/spreadsheetml/2006/main" count="13202" uniqueCount="4414">
  <si>
    <t>Unit</t>
  </si>
  <si>
    <t>Year</t>
  </si>
  <si>
    <t>Construction</t>
  </si>
  <si>
    <t>Emission Factor</t>
  </si>
  <si>
    <t>Country</t>
  </si>
  <si>
    <t>Georgia</t>
  </si>
  <si>
    <t>Scope 1</t>
  </si>
  <si>
    <t>Scope 2</t>
  </si>
  <si>
    <t>Total</t>
  </si>
  <si>
    <t>Bus</t>
  </si>
  <si>
    <t>Natural gas</t>
  </si>
  <si>
    <t>therms</t>
  </si>
  <si>
    <t>kg</t>
  </si>
  <si>
    <t>lb</t>
  </si>
  <si>
    <t>US gallon</t>
  </si>
  <si>
    <t>Therm</t>
  </si>
  <si>
    <t>Diesel</t>
  </si>
  <si>
    <t>Gasoline</t>
  </si>
  <si>
    <t>Biodiesel</t>
  </si>
  <si>
    <t>Coal</t>
  </si>
  <si>
    <t>Plastics</t>
  </si>
  <si>
    <t>Air transport</t>
  </si>
  <si>
    <t>Telecommunications</t>
  </si>
  <si>
    <t>Scientific research and development</t>
  </si>
  <si>
    <t>GWP</t>
  </si>
  <si>
    <t>SAR</t>
  </si>
  <si>
    <t>References</t>
  </si>
  <si>
    <t>ID</t>
  </si>
  <si>
    <t>CO2</t>
  </si>
  <si>
    <t>Notes</t>
  </si>
  <si>
    <t>Wood</t>
  </si>
  <si>
    <t>Landfill</t>
  </si>
  <si>
    <t>Transport</t>
  </si>
  <si>
    <t>Type</t>
  </si>
  <si>
    <t>HFC-134a</t>
  </si>
  <si>
    <t>ROW</t>
  </si>
  <si>
    <t>Motorbike</t>
  </si>
  <si>
    <t>HFC-227ea</t>
  </si>
  <si>
    <t>Short</t>
  </si>
  <si>
    <t>Medium</t>
  </si>
  <si>
    <t>Long</t>
  </si>
  <si>
    <t>Propane</t>
  </si>
  <si>
    <t>Chile</t>
  </si>
  <si>
    <t>China</t>
  </si>
  <si>
    <t>Colombia</t>
  </si>
  <si>
    <t>Costa Rica</t>
  </si>
  <si>
    <t>Egypt</t>
  </si>
  <si>
    <t>France</t>
  </si>
  <si>
    <t>Germany</t>
  </si>
  <si>
    <t>India</t>
  </si>
  <si>
    <t>Indonesia</t>
  </si>
  <si>
    <t>Italy</t>
  </si>
  <si>
    <t>Japan</t>
  </si>
  <si>
    <t>Jordan</t>
  </si>
  <si>
    <t>Malaysia</t>
  </si>
  <si>
    <t>Maldives</t>
  </si>
  <si>
    <t>Mexico</t>
  </si>
  <si>
    <t>Netherlands</t>
  </si>
  <si>
    <t>Oman</t>
  </si>
  <si>
    <t>Philippines</t>
  </si>
  <si>
    <t>Portugal</t>
  </si>
  <si>
    <t>Qatar</t>
  </si>
  <si>
    <t>Russian Federation</t>
  </si>
  <si>
    <t>Saudi Arabia</t>
  </si>
  <si>
    <t>Singapore</t>
  </si>
  <si>
    <t>South Africa</t>
  </si>
  <si>
    <t>Spain</t>
  </si>
  <si>
    <t>Switzerland</t>
  </si>
  <si>
    <t>Thailand</t>
  </si>
  <si>
    <t>Turkey</t>
  </si>
  <si>
    <t>United Arab Emirates</t>
  </si>
  <si>
    <t>Vietnam</t>
  </si>
  <si>
    <t>Table 1</t>
  </si>
  <si>
    <t>WIOD</t>
  </si>
  <si>
    <t>WIOD ID</t>
  </si>
  <si>
    <t xml:space="preserve">The high level descriptions of the WIOD Carbon Intensities.  </t>
  </si>
  <si>
    <t xml:space="preserve">The Country that is being used in the mapping followed by the values of the Intensities in Kg of Co2e per $  </t>
  </si>
  <si>
    <t>How WIOD is mapped to the modified EORA 26, showing the EORA IDs</t>
  </si>
  <si>
    <t>EORA ID</t>
  </si>
  <si>
    <t>The high level descriptions of the Modified Eora 26 Carbon Intensities.
Eora 26 was modified for HCWH by removing the last 3 categories "Private Households", "Others" and "Re-export &amp; Re-import" and replacing these with "Drugs", "Medical Devices" and "Medical Consumables".</t>
  </si>
  <si>
    <t>The values of the Intensities in $ per Kg of Co2e</t>
  </si>
  <si>
    <t>How WIOD is mapped to the modified Eora 26, showing the WIOD IDs</t>
  </si>
  <si>
    <t>Notes on the Mapping for WIOD to modified Eora 26
*Where a mapping is based on an average, if the WIOD factor is zero it is ignored and the average is taken of the remaining factors</t>
  </si>
  <si>
    <t>to Eora</t>
  </si>
  <si>
    <t>Modified Eora 26</t>
  </si>
  <si>
    <t>KgCo2e/$</t>
  </si>
  <si>
    <t>Crop and animal production, hunting and related service activities</t>
  </si>
  <si>
    <t>Agriculture</t>
  </si>
  <si>
    <t>Forestry and logging</t>
  </si>
  <si>
    <t>Fishing</t>
  </si>
  <si>
    <t>Fishing and aquaculture</t>
  </si>
  <si>
    <t>Mining and Quarrying</t>
  </si>
  <si>
    <t>Mining and quarrying</t>
  </si>
  <si>
    <t>Food &amp; Beverages</t>
  </si>
  <si>
    <t>Manufacture of food products, beverages and tobacco products</t>
  </si>
  <si>
    <t>Textiles and Wearing Apparel</t>
  </si>
  <si>
    <t>Manufacture of textiles, wearing apparel and leather products</t>
  </si>
  <si>
    <t>5,26</t>
  </si>
  <si>
    <t>Wood and Paper</t>
  </si>
  <si>
    <t>7,8</t>
  </si>
  <si>
    <t>The average of WIOD 7 and 8*</t>
  </si>
  <si>
    <t>Manufacture of wood and of products of wood and cork, except furniture; manufacture of articles of straw and plaiting materials</t>
  </si>
  <si>
    <t>Petroleum, Chemical and Non-Metallic Mineral Products</t>
  </si>
  <si>
    <t>10,11,14</t>
  </si>
  <si>
    <t>The average of WIOD 10, 11 and 14*</t>
  </si>
  <si>
    <t>Manufacture of paper and paper products</t>
  </si>
  <si>
    <t>Metal Products</t>
  </si>
  <si>
    <t>15,16</t>
  </si>
  <si>
    <t>The average of WIOD 15 and 16*</t>
  </si>
  <si>
    <t>Printing and reproduction of recorded media</t>
  </si>
  <si>
    <t>Electrical and Machinery</t>
  </si>
  <si>
    <t>17,18,19</t>
  </si>
  <si>
    <t>The average of WIOD 17, 18 and 19*</t>
  </si>
  <si>
    <t xml:space="preserve">Manufacture of coke and refined petroleum products </t>
  </si>
  <si>
    <t>Transport Equipment</t>
  </si>
  <si>
    <t>20,21</t>
  </si>
  <si>
    <t>The average of WIOD 20 and 21*</t>
  </si>
  <si>
    <t xml:space="preserve">Manufacture of chemicals and chemical products </t>
  </si>
  <si>
    <t>Other Manufacturing</t>
  </si>
  <si>
    <t>Manufacture of basic pharmaceutical products and pharmaceutical preparations</t>
  </si>
  <si>
    <t>Waste, Recycling, treatment</t>
  </si>
  <si>
    <t>Manufacture of rubber and plastic products</t>
  </si>
  <si>
    <t>25,26</t>
  </si>
  <si>
    <t>Electricity, Gas and Water</t>
  </si>
  <si>
    <t>24,25</t>
  </si>
  <si>
    <t>Only used Electricity Value (24) Since very different to water</t>
  </si>
  <si>
    <t>Manufacture of other non-metallic mineral products</t>
  </si>
  <si>
    <t>Manufacture of basic metals</t>
  </si>
  <si>
    <t>Maintenance and Repair</t>
  </si>
  <si>
    <t>Manufacture of fabricated metal products, except machinery and equipment</t>
  </si>
  <si>
    <t>8,26</t>
  </si>
  <si>
    <t>Wholesale Trade</t>
  </si>
  <si>
    <t>28,29</t>
  </si>
  <si>
    <t>The average of WIOD 28 and 29*</t>
  </si>
  <si>
    <t>Manufacture of computer, electronic and optical products</t>
  </si>
  <si>
    <t>Retail Trade</t>
  </si>
  <si>
    <t>Manufacture of electrical equipment</t>
  </si>
  <si>
    <t>Hotels and Restraurants</t>
  </si>
  <si>
    <t>Manufacture of machinery and equipment n.e.c.</t>
  </si>
  <si>
    <t>31,32,33</t>
  </si>
  <si>
    <t>The average of WIOD 31, 32 and 33*</t>
  </si>
  <si>
    <t>Manufacture of motor vehicles, trailers and semi-trailers</t>
  </si>
  <si>
    <t>Post and Telecommunications</t>
  </si>
  <si>
    <t>35,39</t>
  </si>
  <si>
    <t>The average of WIOD 35 and 39*</t>
  </si>
  <si>
    <t>Manufacture of other transport equipment</t>
  </si>
  <si>
    <t>Financial Intermediation and Business Activities</t>
  </si>
  <si>
    <t>41,42,43</t>
  </si>
  <si>
    <t>The average of WIOD 41, 42 and 43*</t>
  </si>
  <si>
    <t>Manufacture of furniture; other manufacturing</t>
  </si>
  <si>
    <t>Public Administration</t>
  </si>
  <si>
    <t>Repair and installation of machinery and equipment</t>
  </si>
  <si>
    <t>Education, Health and Other Services</t>
  </si>
  <si>
    <t>52,53,54</t>
  </si>
  <si>
    <t>The average of WIOD 52, 53 and 54*</t>
  </si>
  <si>
    <t>Electricity, gas, steam and air conditioning supply</t>
  </si>
  <si>
    <t>Drugs</t>
  </si>
  <si>
    <t>If zero use ROW figure</t>
  </si>
  <si>
    <t>Water collection, treatment and supply</t>
  </si>
  <si>
    <t>Medical Devices</t>
  </si>
  <si>
    <t>13,17,20</t>
  </si>
  <si>
    <t>The average of WIOD 13, 17 and 20*</t>
  </si>
  <si>
    <t xml:space="preserve">Sewerage; waste collection, treatment and disposal activities; materials recovery; remediation activities and other waste management services </t>
  </si>
  <si>
    <t>Medical Consumables</t>
  </si>
  <si>
    <t>6,13,16</t>
  </si>
  <si>
    <t>The average of WIOD 6, 13 and 16*</t>
  </si>
  <si>
    <t>Wholesale and retail trade and repair of motor vehicles and motorcycles</t>
  </si>
  <si>
    <t>Rest of world figure for drugs used for any country that does not have a drugs WIOD figure</t>
  </si>
  <si>
    <t>Wholesale trade, except of motor vehicles and motorcycles</t>
  </si>
  <si>
    <t>Retail trade, except of motor vehicles and motorcycles</t>
  </si>
  <si>
    <t>Land transport and transport via pipelines</t>
  </si>
  <si>
    <t>Water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</si>
  <si>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</si>
  <si>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</si>
  <si>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</si>
  <si>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</si>
  <si>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</si>
  <si>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</si>
  <si>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</si>
  <si>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</si>
  <si>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</si>
  <si>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</si>
  <si>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</si>
  <si>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</si>
  <si>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Advertising and market research</t>
  </si>
  <si>
    <t>Other professional, scientific and technical activities; veterinary activities</t>
  </si>
  <si>
    <t>Administrative and support service activities</t>
  </si>
  <si>
    <t>Public administration and defence; compulsory social security</t>
  </si>
  <si>
    <t>Education</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</si>
  <si>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</si>
  <si>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</si>
  <si>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</si>
  <si>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</si>
  <si>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Category 3: Fuel and Energy related activities</t>
  </si>
  <si>
    <t>IEA T&amp;D losses</t>
  </si>
  <si>
    <t>Source</t>
  </si>
  <si>
    <t>Regionality Type</t>
  </si>
  <si>
    <t>Regionality Name</t>
  </si>
  <si>
    <t>Source UOM</t>
  </si>
  <si>
    <t>Emission UOM</t>
  </si>
  <si>
    <t>Version</t>
  </si>
  <si>
    <t>For Category 5: Waste</t>
  </si>
  <si>
    <t>For Category 6: Business Travel</t>
  </si>
  <si>
    <t>Electric Power</t>
  </si>
  <si>
    <t>United States</t>
  </si>
  <si>
    <t>MWh</t>
  </si>
  <si>
    <t>International Energy Agency (IEA)</t>
  </si>
  <si>
    <r>
      <t>Metric Tons CO</t>
    </r>
    <r>
      <rPr>
        <b/>
        <vertAlign val="subscript"/>
        <sz val="10"/>
        <rFont val="Arial"/>
        <family val="2"/>
      </rPr>
      <t>2</t>
    </r>
    <r>
      <rPr>
        <b/>
        <sz val="10"/>
        <rFont val="Arial"/>
        <family val="2"/>
      </rPr>
      <t>e / Short Ton Material</t>
    </r>
  </si>
  <si>
    <t>EF</t>
  </si>
  <si>
    <t>UoM</t>
  </si>
  <si>
    <t>Material</t>
  </si>
  <si>
    <t>Recycled</t>
  </si>
  <si>
    <t>Landfilled</t>
  </si>
  <si>
    <t>Combusted (incineration)</t>
  </si>
  <si>
    <t>Composted</t>
  </si>
  <si>
    <t>Glass</t>
  </si>
  <si>
    <t>NA</t>
  </si>
  <si>
    <t>Mixed_Paper</t>
  </si>
  <si>
    <t>Australia</t>
  </si>
  <si>
    <t xml:space="preserve">Fuel Upstream Emission Factors </t>
  </si>
  <si>
    <t>Mixed_Metals</t>
  </si>
  <si>
    <t>Belgium</t>
  </si>
  <si>
    <t>Mixed_Plastics</t>
  </si>
  <si>
    <t>Brazil</t>
  </si>
  <si>
    <t>Raw Values</t>
  </si>
  <si>
    <t>Converted Values</t>
  </si>
  <si>
    <t>Mixed_Recyclables</t>
  </si>
  <si>
    <t>Canada</t>
  </si>
  <si>
    <t>Fuel Type</t>
  </si>
  <si>
    <t>Fuel</t>
  </si>
  <si>
    <t>Unit1</t>
  </si>
  <si>
    <t>kg CO2e (1)</t>
  </si>
  <si>
    <t>Fuel (ENGIE)</t>
  </si>
  <si>
    <t>Unit2</t>
  </si>
  <si>
    <t>kg CO2e (2)</t>
  </si>
  <si>
    <t>Mixed_Organics</t>
  </si>
  <si>
    <t>Gaseous fuel</t>
  </si>
  <si>
    <t>kWh (Gross CV)</t>
  </si>
  <si>
    <t>Mixed_MSW</t>
  </si>
  <si>
    <t>Liquid fuel</t>
  </si>
  <si>
    <t>Aviation spirit</t>
  </si>
  <si>
    <t>litres</t>
  </si>
  <si>
    <t>Aviation gasoline</t>
  </si>
  <si>
    <t>Aviation turbine fuel</t>
  </si>
  <si>
    <t>Jet fuel</t>
  </si>
  <si>
    <t>Diesel (100% mineral diesel)</t>
  </si>
  <si>
    <t>Fuel oil</t>
  </si>
  <si>
    <t>LPG</t>
  </si>
  <si>
    <t>Activity</t>
  </si>
  <si>
    <r>
      <t>kg CO</t>
    </r>
    <r>
      <rPr>
        <vertAlign val="subscript"/>
        <sz val="11"/>
        <color indexed="56"/>
        <rFont val="Calibri"/>
        <family val="2"/>
      </rPr>
      <t>2</t>
    </r>
    <r>
      <rPr>
        <sz val="11"/>
        <color indexed="56"/>
        <rFont val="Calibri"/>
        <family val="2"/>
      </rPr>
      <t>e</t>
    </r>
  </si>
  <si>
    <t>Hong Kong, China</t>
  </si>
  <si>
    <t>Diesel (average biofuel blend)</t>
  </si>
  <si>
    <t>Water supply</t>
  </si>
  <si>
    <t>cubic metres</t>
  </si>
  <si>
    <t>CNG</t>
  </si>
  <si>
    <t>million litres</t>
  </si>
  <si>
    <r>
      <t xml:space="preserve">IEA </t>
    </r>
    <r>
      <rPr>
        <b/>
        <sz val="11"/>
        <color theme="1"/>
        <rFont val="Arial"/>
        <family val="2"/>
        <scheme val="minor"/>
      </rPr>
      <t xml:space="preserve">Fuel cycle </t>
    </r>
    <r>
      <rPr>
        <sz val="11"/>
        <color theme="1"/>
        <rFont val="Arial"/>
        <family val="2"/>
        <scheme val="minor"/>
      </rPr>
      <t xml:space="preserve">upstream emission factor for electricity </t>
    </r>
    <r>
      <rPr>
        <b/>
        <sz val="11"/>
        <color theme="1"/>
        <rFont val="Arial"/>
        <family val="2"/>
        <scheme val="minor"/>
      </rPr>
      <t>generation</t>
    </r>
  </si>
  <si>
    <t>Water treatment</t>
  </si>
  <si>
    <t>Category</t>
  </si>
  <si>
    <t>EF (upstream)</t>
  </si>
  <si>
    <t>kg CO2e/kWh</t>
  </si>
  <si>
    <t>Korea</t>
  </si>
  <si>
    <t>IEA T&amp;D loss factor calculation</t>
  </si>
  <si>
    <t>Combustion factor</t>
  </si>
  <si>
    <t>T&amp;D adjustment factor</t>
  </si>
  <si>
    <t>Loss factor</t>
  </si>
  <si>
    <t>Concatenation</t>
  </si>
  <si>
    <t>Lookups</t>
  </si>
  <si>
    <t>Average local bus</t>
  </si>
  <si>
    <t>Coach</t>
  </si>
  <si>
    <t>Cars_by_market_segment</t>
  </si>
  <si>
    <t>Local bus (not London)</t>
  </si>
  <si>
    <t>Local London bus</t>
  </si>
  <si>
    <t>Rail</t>
  </si>
  <si>
    <t>Dual purpose 4X4</t>
  </si>
  <si>
    <t>Taxis</t>
  </si>
  <si>
    <t>Unknown</t>
  </si>
  <si>
    <t>Plug-in Hybrid Electric Vehicle</t>
  </si>
  <si>
    <t>Battery Electric Vehicle</t>
  </si>
  <si>
    <t>Executive</t>
  </si>
  <si>
    <t>Lower medium</t>
  </si>
  <si>
    <t>Luxury</t>
  </si>
  <si>
    <t>Market_fuel_types</t>
  </si>
  <si>
    <t>Sports</t>
  </si>
  <si>
    <t>MPV</t>
  </si>
  <si>
    <t>Upper medium</t>
  </si>
  <si>
    <t>Supermini</t>
  </si>
  <si>
    <t>Mini</t>
  </si>
  <si>
    <t>Average</t>
  </si>
  <si>
    <t>Large</t>
  </si>
  <si>
    <t>Small</t>
  </si>
  <si>
    <t>International rail</t>
  </si>
  <si>
    <t>Light rail and tram</t>
  </si>
  <si>
    <t>London Underground</t>
  </si>
  <si>
    <t>National rail</t>
  </si>
  <si>
    <t>Black cab</t>
  </si>
  <si>
    <t>Regular taxi</t>
  </si>
  <si>
    <t>Haul</t>
  </si>
  <si>
    <t>Flights</t>
  </si>
  <si>
    <t>Average passenger</t>
  </si>
  <si>
    <t>Economy class</t>
  </si>
  <si>
    <t>Business class</t>
  </si>
  <si>
    <t>Premium economy class</t>
  </si>
  <si>
    <t>First class</t>
  </si>
  <si>
    <t>Calculation Guidance:</t>
  </si>
  <si>
    <t>Use Excel slicers in columns A and B to locate spend-based categories of interest, then enter annual data in GRAY cells (columns D to F) in the below table as follows:</t>
  </si>
  <si>
    <r>
      <rPr>
        <b/>
        <i/>
        <sz val="10"/>
        <rFont val="Arial"/>
        <family val="2"/>
      </rPr>
      <t xml:space="preserve">Item Description (optional) </t>
    </r>
    <r>
      <rPr>
        <sz val="10"/>
        <rFont val="Arial"/>
        <family val="2"/>
      </rPr>
      <t>- this column is available for any user-specific identifier</t>
    </r>
  </si>
  <si>
    <r>
      <rPr>
        <b/>
        <i/>
        <sz val="10"/>
        <rFont val="Arial"/>
        <family val="2"/>
      </rPr>
      <t>Annual procurement spend ($)</t>
    </r>
    <r>
      <rPr>
        <sz val="10"/>
        <rFont val="Arial"/>
        <family val="2"/>
      </rPr>
      <t xml:space="preserve"> - identify the funds allocated to the purchase of items within the selected sector/commodity in the reporting year</t>
    </r>
  </si>
  <si>
    <r>
      <rPr>
        <b/>
        <i/>
        <sz val="10"/>
        <rFont val="Arial"/>
        <family val="2"/>
      </rPr>
      <t xml:space="preserve">Procurement via: Wholesaler /Retailer/ Distributor </t>
    </r>
    <r>
      <rPr>
        <b/>
        <i/>
        <u/>
        <sz val="10"/>
        <color theme="3" tint="-0.499984740745262"/>
        <rFont val="Arial"/>
        <family val="2"/>
      </rPr>
      <t>or</t>
    </r>
    <r>
      <rPr>
        <b/>
        <i/>
        <sz val="10"/>
        <rFont val="Arial"/>
        <family val="2"/>
      </rPr>
      <t xml:space="preserve"> Direct-from-Manufacturer?</t>
    </r>
    <r>
      <rPr>
        <sz val="10"/>
        <rFont val="Arial"/>
        <family val="2"/>
      </rPr>
      <t xml:space="preserve"> - select from drop-down. This will determine which emission factors are applied. Margins of the supply chain are related to transportation/distribution between the direct manufacturer and any wholesaler, retailer, or distributor from which the products are purchased. 'If uncertain, assume wholesaler / retailer / distributer. For services with zero margins, column E is not necessary (note "Not Applicable" for those entries).</t>
    </r>
  </si>
  <si>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</si>
  <si>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running total:</t>
  </si>
  <si>
    <t>Values Uncorrected for Inflation</t>
  </si>
  <si>
    <t>*user input</t>
  </si>
  <si>
    <r>
      <t xml:space="preserve">Cradle-to-Factory Gate
</t>
    </r>
    <r>
      <rPr>
        <sz val="11"/>
        <color theme="1"/>
        <rFont val="Arial"/>
        <family val="2"/>
        <scheme val="minor"/>
      </rPr>
      <t>(for purchases direct-from-manufacturer)</t>
    </r>
  </si>
  <si>
    <r>
      <t xml:space="preserve">Cradle-to-Shelf
</t>
    </r>
    <r>
      <rPr>
        <sz val="11"/>
        <color theme="1"/>
        <rFont val="Arial"/>
        <family val="2"/>
        <scheme val="minor"/>
      </rPr>
      <t>(for purchases via wholesaler/ retailer/ distributor)</t>
    </r>
  </si>
  <si>
    <t>SEF</t>
  </si>
  <si>
    <t>MEF</t>
  </si>
  <si>
    <t>SEF+MEF</t>
  </si>
  <si>
    <t>Commodity Name</t>
  </si>
  <si>
    <t>Item Description (optional)</t>
  </si>
  <si>
    <t>Annual procurement
spend ($)</t>
  </si>
  <si>
    <r>
      <t xml:space="preserve">Procurement via: Wholesaler /Retailer/ Distributor </t>
    </r>
    <r>
      <rPr>
        <b/>
        <u/>
        <sz val="14"/>
        <color theme="0"/>
        <rFont val="Arial"/>
        <family val="2"/>
        <scheme val="minor"/>
      </rPr>
      <t>or</t>
    </r>
    <r>
      <rPr>
        <b/>
        <sz val="14"/>
        <color theme="0"/>
        <rFont val="Arial"/>
        <family val="2"/>
        <scheme val="minor"/>
      </rPr>
      <t xml:space="preserve"> Direct-from-Manufacturer?
</t>
    </r>
    <r>
      <rPr>
        <b/>
        <sz val="14"/>
        <color rgb="FFFF0000"/>
        <rFont val="Arial"/>
        <family val="2"/>
        <scheme val="minor"/>
      </rPr>
      <t>Leave Blank if Unknown</t>
    </r>
  </si>
  <si>
    <t>Emissions (MTCO2e)</t>
  </si>
  <si>
    <t>Margin Percent</t>
  </si>
  <si>
    <t>Reference USEEIO Code</t>
  </si>
  <si>
    <t>Commodity Description</t>
  </si>
  <si>
    <t>Sub-category</t>
  </si>
  <si>
    <t>Supply Chain Emission Factors without Margins (kg CO2e/USD)</t>
  </si>
  <si>
    <t>Margins of Supply Chain Emission Factors (kg CO2e/USD)</t>
  </si>
  <si>
    <t>Supply Chain Emission Factors with Margins (kg CO2e/USD)</t>
  </si>
  <si>
    <t>Fresh soybeans, canola, flaxseeds, and other oilseeds</t>
  </si>
  <si>
    <t>1111A0</t>
  </si>
  <si>
    <t>11: Agriculture, Forestry, Fishing and Hunting</t>
  </si>
  <si>
    <t>1111: Oilseed and Grain Farming</t>
  </si>
  <si>
    <t>Fresh wheat, corn, rice, and other grains</t>
  </si>
  <si>
    <t>1111B0</t>
  </si>
  <si>
    <t>Fresh vegetables, melons, and potatoes</t>
  </si>
  <si>
    <t>Vegetable and melon farming. This industry group comprises 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</si>
  <si>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1112: Vegetable and Melon Farming</t>
  </si>
  <si>
    <t>Fresh fruits and tree nuts</t>
  </si>
  <si>
    <t>Fruit and tree nut farming. This industry group comprises establishments primarily engaged in growing fruit and/or tree nut crops. The crops included in this industry group are generally not grown from seeds and have a perennial life cycle.</t>
  </si>
  <si>
    <t>1113: Fruit and Tree Nut Farming</t>
  </si>
  <si>
    <t>Greenhouse crops, mushrooms, nurseries, and flowers</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</si>
  <si>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</si>
  <si>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1114: Greenhouse, Nursery, and Floriculture Production</t>
  </si>
  <si>
    <t>Tobacco, cotton, sugarcane, peanuts, sugar beets, herbs and spices, and other crops</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</si>
  <si>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</si>
  <si>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1119: Other Crop Farming</t>
  </si>
  <si>
    <t>Cattle ranches and feedlots</t>
  </si>
  <si>
    <t>1121A0</t>
  </si>
  <si>
    <t>1121: Cattle Ranching and Farming</t>
  </si>
  <si>
    <t>Dairies</t>
  </si>
  <si>
    <t>Dairy cattle and milk production. This industry comprises establishments primarily engaged in milking dairy cattle.</t>
  </si>
  <si>
    <t>Animal farms and aquaculture ponds (except cattle and poultry)</t>
  </si>
  <si>
    <t>112A00</t>
  </si>
  <si>
    <t>1129: Other Animal Production</t>
  </si>
  <si>
    <t>Poultry farms</t>
  </si>
  <si>
    <t>Poultry and egg production'. This industry group comprises establishments primarily engaged in breeding, hatching, and raising poultry for meat or egg production.</t>
  </si>
  <si>
    <t>1123: Poultry and Egg Production</t>
  </si>
  <si>
    <t>Timber and raw forest products</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</si>
  <si>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</si>
  <si>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1131: Timber Tract Operations</t>
  </si>
  <si>
    <t>Wild-caught fish and game</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</si>
  <si>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</si>
  <si>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1141: Fishing</t>
  </si>
  <si>
    <t>Agriculture and forestry support</t>
  </si>
  <si>
    <t>Not Applicable</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</si>
  <si>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</si>
  <si>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1151: Support Activities for Crop Production</t>
  </si>
  <si>
    <t>Unrefined oil and gas</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</si>
  <si>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</si>
  <si>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21: Mining, Quarrying, and Oil and Gas Extraction</t>
  </si>
  <si>
    <t>2111: Oil and Gas Extraction</t>
  </si>
  <si>
    <t>Coal mining'. This industry comprises establishments primarily engaged in one or more of the following (1) mining bituminous coal, anthracite, and lignite by underground mining, auger mining, strip mining, culm bank mining, and other surface mining; (2) developing coal mine sites; and (3) beneficiating (i.e., preparing) coal (e.g., cleaning, washing, screening, and sizing coal).</t>
  </si>
  <si>
    <t>2121: Coal Mining</t>
  </si>
  <si>
    <t>Iron, gold, silver, and other metal ores</t>
  </si>
  <si>
    <t>2122A0</t>
  </si>
  <si>
    <t>2122: Metal Ore Mining</t>
  </si>
  <si>
    <t>Copper, nickel, lead, and zinc</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</si>
  <si>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</si>
  <si>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Dimensional stone</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</si>
  <si>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</si>
  <si>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2123: Nonmetallic Mineral Mining and Quarrying</t>
  </si>
  <si>
    <t>Sand, gravel, clay, phosphate, other nonmetallic minerals</t>
  </si>
  <si>
    <t>2123A0</t>
  </si>
  <si>
    <t>Well drilling</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</si>
  <si>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</si>
  <si>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2131: Support Activities for Mining</t>
  </si>
  <si>
    <t>Other support activities for mining</t>
  </si>
  <si>
    <t>21311A</t>
  </si>
  <si>
    <t>Natural gas distribution'. This industry comprises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</si>
  <si>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22: Utilities</t>
  </si>
  <si>
    <t>2212: Natural Gas Distribution</t>
  </si>
  <si>
    <t>Drinking water and wastewater treatment</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</si>
  <si>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</si>
  <si>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2213: Water, Sewage and Other Systems</t>
  </si>
  <si>
    <t>Single-family homes</t>
  </si>
  <si>
    <t>23: Construction</t>
  </si>
  <si>
    <t>2361: Residential Building Construction</t>
  </si>
  <si>
    <t>Multifamily homes</t>
  </si>
  <si>
    <t>Residential building repair and maintanence</t>
  </si>
  <si>
    <t>Residential maintenance and repair. This industry comprises maintenance and repair of residential buildings.</t>
  </si>
  <si>
    <t>230301,233230</t>
  </si>
  <si>
    <t>2362: Nonresidential Building Construction</t>
  </si>
  <si>
    <t>Utilities buildings and infrastructure</t>
  </si>
  <si>
    <t>Power and communication structures. This industry comprises construction of power and communication structures</t>
  </si>
  <si>
    <t>2371: Utility System Construction</t>
  </si>
  <si>
    <t>Highways, streets, and bridges</t>
  </si>
  <si>
    <t>Other nonresidential structures</t>
  </si>
  <si>
    <t>2332D0</t>
  </si>
  <si>
    <t>230301,233240,2332D0,2334A0,233230,233412,233210,2332A0,230302,233262,233411</t>
  </si>
  <si>
    <t>230301,233210,2332D0,233412,233262,2332A0,233411,233230,2334A0,233240,230302</t>
  </si>
  <si>
    <t xml:space="preserve">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t>
  </si>
  <si>
    <t>230302,233240,230301,233230,233411,233262,233412,2334A0,2332D0,233210,2332A0</t>
  </si>
  <si>
    <t>233240,2332A0,2332D0,233411,233262,233412,233230,230301,2334A0,233210,230302</t>
  </si>
  <si>
    <t>233230,2334A0,2332D0,233262,233210,2332A0,233411,230301,233412,233240,230302</t>
  </si>
  <si>
    <t>2332D0,230301,233411,2334A0,233262,233230,230302,233412,233210,2332A0,233240</t>
  </si>
  <si>
    <t>233230,2334A0,2332A0,233262,230302,230301,233411,233412,233240,233210,2332D0</t>
  </si>
  <si>
    <t>230302,233262,230301,233412,233210,2334A0,2332A0,233230,233240,233411,2332D0</t>
  </si>
  <si>
    <t>Electrical Contractors and Other Wiring Installation Contractors</t>
  </si>
  <si>
    <t>2332D0,2332A0,233411,233210,230301,2334A0,233240,233230,233262,233412,230302</t>
  </si>
  <si>
    <t>233412,230301,2332A0,230302,233230,233262,233411,2332D0,2334A0,233240,233210</t>
  </si>
  <si>
    <t>233262,2332A0,233411,2332D0,2334A0,233210,233240,230302,233412,230301,233230</t>
  </si>
  <si>
    <t>233210,233240,233411,2334A0,230301,233412,2332A0,2332D0,230302,233262,233230</t>
  </si>
  <si>
    <t>Painting and Wall Covering Contractors</t>
  </si>
  <si>
    <t>230301,2334A0,2332A0,233240,233262,233230,233412,233411,2332D0,230302,233210</t>
  </si>
  <si>
    <t>Flooring Contractors</t>
  </si>
  <si>
    <t>233411,230301,233230,2332D0,2334A0,233262,233412,233240,2332A0,233210,230302</t>
  </si>
  <si>
    <t>Tile and Terrazzo Contractors</t>
  </si>
  <si>
    <t>233411,233230,233412,233262,2332D0,2332A0,230301,233240,2334A0,230302,233210</t>
  </si>
  <si>
    <t>Finish Carpentry Contractors</t>
  </si>
  <si>
    <t>233411,2332D0,233240,233412,2332A0,2334A0,233262,230301,230302,233230,233210</t>
  </si>
  <si>
    <t>Other Building Finishing Contractors</t>
  </si>
  <si>
    <t>233411,233230,2332A0,2334A0,233240,233210,233412,230301,2332D0,230302,233262</t>
  </si>
  <si>
    <t>Site Preparation Contractors</t>
  </si>
  <si>
    <t>233240,2334A0,233210,2332D0,230301,233262,230302,233411,2332A0,233412,233230</t>
  </si>
  <si>
    <t>All Other Specialty Trade Contractors</t>
  </si>
  <si>
    <t>2334A0,230301,230302,233230,233262,2332D0,233411,2332A0,233412,233210,233240</t>
  </si>
  <si>
    <t>Dog and cat food</t>
  </si>
  <si>
    <t>Dog and cat food manufacturing'. This U.S. industry comprises establishments primarily engaged in manufacturing dog and cat food from ingredients, such as grains, oilseed mill products, and meat products.</t>
  </si>
  <si>
    <t>31-33: Manufacturing</t>
  </si>
  <si>
    <t>3111: Animal Food Manufacturing</t>
  </si>
  <si>
    <t>Other animal food</t>
  </si>
  <si>
    <t>Flours and malts</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</si>
  <si>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</si>
  <si>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3112: Grain and Oilseed Milling</t>
  </si>
  <si>
    <t>Corn products</t>
  </si>
  <si>
    <t>Vegetable oils and by-products</t>
  </si>
  <si>
    <t>Refined vegetable, olive, and seed oils</t>
  </si>
  <si>
    <t>Breakfast cereals</t>
  </si>
  <si>
    <t>Sugar, candy, and chocolate</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</si>
  <si>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</si>
  <si>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3113: Sugar and Confectionery Product Manufacturing</t>
  </si>
  <si>
    <t>Frozen food</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</si>
  <si>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</si>
  <si>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3114: Fruit and Vegetable Preserving and Specialty Food Manufacturing</t>
  </si>
  <si>
    <t>Fruit and vegetable preservation</t>
  </si>
  <si>
    <t>Fluid milk and butter</t>
  </si>
  <si>
    <t>31151A</t>
  </si>
  <si>
    <t>3115: Dairy Product Manufacturing</t>
  </si>
  <si>
    <t>Cheese</t>
  </si>
  <si>
    <t>Cheese manufacturing. This U.S. industry comprises establishments primarily engaged in (1) manufacturing cheese products (except cottage cheese) from raw milk and/or processed milk products and/or (2) manufacturing cheese substitutes from soybean and other nondairy substances.</t>
  </si>
  <si>
    <t>Dry, condensed, and evaporated dairy</t>
  </si>
  <si>
    <t>Ice cream and frozen desserts</t>
  </si>
  <si>
    <t>Packaged meat (except poultry)</t>
  </si>
  <si>
    <t>31161A</t>
  </si>
  <si>
    <t>3116: Animal Slaughtering and Processing</t>
  </si>
  <si>
    <t>Packaged poultry</t>
  </si>
  <si>
    <t>Poultry processing. This U.S. industry comprises establishments primarily engaged in (1) slaughtering poultry and small game and/or (2) preparing processed poultry and small game meat and meat byproducts.</t>
  </si>
  <si>
    <t>Seafood</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</si>
  <si>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</si>
  <si>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3117: Seafood Product Preparation and Packaging</t>
  </si>
  <si>
    <t>Bread and other baked goods</t>
  </si>
  <si>
    <t>Bread and bakery product manufacturing. This industry comprises establishments primarily engaged in manufacturing fresh and frozen bread and other bakery products.</t>
  </si>
  <si>
    <t>3118: Bakeries and Tortilla Manufacturing</t>
  </si>
  <si>
    <t>Cookies, crackers, pastas, and tortillas</t>
  </si>
  <si>
    <t>3118A0</t>
  </si>
  <si>
    <t>Snack foods</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</si>
  <si>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</si>
  <si>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3119: Other Food Manufacturing</t>
  </si>
  <si>
    <t>Coffee and tea</t>
  </si>
  <si>
    <t>Flavored drink concentrates</t>
  </si>
  <si>
    <t>Seasonings and dressings</t>
  </si>
  <si>
    <t>All other foods</t>
  </si>
  <si>
    <t>Soft drinks, bottled water, and ice</t>
  </si>
  <si>
    <t>Soft drink and ice manufacturing. This industry comprises establishments primarily engaged in one or more of the following (1) manufacturing soft drinks; (2) manufacturing ice; and (3) purifying and bottling water.</t>
  </si>
  <si>
    <t>3121: Beverage Manufacturing</t>
  </si>
  <si>
    <t>Breweries and beer</t>
  </si>
  <si>
    <t>Wineries and wine</t>
  </si>
  <si>
    <t>Distilleries and spirits</t>
  </si>
  <si>
    <t>Tobacco products</t>
  </si>
  <si>
    <t>Tobacco product manufacturing'. This industry comprises establishments primarily engaged in manufacturing cigarettes, cigars, smoking and chewing tobacco, and reconstituted tobacco.</t>
  </si>
  <si>
    <t>3122: Tobacco Manufacturing</t>
  </si>
  <si>
    <t>Fiber, yarn, and thread</t>
  </si>
  <si>
    <t>Fiber, yarn, and thread mills'. This industry comprises establishments primarily engaged in one or more of the following (1) spinning yarn; (2) manufacturing thread of any fiber; (3) texturizing, throwing, twisting, and winding purchased yarn or manmade fiber filaments; and (4) producing hemp yarn and further processing into rope or bags.</t>
  </si>
  <si>
    <t>3131: Fiber, Yarn, and Thread Mills</t>
  </si>
  <si>
    <t>Fabric</t>
  </si>
  <si>
    <t>Fabric mills'. This industry group comprises (1) Broadwoven Fabric Mills, (2) Narrow Fabric Mills and Schiffli Machine Embroidery, (3) Nonwoven Fabric Mills, and (4) Knit Fabric Mills.</t>
  </si>
  <si>
    <t>3132: Fabric Mills</t>
  </si>
  <si>
    <t>Finished and coated fabric</t>
  </si>
  <si>
    <t>Textile and fabric finishing and fabric coating mills'. This industry group comprises (1) Textile and Fabric Finishing Mills, and (2) Fabric Coating Mills.</t>
  </si>
  <si>
    <t>3133: Textile and Fabric Finishing and Fabric Coating Mills</t>
  </si>
  <si>
    <t>Carpets and rugs</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</si>
  <si>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</si>
  <si>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3141: Textile Furnishings Mills</t>
  </si>
  <si>
    <t>Curtains and linens</t>
  </si>
  <si>
    <t>Other textiles</t>
  </si>
  <si>
    <t>Other textile product mills'. This industry group comprises establishments primarily engaged in making textile products (except carpets and rugs, curtains and draperies, and other household textile products) from purchased materials.</t>
  </si>
  <si>
    <t>3149: Other Textile Product Mills</t>
  </si>
  <si>
    <t>Clothing</t>
  </si>
  <si>
    <t>Apparel manufacturing'.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</si>
  <si>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3151: Apparel Knitting Mills</t>
  </si>
  <si>
    <t>Leather</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</si>
  <si>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</si>
  <si>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3161: Leather and Hide Tanning and Finishing</t>
  </si>
  <si>
    <t>Lumber and treated lumber</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</si>
  <si>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</si>
  <si>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3211: Sawmills and Wood Preservation</t>
  </si>
  <si>
    <t>Plywood and veneer</t>
  </si>
  <si>
    <t>Veneer, plywood, and engineered wood product manufacturing'. This industry comprises establishments primarily engaged in one or more of the following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</si>
  <si>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3212: Veneer, Plywood, and Engineered Wood Product Manufacturing</t>
  </si>
  <si>
    <t>Wooden windows, door, and flooring</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</si>
  <si>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</si>
  <si>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3219: Other Wood Product Manufacturing</t>
  </si>
  <si>
    <t>Veneer, plywood, and engineered wood</t>
  </si>
  <si>
    <t>3219A0</t>
  </si>
  <si>
    <t>Wood pulp</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</si>
  <si>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</si>
  <si>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3221: Pulp, Paper, and Paperboard Mills</t>
  </si>
  <si>
    <t>Paper</t>
  </si>
  <si>
    <t>Cardboard</t>
  </si>
  <si>
    <t>Cardboard containers</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</si>
  <si>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</si>
  <si>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3222: Converted Paper Product Manufacturing</t>
  </si>
  <si>
    <t>Paper bags and coated paper</t>
  </si>
  <si>
    <t>Stationery</t>
  </si>
  <si>
    <t>Sanitary paper (tissues, napkins, diapers, etc.)</t>
  </si>
  <si>
    <t>All other converted paper products</t>
  </si>
  <si>
    <t>Books, newspapers, magazines, and other print media</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</si>
  <si>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</si>
  <si>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3231: Printing and Related Support Activities</t>
  </si>
  <si>
    <t>Printing support</t>
  </si>
  <si>
    <t>Gasoline, fuels, and by-products of petroleum refining</t>
  </si>
  <si>
    <t>Petroleum refineries. This industry comprises establishments primarily engaged in refining crude petroleum into refined petroleum. Petroleum refining involves one or more of the following activities (1) fractionation; (2) straight distillation of crude oil; and (3) cracking.</t>
  </si>
  <si>
    <t>3241: Petroleum and Coal Products Manufacturing</t>
  </si>
  <si>
    <t>Asphalt pavement</t>
  </si>
  <si>
    <t>Asphalt shingles</t>
  </si>
  <si>
    <t>Other petroleum and coal products</t>
  </si>
  <si>
    <t>Petrochemicals</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</si>
  <si>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</si>
  <si>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3251: Basic Chemical Manufacturing</t>
  </si>
  <si>
    <t>Compressed Gases</t>
  </si>
  <si>
    <t>Synthetic dyes and pigments</t>
  </si>
  <si>
    <t>Other basic inorganic chemicals</t>
  </si>
  <si>
    <t>Other basic organic chemicals</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</si>
  <si>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</si>
  <si>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3252: Resin, Synthetic Rubber, and Artificial and Synthetic Fibers and Filaments Manufacturing</t>
  </si>
  <si>
    <t>Synthetic rubber and artificial and synthetic fibers</t>
  </si>
  <si>
    <t>3252A0</t>
  </si>
  <si>
    <t>Fertilizers</t>
  </si>
  <si>
    <t>Fertilizer manufacturing'. This industry group comprises (1) Fertilizer Manufacturing, and (2) Pesticide and Other Agricultural Chemical Manufacturing.</t>
  </si>
  <si>
    <t>3253: Pesticide, Fertilizer, and Other Agricultural Chemical Manufacturing</t>
  </si>
  <si>
    <t>Pesticides</t>
  </si>
  <si>
    <t>Medicinal and botanical ingredients</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</si>
  <si>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</si>
  <si>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3254: Pharmaceutical and Medicine Manufacturing</t>
  </si>
  <si>
    <t>Pharmaceutical products (pills, powders, solutions, etc.)</t>
  </si>
  <si>
    <t>Blood sugar, pregnancy, and other diagnostic test kits</t>
  </si>
  <si>
    <t>Vaccines and other biological medical products</t>
  </si>
  <si>
    <t>Paints and coatings</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</si>
  <si>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</si>
  <si>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3255: Paint, Coating, and Adhesive Manufacturing</t>
  </si>
  <si>
    <t>Adhesives</t>
  </si>
  <si>
    <t>Soap and cleaning compounds</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</si>
  <si>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</si>
  <si>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3256: Soap, Cleaning Compound, and Toilet Preparation Manufacturing</t>
  </si>
  <si>
    <t>Toiletries</t>
  </si>
  <si>
    <t>Ink and ink cartridges</t>
  </si>
  <si>
    <t>Printing ink manufacturing. This industry comprises establishments primarily engaged in manufacturing printing and inkjet inks and inkjet cartridges.</t>
  </si>
  <si>
    <t>3259: Other Chemical Product and Preparation Manufacturing</t>
  </si>
  <si>
    <t>Chemicals (except basic chemicals, agrichemicals, polymers, paints, pharmaceuticals,soaps, cleaning compounds)</t>
  </si>
  <si>
    <t>3259A0</t>
  </si>
  <si>
    <t>Plastic bags, films, and sheets</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</si>
  <si>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</si>
  <si>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3261: Plastics Product Manufacturing</t>
  </si>
  <si>
    <t>Plastic pipe, fittings, and sausage casings</t>
  </si>
  <si>
    <t>Laminated plastic plates and shapes</t>
  </si>
  <si>
    <t>Polystyrene foam products</t>
  </si>
  <si>
    <t>Urethane and other foam products</t>
  </si>
  <si>
    <t>Plastic bottles</t>
  </si>
  <si>
    <t>Other plastic products</t>
  </si>
  <si>
    <t>Rubber tires</t>
  </si>
  <si>
    <t>Tire manufacturing. This industry comprises establishments primarily engaged in manufacturing tires and inner tubes from natural and synthetic rubber and retreading or rebuilding tires.</t>
  </si>
  <si>
    <t>3262: Rubber Product Manufacturing</t>
  </si>
  <si>
    <t>Rubber and plastic belts and hoses</t>
  </si>
  <si>
    <t>Other rubber products</t>
  </si>
  <si>
    <t>Clay and ceramic products</t>
  </si>
  <si>
    <t>Clay product and refractory manufacturing'. This industry group comprises (1) Pottery, Ceramics, and Plumbing Fixture Manufacturing, and (2) Clay Building Material and Refractories Manufacturing.</t>
  </si>
  <si>
    <t>3271: Clay Product and Refractory Manufacturing</t>
  </si>
  <si>
    <t>Glass and glass products</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</si>
  <si>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</si>
  <si>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3272: Glass and Glass Product Manufacturing</t>
  </si>
  <si>
    <t>Cement</t>
  </si>
  <si>
    <t>Cement manufacturing'. This industry comprises establishments primarily engaged in manufacturing portland, natural, masonry, pozzolanic, and other hydraulic cements. Cement manufacturing establishments may calcine earths or mine, quarry, manufacture, or purchase lime.</t>
  </si>
  <si>
    <t>3273: Cement and Concrete Product Manufacturing</t>
  </si>
  <si>
    <t>Ready-mix concrete</t>
  </si>
  <si>
    <t>Concrete pipe, bricks, and blocks</t>
  </si>
  <si>
    <t>Other concrete products</t>
  </si>
  <si>
    <t>Lime and gypsum products</t>
  </si>
  <si>
    <t>Lime and gypsum product manufacturing'. This industry group comprises (1) Lime Manufacturing, and (2) Gypsum Product Manufacturing.</t>
  </si>
  <si>
    <t>3274: Lime and Gypsum Product Manufacturing</t>
  </si>
  <si>
    <t>Abrasive products</t>
  </si>
  <si>
    <t>Abrasive product manufacturing'. This industry comprises establishments primarily engaged in manufacturing abrasive grinding wheels of natural or synthetic materials, abrasive-coated products, and other abrasive products.</t>
  </si>
  <si>
    <t>3279: Other Nonmetallic Mineral Product Manufacturing</t>
  </si>
  <si>
    <t>Cut stone and stone products</t>
  </si>
  <si>
    <t>Ground or treated minerals and earth</t>
  </si>
  <si>
    <t>Mineral wool</t>
  </si>
  <si>
    <t>Other nonmetallic mineral products</t>
  </si>
  <si>
    <t>Primary iron, steel, and ferroalloy products</t>
  </si>
  <si>
    <t>Iron and steel mills and ferroalloy manufacturing'. This industry comprises establishments primarily engaged in one or more of the following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</si>
  <si>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3311: Iron and Steel Mills and Ferroalloy Manufacturing</t>
  </si>
  <si>
    <t>Secondary steel products</t>
  </si>
  <si>
    <t>Steel product manufacturing from purchased steel'. This industry group comprises establishments primarily engaged in manufacturing iron and steel tube and pipe, drawing steel wire, and rolling or drawing shapes from purchased iron or steel.</t>
  </si>
  <si>
    <t>3312: Steel Product Manufacturing from Purchased Steel</t>
  </si>
  <si>
    <t>Primary aluminum</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</si>
  <si>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</si>
  <si>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3313: Alumina and Aluminum Production and Processing</t>
  </si>
  <si>
    <t>Secondary aluminum</t>
  </si>
  <si>
    <t>33131B</t>
  </si>
  <si>
    <t>Copper, gold and silver concentrates</t>
  </si>
  <si>
    <t>Nonferrous metal (except aluminum) smelting and refining. This U.S. industry comprises establishments primarily engaged in (1) smelting ores into nonferrous metals and/or (2) the primary refining of nonferrous metals (except aluminum) by electrolytic methods or other processes.</t>
  </si>
  <si>
    <t>3314: Nonferrous Metal (except Aluminum) Production and Processing</t>
  </si>
  <si>
    <t>Secondary copper products</t>
  </si>
  <si>
    <t>Other secondary nonferrous metal products</t>
  </si>
  <si>
    <t>Cast iron and steel</t>
  </si>
  <si>
    <t>Ferrous metal foundries. This industry comprises establishments primarily engaged in pouring molten iron and steel into molds of a desired shape to make castings. Establishments in this industry purchase iron and steel made in other establishments.</t>
  </si>
  <si>
    <t>3315: Foundries</t>
  </si>
  <si>
    <t>Nonferrous metal casts</t>
  </si>
  <si>
    <t>All other forging, stamping, and sintering</t>
  </si>
  <si>
    <t>33211A</t>
  </si>
  <si>
    <t>3321: Forging and Stamping</t>
  </si>
  <si>
    <t>Custom metal rolls</t>
  </si>
  <si>
    <t>Custom roll forming. This U.S. industry comprises establishments primarily engaged in custom roll forming metal products by use of rotary motion of rolls with various contours to bend or shape the products.</t>
  </si>
  <si>
    <t>Lids, jars, bottle caps, other metal closures and crowns</t>
  </si>
  <si>
    <t>Cutlery and handtools</t>
  </si>
  <si>
    <t>Cutlery and handtool manufacturing'. This industry comprises establishments primarily engaged in one or more of the following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</si>
  <si>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3322: Cutlery and Handtool Manufacturing</t>
  </si>
  <si>
    <t>Metal structural products</t>
  </si>
  <si>
    <t>Plate work and fabricated structural product manufacturing'. This industry comprises establishments primarily engaged in manufacturing one or more of the following (1) prefabricated metal buildings, panels and sections; (2) structural metal products; and (3) metal plate work products.</t>
  </si>
  <si>
    <t>3323: Architectural and Structural Metals Manufacturing</t>
  </si>
  <si>
    <t>Metal windows, doors, and architectural products</t>
  </si>
  <si>
    <t>Power boilers and heat exchangers</t>
  </si>
  <si>
    <t>Power boiler and heat exchanger manufacturing. This industry comprises establishments primarily engaged in manufacturing power boilers and heat exchangers. Establishments in this industry may perform installation in addition to manufacturing power boilers and heat exchangers.</t>
  </si>
  <si>
    <t>3324: Boiler, Tank, and Shipping Container Manufacturing</t>
  </si>
  <si>
    <t>Heavy gauge metal tanks</t>
  </si>
  <si>
    <t>Light gauge metal cans, boxes, and containers</t>
  </si>
  <si>
    <t>Metal hinges, keys, lock, and other hardware</t>
  </si>
  <si>
    <t>Hardware manufacturing'. This industry comprises establishments primarily engaged in manufacturing metal hardware, such as metal hinges, metal handles, keys, and locks (except coin-operated, time locks).</t>
  </si>
  <si>
    <t>3325: Hardware Manufacturing</t>
  </si>
  <si>
    <t>Springs and wires</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</si>
  <si>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</si>
  <si>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3326: Spring and Wire Product Manufacturing</t>
  </si>
  <si>
    <t>Machine shops</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</si>
  <si>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</si>
  <si>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3327: Machine Shops; Turned Product; and Screw, Nut, and Bolt Manufacturing</t>
  </si>
  <si>
    <t>Screws, nuts, and bolts</t>
  </si>
  <si>
    <t>Metal coatings, engravings, and heat treatments</t>
  </si>
  <si>
    <t>Coating, engraving, heat treating and allied activities'. This industry comprises establishments primarily engaged in one or more of the following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</si>
  <si>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3328: Coating, Engraving, Heat Treating, and Allied Activities</t>
  </si>
  <si>
    <t>Valve and fittings (except for plumbing)</t>
  </si>
  <si>
    <t>33291A</t>
  </si>
  <si>
    <t>3329: Other Fabricated Metal Product Manufacturing</t>
  </si>
  <si>
    <t>Metal plumbing drains, faucets, valves, and other fittings</t>
  </si>
  <si>
    <t>Plumbing fixture fitting and trim manufacturing'. This U.S. industry comprises establishments primarily engaged in manufacturing metal and plastics plumbing fixture fittings and trim, such as faucets, flush valves, and shower heads.</t>
  </si>
  <si>
    <t>Ball and roller bearings</t>
  </si>
  <si>
    <t>Ammunition, arms, ordnance, and related accessories</t>
  </si>
  <si>
    <t>33299A</t>
  </si>
  <si>
    <t>Fabricated pipe and pipe fittings</t>
  </si>
  <si>
    <t>Misc. fabricated metal products</t>
  </si>
  <si>
    <t>Farm machinery and equipment</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</si>
  <si>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</si>
  <si>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3331: Agriculture, Construction, and Mining Machinery Manufacturing</t>
  </si>
  <si>
    <t>Lawn and garden equipment</t>
  </si>
  <si>
    <t>Construction machinery</t>
  </si>
  <si>
    <t>Mining and oil/gas field machinery</t>
  </si>
  <si>
    <t>Machinery for the paper, textile, food or other industries (except semiconductor machinery)</t>
  </si>
  <si>
    <t>33329A</t>
  </si>
  <si>
    <t>3332: Industrial Machinery Manufacturing</t>
  </si>
  <si>
    <t>Semiconductor machinery</t>
  </si>
  <si>
    <t>Semiconductor machinery manufacturing'. This U.S. industry comprises establishments primarily engaged in manufacturing wafer processing equipment, semiconductor assembly and packaging equipment, and other semiconductor making machinery.</t>
  </si>
  <si>
    <t>Optical instruments and lenses</t>
  </si>
  <si>
    <t>Optical instrument and lens manufacturing'. This U.S. industry comprises establishments primarily engaged in one or more of the following (1) manufacturing optical instruments and lens, such as binoculars, microscopes (except electron, proton), telescopes, prisms, and lenses (except ophthalmic); (2) coating or polishing lenses (except ophthalmic); and (3) mounting lenses (except ophthalmic).</t>
  </si>
  <si>
    <t>3333: Commercial and Service Industry Machinery Manufacturing</t>
  </si>
  <si>
    <t>Photography and photocopying equipment</t>
  </si>
  <si>
    <t>Other commercial and service industry machinery</t>
  </si>
  <si>
    <t>Air purification and ventilation equipment</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</si>
  <si>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</si>
  <si>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3334: Ventilation, Heating, Air-Conditioning, and Commercial Refrigeration Equipment Manufacturing</t>
  </si>
  <si>
    <t>Heating equipment other than warm air furnaces</t>
  </si>
  <si>
    <t>Air conditioning, refrigeration, and warm air heating equipment</t>
  </si>
  <si>
    <t>Industrial molds</t>
  </si>
  <si>
    <t>Industrial mold manufacturing'. This U.S. industry comprises establishments primarily engaged in manufacturing industrial molds for casting metals or forming other materials, such as plastics, glass, or rubber.</t>
  </si>
  <si>
    <t>3335: Metalworking Machinery Manufacturing</t>
  </si>
  <si>
    <t>Special tools, dies, jigs, and fixtures</t>
  </si>
  <si>
    <t>Cutting and machine tool accessory, rolling mill, and other metalworking machines</t>
  </si>
  <si>
    <t>33351B</t>
  </si>
  <si>
    <t>Metal cutting and forming machine tools</t>
  </si>
  <si>
    <t>Turbines and turbine generator sets</t>
  </si>
  <si>
    <t>Turbine and turbine generator set units manufacturing'. This U.S. industry comprises establishments primarily engaged in manufacturing turbines (except aircraft); and complete turbine generator set units, such as steam, hydraulic, gas, and wind.</t>
  </si>
  <si>
    <t>3336: Engine, Turbine, and Power Transmission Equipment Manufacturing</t>
  </si>
  <si>
    <t>Speed changers, industrial high-speed drives, and gears</t>
  </si>
  <si>
    <t>Mechanical power transmission equipment</t>
  </si>
  <si>
    <t>Other engine equipment</t>
  </si>
  <si>
    <t>Air and gas compressors</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</si>
  <si>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</si>
  <si>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3339: Other General Purpose Machinery Manufacturing</t>
  </si>
  <si>
    <t>Material handling equipment</t>
  </si>
  <si>
    <t>Power tools</t>
  </si>
  <si>
    <t>Welding and Soldering Equipment, Scales and Balances, and other general purpose machinery</t>
  </si>
  <si>
    <t>33399A</t>
  </si>
  <si>
    <t>Packaging machinery</t>
  </si>
  <si>
    <t>Industrial process furnaces and ovens</t>
  </si>
  <si>
    <t>Hydraulic pumps, motors, cylinders and actuators</t>
  </si>
  <si>
    <t>33399B</t>
  </si>
  <si>
    <t>Computers</t>
  </si>
  <si>
    <t>Electronic computer manufacturing'. 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</si>
  <si>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3341: Computer and Peripheral Equipment Manufacturing</t>
  </si>
  <si>
    <t>Computer storage device readers</t>
  </si>
  <si>
    <t>Computer terminals and other computer peripheral equipment</t>
  </si>
  <si>
    <t>Telephones</t>
  </si>
  <si>
    <t>Telephone apparatus manufacturing'. 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</si>
  <si>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3342: Communications Equipment Manufacturing</t>
  </si>
  <si>
    <t>Wireless communications</t>
  </si>
  <si>
    <t>Communications equipment</t>
  </si>
  <si>
    <t>Audio and video equipment</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</si>
  <si>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</si>
  <si>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3343: Audio and Video Equipment Manufacturing</t>
  </si>
  <si>
    <t>Electronic capacitors, resistors, coils, transformers, connectors and other components (except  semiconductors and printed circuit assemblies)</t>
  </si>
  <si>
    <t>33441A</t>
  </si>
  <si>
    <t>3344: Semiconductor and Other Electronic Component Manufacturing</t>
  </si>
  <si>
    <t>Semiconductors</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</si>
  <si>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</si>
  <si>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Printed circuit and electronic assembly</t>
  </si>
  <si>
    <t>Electromedical appartuses</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</si>
  <si>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</si>
  <si>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3345: Navigational, Measuring, Electromedical, and Control Instruments Manufacturing</t>
  </si>
  <si>
    <t>Navigation instruments</t>
  </si>
  <si>
    <t>Automatic controls for HVAC and refrigeration equipment</t>
  </si>
  <si>
    <t>Industrial process variable instruments</t>
  </si>
  <si>
    <t>Fluid meters and counting devices</t>
  </si>
  <si>
    <t>Signal testing instruments</t>
  </si>
  <si>
    <t>Analytical laboratory instruments</t>
  </si>
  <si>
    <t>Irradiation apparatuses</t>
  </si>
  <si>
    <t>Watches, clocks, and other measuring and controlling devices</t>
  </si>
  <si>
    <t>33451A</t>
  </si>
  <si>
    <t>External hard drives, CDs, other storage media</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</si>
  <si>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</si>
  <si>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3346: Manufacturing and Reproducing Magnetic and Optical Media</t>
  </si>
  <si>
    <t>Light bulbs</t>
  </si>
  <si>
    <t>Electric lamp bulb and part manufacturing'. This industry comprises establishments primarily engaged in manufacturing electric light bulbs and tubes, and parts and components (except glass blanks for electric light bulbs).</t>
  </si>
  <si>
    <t>3351: Electric Lighting Equipment Manufacturing</t>
  </si>
  <si>
    <t>Light fixtures</t>
  </si>
  <si>
    <t>Small electrical appliances</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</si>
  <si>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</si>
  <si>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3352: Household Appliance Manufacturing</t>
  </si>
  <si>
    <t>Specialty transformers</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</si>
  <si>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</si>
  <si>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3353: Electrical Equipment Manufacturing</t>
  </si>
  <si>
    <t>Motors and generators</t>
  </si>
  <si>
    <t>Switchgear and switchboards</t>
  </si>
  <si>
    <t>Relay and industrial controls</t>
  </si>
  <si>
    <t>Storage batteries</t>
  </si>
  <si>
    <t>Storage battery manufacturing. This U.S. industry comprises establishments primarily engaged in manufacturing storage batteries.</t>
  </si>
  <si>
    <t>3359: Other Electrical Equipment and Component Manufacturing</t>
  </si>
  <si>
    <t>Primary batteries</t>
  </si>
  <si>
    <t>Communication and energy wire and cable</t>
  </si>
  <si>
    <t>Wiring devices</t>
  </si>
  <si>
    <t>Carbon and graphite products</t>
  </si>
  <si>
    <t>other miscellaneous electrical equipment and components</t>
  </si>
  <si>
    <t>Automobiles</t>
  </si>
  <si>
    <t>Automobile manufacturing'. This U.S. industry comprises establishments primarily engaged in (1) manufacturing complete automobiles (i.e., body and chassis or unibody) or (2) manufacturing automobile chassis only.</t>
  </si>
  <si>
    <t>3361: Motor Vehicle Manufacturing</t>
  </si>
  <si>
    <t>Pickup trucks, vans, and SUVs</t>
  </si>
  <si>
    <t>Heavy duty trucks</t>
  </si>
  <si>
    <t>Vehicle bodies</t>
  </si>
  <si>
    <t>Motor vehicle body manufacturing. This U.S. industry comprises establishments primarily engaged in manufacturing truck and bus bodies and cabs and automobile bodies. The products made may be sold separately or may be assembled on purchased chassis and sold as complete vehicles.</t>
  </si>
  <si>
    <t>3362: Motor Vehicle Body and Trailer Manufacturing</t>
  </si>
  <si>
    <t>Truck trailers</t>
  </si>
  <si>
    <t>Motor homes</t>
  </si>
  <si>
    <t>Travel trailer and campers</t>
  </si>
  <si>
    <t>Vehicle engines and engine parts</t>
  </si>
  <si>
    <t>Motor vehicle gasoline engine and engine parts manufacturing'. This industry comprises establishments primarily engaged in manufacturing and/or rebuilding motor vehicle gasoline engines, and engine parts, whether or not for vehicular use.</t>
  </si>
  <si>
    <t>3363: Motor Vehicle Parts Manufacturing</t>
  </si>
  <si>
    <t>Vehicle electrical and electronic equipment</t>
  </si>
  <si>
    <t>Motor vehicle steering, suspension components (except spring), and brake systems</t>
  </si>
  <si>
    <t>3363A0</t>
  </si>
  <si>
    <t>Transmission and power train parts</t>
  </si>
  <si>
    <t>Vehicle seating and interior trim (upholstery)</t>
  </si>
  <si>
    <t>Vehicle metal stamping</t>
  </si>
  <si>
    <t>Other vehicle parts</t>
  </si>
  <si>
    <t>Aircraft</t>
  </si>
  <si>
    <t>Aircraft manufacturing'. This U.S. industry comprises establishments primarily engaged in one or more of the following (1) manufacturing or assembling complete aircraft; (2) developing and making aircraft prototypes; (3) aircraft conversion (i.e., major modifications to systems); and (4) complete aircraft overhaul and rebuilding (i.e., periodic restoration of aircraft to original design specifications).</t>
  </si>
  <si>
    <t>3364: Aerospace Product and Parts Manufacturing</t>
  </si>
  <si>
    <t>Aircraft engines and parts</t>
  </si>
  <si>
    <t>Other aircraft parts</t>
  </si>
  <si>
    <t>Guided missiles and space vehicles</t>
  </si>
  <si>
    <t>Propulsion units and parts for space vehicles and guided missiles</t>
  </si>
  <si>
    <t>33641A</t>
  </si>
  <si>
    <t>Railroad rolling stock</t>
  </si>
  <si>
    <t>Railroad rolling stock manufacturing'. This industry comprises establishments primarily engaged in one or more of the following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</si>
  <si>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3365: Railroad Rolling Stock Manufacturing</t>
  </si>
  <si>
    <t>Ships and ship repair</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</si>
  <si>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</si>
  <si>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3366: Ship and Boat Building</t>
  </si>
  <si>
    <t>Boats</t>
  </si>
  <si>
    <t>Motorcycle, bicycle, and parts</t>
  </si>
  <si>
    <t>Motorcycle, bicycle, and parts manufacturing'. This U.S. industry comprises establishments primarily engaged in manufacturing motorcycles, bicycles, tricycles and similar equipment, and parts.</t>
  </si>
  <si>
    <t>3369: Other Transportation Equipment Manufacturing</t>
  </si>
  <si>
    <t>Military armored vehicles and tanks</t>
  </si>
  <si>
    <t>Other transportation equipment</t>
  </si>
  <si>
    <t>Wood kitchen cabinets and countertops</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</si>
  <si>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</si>
  <si>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3371: Household and Institutional Furniture and Kitchen Cabinet Manufacturing</t>
  </si>
  <si>
    <t>Home furniture - upholstered</t>
  </si>
  <si>
    <t>Home furniture - wood, nonupholstered</t>
  </si>
  <si>
    <t>Home furniture - Cabinets and non-wood, nonupholstered</t>
  </si>
  <si>
    <t>33712N</t>
  </si>
  <si>
    <t>Institutional furniture</t>
  </si>
  <si>
    <t>Office furniture and custom architectural woodwork and millwork</t>
  </si>
  <si>
    <t>33721A</t>
  </si>
  <si>
    <t>3372: Office Furniture (including Fixtures) Manufacturing</t>
  </si>
  <si>
    <t>Shelving and lockers</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</si>
  <si>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</si>
  <si>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Mattresses, blinds and shades</t>
  </si>
  <si>
    <t>Other furniture related product manufacturing'. This industry group comprises establishments manufacturing furniture related products, such as mattresses, blinds, and shades.</t>
  </si>
  <si>
    <t>3379: Other Furniture Related Product Manufacturing</t>
  </si>
  <si>
    <t>Surgical and medical instruments</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</si>
  <si>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</si>
  <si>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3391: Medical Equipment and Supplies Manufacturing</t>
  </si>
  <si>
    <t>Surgical appliance and supplies</t>
  </si>
  <si>
    <t>Dental equipment and supplies</t>
  </si>
  <si>
    <t>Ophthalmic goods</t>
  </si>
  <si>
    <t>Dental laboratories</t>
  </si>
  <si>
    <t>Jewelry and silverware</t>
  </si>
  <si>
    <t>Jewelry and silverware manufacturing'. This industry comprises establishments primarily engaged in one or more of the following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</si>
  <si>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3399: Other Miscellaneous Manufacturing</t>
  </si>
  <si>
    <t>Sporting and athletic goods</t>
  </si>
  <si>
    <t>Dolls, toys, and games</t>
  </si>
  <si>
    <t>Office supplies (not paper)</t>
  </si>
  <si>
    <t>Signs</t>
  </si>
  <si>
    <t>Gaskets, seals, musical instruments, fasteners, brooms, brushes, mop and other misc. goods</t>
  </si>
  <si>
    <t>Motor vehicle and motor vehicle parts and supplies</t>
  </si>
  <si>
    <t>Motor vehicle and motor vehicle parts and supplies'. This industry group comprises establishments primarily engaged in the merchant wholesale distribution of automobiles and other motor vehicles, motor vehicle supplies, tires, and new and used parts.</t>
  </si>
  <si>
    <t>42: Wholesale Trade</t>
  </si>
  <si>
    <t>4231: Motor Vehicle and Motor Vehicle Parts and Supplies Merchant Wholesalers</t>
  </si>
  <si>
    <t>Other durable goods merchant wholesalers</t>
  </si>
  <si>
    <t>423A00</t>
  </si>
  <si>
    <t>Professional and commercial equipment and supplies</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</si>
  <si>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</si>
  <si>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4234: Professional and Commercial Equipment and Supplies Merchant Wholesalers</t>
  </si>
  <si>
    <t>Household appliances and electrical and electronic goods</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</si>
  <si>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</si>
  <si>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4236: Household Appliances and Electrical and Electronic Goods Merchant Wholesalers</t>
  </si>
  <si>
    <t>Machinery, equipment, and supplies</t>
  </si>
  <si>
    <t>Machinery, equipment, and supplies'. This industry group comprises establishments primarily engaged in the merchant wholesale distribution of construction, mining, farm, garden, industrial, service establishment, and transportation machinery, equipment and supplies.</t>
  </si>
  <si>
    <t>4238: Machinery, Equipment, and Supplies Merchant Wholesalers</t>
  </si>
  <si>
    <t>Other nondurable goods merchant wholesalers</t>
  </si>
  <si>
    <t>424A00</t>
  </si>
  <si>
    <t>Drugs and druggists sundries</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</si>
  <si>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</si>
  <si>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4242: Drugs and Druggists Sundries Merchant Wholesalers</t>
  </si>
  <si>
    <t>Grocery and related product wholesalers</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</si>
  <si>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</si>
  <si>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4244: Grocery and Related Product Merchant Wholesalers</t>
  </si>
  <si>
    <t>Petroleum and petroleum products</t>
  </si>
  <si>
    <t>Petroleum and petroleum products'.  This industry comprises establishm ents with bulk and non-bulk liquid storage facilities primarily engaged in the merchant wholesale distribution of crude petroleum and petroleum products, including liquefied petroleum gas.</t>
  </si>
  <si>
    <t>4247: Petroleum and Petroleum Products Merchant Wholesalers</t>
  </si>
  <si>
    <t>Wholesale electronic markets and agents and brokers</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</si>
  <si>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</si>
  <si>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4251: Wholesale Electronic Markets and Agents and Brokers</t>
  </si>
  <si>
    <t>Vehicles and parts sales</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</si>
  <si>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</si>
  <si>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44-45: Retail Trade</t>
  </si>
  <si>
    <t>4411: Automobile Dealers</t>
  </si>
  <si>
    <t>Other retail</t>
  </si>
  <si>
    <t>4B0000</t>
  </si>
  <si>
    <t>Building material and garden equipment and supplies dealers</t>
  </si>
  <si>
    <t>4441: Building Material and Supplies Dealers</t>
  </si>
  <si>
    <t>Food and beverage stores</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</si>
  <si>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</si>
  <si>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4451: Grocery Stores</t>
  </si>
  <si>
    <t>Health and personal care stores</t>
  </si>
  <si>
    <t>4461: Health and Personal Care Stores</t>
  </si>
  <si>
    <t>Gasoline stations</t>
  </si>
  <si>
    <t>4471: Gasoline Stations</t>
  </si>
  <si>
    <t>Clothing and clothing accessories stores</t>
  </si>
  <si>
    <t>4481: Clothing Stores</t>
  </si>
  <si>
    <t>General merchandise stores</t>
  </si>
  <si>
    <t>General merchandise stores. Industries in the General Merchandise Stores subsector retail new general merchandise from fixed pointof- 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</si>
  <si>
    <t>4523: General Merchandise Stores, including Warehouse Clubs and Supercenters</t>
  </si>
  <si>
    <t>Nonstore retailers</t>
  </si>
  <si>
    <t>4541: Electronic Shopping and Mail-Order Houses</t>
  </si>
  <si>
    <t>Newspapers</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</si>
  <si>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</si>
  <si>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51: Information</t>
  </si>
  <si>
    <t>5111: Newspaper, Periodical, Book, and Directory Publishers</t>
  </si>
  <si>
    <t>Magazines and journals</t>
  </si>
  <si>
    <t>Books</t>
  </si>
  <si>
    <t>Directory, mailing list, and other publishers</t>
  </si>
  <si>
    <t>5111A0</t>
  </si>
  <si>
    <t>Software</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</si>
  <si>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</si>
  <si>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5112: Software Publishers</t>
  </si>
  <si>
    <t>Movies and film</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</si>
  <si>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</si>
  <si>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5121: Motion Picture and Video Industries</t>
  </si>
  <si>
    <t>Sound recording</t>
  </si>
  <si>
    <t>Sound recording industries'. This industry group comprises establishments primarily engaged in producing and distributing musical recordings, in publishing music, or in providing sound recording and related services.</t>
  </si>
  <si>
    <t>5122: Sound Recording Industries</t>
  </si>
  <si>
    <t>Radio and television</t>
  </si>
  <si>
    <t>Radio and television broadcasting'. Establishments that both print and publish may fill excess capacity with commercial or job printing. However, the publishing activity is still considered to be the primary activity of these establishments.</t>
  </si>
  <si>
    <t>5151: Radio and Television Broadcasting</t>
  </si>
  <si>
    <t>Cable and subscription programming</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</si>
  <si>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</si>
  <si>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5152: Cable and Other Subscription Programming</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</si>
  <si>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</si>
  <si>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5171: Wired Telecommunications Carriers</t>
  </si>
  <si>
    <t>Wireless telecommunications</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</si>
  <si>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</si>
  <si>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5172: Wireless Telecommunications Carriers (except Satellite)</t>
  </si>
  <si>
    <t>Satellite, telecommunications resellers, and all other telecommunications</t>
  </si>
  <si>
    <t>517A00</t>
  </si>
  <si>
    <t>5179: Other Telecommunications</t>
  </si>
  <si>
    <t>Data processing and hosting</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</si>
  <si>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</si>
  <si>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5182: Data Processing, Hosting, and Related Services</t>
  </si>
  <si>
    <t>News syndicates, libraries, archives, Internet publishing and all other information services</t>
  </si>
  <si>
    <t>5191A0</t>
  </si>
  <si>
    <t>5191: Other Information Services</t>
  </si>
  <si>
    <t>Internet publishing and broadcasting</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</si>
  <si>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</si>
  <si>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Monetary authorities and depository credit intermediation</t>
  </si>
  <si>
    <t>52A000</t>
  </si>
  <si>
    <t>52: Finance and Insurance</t>
  </si>
  <si>
    <t>5211: Monetary Authorities-Central Bank</t>
  </si>
  <si>
    <t>Nondepository credit intermediation and related activities</t>
  </si>
  <si>
    <t>522A00</t>
  </si>
  <si>
    <t>5222: Nondepository Credit Intermediation</t>
  </si>
  <si>
    <t>Securities and commodities brokerage and exchanges</t>
  </si>
  <si>
    <t>523A00</t>
  </si>
  <si>
    <t>5231: Securities and Commodity Contracts Intermediation and Brokerage</t>
  </si>
  <si>
    <t>Investment advice, portfolio management, and other financial advising services</t>
  </si>
  <si>
    <t>Other financial investment activities'. This industry group comprises establishments primarily engaged in one of the following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</si>
  <si>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5239: Other Financial Investment Activities</t>
  </si>
  <si>
    <t>Direct life insurance carriers</t>
  </si>
  <si>
    <t>Insurance carriers, except direct life</t>
  </si>
  <si>
    <t>5241XX</t>
  </si>
  <si>
    <t>5241: Insurance Carriers</t>
  </si>
  <si>
    <t>Insurance agencies and brokerages</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</si>
  <si>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</si>
  <si>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5242: Agencies, Brokerages, and Other Insurance Related Activities</t>
  </si>
  <si>
    <t>Funds, trusts, and financial vehicles</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</si>
  <si>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</si>
  <si>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5251: Insurance and Employee Benefit Funds</t>
  </si>
  <si>
    <t>531HSO,531HST</t>
  </si>
  <si>
    <t>53: Real Estate and Rental and Leasing</t>
  </si>
  <si>
    <t>Other real estate</t>
  </si>
  <si>
    <t>531ORE</t>
  </si>
  <si>
    <t>Vehicle rental and leasing</t>
  </si>
  <si>
    <t>Automotive equipment rental and leasing'. This industry group comprises establishments primarily engaged in renting or leasing the following types of vehicles passenger cars and trucks without drivers, and utility trailers. These establishments generally operate from a retail-like facility. Some establishments offer only short-term rental, others only longerterm leases, and some provide both types of services.</t>
  </si>
  <si>
    <t>5321: Automotive Equipment Rental and Leasing</t>
  </si>
  <si>
    <t>Consumer goods and general rental centers</t>
  </si>
  <si>
    <t>532A00</t>
  </si>
  <si>
    <t>5322: Consumer Goods Rental</t>
  </si>
  <si>
    <t>Commercial equipment rental</t>
  </si>
  <si>
    <t>5324: Commercial and Industrial Machinery and Equipment Rental and Leasing</t>
  </si>
  <si>
    <t>Lessors of nonfinancial intangible assets</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</si>
  <si>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</si>
  <si>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5331: Lessors of Nonfinancial Intangible Assets (except Copyrighted Works)</t>
  </si>
  <si>
    <t>Legal services</t>
  </si>
  <si>
    <t>Legal services'. This industry group comprises (1) Offices of Lawyers, (2) Offices of Notaries, and (3) Other Legal Services including  (a) Title Abstract and Settlement Offices, and (b) All Other Legal Services.</t>
  </si>
  <si>
    <t>54: Professional, Scientific, and Technical Services</t>
  </si>
  <si>
    <t>5411: Legal Services</t>
  </si>
  <si>
    <t>Accounting, tax preparation, bookkeeping, and payroll</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</si>
  <si>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</si>
  <si>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5412: Accounting, Tax Preparation, Bookkeeping, and Payroll Services</t>
  </si>
  <si>
    <t>Architectural, engineering, and related services</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</si>
  <si>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</si>
  <si>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5413: Architectural, Engineering, and Related Services</t>
  </si>
  <si>
    <t>Specialized design</t>
  </si>
  <si>
    <t>Specialized design services'. This industry group comprises establishments providing specialized design services (except architectural, engineering, and computer systems design).</t>
  </si>
  <si>
    <t>5414: Specialized Design Services</t>
  </si>
  <si>
    <t>Custom computer programming</t>
  </si>
  <si>
    <t>Custom computer programming services'. This U.S. industry comprises establishments primarily engaged in writing, modifying, testing, and supporting software to meet the needs of a particular customer.</t>
  </si>
  <si>
    <t>5415: Computer Systems Design and Related Services</t>
  </si>
  <si>
    <t>Computer systems design</t>
  </si>
  <si>
    <t>Other computer related services, including facilities management</t>
  </si>
  <si>
    <t>Management consulting</t>
  </si>
  <si>
    <t>Environmental and other technical consulting services</t>
  </si>
  <si>
    <t>Advertising and public relations</t>
  </si>
  <si>
    <t>Marketing research and all other miscellaneous professional, scientific, and technical services</t>
  </si>
  <si>
    <t>Photographers</t>
  </si>
  <si>
    <t>Veterinarians</t>
  </si>
  <si>
    <t>Company and enterprise management</t>
  </si>
  <si>
    <t>Office administration</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</si>
  <si>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</si>
  <si>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56: Administrative and Support and Waste Management and Remediation Services</t>
  </si>
  <si>
    <t>5611: Office Administrative Services</t>
  </si>
  <si>
    <t>Facilities support</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</si>
  <si>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</si>
  <si>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5612: Facilities Support Services</t>
  </si>
  <si>
    <t>Employment services</t>
  </si>
  <si>
    <t>Employment services'. This industry group comprises (1) Employment Placement Agencies and Executive Search Services, (2) Temporary Help Services, and (3) Professional Employer Organizations.</t>
  </si>
  <si>
    <t>5613: Employment Services</t>
  </si>
  <si>
    <t>Business support</t>
  </si>
  <si>
    <t>Business support services. This industry group comprises establishments engaged in performing activities that are ongoing routine business support functions that businesses and organizations traditionally do for themselves.</t>
  </si>
  <si>
    <t>5614: Business Support Services</t>
  </si>
  <si>
    <t>Travel arrangement and reservation services'. This industry group comprises (1) Travel Agencies, (2) Tour Operators, and (3) Other Travel Arrangement and Reservation Services including  (a) Convention and Visitors Bureaus, and (b) All Other Travel Arrangement and Reservation Services.</t>
  </si>
  <si>
    <t>5615: Travel Arrangement and Reservation Services</t>
  </si>
  <si>
    <t>Investigation and security</t>
  </si>
  <si>
    <t>Investigation and security services'. This industry group comprises (1) Investigation, Guard, and Armored Car Services, and (2) Security Systems Services.</t>
  </si>
  <si>
    <t>5616: Investigation and Security Services</t>
  </si>
  <si>
    <t>Buildings and dwellings services</t>
  </si>
  <si>
    <t>Services to buildings and dwellings'. This industry group comprises (1) Exterminating and Pest Control Services, (2) Janitorial Services, (3) Landscaping Services, (4) Carpet and Upholstery Cleaning Services, and (5) Other Services to Buildings and Dwellings.</t>
  </si>
  <si>
    <t>5617: Services to Buildings and Dwellings</t>
  </si>
  <si>
    <t>Other support services</t>
  </si>
  <si>
    <t>Other support services. This industry group comprises 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</si>
  <si>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5619: Other Support Services</t>
  </si>
  <si>
    <t>Elementary and secondary schools</t>
  </si>
  <si>
    <t>Elementary and secondary schools. This industry comprises 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</si>
  <si>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61: Educational Services</t>
  </si>
  <si>
    <t>6111: Elementary and Secondary Schools</t>
  </si>
  <si>
    <t>Colleges, universities, junior colleges, and professional schools</t>
  </si>
  <si>
    <t>611A00</t>
  </si>
  <si>
    <t>Other educational services</t>
  </si>
  <si>
    <t>611B00</t>
  </si>
  <si>
    <t>Physicians</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</si>
  <si>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</si>
  <si>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62: Health Care and Social Assistance</t>
  </si>
  <si>
    <t>6211: Offices of Physicians</t>
  </si>
  <si>
    <t>Dentists</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</si>
  <si>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</si>
  <si>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6212: Offices of Dentists</t>
  </si>
  <si>
    <t>Healthcare practitioners (except physicians and dentists)</t>
  </si>
  <si>
    <t>Offices of other health practitioners. This industry group comprises establishments of independent health practitioners (except physicians and dentists).</t>
  </si>
  <si>
    <t>6213: Offices of Other Health Practitioners</t>
  </si>
  <si>
    <t>Outpatient healthcare</t>
  </si>
  <si>
    <t>Outpatient care centers'. 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</si>
  <si>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6214: Outpatient Care Centers</t>
  </si>
  <si>
    <t>Medical laboratories</t>
  </si>
  <si>
    <t>6215: Medical and Diagnostic Laboratories</t>
  </si>
  <si>
    <t>Home healthcare</t>
  </si>
  <si>
    <t>6216: Home Health Care Services</t>
  </si>
  <si>
    <t>Ambulances</t>
  </si>
  <si>
    <t>6219: Other Ambulatory Health Care Services</t>
  </si>
  <si>
    <t>Hospitals</t>
  </si>
  <si>
    <t>6221: General Medical and Surgical Hospitals</t>
  </si>
  <si>
    <t>Nursing and community care facilities</t>
  </si>
  <si>
    <t>623A00</t>
  </si>
  <si>
    <t>6231: Nursing Care Facilities (Skilled Nursing Facilities)</t>
  </si>
  <si>
    <t>Residential mental retardation, mental health, substance abuse and other facilities</t>
  </si>
  <si>
    <t>623B00</t>
  </si>
  <si>
    <t>6232: Residential Intellectual and Developmental Disability, Mental Health, and Substance Abuse Facilities</t>
  </si>
  <si>
    <t>Individual and family services</t>
  </si>
  <si>
    <t>6241: Individual and Family Services</t>
  </si>
  <si>
    <t>Community food, housing, and other relief services, including rehabilitation services</t>
  </si>
  <si>
    <t>624A00</t>
  </si>
  <si>
    <t>6242: Community Food and Housing, and Emergency and Other Relief Services</t>
  </si>
  <si>
    <t>Child day care</t>
  </si>
  <si>
    <t>6244: Child Day Care Services</t>
  </si>
  <si>
    <t>Performances</t>
  </si>
  <si>
    <t>71: Arts, Entertainment, and Recreation</t>
  </si>
  <si>
    <t>7111: Performing Arts Companies</t>
  </si>
  <si>
    <t>7112: Spectator Sports</t>
  </si>
  <si>
    <t>Promoters and agents</t>
  </si>
  <si>
    <t>711A00</t>
  </si>
  <si>
    <t>7113: Promoters of Performing Arts, Sports, and Similar Events</t>
  </si>
  <si>
    <t>Independent artists, writers, and performers</t>
  </si>
  <si>
    <t>7115: Independent Artists, Writers, and Performers</t>
  </si>
  <si>
    <t>Museums, historical sites, zoos, and parks</t>
  </si>
  <si>
    <t>7121: Museums, Historical Sites, and Similar Institutions</t>
  </si>
  <si>
    <t>Amusement parks and arcades</t>
  </si>
  <si>
    <t>7131: Amusement Parks and Arcades</t>
  </si>
  <si>
    <t>Gambling establishments (except casino hotels)</t>
  </si>
  <si>
    <t>7132: Gambling Industries</t>
  </si>
  <si>
    <t>Golf courses, marinas, ski resorts, fitness and other rec centers and industries</t>
  </si>
  <si>
    <t>7139: Other Amusement and Recreation Industries</t>
  </si>
  <si>
    <t>Hotels and campgrounds</t>
  </si>
  <si>
    <t>72: Accommodation and Food Services</t>
  </si>
  <si>
    <t>7211: Traveler Accommodation</t>
  </si>
  <si>
    <t>All other food and drinking places</t>
  </si>
  <si>
    <t>722A00</t>
  </si>
  <si>
    <t>7223: Special Food Services</t>
  </si>
  <si>
    <t>Full-service restaurants</t>
  </si>
  <si>
    <t>7225: Restaurants and Other Eating Places</t>
  </si>
  <si>
    <t>Limited-service restaurants</t>
  </si>
  <si>
    <t>Vehicle repair</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</si>
  <si>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</si>
  <si>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81: Other Services (except Public Administration)</t>
  </si>
  <si>
    <t>8111: Automotive Repair and Maintenance</t>
  </si>
  <si>
    <t>Electronic  equipment repair and maintenance</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</si>
  <si>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</si>
  <si>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8112: Electronic and Precision Equipment Repair and Maintenance</t>
  </si>
  <si>
    <t>Commercial machinery repair</t>
  </si>
  <si>
    <t>8113: Commercial and Industrial Machinery and Equipment (except Automotive and Electronic) Repair and Maintenance</t>
  </si>
  <si>
    <t>Household goods repair</t>
  </si>
  <si>
    <t>8114: Personal and Household Goods Repair and Maintenance</t>
  </si>
  <si>
    <t>Salons and barber shops</t>
  </si>
  <si>
    <t>8121: Personal Care Services</t>
  </si>
  <si>
    <t>Funerary services</t>
  </si>
  <si>
    <t>8122: Death Care Services</t>
  </si>
  <si>
    <t>Dry-cleaning and laundry</t>
  </si>
  <si>
    <t>8123: Drycleaning and Laundry Services</t>
  </si>
  <si>
    <t>Pet care, photofinishing, parking and other sundry services</t>
  </si>
  <si>
    <t>8129: Other Personal Services</t>
  </si>
  <si>
    <t>Religious organizations</t>
  </si>
  <si>
    <t>8131: Religious Organizations</t>
  </si>
  <si>
    <t>Grantmaking, giving, and social advocacy organizations</t>
  </si>
  <si>
    <t>813A00</t>
  </si>
  <si>
    <t>8132: Grantmaking and Giving Services</t>
  </si>
  <si>
    <t>Civic, social, professional, and similar organizations</t>
  </si>
  <si>
    <t>813B00</t>
  </si>
  <si>
    <t>8134: Civic and Social Organizations</t>
  </si>
  <si>
    <t>Changelog</t>
  </si>
  <si>
    <t>All notable changes to this tool will be documented below.</t>
  </si>
  <si>
    <r>
      <t>1.1.0</t>
    </r>
    <r>
      <rPr>
        <sz val="11"/>
        <color theme="1"/>
        <rFont val="Arial"/>
        <family val="2"/>
      </rPr>
      <t> - 2022-03-09</t>
    </r>
  </si>
  <si>
    <t>Fixed</t>
  </si>
  <si>
    <t>- Added missing table, Table 1, from Category 11 in Summary Table of Scope 3 Emissions.</t>
  </si>
  <si>
    <t>- Replaced the word 'upstream' with the word 'downstream' in the How-to-Guide Category 13 Overview.</t>
  </si>
  <si>
    <r>
      <rPr>
        <b/>
        <sz val="11"/>
        <color theme="1"/>
        <rFont val="Arial"/>
        <family val="2"/>
      </rPr>
      <t>1.2.0</t>
    </r>
    <r>
      <rPr>
        <sz val="11"/>
        <color theme="1"/>
        <rFont val="Arial"/>
        <family val="2"/>
      </rPr>
      <t xml:space="preserve"> - 2022</t>
    </r>
  </si>
  <si>
    <t>- Minor revisions to Cat 1 and 2 (reference to row 91 updated; column A item numbers fixed)</t>
  </si>
  <si>
    <t>- Minor revision to Cat 11 (field formatted to general)</t>
  </si>
  <si>
    <r>
      <rPr>
        <b/>
        <sz val="11"/>
        <color theme="1"/>
        <rFont val="Arial"/>
        <family val="2"/>
        <scheme val="minor"/>
      </rPr>
      <t>1.3.0</t>
    </r>
    <r>
      <rPr>
        <sz val="11"/>
        <color theme="1"/>
        <rFont val="Arial"/>
        <family val="2"/>
        <scheme val="minor"/>
      </rPr>
      <t xml:space="preserve"> - January 2023</t>
    </r>
  </si>
  <si>
    <t>- EF updates applied to EEIO factors for Categories 1, 2, 4, 6, 7, and 15. IEA T&amp;D loss factor used in Category 3 calculation updated. Waste, natural gas, and eGrid CCCL factors confirmed up-to-date.</t>
  </si>
  <si>
    <t>- Added custom sections to Categories 1, 2, 4, 5, 6, and 9.</t>
  </si>
  <si>
    <t>- Incorporated homeworking emissions (electricity only) in Category 7 calculations.</t>
  </si>
  <si>
    <t>- Added usage input sections for Categories 8 &amp; 13.</t>
  </si>
  <si>
    <t>- Added televisit emissions to Category 9, incorporated work-from-home emissions into current Category 7 calculations.</t>
  </si>
  <si>
    <r>
      <rPr>
        <b/>
        <sz val="11"/>
        <color theme="1"/>
        <rFont val="Arial"/>
        <family val="2"/>
        <scheme val="minor"/>
      </rPr>
      <t>1.4.0</t>
    </r>
    <r>
      <rPr>
        <sz val="11"/>
        <color theme="1"/>
        <rFont val="Arial"/>
        <family val="2"/>
        <scheme val="minor"/>
      </rPr>
      <t xml:space="preserve"> - November 2023</t>
    </r>
  </si>
  <si>
    <t>- 'inventory year and inflation' tab updated to calculate inflation from 2021, as USEEIO v1.2 is based on 2021 dollars</t>
  </si>
  <si>
    <r>
      <rPr>
        <b/>
        <sz val="11"/>
        <color theme="1"/>
        <rFont val="Arial"/>
        <family val="2"/>
        <scheme val="minor"/>
      </rPr>
      <t>2.0.0</t>
    </r>
    <r>
      <rPr>
        <sz val="11"/>
        <color theme="1"/>
        <rFont val="Arial"/>
        <family val="2"/>
        <scheme val="minor"/>
      </rPr>
      <t xml:space="preserve"> - March 2024</t>
    </r>
  </si>
  <si>
    <t>- Category 1, 2, 4, and 6 spend-based calculations all based on USEEIO v1.2 released January 2023.</t>
  </si>
  <si>
    <t>- Added distance-based calculations for air and land travel in Category 6, as well as hotel night stays.</t>
  </si>
  <si>
    <t>- Two dedicated custom input tabs now available for Categories 1 and 2, and for Categories 4, 5, 6, 7, and 15 when supply chain emissions data or other data is available.</t>
  </si>
  <si>
    <t>-Category 15 emission factor categories have changed to reflect EEIO commodity codes, based on USEEIO v1.2.3 industry factors, released January 2023.</t>
  </si>
  <si>
    <t>Scope 3 GHG Emissions Accounting Tool</t>
  </si>
  <si>
    <t>Introduction</t>
  </si>
  <si>
    <r>
      <t xml:space="preserve">This spreadsheet tool is designed to estimate annual emissions for Scope 3 categories relevant to the healthcare industry. The buttons below in the leftmost column will take the user to a calculation spreadsheet for each category, where users can input data and estimate emissions. Emissions estimates are based on either the "spend-based method" or the "average-data method", as detailed in The GHG Protocol's Technical Guidance for Calculating Scope 3 Emissions (https://ghgprotocol.org/scope-3-technical-calculation-guidance). An overview of each category is provided below, with additional details provided in each calculation tab (clicking on the category "button" in column B will navigate to it's respective calculation tab).  
</t>
    </r>
    <r>
      <rPr>
        <b/>
        <i/>
        <sz val="11"/>
        <color theme="1"/>
        <rFont val="Arial"/>
        <family val="2"/>
        <scheme val="minor"/>
      </rPr>
      <t xml:space="preserve">On several calculation tabs, example activity data is provided in the first row for illustrative purposes only, and is not included in totals.
</t>
    </r>
    <r>
      <rPr>
        <sz val="11"/>
        <color theme="1"/>
        <rFont val="Arial"/>
        <family val="2"/>
        <scheme val="minor"/>
      </rPr>
      <t xml:space="preserve">
Note, based on ENGIE Impact's evaluation of Scope 3 operations for several healthcare systems, the following categories are likely to represent only de minimis contribution to overall Scope 3 emissions and are therefore excluded from this tool: Category 10 (processing of sold products), 12 (end-life treatment of sold products), and 14 (franchises).</t>
    </r>
  </si>
  <si>
    <t>Scope 3 Category
(click name to go to sheet)</t>
  </si>
  <si>
    <t>Workbook sheet name</t>
  </si>
  <si>
    <t>Scope 3 Estimation Methodology</t>
  </si>
  <si>
    <t>Additional Notes/Details</t>
  </si>
  <si>
    <t>Upstream</t>
  </si>
  <si>
    <t>Category 1: Purchased Goods and Services</t>
  </si>
  <si>
    <t>Cat 1 and 2 (Goods &amp; Services)</t>
  </si>
  <si>
    <t>All upstream (i.e., cradle-to-gate) emissions from the production of products purchased or acquired by the reporting company in the reporting year. Products include both goods (tangible products) and services (intangible products).</t>
  </si>
  <si>
    <t>Spend-based Method</t>
  </si>
  <si>
    <t>Additional options to use supplier-specific method or other external methods now available.</t>
  </si>
  <si>
    <t>Category 2: Capital Goods</t>
  </si>
  <si>
    <t>Cat 2 (Goods &amp; Services)</t>
  </si>
  <si>
    <t>All upstream (i.e., cradle-to-gate) emissions from the production of capital goods purchased or acquired by the reporting company in the reporting year. Emissions from the use of capital goods by the reporting company
are accounted for in eithe scope 1 (e.g., for fuel use) or scope 2 (e.g., for electricity use), rather than in scope 3.</t>
  </si>
  <si>
    <t>Category 3: Fuel- and energy related activities</t>
  </si>
  <si>
    <t>Cat 3 Fuel &amp; Energy</t>
  </si>
  <si>
    <t>Emissions related to the production of fuels and energy purchased and consumed by the reporting company in the reporting year that are not included in scope 1 or scope 2.</t>
  </si>
  <si>
    <t>Average-data Method</t>
  </si>
  <si>
    <t>Category 4: Upstream transportation and distribution</t>
  </si>
  <si>
    <t>Cat 4 Upstream T&amp;D</t>
  </si>
  <si>
    <t>• Transportation and distribution of products purchased by the reporting company  between a company’s tier 1 suppliers and its own operations (in vehicles and facilities not owned or controlled by the reporting company)
• Transportation and distribution services purchased by the reporting company , including inbound logistics, outbound logistics (e.g., of sold products), and transportation and distribution between a company’s own facilities (in vehicles and facilities not owned or controlled by the reporting company)</t>
  </si>
  <si>
    <t>Category 5: Waste Generated in Operations</t>
  </si>
  <si>
    <t>Cat 5 Waste</t>
  </si>
  <si>
    <t>Disposal and treatment of waste generated in the reporting company’s operations  (in facilities not owned or controlled by the reporting company)</t>
  </si>
  <si>
    <t>Category 6: Business Travel</t>
  </si>
  <si>
    <t>Cat 6 Business Travel</t>
  </si>
  <si>
    <t>Transportation of employees for business-related activities  (in vehicles not owned or operated by the reporting company)</t>
  </si>
  <si>
    <t>Category 7: Employee commuting</t>
  </si>
  <si>
    <t>Cat 7 Employee Commuting</t>
  </si>
  <si>
    <t>Transportation of employees between their homes and their worksites  (in vehicles not owned or operated by the reporting company)</t>
  </si>
  <si>
    <t>Category 8: Upstream Leased Assets</t>
  </si>
  <si>
    <t>Cat 8 &amp; Cat 13 Leased Assets</t>
  </si>
  <si>
    <t xml:space="preserve">Operation of assets leased by the reporting company (lessee) </t>
  </si>
  <si>
    <t>Downstream</t>
  </si>
  <si>
    <t>Category 9: Downstream Transportation and Distribution [Patient Visits &amp; Telehealth)</t>
  </si>
  <si>
    <t>Cat 9 Downstream T&amp;D</t>
  </si>
  <si>
    <t>Transportation and distribution of products sold by the reporting company  between the reporting company’s operations and the end consumer (if not paid for by the reporting company), including retail and storage (in vehicles and facilities not owned or controlled by the reporting company)</t>
  </si>
  <si>
    <t>Category 10: Processing of Sold Products</t>
  </si>
  <si>
    <t>Processing of intermediate products sold  by downstream companies (e.g., manufacturers)</t>
  </si>
  <si>
    <r>
      <t xml:space="preserve">Based on ENGIE Impact's evaluation of Healthcare System Scope 3 operations, this category is likely to represent a </t>
    </r>
    <r>
      <rPr>
        <i/>
        <sz val="10"/>
        <color rgb="FFFF0000"/>
        <rFont val="Arial"/>
        <family val="2"/>
        <scheme val="minor"/>
      </rPr>
      <t>de minimis</t>
    </r>
    <r>
      <rPr>
        <sz val="10"/>
        <color rgb="FFFF0000"/>
        <rFont val="Arial"/>
        <family val="2"/>
        <scheme val="minor"/>
      </rPr>
      <t xml:space="preserve"> contribution to overall Scope 3 emissions and is therefore excluded from this tool</t>
    </r>
  </si>
  <si>
    <t>Category 11: Use of Sold Products</t>
  </si>
  <si>
    <t>Cat 11 Use of Sold Products</t>
  </si>
  <si>
    <t xml:space="preserve">End use of goods and services sold by the reporting company </t>
  </si>
  <si>
    <t>Healthcare specific (inhalers)</t>
  </si>
  <si>
    <t>Based on ENGIE Impact's evaluation of Healthcare System Scope 3 operations, this category primarily applies to use of inhalers and other products with refrigerant-based propellants</t>
  </si>
  <si>
    <t>Category 12: End-life treatment of sold products</t>
  </si>
  <si>
    <t>Waste disposal and treatment of products sold by the reporting company at the end of their life</t>
  </si>
  <si>
    <t>Category 13: Downstream leased assets</t>
  </si>
  <si>
    <t>Operation of assets owned by the reporting company (lessor) and leased to other entities</t>
  </si>
  <si>
    <t>Category 14: Franchises</t>
  </si>
  <si>
    <t>Operation of franchises , not included in scope 1 and scope 2 – reported by franchisor</t>
  </si>
  <si>
    <t>Category 15: Investments</t>
  </si>
  <si>
    <t>Cat 15 Investments</t>
  </si>
  <si>
    <t>Operation of investments (including equity and debt investments and project finance), not included in scope 1 or scope 2</t>
  </si>
  <si>
    <t>Average-data Method
(using EEIO database)</t>
  </si>
  <si>
    <t>See the References tab for links to these resources.</t>
  </si>
  <si>
    <t>Global Warming Potential Values:</t>
  </si>
  <si>
    <t>https://www.bls.gov/data/inflation_calculator.htm</t>
  </si>
  <si>
    <t xml:space="preserve">Enter "1" in the top cell </t>
  </si>
  <si>
    <t>Year:</t>
  </si>
  <si>
    <t>Month:</t>
  </si>
  <si>
    <t>https://ghgprotocol.org/sites/default/files/2022-12/Required%20gases%20and%20GWP%20values_0.pdf</t>
  </si>
  <si>
    <t>Scope</t>
  </si>
  <si>
    <t>Emissions
(MT CO2e)</t>
  </si>
  <si>
    <t>Scope 3</t>
  </si>
  <si>
    <t>Scope 3 Category</t>
  </si>
  <si>
    <t>Category Name</t>
  </si>
  <si>
    <t>GHG Emissions (MTCO2e)</t>
  </si>
  <si>
    <t>Purchased goods &amp; services</t>
  </si>
  <si>
    <t>Capital goods</t>
  </si>
  <si>
    <t>Fuel- &amp; energy-related emissions</t>
  </si>
  <si>
    <t>Upstream transportation &amp; distribution</t>
  </si>
  <si>
    <t>Waste generated in operations</t>
  </si>
  <si>
    <t>Business travel</t>
  </si>
  <si>
    <t>Employee commuting</t>
  </si>
  <si>
    <t>Upstream leased assets</t>
  </si>
  <si>
    <t>Downstream transportation &amp; distribution
[Patient Visits &amp; Telehealth]</t>
  </si>
  <si>
    <t>Processing of sold products</t>
  </si>
  <si>
    <t>Use of sold products</t>
  </si>
  <si>
    <t>End-of-life treatment of sold products</t>
  </si>
  <si>
    <t>Downstream leased assets</t>
  </si>
  <si>
    <t>Franchises</t>
  </si>
  <si>
    <t>Investments</t>
  </si>
  <si>
    <t>Custom User Input of Category 1 and 2 Data</t>
  </si>
  <si>
    <t>Enter custom data in GRAY cells in the below table as follows:</t>
  </si>
  <si>
    <r>
      <rPr>
        <b/>
        <i/>
        <sz val="10"/>
        <rFont val="Arial"/>
        <family val="2"/>
      </rPr>
      <t>Category</t>
    </r>
    <r>
      <rPr>
        <sz val="10"/>
        <rFont val="Arial"/>
        <family val="2"/>
      </rPr>
      <t xml:space="preserve"> - enter either "Capital Goods" or "Purchased Goods &amp; Services" (this will affect the summation at the bottom of the table; and the 'Summary' tab in this workbook)</t>
    </r>
  </si>
  <si>
    <t>Category 1 - Purchased Goods &amp; Services</t>
  </si>
  <si>
    <t>Category 2 - Capital Goods</t>
  </si>
  <si>
    <t>Table 1a. Supplier-specific method</t>
  </si>
  <si>
    <t>Table 2a. Supplier-specific method</t>
  </si>
  <si>
    <t>Note: The activity data provided in the first row below is illustrative only and is not included in totals.</t>
  </si>
  <si>
    <t>Item #</t>
  </si>
  <si>
    <t>Supplier Name</t>
  </si>
  <si>
    <t>Annual procurement spend ($)</t>
  </si>
  <si>
    <t>Emission Factor (kg CO2e/$)</t>
  </si>
  <si>
    <t>Example</t>
  </si>
  <si>
    <t>Example - Microsoft</t>
  </si>
  <si>
    <t>Enter custom emissions factor from supplier (in current year $)</t>
  </si>
  <si>
    <t>Total Emissions Purchased Goods &amp; Services</t>
  </si>
  <si>
    <t>Total Emissions: Capital Goods</t>
  </si>
  <si>
    <t>Table 1b. Emissions Estimates from Vendors/Suppliers</t>
  </si>
  <si>
    <t>Table 2b. Emissions Estimates from Vendors/Suppliers</t>
  </si>
  <si>
    <t>(use this table to track emissions estimated from supply chain vendors/suppliers)</t>
  </si>
  <si>
    <t>Total Emissions Capital Goods</t>
  </si>
  <si>
    <t>Use this tab to track emissions totals obtained from supply chain partners or other resources. Category 7 emissions can be calculated here based on specific transit mode and distance information from staff. If only spend data (or distance data for Category 6) is available, see the following light blue tabs for: "Cat 4 Upstream Trans &amp; Dist", "Cat 5 Waste", "Cat 6 Business Trav. (spend)", "Cat 6 Business Trav. (distance)", "Cat 7 Employee Commuting", and "Cat 15 Investments".</t>
  </si>
  <si>
    <t>Based on column headings and available information, enter custom data in GRAY cells in the below tables.</t>
  </si>
  <si>
    <t>Category 4 - Upstream Transportation &amp; Distribution: Custom emissions</t>
  </si>
  <si>
    <t>Several additional fields are included - please fill in according to the level of information available.</t>
  </si>
  <si>
    <t>Transportation Mode or Method</t>
  </si>
  <si>
    <t>Activity data metric (spend, distance, etc.)</t>
  </si>
  <si>
    <t>Activity data amount</t>
  </si>
  <si>
    <t>Activity data unit of measure</t>
  </si>
  <si>
    <t>Emission Factor (kg CO2e/unit of activity data)</t>
  </si>
  <si>
    <t>Source notes</t>
  </si>
  <si>
    <t>Truck transport</t>
  </si>
  <si>
    <t>Distance</t>
  </si>
  <si>
    <t>mi</t>
  </si>
  <si>
    <t>Defra Class III Van - Delivery Vehicles, 2022</t>
  </si>
  <si>
    <t>Example 2</t>
  </si>
  <si>
    <t>N/A</t>
  </si>
  <si>
    <t>FedEx transport emissions report</t>
  </si>
  <si>
    <t>TOTAL</t>
  </si>
  <si>
    <t>Category 5 - Waste Generated in Operations: Custom emissions</t>
  </si>
  <si>
    <t>Note: It is optional to add details to the fields below beyond the emission totals in column H. However, for transparency, it is recommended to include as many details as possible to demonstrate how the calculations were performed.</t>
  </si>
  <si>
    <t>Waste material</t>
  </si>
  <si>
    <t>Waste disposal/
treatment method</t>
  </si>
  <si>
    <t>Weight</t>
  </si>
  <si>
    <t>Weight Unit</t>
  </si>
  <si>
    <t>Tonnes</t>
  </si>
  <si>
    <t>Defra waste disposal factors, 2022</t>
  </si>
  <si>
    <t>Category 6 - Business Travel: Custom emissions</t>
  </si>
  <si>
    <t>Transportation Mode / Accomodations</t>
  </si>
  <si>
    <t>other example sources:</t>
  </si>
  <si>
    <t>Concur report</t>
  </si>
  <si>
    <t>Climate Impact check-up tool (with Practice Green Health)</t>
  </si>
  <si>
    <t>EPA's simplified emission calculation tool</t>
  </si>
  <si>
    <t>Distance Traveled (mi)</t>
  </si>
  <si>
    <t>Emission Factor
(kg CO2e/mi or 
passenger mile)</t>
  </si>
  <si>
    <t>Car market segment definitions</t>
  </si>
  <si>
    <t>Segment</t>
  </si>
  <si>
    <t>Emission factor intensity rank (highest = 1)</t>
  </si>
  <si>
    <t>Definition</t>
  </si>
  <si>
    <t>This is a luxury car.</t>
  </si>
  <si>
    <t xml:space="preserve">Sport cars are a small, usually two seater with two doors and designed for speed, high acceleration, and manoeuvrability. </t>
  </si>
  <si>
    <t>These are sport utility vehicles (SUVs) which have off-road capabilities and four-wheel drive.</t>
  </si>
  <si>
    <r>
      <t xml:space="preserve">These are multipurpose cars. </t>
    </r>
    <r>
      <rPr>
        <b/>
        <sz val="11"/>
        <color theme="1"/>
        <rFont val="Arial"/>
        <family val="2"/>
        <scheme val="minor"/>
      </rPr>
      <t>Recommend using this if vehicle type is unknown.</t>
    </r>
  </si>
  <si>
    <t xml:space="preserve">These are large cars. </t>
  </si>
  <si>
    <t xml:space="preserve">This is classed as a large family car. </t>
  </si>
  <si>
    <t>This is a small, compact family car.</t>
  </si>
  <si>
    <t xml:space="preserve">This is a car that is larger than a city car, but smaller than a small family car. </t>
  </si>
  <si>
    <t>This is the smallest category of car sometimes referred to as a city car.</t>
  </si>
  <si>
    <t>Category 15 - Investments: Custom emissions</t>
  </si>
  <si>
    <t>Use this section if you have received emission reports or performed calculations outside of this tool.</t>
  </si>
  <si>
    <t>Item Description</t>
  </si>
  <si>
    <t>Example - asset manager report</t>
  </si>
  <si>
    <t>Report generated by our investment partner for a $5 million investment portfolio</t>
  </si>
  <si>
    <t>If you are unfamiliar with using slicers in Excel, the following instructions may be helpful:</t>
  </si>
  <si>
    <t>Using the filter:</t>
  </si>
  <si>
    <r>
      <t xml:space="preserve">On the top of the slicer, you can see the </t>
    </r>
    <r>
      <rPr>
        <b/>
        <i/>
        <sz val="12"/>
        <color theme="1"/>
        <rFont val="Calibri"/>
        <family val="2"/>
      </rPr>
      <t xml:space="preserve">Filter </t>
    </r>
    <r>
      <rPr>
        <sz val="12"/>
        <color theme="1"/>
        <rFont val="Calibri"/>
        <family val="2"/>
      </rPr>
      <t>icon. When you click on any data in the slicer, you get the sliced column filtered according to the value(s) you clicked. By default all categories are selected to begin.</t>
    </r>
  </si>
  <si>
    <t>Clearing Filter:</t>
  </si>
  <si>
    <r>
      <t>After identifying the most appropriate category associated with annual procurement data, clear the slicer before evaluating other data by clicking the </t>
    </r>
    <r>
      <rPr>
        <b/>
        <i/>
        <sz val="12"/>
        <color rgb="FF333333"/>
        <rFont val="Calibri"/>
        <family val="2"/>
      </rPr>
      <t>Clear Filter</t>
    </r>
    <r>
      <rPr>
        <sz val="12"/>
        <color rgb="FF333333"/>
        <rFont val="Calibri"/>
        <family val="2"/>
      </rPr>
      <t xml:space="preserve"> icon as illustrated here.</t>
    </r>
  </si>
  <si>
    <t>Multi-select</t>
  </si>
  <si>
    <t>You can use the slicer multi-select button to filter multiple categories at the same time. This is the button with three check marks at the top of the dashboard.</t>
  </si>
  <si>
    <t>To start, simply select a single category. Then, there are generally two ways to select additional categories, as follows:</t>
  </si>
  <si>
    <t>1) Click the slicer buttons while holding the Ctrl key.</t>
  </si>
  <si>
    <r>
      <t>2) Click the </t>
    </r>
    <r>
      <rPr>
        <sz val="12"/>
        <color rgb="FF000000"/>
        <rFont val="Calibri"/>
        <family val="2"/>
      </rPr>
      <t>Multi-Select</t>
    </r>
    <r>
      <rPr>
        <sz val="12"/>
        <color rgb="FF000000"/>
        <rFont val="Calibri"/>
        <family val="2"/>
      </rPr>
      <t> button (as shown below), and then click on the items one by one.</t>
    </r>
  </si>
  <si>
    <t>Be sure to clear the filter (and untoggle the multi-select button) before moving on to evaluate other procurement data.</t>
  </si>
  <si>
    <t>filter / clear filter button</t>
  </si>
  <si>
    <t>multi-select button (toggle on or off)</t>
  </si>
  <si>
    <t>Other guidance/suggestions for map procurment of goods and services as tracked in an organization's general ledger to the USEEIO categories:</t>
  </si>
  <si>
    <t>Key word search:</t>
  </si>
  <si>
    <t xml:space="preserve">You can use CNTRL+F to open a “Find” search box, and then enter a keyword of interest. </t>
  </si>
  <si>
    <r>
      <t xml:space="preserve">Clicking “Find All” and expanding that window will provide results in the </t>
    </r>
    <r>
      <rPr>
        <i/>
        <sz val="12"/>
        <color theme="1"/>
        <rFont val="Calibri"/>
        <family val="2"/>
      </rPr>
      <t>Value</t>
    </r>
    <r>
      <rPr>
        <sz val="12"/>
        <color theme="1"/>
        <rFont val="Calibri"/>
        <family val="2"/>
      </rPr>
      <t xml:space="preserve"> field. For example, using the keyword “diagnostic”, as illustrated below.</t>
    </r>
  </si>
  <si>
    <r>
      <t>Include</t>
    </r>
    <r>
      <rPr>
        <sz val="11"/>
        <color theme="1"/>
        <rFont val="Calibri"/>
        <family val="2"/>
      </rPr>
      <t xml:space="preserve"> only spend on goods or services procured with external entities. Inclusion of vendor information in the general ledger report may help ensure only procurement with external entities is considered.</t>
    </r>
  </si>
  <si>
    <r>
      <t>Exclude</t>
    </r>
    <r>
      <rPr>
        <sz val="11"/>
        <color theme="1"/>
        <rFont val="Calibri"/>
        <family val="2"/>
      </rPr>
      <t xml:space="preserve"> any asset valuation, depreciation, taxes, licensing fees, employee benefits, insurance payments, litigation settlements, etc. (i.e., not related to procurement of a good or a service). </t>
    </r>
  </si>
  <si>
    <r>
      <t xml:space="preserve">However, legal services, insurance broker fees, tax preparation services (and similar) do have emissions categories in the USEEIO database and should be </t>
    </r>
    <r>
      <rPr>
        <u/>
        <sz val="12"/>
        <color theme="1"/>
        <rFont val="Calibri"/>
        <family val="2"/>
      </rPr>
      <t>included</t>
    </r>
    <r>
      <rPr>
        <sz val="12"/>
        <color theme="1"/>
        <rFont val="Calibri"/>
        <family val="2"/>
      </rPr>
      <t xml:space="preserve"> (as these are procured services).</t>
    </r>
  </si>
  <si>
    <r>
      <t xml:space="preserve">Organizations may consider </t>
    </r>
    <r>
      <rPr>
        <u/>
        <sz val="11"/>
        <color theme="1"/>
        <rFont val="Calibri"/>
        <family val="2"/>
      </rPr>
      <t>excluding</t>
    </r>
    <r>
      <rPr>
        <sz val="11"/>
        <color theme="1"/>
        <rFont val="Calibri"/>
        <family val="2"/>
      </rPr>
      <t xml:space="preserve"> rent payments for leased facilities, since the cost of commercial real estate can often be a function of many regional factors related to supply/demand, and therefore the cost to rent commercial space may far exceed the basis of the EEIO emission factors, which should represent embodied carbon from the initial construction of that commercial space as well as the operations of the leasing management company. </t>
    </r>
  </si>
  <si>
    <t>Category 3: Fuel- and Energy-Related Activities</t>
  </si>
  <si>
    <t>Enter annual energy consumption data  (fuels and electricity) in GRAY cells in the below table as follows:</t>
  </si>
  <si>
    <r>
      <rPr>
        <b/>
        <sz val="10"/>
        <rFont val="Arial"/>
        <family val="2"/>
      </rPr>
      <t>Item Description (optional)</t>
    </r>
    <r>
      <rPr>
        <sz val="10"/>
        <rFont val="Arial"/>
        <family val="2"/>
      </rPr>
      <t xml:space="preserve"> is available for a user-specific identifier</t>
    </r>
  </si>
  <si>
    <r>
      <rPr>
        <b/>
        <sz val="10"/>
        <rFont val="Arial"/>
        <family val="2"/>
      </rPr>
      <t xml:space="preserve">Table 1 - </t>
    </r>
    <r>
      <rPr>
        <sz val="10"/>
        <rFont val="Arial"/>
        <family val="2"/>
      </rPr>
      <t xml:space="preserve">Enter the </t>
    </r>
    <r>
      <rPr>
        <b/>
        <i/>
        <sz val="10"/>
        <rFont val="Arial"/>
        <family val="2"/>
      </rPr>
      <t>Fuel Type</t>
    </r>
    <r>
      <rPr>
        <sz val="10"/>
        <rFont val="Arial"/>
        <family val="2"/>
      </rPr>
      <t xml:space="preserve"> and </t>
    </r>
    <r>
      <rPr>
        <b/>
        <i/>
        <sz val="10"/>
        <rFont val="Arial"/>
        <family val="2"/>
      </rPr>
      <t>Consumption</t>
    </r>
    <r>
      <rPr>
        <sz val="10"/>
        <rFont val="Arial"/>
        <family val="2"/>
      </rPr>
      <t xml:space="preserve"> totals and ensure the units are consistent with </t>
    </r>
    <r>
      <rPr>
        <b/>
        <i/>
        <sz val="10"/>
        <rFont val="Arial"/>
        <family val="2"/>
      </rPr>
      <t>Unit of Measure</t>
    </r>
    <r>
      <rPr>
        <sz val="10"/>
        <rFont val="Arial"/>
        <family val="2"/>
      </rPr>
      <t xml:space="preserve"> (UoM; column E)</t>
    </r>
  </si>
  <si>
    <r>
      <rPr>
        <b/>
        <sz val="10"/>
        <rFont val="Arial"/>
        <family val="2"/>
      </rPr>
      <t xml:space="preserve">Tables 2 and 3 - </t>
    </r>
    <r>
      <rPr>
        <sz val="10"/>
        <rFont val="Arial"/>
        <family val="2"/>
      </rPr>
      <t xml:space="preserve">Enter the Country and electricity </t>
    </r>
    <r>
      <rPr>
        <b/>
        <i/>
        <sz val="10"/>
        <rFont val="Arial"/>
        <family val="2"/>
      </rPr>
      <t>Consumption (kWh)</t>
    </r>
    <r>
      <rPr>
        <sz val="10"/>
        <rFont val="Arial"/>
        <family val="2"/>
      </rPr>
      <t xml:space="preserve"> totals and ensure the units are accurate</t>
    </r>
  </si>
  <si>
    <t>Consumption</t>
  </si>
  <si>
    <t>Unit of Measure (UoM)</t>
  </si>
  <si>
    <t>Emission Factor UoM</t>
  </si>
  <si>
    <t>Table 2. Upstream emissions from purchased electricity</t>
  </si>
  <si>
    <t>Consumption (kWh)</t>
  </si>
  <si>
    <t>Total electricity generated (kWh)</t>
  </si>
  <si>
    <t>Upstream Emission Factor (kg CO2e/kWh)</t>
  </si>
  <si>
    <t>Table 3. Transmission and distribution losses</t>
  </si>
  <si>
    <t>Generation Emission Factor (kg CO2e/kWh)</t>
  </si>
  <si>
    <t>Category 4: Upstream Transportation &amp; Distribution</t>
  </si>
  <si>
    <t>Enter annual data in GRAY cells in the below table as follows:</t>
  </si>
  <si>
    <r>
      <rPr>
        <b/>
        <sz val="11"/>
        <color theme="1"/>
        <rFont val="Arial"/>
        <family val="2"/>
        <scheme val="minor"/>
      </rPr>
      <t>Air transportation:</t>
    </r>
    <r>
      <rPr>
        <sz val="11"/>
        <color theme="1"/>
        <rFont val="Arial"/>
        <family val="2"/>
        <scheme val="minor"/>
      </rPr>
      <t xml:space="preserve">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r>
  </si>
  <si>
    <t>Rail transport</t>
  </si>
  <si>
    <r>
      <rPr>
        <b/>
        <sz val="11"/>
        <color theme="1"/>
        <rFont val="Arial"/>
        <family val="2"/>
        <scheme val="minor"/>
      </rPr>
      <t xml:space="preserve">Rail transportation: </t>
    </r>
    <r>
      <rPr>
        <sz val="11"/>
        <color theme="1"/>
        <rFont val="Arial"/>
        <family val="2"/>
        <scheme val="minor"/>
      </rPr>
      <t>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</si>
  <si>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t>Water transport (boats, ships, ferries)</t>
  </si>
  <si>
    <r>
      <rPr>
        <b/>
        <sz val="11"/>
        <color theme="1"/>
        <rFont val="Arial"/>
        <family val="2"/>
        <scheme val="minor"/>
      </rPr>
      <t>Water transportation:</t>
    </r>
    <r>
      <rPr>
        <sz val="11"/>
        <color theme="1"/>
        <rFont val="Arial"/>
        <family val="2"/>
        <scheme val="minor"/>
      </rPr>
      <t xml:space="preserve">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r>
  </si>
  <si>
    <r>
      <rPr>
        <b/>
        <sz val="11"/>
        <color theme="1"/>
        <rFont val="Arial"/>
        <family val="2"/>
        <scheme val="minor"/>
      </rPr>
      <t>Truck transportation:</t>
    </r>
    <r>
      <rPr>
        <sz val="11"/>
        <color theme="1"/>
        <rFont val="Arial"/>
        <family val="2"/>
        <scheme val="minor"/>
      </rPr>
      <t xml:space="preserve">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r>
  </si>
  <si>
    <t>Postal service</t>
  </si>
  <si>
    <r>
      <rPr>
        <b/>
        <sz val="11"/>
        <color theme="1"/>
        <rFont val="Arial"/>
        <family val="2"/>
        <scheme val="minor"/>
      </rPr>
      <t>Postal service:</t>
    </r>
    <r>
      <rPr>
        <sz val="11"/>
        <color theme="1"/>
        <rFont val="Arial"/>
        <family val="2"/>
        <scheme val="minor"/>
      </rPr>
      <t xml:space="preserv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r>
  </si>
  <si>
    <t>Couriers and messengers</t>
  </si>
  <si>
    <r>
      <rPr>
        <b/>
        <sz val="11"/>
        <color theme="1"/>
        <rFont val="Arial"/>
        <family val="2"/>
        <scheme val="minor"/>
      </rPr>
      <t>Couriers and messengers:</t>
    </r>
    <r>
      <rPr>
        <sz val="11"/>
        <color theme="1"/>
        <rFont val="Arial"/>
        <family val="2"/>
        <scheme val="minor"/>
      </rPr>
      <t xml:space="preserve">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</si>
  <si>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t>Warehousing</t>
  </si>
  <si>
    <r>
      <rPr>
        <b/>
        <sz val="11"/>
        <color theme="1"/>
        <rFont val="Arial"/>
        <family val="2"/>
        <scheme val="minor"/>
      </rPr>
      <t>Warehousing and storage:</t>
    </r>
    <r>
      <rPr>
        <sz val="11"/>
        <color theme="1"/>
        <rFont val="Arial"/>
        <family val="2"/>
        <scheme val="minor"/>
      </rPr>
      <t xml:space="preserv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r>
  </si>
  <si>
    <t>Waste-type-specific method/Average data method</t>
  </si>
  <si>
    <t>Emission Factor (MTCO2e/short ton)</t>
  </si>
  <si>
    <t>Waste generated from facility A</t>
  </si>
  <si>
    <t>Water Usage Volume (gallons)</t>
  </si>
  <si>
    <t>Wastewater generated from facility A</t>
  </si>
  <si>
    <t>Category 6: Business Travel  - spend-based</t>
  </si>
  <si>
    <r>
      <rPr>
        <b/>
        <sz val="10"/>
        <rFont val="Arial"/>
        <family val="2"/>
      </rPr>
      <t>Item Description (optional)</t>
    </r>
    <r>
      <rPr>
        <b/>
        <i/>
        <sz val="10"/>
        <rFont val="Arial"/>
        <family val="2"/>
      </rPr>
      <t xml:space="preserve"> </t>
    </r>
    <r>
      <rPr>
        <sz val="10"/>
        <rFont val="Arial"/>
        <family val="2"/>
      </rPr>
      <t>- this column is available for any user-specific identifier</t>
    </r>
  </si>
  <si>
    <r>
      <rPr>
        <b/>
        <sz val="10"/>
        <rFont val="Arial"/>
        <family val="2"/>
      </rPr>
      <t xml:space="preserve">Annual procurement spend ($) </t>
    </r>
    <r>
      <rPr>
        <sz val="10"/>
        <rFont val="Arial"/>
        <family val="2"/>
      </rPr>
      <t>- enter the total amount spent on the type of transportation in the reporting year</t>
    </r>
  </si>
  <si>
    <t>Air transportation'.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</si>
  <si>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</si>
  <si>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Water transportation'.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</si>
  <si>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Passenger ground transport</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</si>
  <si>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</si>
  <si>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Category 6: Business Travel - distance-based</t>
  </si>
  <si>
    <t>Enter annual data in GRAY cells in the below tables as follows:</t>
  </si>
  <si>
    <r>
      <rPr>
        <b/>
        <sz val="10"/>
        <rFont val="Arial"/>
        <family val="2"/>
      </rPr>
      <t xml:space="preserve">Tables 1, 2, and 3 - </t>
    </r>
    <r>
      <rPr>
        <sz val="10"/>
        <rFont val="Arial"/>
        <family val="2"/>
      </rPr>
      <t xml:space="preserve">These tables are for tracking air travel, car travel, and hotel stays, respectively. </t>
    </r>
  </si>
  <si>
    <r>
      <rPr>
        <b/>
        <sz val="10"/>
        <rFont val="Arial"/>
        <family val="2"/>
      </rPr>
      <t xml:space="preserve">Item Description (optional) </t>
    </r>
    <r>
      <rPr>
        <sz val="10"/>
        <rFont val="Arial"/>
        <family val="2"/>
      </rPr>
      <t>- this column is available for any user-specific identifier</t>
    </r>
  </si>
  <si>
    <r>
      <rPr>
        <b/>
        <sz val="10"/>
        <rFont val="Arial"/>
        <family val="2"/>
      </rPr>
      <t>Haul length category</t>
    </r>
    <r>
      <rPr>
        <sz val="10"/>
        <rFont val="Arial"/>
        <family val="2"/>
      </rPr>
      <t xml:space="preserve"> - emissions per mile differs based on haul distance; please select from "short" (&lt; 300 miles), "medium" (&gt;= 300 miles, &lt; 2300 miles), or "long" (&gt;= 2300 miles)</t>
    </r>
  </si>
  <si>
    <r>
      <rPr>
        <b/>
        <sz val="10"/>
        <rFont val="Arial"/>
        <family val="2"/>
      </rPr>
      <t>Cabin Class</t>
    </r>
    <r>
      <rPr>
        <sz val="10"/>
        <rFont val="Arial"/>
        <family val="2"/>
      </rPr>
      <t xml:space="preserve"> - select from one of several cabin classes, which vary based on selected haul length.</t>
    </r>
  </si>
  <si>
    <r>
      <rPr>
        <b/>
        <sz val="10"/>
        <rFont val="Arial"/>
        <family val="2"/>
      </rPr>
      <t xml:space="preserve">Distance Traveled (mi) </t>
    </r>
    <r>
      <rPr>
        <sz val="10"/>
        <rFont val="Arial"/>
        <family val="2"/>
      </rPr>
      <t>- Enter the total distance traveled during the reporting year in that haul-class combination</t>
    </r>
  </si>
  <si>
    <t>Table 2</t>
  </si>
  <si>
    <r>
      <t xml:space="preserve">Transportation Mode - </t>
    </r>
    <r>
      <rPr>
        <sz val="10"/>
        <rFont val="Arial"/>
        <family val="2"/>
      </rPr>
      <t>Select the type of land transportation used</t>
    </r>
  </si>
  <si>
    <r>
      <t xml:space="preserve">Type </t>
    </r>
    <r>
      <rPr>
        <sz val="10"/>
        <rFont val="Arial"/>
        <family val="2"/>
      </rPr>
      <t>- Indicate a subtype based on the Transportation Mode selected</t>
    </r>
    <r>
      <rPr>
        <b/>
        <sz val="10"/>
        <rFont val="Arial"/>
        <family val="2"/>
      </rPr>
      <t>. See the market segment definitions to the right of the table.</t>
    </r>
  </si>
  <si>
    <r>
      <rPr>
        <b/>
        <sz val="10"/>
        <rFont val="Arial"/>
        <family val="2"/>
      </rPr>
      <t xml:space="preserve">If car, fuel type </t>
    </r>
    <r>
      <rPr>
        <sz val="10"/>
        <rFont val="Arial"/>
        <family val="2"/>
      </rPr>
      <t>- Indicate the fuel type of the vehicles</t>
    </r>
  </si>
  <si>
    <r>
      <rPr>
        <b/>
        <sz val="10"/>
        <rFont val="Arial"/>
        <family val="2"/>
      </rPr>
      <t xml:space="preserve">Distance Traveled (mi) </t>
    </r>
    <r>
      <rPr>
        <sz val="10"/>
        <rFont val="Arial"/>
        <family val="2"/>
      </rPr>
      <t>- Enter the total distance traveled during the reporting year by the transportation mode, type, and fuel combination</t>
    </r>
  </si>
  <si>
    <t>Table 3</t>
  </si>
  <si>
    <r>
      <rPr>
        <b/>
        <sz val="10"/>
        <rFont val="Arial"/>
        <family val="2"/>
      </rPr>
      <t xml:space="preserve">Country of stay - </t>
    </r>
    <r>
      <rPr>
        <sz val="10"/>
        <rFont val="Arial"/>
        <family val="2"/>
      </rPr>
      <t>Identify the country where the hotel nights were spent</t>
    </r>
  </si>
  <si>
    <r>
      <t>Number of nights -</t>
    </r>
    <r>
      <rPr>
        <sz val="10"/>
        <rFont val="Arial"/>
        <family val="2"/>
      </rPr>
      <t xml:space="preserve"> Enter the total number of nights stayed in that country</t>
    </r>
  </si>
  <si>
    <t>Table 1. Distance-based method (air travel)</t>
  </si>
  <si>
    <t>Emission Factor 
(kg CO2e/mi)</t>
  </si>
  <si>
    <t>Haul definitions</t>
  </si>
  <si>
    <t>Table 2. Distance-based method (land)</t>
  </si>
  <si>
    <t>Table 3. Hotel stays (number of nights)</t>
  </si>
  <si>
    <t>Number of nights</t>
  </si>
  <si>
    <t>Category 7: Employee Commuting</t>
  </si>
  <si>
    <t>Guidance</t>
  </si>
  <si>
    <r>
      <rPr>
        <b/>
        <sz val="10"/>
        <rFont val="Arial"/>
        <family val="2"/>
      </rPr>
      <t xml:space="preserve">Tables 1, 2, and 3 - </t>
    </r>
    <r>
      <rPr>
        <sz val="10"/>
        <rFont val="Arial"/>
        <family val="2"/>
      </rPr>
      <t xml:space="preserve">These tables are for tracking full-time staff, part-time staff, and remote workers, respectively. </t>
    </r>
  </si>
  <si>
    <r>
      <rPr>
        <b/>
        <i/>
        <sz val="10"/>
        <rFont val="Arial"/>
        <family val="2"/>
      </rPr>
      <t>Item Description</t>
    </r>
    <r>
      <rPr>
        <sz val="10"/>
        <rFont val="Arial"/>
        <family val="2"/>
      </rPr>
      <t xml:space="preserve"> - this column is available for any user-specific identifier</t>
    </r>
  </si>
  <si>
    <r>
      <t>Other Description (optional)</t>
    </r>
    <r>
      <rPr>
        <b/>
        <sz val="10"/>
        <rFont val="Arial"/>
        <family val="2"/>
      </rPr>
      <t xml:space="preserve"> </t>
    </r>
    <r>
      <rPr>
        <sz val="10"/>
        <rFont val="Arial"/>
        <family val="2"/>
      </rPr>
      <t xml:space="preserve">- this column is available for any user-specific identifier </t>
    </r>
  </si>
  <si>
    <t>Table 1. Full-time staff (In-person)</t>
  </si>
  <si>
    <t>Number of full-time staff</t>
  </si>
  <si>
    <t>Number of weeks worked per year</t>
  </si>
  <si>
    <t>Average number of days per week for full-time staff</t>
  </si>
  <si>
    <t>Ohio full-time staff</t>
  </si>
  <si>
    <t>Ohio</t>
  </si>
  <si>
    <t>Table 2. Part-time Staff (In-person)</t>
  </si>
  <si>
    <t>Number of part-time staff</t>
  </si>
  <si>
    <t>Average number of days per week for part-time staff</t>
  </si>
  <si>
    <t>Florida part-time staff</t>
  </si>
  <si>
    <t>Florida</t>
  </si>
  <si>
    <t>Table 3. Work from Home  Staff (remote)</t>
  </si>
  <si>
    <t>Number of employees</t>
  </si>
  <si>
    <t>Ohio remote workers</t>
  </si>
  <si>
    <t>Category 8: Upstream Leased Assets &amp; Category 13: Downstream Leased Assets</t>
  </si>
  <si>
    <r>
      <rPr>
        <b/>
        <sz val="10"/>
        <rFont val="Arial"/>
        <family val="2"/>
      </rPr>
      <t xml:space="preserve">Tables 1 and 2 </t>
    </r>
    <r>
      <rPr>
        <sz val="10"/>
        <rFont val="Arial"/>
        <family val="2"/>
      </rPr>
      <t xml:space="preserve">- Estimate emissions associated with any </t>
    </r>
    <r>
      <rPr>
        <b/>
        <i/>
        <sz val="10"/>
        <rFont val="Arial"/>
        <family val="2"/>
      </rPr>
      <t>upstream</t>
    </r>
    <r>
      <rPr>
        <sz val="10"/>
        <rFont val="Arial"/>
        <family val="2"/>
      </rPr>
      <t xml:space="preserve"> and </t>
    </r>
    <r>
      <rPr>
        <b/>
        <i/>
        <sz val="10"/>
        <rFont val="Arial"/>
        <family val="2"/>
      </rPr>
      <t>downstream</t>
    </r>
    <r>
      <rPr>
        <sz val="10"/>
        <rFont val="Arial"/>
        <family val="2"/>
      </rPr>
      <t xml:space="preserve"> leased assets, respectively (see definitions under "</t>
    </r>
    <r>
      <rPr>
        <b/>
        <sz val="10"/>
        <color rgb="FF00B0F0"/>
        <rFont val="Arial"/>
        <family val="2"/>
      </rPr>
      <t>Category Description and Emissions Methodology</t>
    </r>
    <r>
      <rPr>
        <sz val="10"/>
        <rFont val="Arial"/>
        <family val="2"/>
      </rPr>
      <t xml:space="preserve">"). </t>
    </r>
  </si>
  <si>
    <r>
      <rPr>
        <b/>
        <sz val="10"/>
        <rFont val="Arial"/>
        <family val="2"/>
      </rPr>
      <t xml:space="preserve">Tables 1a and 2a are associated with </t>
    </r>
    <r>
      <rPr>
        <b/>
        <sz val="10"/>
        <color rgb="FF0000FF"/>
        <rFont val="Arial"/>
        <family val="2"/>
      </rPr>
      <t>inpatient care facilities</t>
    </r>
    <r>
      <rPr>
        <b/>
        <sz val="10"/>
        <rFont val="Arial"/>
        <family val="2"/>
      </rPr>
      <t xml:space="preserve"> and Tables 1b and 2b are associated with </t>
    </r>
    <r>
      <rPr>
        <b/>
        <sz val="10"/>
        <color rgb="FF00B050"/>
        <rFont val="Arial"/>
        <family val="2"/>
      </rPr>
      <t>outpatient care facilities</t>
    </r>
    <r>
      <rPr>
        <sz val="10"/>
        <rFont val="Arial"/>
        <family val="2"/>
      </rPr>
      <t xml:space="preserve">. </t>
    </r>
  </si>
  <si>
    <r>
      <t>Outpatient Type (</t>
    </r>
    <r>
      <rPr>
        <b/>
        <sz val="10"/>
        <rFont val="Arial"/>
        <family val="2"/>
      </rPr>
      <t>Table 1b and Table 2b only</t>
    </r>
    <r>
      <rPr>
        <b/>
        <i/>
        <sz val="10"/>
        <rFont val="Arial"/>
        <family val="2"/>
      </rPr>
      <t xml:space="preserve">) </t>
    </r>
    <r>
      <rPr>
        <sz val="10"/>
        <rFont val="Arial"/>
        <family val="2"/>
      </rPr>
      <t xml:space="preserve">- user should select from drop-down options </t>
    </r>
    <r>
      <rPr>
        <b/>
        <i/>
        <sz val="10"/>
        <rFont val="Arial"/>
        <family val="2"/>
      </rPr>
      <t>office (diagnostic)</t>
    </r>
    <r>
      <rPr>
        <sz val="10"/>
        <rFont val="Arial"/>
        <family val="2"/>
      </rPr>
      <t xml:space="preserve"> </t>
    </r>
    <r>
      <rPr>
        <u/>
        <sz val="10"/>
        <rFont val="Arial"/>
        <family val="2"/>
      </rPr>
      <t>or</t>
    </r>
    <r>
      <rPr>
        <sz val="10"/>
        <rFont val="Arial"/>
        <family val="2"/>
      </rPr>
      <t xml:space="preserve"> </t>
    </r>
    <r>
      <rPr>
        <b/>
        <i/>
        <sz val="10"/>
        <rFont val="Arial"/>
        <family val="2"/>
      </rPr>
      <t>clinic or other outpatient</t>
    </r>
  </si>
  <si>
    <r>
      <t>Square Footage of Leased Asset</t>
    </r>
    <r>
      <rPr>
        <sz val="10"/>
        <rFont val="Arial"/>
        <family val="2"/>
      </rPr>
      <t xml:space="preserve"> - user should enter the building square footage</t>
    </r>
  </si>
  <si>
    <r>
      <t xml:space="preserve">Table 1a. Upstream Leased Assets - </t>
    </r>
    <r>
      <rPr>
        <b/>
        <i/>
        <sz val="14"/>
        <color rgb="FF0000FF"/>
        <rFont val="Arial"/>
        <family val="2"/>
        <scheme val="minor"/>
      </rPr>
      <t>inpatient care facilities</t>
    </r>
  </si>
  <si>
    <t>Square Footage of Leased Asset</t>
  </si>
  <si>
    <t>Electricity Usage (kWh)</t>
  </si>
  <si>
    <t>Natural Gas Usage (therms)</t>
  </si>
  <si>
    <t>Building A</t>
  </si>
  <si>
    <r>
      <t xml:space="preserve">Table 1b. Upstream Leased Assets - </t>
    </r>
    <r>
      <rPr>
        <b/>
        <i/>
        <sz val="14"/>
        <color rgb="FF00B050"/>
        <rFont val="Arial"/>
        <family val="2"/>
        <scheme val="minor"/>
      </rPr>
      <t>outpatient care facilities</t>
    </r>
  </si>
  <si>
    <t xml:space="preserve">Clinic or other outpatient </t>
  </si>
  <si>
    <r>
      <t xml:space="preserve">Table 2a. Downstream Leased Assets - </t>
    </r>
    <r>
      <rPr>
        <b/>
        <i/>
        <sz val="14"/>
        <color rgb="FF0000FF"/>
        <rFont val="Arial"/>
        <family val="2"/>
        <scheme val="minor"/>
      </rPr>
      <t>inpatient care facilities</t>
    </r>
  </si>
  <si>
    <t>Building C</t>
  </si>
  <si>
    <r>
      <t xml:space="preserve">Table 2b. Downstream Leased Assets - </t>
    </r>
    <r>
      <rPr>
        <b/>
        <i/>
        <sz val="14"/>
        <color rgb="FF00B050"/>
        <rFont val="Arial"/>
        <family val="2"/>
        <scheme val="minor"/>
      </rPr>
      <t>outpatient care facilities</t>
    </r>
  </si>
  <si>
    <t>Office (diagnostic) </t>
  </si>
  <si>
    <t>Category 9: Patient Visits &amp; Telehealth [Downstream Transportation &amp; Distribution]</t>
  </si>
  <si>
    <r>
      <rPr>
        <b/>
        <sz val="10"/>
        <rFont val="Arial"/>
        <family val="2"/>
      </rPr>
      <t xml:space="preserve">Tables 1, 2, and 3 </t>
    </r>
    <r>
      <rPr>
        <sz val="10"/>
        <rFont val="Arial"/>
        <family val="2"/>
      </rPr>
      <t xml:space="preserve">- Estimate emissions associated with any inpatient and outpatient travel (Tables 1 and 2), and remote Telehealth visits. </t>
    </r>
  </si>
  <si>
    <r>
      <rPr>
        <b/>
        <i/>
        <sz val="10"/>
        <rFont val="Arial"/>
        <family val="2"/>
      </rPr>
      <t>State (or select "US Average")</t>
    </r>
    <r>
      <rPr>
        <sz val="10"/>
        <rFont val="Arial"/>
        <family val="2"/>
      </rPr>
      <t xml:space="preserve"> - select the US State in which the patient visits occur</t>
    </r>
  </si>
  <si>
    <r>
      <t>Total Patient Visits</t>
    </r>
    <r>
      <rPr>
        <b/>
        <sz val="10"/>
        <rFont val="Arial"/>
        <family val="2"/>
      </rPr>
      <t xml:space="preserve"> </t>
    </r>
    <r>
      <rPr>
        <sz val="10"/>
        <rFont val="Arial"/>
        <family val="2"/>
      </rPr>
      <t>- this column should be used to identify the total number of patient visits</t>
    </r>
  </si>
  <si>
    <t>Table 1. Inpatient Visits (In-person)</t>
  </si>
  <si>
    <t>Total Patient Visits</t>
  </si>
  <si>
    <t>inpatient visits</t>
  </si>
  <si>
    <t>Table 2. Outpatient Visits (In-person)</t>
  </si>
  <si>
    <t>outpatient visits</t>
  </si>
  <si>
    <t>Table 3. Telehealth Visits (remote)</t>
  </si>
  <si>
    <t>Number of visits</t>
  </si>
  <si>
    <t>Average length of visit (minutes)</t>
  </si>
  <si>
    <t>annual telehealth visits</t>
  </si>
  <si>
    <t>Commutes Across America (Streetlightdata)</t>
  </si>
  <si>
    <t>https://www.bts.gov/browse-statistical-products-and-data/state-transportation-statistics/commute-mode</t>
  </si>
  <si>
    <t>https://www.streetlightdata.com/wp-content/uploads/2018/03/Commutes-Across-America_180201.pdf</t>
  </si>
  <si>
    <t>State</t>
  </si>
  <si>
    <t>Mode</t>
  </si>
  <si>
    <t>Commute mode share (percent)</t>
  </si>
  <si>
    <t>State Name</t>
  </si>
  <si>
    <t>Median 1-way Commute (mi)</t>
  </si>
  <si>
    <t>Median round-trip commute (mi)</t>
  </si>
  <si>
    <t>kg CO2e per employee per work day</t>
  </si>
  <si>
    <t>Commute Mode</t>
  </si>
  <si>
    <t xml:space="preserve">Notes </t>
  </si>
  <si>
    <t>Level 1</t>
  </si>
  <si>
    <t>Level 2</t>
  </si>
  <si>
    <t>Level 3</t>
  </si>
  <si>
    <t>Level 4</t>
  </si>
  <si>
    <t>Column Text</t>
  </si>
  <si>
    <t>UOM</t>
  </si>
  <si>
    <t>Sum of kg CO2e per unit (bioenergy only; AR5)</t>
  </si>
  <si>
    <t>Sum of kg CO2 per unit</t>
  </si>
  <si>
    <t>Sum of kg CH4 per unit</t>
  </si>
  <si>
    <t>Sum of kg N2O per unit</t>
  </si>
  <si>
    <t>Source:</t>
  </si>
  <si>
    <t>Drove alone</t>
  </si>
  <si>
    <t>Alabama</t>
  </si>
  <si>
    <t>(blank)</t>
  </si>
  <si>
    <t>miles</t>
  </si>
  <si>
    <t>Carpool</t>
  </si>
  <si>
    <t>Alaska</t>
  </si>
  <si>
    <t>assume US Average</t>
  </si>
  <si>
    <t>Using assumption of 2.25 people per carpool from CA DOT. Using the "drove alone" EF divided by 2.25</t>
  </si>
  <si>
    <t>AFDC Fuel Types</t>
  </si>
  <si>
    <t>DESNZ vehicle type</t>
  </si>
  <si>
    <t>Worked at home</t>
  </si>
  <si>
    <t>Arizona</t>
  </si>
  <si>
    <t>Assumes 140 Watts per workstation and 10 Watts for lighting, 8 hour work day, and State-specific electricity-based EFs (per DEFRA "homeworking" referenced whitepaper "Homeworking emissions Whitepaper"from EcoAct, page 10)</t>
  </si>
  <si>
    <t>Petrol</t>
  </si>
  <si>
    <t>Public transportation</t>
  </si>
  <si>
    <t>Arkansas</t>
  </si>
  <si>
    <t>Taxi, motorcycle, or other</t>
  </si>
  <si>
    <t>California</t>
  </si>
  <si>
    <t>HEV</t>
  </si>
  <si>
    <t>Hybrid</t>
  </si>
  <si>
    <t>Walked</t>
  </si>
  <si>
    <t>Colorado</t>
  </si>
  <si>
    <t>Cars (by size)</t>
  </si>
  <si>
    <t>Average car</t>
  </si>
  <si>
    <t>Bicycle</t>
  </si>
  <si>
    <t>Connecticut</t>
  </si>
  <si>
    <t>Delaware</t>
  </si>
  <si>
    <t>PHEV</t>
  </si>
  <si>
    <t>https://afdc.energy.gov/vehicle-registration</t>
  </si>
  <si>
    <t>EV</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</si>
  <si>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</si>
  <si>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</si>
  <si>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</si>
  <si>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</si>
  <si>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</si>
  <si>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</si>
  <si>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</si>
  <si>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</si>
  <si>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</si>
  <si>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</si>
  <si>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</si>
  <si>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</si>
  <si>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</si>
  <si>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</si>
  <si>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</si>
  <si>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</si>
  <si>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</si>
  <si>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</si>
  <si>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</si>
  <si>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</si>
  <si>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</si>
  <si>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</si>
  <si>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</si>
  <si>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</si>
  <si>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</si>
  <si>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</si>
  <si>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</si>
  <si>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</si>
  <si>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</si>
  <si>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</si>
  <si>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</si>
  <si>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</si>
  <si>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</si>
  <si>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</si>
  <si>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</si>
  <si>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</si>
  <si>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</si>
  <si>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</si>
  <si>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</si>
  <si>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</si>
  <si>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AK</t>
  </si>
  <si>
    <t>Office station electricity consumption</t>
  </si>
  <si>
    <t>1 kg =</t>
  </si>
  <si>
    <t>pounds</t>
  </si>
  <si>
    <t>AL</t>
  </si>
  <si>
    <t>Watts</t>
  </si>
  <si>
    <t>AR</t>
  </si>
  <si>
    <t>AZ</t>
  </si>
  <si>
    <t>CA</t>
  </si>
  <si>
    <t>CO</t>
  </si>
  <si>
    <t>CT</t>
  </si>
  <si>
    <t>DC</t>
  </si>
  <si>
    <t>DE</t>
  </si>
  <si>
    <t>FL</t>
  </si>
  <si>
    <t>GA</t>
  </si>
  <si>
    <t>HI</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</si>
  <si>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</si>
  <si>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</si>
  <si>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</si>
  <si>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</si>
  <si>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</si>
  <si>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</si>
  <si>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</si>
  <si>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</si>
  <si>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</si>
  <si>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</si>
  <si>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</si>
  <si>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</si>
  <si>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</si>
  <si>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</si>
  <si>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</si>
  <si>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</si>
  <si>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</si>
  <si>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</si>
  <si>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</si>
  <si>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</si>
  <si>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</si>
  <si>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</si>
  <si>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</si>
  <si>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</si>
  <si>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</si>
  <si>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</si>
  <si>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</si>
  <si>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</si>
  <si>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</si>
  <si>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</si>
  <si>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</si>
  <si>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</si>
  <si>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</si>
  <si>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</si>
  <si>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</si>
  <si>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</si>
  <si>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</si>
  <si>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</si>
  <si>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Select --&gt;</t>
  </si>
  <si>
    <t>AR6</t>
  </si>
  <si>
    <t>carbon dioxide</t>
  </si>
  <si>
    <t>AR4</t>
  </si>
  <si>
    <t>AR5</t>
  </si>
  <si>
    <t>methane</t>
  </si>
  <si>
    <t>nitrous oxide</t>
  </si>
  <si>
    <t>From Table 7.15 of IPCC's Sixth Assessment Report for "fossil"</t>
  </si>
  <si>
    <t>Notes &amp; Sources</t>
  </si>
  <si>
    <t>These are GWP values for 100-year time horizon</t>
  </si>
  <si>
    <t xml:space="preserve">Other GHGs include a wide variety of other HFCs, perflourinated compounds, refrigerants, and other substances combined and translated into CO2e using AR4 GWPs. This step is completed by the EPA </t>
  </si>
  <si>
    <t>Source: GHG Protocol, Global Warming Potential Values. https://ghgprotocol.org/sites/default/files/ghgp/Global-Warming-Potential-Values%20%28Feb%2016%202016%29_1.pdf</t>
  </si>
  <si>
    <t>Energy Information Administration (EIA)- Commercial Buildings Energy Consumption Survey (CBECS) Data</t>
  </si>
  <si>
    <t>Table C22. Electricity consumption totals and conditional intensities by building activity subcategories, 2018</t>
  </si>
  <si>
    <t xml:space="preserve">Health care </t>
  </si>
  <si>
    <t xml:space="preserve">Inpatient </t>
  </si>
  <si>
    <t xml:space="preserve">Outpatient </t>
  </si>
  <si>
    <t>Table C32. Natural consumption totals and conditional intensities by building activity subcategories,  2018</t>
  </si>
  <si>
    <t>cubic ft / sq ft</t>
  </si>
  <si>
    <t>therms/ sq ft</t>
  </si>
  <si>
    <t>https://www.eia.gov/energyexplained/natural-gas/where-our-natural-gas-comes-from.php</t>
  </si>
  <si>
    <t>Natural Gas Emission Factors</t>
  </si>
  <si>
    <r>
      <t>kg CO</t>
    </r>
    <r>
      <rPr>
        <vertAlign val="subscript"/>
        <sz val="11"/>
        <color rgb="FF002060"/>
        <rFont val="Arial"/>
        <family val="2"/>
        <scheme val="minor"/>
      </rPr>
      <t>2</t>
    </r>
    <r>
      <rPr>
        <sz val="11"/>
        <color rgb="FF002060"/>
        <rFont val="Arial"/>
        <family val="2"/>
        <scheme val="minor"/>
      </rPr>
      <t>e of CO</t>
    </r>
    <r>
      <rPr>
        <vertAlign val="subscript"/>
        <sz val="11"/>
        <color rgb="FF002060"/>
        <rFont val="Arial"/>
        <family val="2"/>
        <scheme val="minor"/>
      </rPr>
      <t>2</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</si>
  <si>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CH</t>
    </r>
    <r>
      <rPr>
        <vertAlign val="subscript"/>
        <sz val="11"/>
        <color rgb="FF002060"/>
        <rFont val="Arial"/>
        <family val="2"/>
        <scheme val="minor"/>
      </rPr>
      <t>4</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</si>
  <si>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N</t>
    </r>
    <r>
      <rPr>
        <vertAlign val="subscript"/>
        <sz val="11"/>
        <color rgb="FF002060"/>
        <rFont val="Arial"/>
        <family val="2"/>
        <scheme val="minor"/>
      </rPr>
      <t>2</t>
    </r>
    <r>
      <rPr>
        <sz val="11"/>
        <color rgb="FF002060"/>
        <rFont val="Arial"/>
        <family val="2"/>
        <scheme val="minor"/>
      </rPr>
      <t>O per unit</t>
    </r>
  </si>
  <si>
    <t>Table 1 - Stationary Combustion</t>
  </si>
  <si>
    <t>tonnes</t>
  </si>
  <si>
    <t>https://www.epa.gov/system/files/documents/2022-04/ghg_emission_factors_hub.pdf</t>
  </si>
  <si>
    <t>kWh (Net CV)</t>
  </si>
  <si>
    <t>kg CO2 per therm</t>
  </si>
  <si>
    <t>g CH4 per therm</t>
  </si>
  <si>
    <t>g N2O per therm</t>
  </si>
  <si>
    <t>kg CO2e per therm</t>
  </si>
  <si>
    <t>Natural gas
(100% mineral blend)</t>
  </si>
  <si>
    <r>
      <t>kg CO</t>
    </r>
    <r>
      <rPr>
        <vertAlign val="subscript"/>
        <sz val="11"/>
        <color indexed="56"/>
        <rFont val="Calibri"/>
        <family val="2"/>
      </rPr>
      <t>2</t>
    </r>
    <r>
      <rPr>
        <sz val="11"/>
        <color indexed="56"/>
        <rFont val="Calibri"/>
        <family val="2"/>
      </rPr>
      <t>e</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</si>
  <si>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 xml:space="preserve"> per unit</t>
    </r>
  </si>
  <si>
    <r>
      <t>kg CH</t>
    </r>
    <r>
      <rPr>
        <vertAlign val="subscript"/>
        <sz val="11"/>
        <color rgb="FF002060"/>
        <rFont val="Arial"/>
        <family val="2"/>
        <scheme val="minor"/>
      </rPr>
      <t>4</t>
    </r>
    <r>
      <rPr>
        <sz val="11"/>
        <color rgb="FF002060"/>
        <rFont val="Arial"/>
        <family val="2"/>
        <scheme val="minor"/>
      </rPr>
      <t xml:space="preserve"> per unit</t>
    </r>
  </si>
  <si>
    <r>
      <t>kg N</t>
    </r>
    <r>
      <rPr>
        <vertAlign val="subscript"/>
        <sz val="11"/>
        <color rgb="FF002060"/>
        <rFont val="Arial"/>
        <family val="2"/>
        <scheme val="minor"/>
      </rPr>
      <t>2</t>
    </r>
    <r>
      <rPr>
        <sz val="11"/>
        <color rgb="FF002060"/>
        <rFont val="Arial"/>
        <family val="2"/>
        <scheme val="minor"/>
      </rPr>
      <t>O per unit</t>
    </r>
  </si>
  <si>
    <t>converted from cubic meters</t>
  </si>
  <si>
    <t>converted from kWh (Gross CV)</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</si>
  <si>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</si>
  <si>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t>1 Therm =</t>
  </si>
  <si>
    <t>kBTU</t>
  </si>
  <si>
    <t>1 cubic meters =</t>
  </si>
  <si>
    <t>https://portfoliomanager.energystar.gov/pdf/reference/Thermal%20Conversions.pdf</t>
  </si>
  <si>
    <r>
      <rPr>
        <b/>
        <sz val="10"/>
        <rFont val="Arial"/>
        <family val="2"/>
      </rPr>
      <t xml:space="preserve">Tables 1 and 2 - </t>
    </r>
    <r>
      <rPr>
        <sz val="10"/>
        <rFont val="Arial"/>
        <family val="2"/>
      </rPr>
      <t xml:space="preserve">These tables are for tracking inhalers with HFC-227ea and with HFC-134a, respectively. </t>
    </r>
  </si>
  <si>
    <r>
      <rPr>
        <b/>
        <i/>
        <sz val="10"/>
        <rFont val="Arial"/>
        <family val="2"/>
      </rPr>
      <t>Product Name or Group (optional)</t>
    </r>
    <r>
      <rPr>
        <sz val="10"/>
        <rFont val="Arial"/>
        <family val="2"/>
      </rPr>
      <t xml:space="preserve"> - for the user to track various products</t>
    </r>
  </si>
  <si>
    <r>
      <rPr>
        <b/>
        <i/>
        <sz val="10"/>
        <rFont val="Arial"/>
        <family val="2"/>
      </rPr>
      <t>Other Description (optional)</t>
    </r>
    <r>
      <rPr>
        <b/>
        <sz val="10"/>
        <rFont val="Arial"/>
        <family val="2"/>
      </rPr>
      <t xml:space="preserve"> </t>
    </r>
    <r>
      <rPr>
        <sz val="10"/>
        <rFont val="Arial"/>
        <family val="2"/>
      </rPr>
      <t xml:space="preserve">- this column is available for any user-specific identifier </t>
    </r>
  </si>
  <si>
    <r>
      <rPr>
        <b/>
        <i/>
        <sz val="10"/>
        <rFont val="Arial"/>
        <family val="2"/>
      </rPr>
      <t>Number of Units with GHG propellant</t>
    </r>
    <r>
      <rPr>
        <sz val="10"/>
        <rFont val="Arial"/>
        <family val="2"/>
      </rPr>
      <t xml:space="preserve"> - enter the overall number of units for each specific product</t>
    </r>
  </si>
  <si>
    <r>
      <rPr>
        <b/>
        <i/>
        <sz val="10"/>
        <rFont val="Arial"/>
        <family val="2"/>
      </rPr>
      <t xml:space="preserve">Mass of GHG propellant per unit (grams) </t>
    </r>
    <r>
      <rPr>
        <i/>
        <sz val="10"/>
        <rFont val="Arial"/>
        <family val="2"/>
      </rPr>
      <t>- enter the mass of propellant (in grams) in each unit</t>
    </r>
  </si>
  <si>
    <t>Table 1. Inhalers using HFC-227ea as propellant</t>
  </si>
  <si>
    <t>Product Name or Group (optional)</t>
  </si>
  <si>
    <t>Other Description (optional)</t>
  </si>
  <si>
    <t>Number of Units with GHG propellant</t>
  </si>
  <si>
    <t>Mass of GHG propellant per unit (grams)</t>
  </si>
  <si>
    <t>ALBUTEROL SULF HFA 90 MCG INH 18 GM</t>
  </si>
  <si>
    <t>Table 2. Inhalers using HFC-134a as propellant</t>
  </si>
  <si>
    <t>ADVAIR HFA 45/ 21MCG INH 12 GM</t>
  </si>
  <si>
    <t>2373: Highway, Street, and Bridge Construction</t>
  </si>
  <si>
    <t>4811: Scheduled Air Transportation</t>
  </si>
  <si>
    <t>4821: Rail Transportation</t>
  </si>
  <si>
    <t>4831: Deep Sea, Coastal, and Great Lakes Water Transportation</t>
  </si>
  <si>
    <t>4841: General Freight Trucking</t>
  </si>
  <si>
    <t>4859: Other Transit and Ground Passenger Transportation</t>
  </si>
  <si>
    <t>4869: Other Pipeline Transportation</t>
  </si>
  <si>
    <t>4911: Postal Service</t>
  </si>
  <si>
    <t>4921: Couriers and Express Delivery Services</t>
  </si>
  <si>
    <t>4931: Warehousing and Storage</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</si>
  <si>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</si>
  <si>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</si>
  <si>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</si>
  <si>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</si>
  <si>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</si>
  <si>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r>
      <rPr>
        <b/>
        <i/>
        <sz val="10"/>
        <rFont val="Arial"/>
        <family val="2"/>
      </rPr>
      <t>Investee company’s sector(s) of operation</t>
    </r>
    <r>
      <rPr>
        <sz val="10"/>
        <rFont val="Arial"/>
        <family val="2"/>
      </rPr>
      <t xml:space="preserve"> - select from ≈200 different sectors of the economy in which the investee is engaged</t>
    </r>
    <r>
      <rPr>
        <i/>
        <sz val="10"/>
        <rFont val="Arial"/>
        <family val="2"/>
      </rPr>
      <t xml:space="preserve"> (see adjacent tab: "Cat 15 descriptions")</t>
    </r>
  </si>
  <si>
    <r>
      <rPr>
        <b/>
        <sz val="10"/>
        <rFont val="Arial"/>
        <family val="2"/>
      </rPr>
      <t>Total Revenue of Investee in reporting year (in given sector)</t>
    </r>
    <r>
      <rPr>
        <sz val="10"/>
        <rFont val="Arial"/>
        <family val="2"/>
      </rPr>
      <t xml:space="preserve"> - data likely available from equity manager or from individual investee 10-K financial document</t>
    </r>
  </si>
  <si>
    <r>
      <t>Total EVIC (enterprise value including cash) of investee in reporting year ($)</t>
    </r>
    <r>
      <rPr>
        <sz val="10"/>
        <rFont val="Arial"/>
        <family val="2"/>
      </rPr>
      <t xml:space="preserve"> - this is the total valuation of the investee in reporting year</t>
    </r>
  </si>
  <si>
    <r>
      <rPr>
        <b/>
        <i/>
        <sz val="10"/>
        <rFont val="Arial"/>
        <family val="2"/>
      </rPr>
      <t>Total invested with investee during year of inventory ($)</t>
    </r>
    <r>
      <rPr>
        <b/>
        <sz val="10"/>
        <rFont val="Arial"/>
        <family val="2"/>
      </rPr>
      <t xml:space="preserve"> </t>
    </r>
    <r>
      <rPr>
        <sz val="10"/>
        <rFont val="Arial"/>
        <family val="2"/>
      </rPr>
      <t>- identify the funds invested in the reporting year</t>
    </r>
  </si>
  <si>
    <t>Investee organization</t>
  </si>
  <si>
    <t>Investee organization’s sector(s) of operation</t>
  </si>
  <si>
    <t>Total EVIC (enterprise value including cash) of investee in reporting year ($)</t>
  </si>
  <si>
    <t>Total invested with investee in reporting year ($)</t>
  </si>
  <si>
    <t>Emission Factor
(kg CO2e/$) - inflation adjusted</t>
  </si>
  <si>
    <t>Category 15: Investments - Industry Descriptions</t>
  </si>
  <si>
    <t>Industry Name</t>
  </si>
  <si>
    <t>Industry Description</t>
  </si>
  <si>
    <t xml:space="preserve">Oilseed farming. This industry comprises establishments primarily engaged in growing oilseed crops. These crops have an annual life cycle and are typically grown in open fields. </t>
  </si>
  <si>
    <t xml:space="preserve">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t>
  </si>
  <si>
    <t xml:space="preserve">Transportation structures and highways and streets'. This industry comprises construction of transportation structures, including bridges, roads, highways, and streets. </t>
  </si>
  <si>
    <t xml:space="preserve">Building material and garden equipment and supplies dealers. This industry group comprises (1) Building Material and Supplies Dealers and (2) Lawn and Garden Equipment and Supplies Stores. </t>
  </si>
  <si>
    <t xml:space="preserve">Health and personal care stores. This industry group comprises Health and Personal Care Stores. </t>
  </si>
  <si>
    <t xml:space="preserve">Gasoline stations. This industry group comprises Gasoline Stations. </t>
  </si>
  <si>
    <t xml:space="preserve">Clothing and clothing accessories stores. This industry group comprises Clothing and Clothing Accessories Stores. </t>
  </si>
  <si>
    <t xml:space="preserve">Nonstore retailers. This industry group comprises Nonstore Retailers. </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</si>
  <si>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</si>
  <si>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</si>
  <si>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</si>
  <si>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</si>
  <si>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</si>
  <si>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 xml:space="preserve">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t>
  </si>
  <si>
    <t xml:space="preserve">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t>
  </si>
  <si>
    <t xml:space="preserve">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t>
  </si>
  <si>
    <t xml:space="preserve">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</si>
  <si>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</si>
  <si>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 xml:space="preserve">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</si>
  <si>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</si>
  <si>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</si>
  <si>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</si>
  <si>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</si>
  <si>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</si>
  <si>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</si>
  <si>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 xml:space="preserve">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t>
  </si>
  <si>
    <t xml:space="preserve">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</si>
  <si>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t xml:space="preserve">Table 1, Table 2, and Table 3 (Upstream Emissions): </t>
  </si>
  <si>
    <t>Category 9: Downstream Transportation and Distribution</t>
  </si>
  <si>
    <t>Other General References (Scope 3 Emissions Accounting)</t>
  </si>
  <si>
    <r>
      <t xml:space="preserve">WRI/WBCSD (2011). </t>
    </r>
    <r>
      <rPr>
        <i/>
        <sz val="11"/>
        <color theme="1"/>
        <rFont val="Arial"/>
        <family val="2"/>
        <scheme val="major"/>
      </rPr>
      <t>Corporate Value Chain (Scope 3) Accounting and Reporting Standard.</t>
    </r>
    <r>
      <rPr>
        <sz val="11"/>
        <color theme="1"/>
        <rFont val="Arial"/>
        <family val="2"/>
        <scheme val="major"/>
      </rPr>
      <t xml:space="preserve"> </t>
    </r>
  </si>
  <si>
    <t>http://ghgprotocol.org/sites/default/files/standards/Corporate-Value-Chain-Accounting-Reporing-Standard_041613_2.pdf</t>
  </si>
  <si>
    <r>
      <t xml:space="preserve">WRI/WBCSD (2013). </t>
    </r>
    <r>
      <rPr>
        <i/>
        <sz val="11"/>
        <color theme="1"/>
        <rFont val="Arial"/>
        <family val="2"/>
        <scheme val="major"/>
      </rPr>
      <t xml:space="preserve">Technical Guidance for Calculating Scope 3 Emissions. </t>
    </r>
  </si>
  <si>
    <t>https://ghgprotocol.org/sites/default/files/standards/Scope3_Calculation_Guidance_0.pdf</t>
  </si>
  <si>
    <t>tonne</t>
  </si>
  <si>
    <t>ton (UK)</t>
  </si>
  <si>
    <t>ton (US)</t>
  </si>
  <si>
    <t>Kilogram, kg</t>
  </si>
  <si>
    <t>tonne, t (metric ton)</t>
  </si>
  <si>
    <t>ton (UK, long ton)</t>
  </si>
  <si>
    <t>ton (US, short ton)</t>
  </si>
  <si>
    <t>Pound, lb</t>
  </si>
  <si>
    <t>L</t>
  </si>
  <si>
    <r>
      <t>m</t>
    </r>
    <r>
      <rPr>
        <b/>
        <vertAlign val="superscript"/>
        <sz val="11"/>
        <color indexed="56"/>
        <rFont val="Calibri"/>
        <family val="2"/>
      </rPr>
      <t>3</t>
    </r>
  </si>
  <si>
    <t>cu ft</t>
  </si>
  <si>
    <t>Imp. gallon</t>
  </si>
  <si>
    <t>Bbl (US,P)</t>
  </si>
  <si>
    <t>Litres, L</t>
  </si>
  <si>
    <r>
      <t>Cubic metres, m</t>
    </r>
    <r>
      <rPr>
        <b/>
        <vertAlign val="superscript"/>
        <sz val="11"/>
        <color indexed="56"/>
        <rFont val="Calibri"/>
        <family val="2"/>
      </rPr>
      <t>3</t>
    </r>
  </si>
  <si>
    <t>Cubic feet, cu ft</t>
  </si>
  <si>
    <t>Imperial gallon</t>
  </si>
  <si>
    <t>Barrel (US, petroleum), bbl</t>
  </si>
  <si>
    <t>GJ</t>
  </si>
  <si>
    <t>kWh</t>
  </si>
  <si>
    <t>therm</t>
  </si>
  <si>
    <t>toe</t>
  </si>
  <si>
    <t>kcal</t>
  </si>
  <si>
    <t>Gigajoule, GJ</t>
  </si>
  <si>
    <t>Kilowatt-hour, kWh</t>
  </si>
  <si>
    <t>Tonne oil equivalent, toe</t>
  </si>
  <si>
    <t>Kilocalorie, kcal</t>
  </si>
  <si>
    <t>For Adding Custom Data and Custom Emissions Factors Provided by Supply Chain Partner or Other</t>
  </si>
  <si>
    <t>Global Median</t>
  </si>
  <si>
    <t>Outpatient type (optional)</t>
  </si>
  <si>
    <t>For Emissions Totals Provided by Supply Chain Partner (column H only)</t>
  </si>
  <si>
    <t>Logistics partner</t>
  </si>
  <si>
    <t>Waste management partner</t>
  </si>
  <si>
    <t>WM emissions report</t>
  </si>
  <si>
    <t>Concur emission report</t>
  </si>
  <si>
    <t>Charted flight emission factor</t>
  </si>
  <si>
    <t>Version tracker</t>
  </si>
  <si>
    <t xml:space="preserve"> </t>
  </si>
  <si>
    <t>#</t>
  </si>
  <si>
    <t>Date</t>
  </si>
  <si>
    <t>Description</t>
  </si>
  <si>
    <t>Health Care Emissions Calculator-Facility</t>
  </si>
  <si>
    <t>April 2024</t>
  </si>
  <si>
    <t>June 2023</t>
  </si>
  <si>
    <t>Updated Scope 2 emission factors per region to 2021 EPA data set</t>
  </si>
  <si>
    <t>April 2023</t>
  </si>
  <si>
    <t>Launch of the 1st version of the Health Care Emissions Impact Calculator for US Health Systems</t>
  </si>
  <si>
    <t xml:space="preserve">*Scope 1 and 2 calculations are a part of the Climate Impact Checkup tool. </t>
  </si>
  <si>
    <t xml:space="preserve">*Scope 3 tool was developed by Engie Impact and Health Care Without Harm. </t>
  </si>
  <si>
    <t>ALL INFORMATION BELOW PERTAINS TO UPDATES OR CHANGES TO THE CLIMATE IMPACT CHECKUP TOOL</t>
  </si>
  <si>
    <t>3.3</t>
  </si>
  <si>
    <t>May 2022</t>
  </si>
  <si>
    <t>Second version merged with hotspot/scope3 supply chain tool prepared after pilot feedback.</t>
  </si>
  <si>
    <t>3.2</t>
  </si>
  <si>
    <t>March 2022</t>
  </si>
  <si>
    <t>Steam category inclusion with emission factors for US &amp; Canada. The rest of the countries can estimate the emissions by entering their specific parameters or the emission values.</t>
  </si>
  <si>
    <t>December 2021</t>
  </si>
  <si>
    <t>First version merged with hotspot/scope3 supply chain tool prepared to be pilot for feedback.</t>
  </si>
  <si>
    <t>December 2020</t>
  </si>
  <si>
    <t>This version includes the modifications done after the tool piloting carried out for feedback during the second semester of 2020. Main changes are:
* Waste categories as scope 1 or 3
* New categories of sources (Inhalers and T&amp;D losses)</t>
  </si>
  <si>
    <t>August 2020</t>
  </si>
  <si>
    <t>First global version: incorporation of grid emission factors for all countries, biofuel blends for countries for which information was found, along with the possibility of manual entry, and average values ​​of the waste composition of the IPCC (in the file "countries" there is more information about the literature review carried out to collect these data).
Incorporation of stationary (coal and fuel oil/bunker) and mobile (CNG) combustion fuels. Separation of anesthetic gases. Incorporation of means of transport (private CNG car and private CNG van) in employee transfers and work trips. Incorporation of the patient travel category. Incorporation within the tool of the forms of anesthetics and refrigerant gases.
Incorporation of notation keys and classification of establishments (auxiliary columns with blank content to be able to display and add results). Incorporation of new graphs of results.
Removed linkage with power tool, macros and coverage levels.</t>
  </si>
  <si>
    <t>Health Care Emissions Impact Calculator-Facility</t>
  </si>
  <si>
    <t>US-AKMS (ASCC Miscellaneous)</t>
  </si>
  <si>
    <t>For assistance in determining your utility region, go to:</t>
  </si>
  <si>
    <t>2- Select the year of the greenhouse gas (GHG) inventory to be calculated</t>
  </si>
  <si>
    <t>EPA Egrid Power Profiler</t>
  </si>
  <si>
    <t>3- Contact information:</t>
  </si>
  <si>
    <t>Puerto Rico should choose the SPP South region. Other facilities</t>
  </si>
  <si>
    <t>Name</t>
  </si>
  <si>
    <t>Title</t>
  </si>
  <si>
    <t>Email</t>
  </si>
  <si>
    <t>You are ready to start calculating! Your next steps are:</t>
  </si>
  <si>
    <t>1- Complete the information required for Facility or System Data</t>
  </si>
  <si>
    <t>2- Then complete the information requested in Scope 1, 2 and 3 Data.</t>
  </si>
  <si>
    <t>3- When you have finished completing the Scope 1,2 and 3 Data, you can see the results of the GHG Inventory in the Results &amp; Summary tab and the Scope 3 Summary tab.</t>
  </si>
  <si>
    <t xml:space="preserve">Some clarifications: </t>
  </si>
  <si>
    <t>- Cells where you need to enter data are in green</t>
  </si>
  <si>
    <t xml:space="preserve">- Cells where you do not have to enter data are in grey </t>
  </si>
  <si>
    <t>Scope 1 and 2 Emissions:</t>
  </si>
  <si>
    <t>Scope 1 and 2 Tabs</t>
  </si>
  <si>
    <t>Scope 3 Emissions:</t>
  </si>
  <si>
    <t>Scope 3 Tabs</t>
  </si>
  <si>
    <t>*If you only have system-level data, this calculator will meet all your needs. Simply enter system-level data for each of the activities or categories in this calculator. If you want to track individual facility-level data, duplicate this excel calculator as many as 300 times and store all of your facility-level data files in one folder. You will then be able to import all of your individual facility data files into the Health Care Emissions Impact Calculator- System excel sheet in order to see your total organization's GHG emissions.</t>
  </si>
  <si>
    <t>If you would like to learn more about calculating your GHG emissions, check out these resources:</t>
  </si>
  <si>
    <t>EPA GHG Emissions Overview</t>
  </si>
  <si>
    <t>Greenhouse Gas Protocol</t>
  </si>
  <si>
    <t>If you are still in need of support, resources or guidance in order to develop your GHG inventory or GHG reduction action plan, consider becoming a Practice Greenhealth partner.</t>
  </si>
  <si>
    <t>Practice Greenhealth Membership Info</t>
  </si>
  <si>
    <t>General information</t>
  </si>
  <si>
    <t>Name of Facility</t>
  </si>
  <si>
    <t>Health System</t>
  </si>
  <si>
    <t>State/Province</t>
  </si>
  <si>
    <t>City</t>
  </si>
  <si>
    <t xml:space="preserve">Street Address </t>
  </si>
  <si>
    <t>Zip code/Postal code</t>
  </si>
  <si>
    <t>Type of facility</t>
  </si>
  <si>
    <t>Short description of boundaries defined for this GHG inventory (Equity-financial-operational boundary, facilities included or excluded)</t>
  </si>
  <si>
    <t>Click here for more information on determining an organizational boundary for GHG inventory</t>
  </si>
  <si>
    <t>Annual demographic data for the health care organization</t>
  </si>
  <si>
    <t>Full Time Employees (FTEs)</t>
  </si>
  <si>
    <t>Total Patient Days</t>
  </si>
  <si>
    <t>Total Adjusted Patient Days</t>
  </si>
  <si>
    <t>Total Outpatient Visits</t>
  </si>
  <si>
    <t>Number of Staffed Beds (annual average)</t>
  </si>
  <si>
    <t>Number of Operating Rooms</t>
  </si>
  <si>
    <t>Gross floor area (building square footage)</t>
  </si>
  <si>
    <t>Hours of operation [hrs/ day]</t>
  </si>
  <si>
    <t>GHG Emissions by Source</t>
  </si>
  <si>
    <t>Option 1</t>
  </si>
  <si>
    <t>Actual Data</t>
  </si>
  <si>
    <t>Emissions in this category are from utility bills or invoices.</t>
  </si>
  <si>
    <t>Option 2</t>
  </si>
  <si>
    <t>Estimated / Data not available</t>
  </si>
  <si>
    <t>Emissions in this category are estimated based on extrapolated data. Please indicate estimation methodology in the Parameters tab.</t>
  </si>
  <si>
    <t>Option 3</t>
  </si>
  <si>
    <t>Not Estimated / Complex</t>
  </si>
  <si>
    <t>Emissions not calculated or data is unavailable.</t>
  </si>
  <si>
    <t>Option 4</t>
  </si>
  <si>
    <t>Not Occurring</t>
  </si>
  <si>
    <t>The activity or process does not exist within this facility.</t>
  </si>
  <si>
    <t>Scope 1 emissions are those that occur from sources that are owned or controlled by the health care facility. Examples include: Emissions due to combustion in boilers, water heaters or generators, fleet vehicles fuel use (owned or leased), the use of inhaled anesthetics including nitrous oxide, or refrigerant leaks in air conditioning or refrigeration systems.</t>
  </si>
  <si>
    <t>Stationary Combustion</t>
  </si>
  <si>
    <t>In this section, the GHG emissions resulting from the burning of fossil fuels in stationary processes are calculated. Stationary combustion is that which occurs in devices that do not move, like boilers, hot water tanks, stoves, water heaters, backup generators, onsite waste incineration, autoclaves, etc.</t>
  </si>
  <si>
    <r>
      <rPr>
        <b/>
        <sz val="11"/>
        <color theme="1"/>
        <rFont val="Arial"/>
        <family val="2"/>
        <scheme val="minor"/>
      </rPr>
      <t xml:space="preserve">Clarification. </t>
    </r>
    <r>
      <rPr>
        <sz val="11"/>
        <color theme="1"/>
        <rFont val="Arial"/>
        <family val="2"/>
        <scheme val="minor"/>
      </rPr>
      <t>CO</t>
    </r>
    <r>
      <rPr>
        <vertAlign val="subscript"/>
        <sz val="11"/>
        <color theme="1"/>
        <rFont val="Arial"/>
        <family val="2"/>
        <scheme val="minor"/>
      </rPr>
      <t>2</t>
    </r>
    <r>
      <rPr>
        <sz val="11"/>
        <color theme="1"/>
        <rFont val="Arial"/>
        <family val="2"/>
        <scheme val="minor"/>
      </rPr>
      <t xml:space="preserve"> emissions from biofuels (biodiesel, bioethanol, firewood, etc.) are considered neutral in net terms (the amount of CO</t>
    </r>
    <r>
      <rPr>
        <vertAlign val="subscript"/>
        <sz val="11"/>
        <color theme="1"/>
        <rFont val="Arial"/>
        <family val="2"/>
        <scheme val="minor"/>
      </rPr>
      <t>2</t>
    </r>
    <r>
      <rPr>
        <sz val="11"/>
        <color theme="1"/>
        <rFont val="Arial"/>
        <family val="2"/>
        <scheme val="minor"/>
      </rPr>
      <t xml:space="preserve"> that biomass has captured throughout its life is equal to the amount that it then emits when burned) and that is why they are not counted, but are expressed as zero.</t>
    </r>
  </si>
  <si>
    <t xml:space="preserve">YOU MUST CHOOSE THE TYPE OF DATA IN EVERY SECTION TO GET RESULTS </t>
  </si>
  <si>
    <t>Please indicate the type of data for this source category:</t>
  </si>
  <si>
    <t>Instructions:</t>
  </si>
  <si>
    <t>1 - Enter the amount of fuel used by the facility for each type of fuel in the "Amount Consumed" column. If any type of fuel is not used, leave the respective cell empty.</t>
  </si>
  <si>
    <t>2 - Select the unit for each fuel from the dropdown menu in the "Unit" column.</t>
  </si>
  <si>
    <t>Emissions (kg)</t>
  </si>
  <si>
    <t>Type of fuel</t>
  </si>
  <si>
    <t>Amount Consumed</t>
  </si>
  <si>
    <r>
      <t>CO</t>
    </r>
    <r>
      <rPr>
        <vertAlign val="subscript"/>
        <sz val="11"/>
        <rFont val="Arial"/>
        <family val="2"/>
        <scheme val="minor"/>
      </rPr>
      <t>2</t>
    </r>
  </si>
  <si>
    <r>
      <t>CH</t>
    </r>
    <r>
      <rPr>
        <vertAlign val="subscript"/>
        <sz val="11"/>
        <rFont val="Arial"/>
        <family val="2"/>
        <scheme val="minor"/>
      </rPr>
      <t>4</t>
    </r>
  </si>
  <si>
    <r>
      <t>N</t>
    </r>
    <r>
      <rPr>
        <vertAlign val="subscript"/>
        <sz val="11"/>
        <rFont val="Arial"/>
        <family val="2"/>
        <scheme val="minor"/>
      </rPr>
      <t>2</t>
    </r>
    <r>
      <rPr>
        <sz val="11"/>
        <rFont val="Arial"/>
        <family val="2"/>
        <scheme val="minor"/>
      </rPr>
      <t>O</t>
    </r>
  </si>
  <si>
    <r>
      <t>CO</t>
    </r>
    <r>
      <rPr>
        <vertAlign val="subscript"/>
        <sz val="11"/>
        <rFont val="Arial"/>
        <family val="2"/>
        <scheme val="minor"/>
      </rPr>
      <t>2</t>
    </r>
    <r>
      <rPr>
        <sz val="11"/>
        <rFont val="Arial"/>
        <family val="2"/>
        <scheme val="minor"/>
      </rPr>
      <t>e</t>
    </r>
  </si>
  <si>
    <r>
      <t>m</t>
    </r>
    <r>
      <rPr>
        <vertAlign val="superscript"/>
        <sz val="11"/>
        <color theme="1"/>
        <rFont val="Arial"/>
        <family val="2"/>
        <scheme val="minor"/>
      </rPr>
      <t>3</t>
    </r>
  </si>
  <si>
    <t>Liter</t>
  </si>
  <si>
    <t xml:space="preserve">kg </t>
  </si>
  <si>
    <t>1.2</t>
  </si>
  <si>
    <t>Mobile Combustion</t>
  </si>
  <si>
    <t>In this section, the GHG emissions resulting from fuel combustion for fleet vehicles belonging to (owned or leased) the facility are calculated. These vehicles can be cars, light-duty or heavy-duty trucks, shuttle buses, owned ambulances or helicopters. Note: For contracted services such as ambulance service or medical evacuation helicopter service, emissions should be tracked in Scope 3 Category 4 Upstream Transportation and Distribution. Employee commute to work is tracked in Scope 3 Category 7 and transportation of patients can be tracked in Scope 3 Category 9.</t>
  </si>
  <si>
    <r>
      <t xml:space="preserve">Clarifications: </t>
    </r>
    <r>
      <rPr>
        <sz val="10"/>
        <color theme="1"/>
        <rFont val="Arial"/>
        <family val="2"/>
        <scheme val="minor"/>
      </rPr>
      <t>CO</t>
    </r>
    <r>
      <rPr>
        <vertAlign val="subscript"/>
        <sz val="10"/>
        <color theme="1"/>
        <rFont val="Arial"/>
        <family val="2"/>
        <scheme val="minor"/>
      </rPr>
      <t>2</t>
    </r>
    <r>
      <rPr>
        <sz val="10"/>
        <color theme="1"/>
        <rFont val="Arial"/>
        <family val="2"/>
        <scheme val="minor"/>
      </rPr>
      <t xml:space="preserve"> emissions from biofuels (biodiesel, bioethanol, firewood, etc.) are considered neutral in net terms (the amount of CO</t>
    </r>
    <r>
      <rPr>
        <vertAlign val="subscript"/>
        <sz val="10"/>
        <color theme="1"/>
        <rFont val="Arial"/>
        <family val="2"/>
        <scheme val="minor"/>
      </rPr>
      <t>2</t>
    </r>
    <r>
      <rPr>
        <sz val="10"/>
        <color theme="1"/>
        <rFont val="Arial"/>
        <family val="2"/>
        <scheme val="minor"/>
      </rPr>
      <t xml:space="preserve"> that biomass has captured throughout its life is equal to the amount that it then emits when burned) and for that reason they are not reported and are expressed as zero.On the other hand, if in your region has a mandatory blend of biodiesel and / or bioethanol in fuels, the calculator will automatically divide the amount of fuel entered in each of the parts of the mixture (gasoline / bioethanol; diesel / biodiesel). </t>
    </r>
  </si>
  <si>
    <t>Instructions</t>
  </si>
  <si>
    <t>1 - In the US, the mandatory minimums for 2021 according to the EPA's Renewable Fuel Standard were 5% biodiesel blend and 10% bioethanol blend. If these values ​​do not correspond to the current regulations in your country or you purchase fuels with other higher mixing percentages, you can modify the values manually in the green cells below.</t>
  </si>
  <si>
    <t>2 - Enter the amounts of gasoline and diesel consumed by the organization's vehicles in the column "Amount consumed". If any fuel is not used, leave the respective cell unfilled.</t>
  </si>
  <si>
    <t>3 - If the vehicle uses CNG (Compressed Natural Gas) complete the information in the "Natural Gas" category.</t>
  </si>
  <si>
    <t>4 - Select the unit for each fuel from the dropdown menu in the "Unit" column.</t>
  </si>
  <si>
    <t>Enter below the values you consider correct:</t>
  </si>
  <si>
    <t>Percentage of biodiesel blend in diesel (%)</t>
  </si>
  <si>
    <t>Percentage of bioethanol blend in gasoline (%)</t>
  </si>
  <si>
    <t>Actual quantities considering biofuel percentage blends</t>
  </si>
  <si>
    <t>1.3</t>
  </si>
  <si>
    <t xml:space="preserve">Fugitive Emissions </t>
  </si>
  <si>
    <t>1.3.1</t>
  </si>
  <si>
    <t>Refrigerants and Fire Suppression</t>
  </si>
  <si>
    <t>In this section, the GHG emissions for unintentional (fugitive) emissions (due to charges, recharges (due to leaks) of gases used for cooling (refrigeration, freezers), HVAC equipment and fire surpression devices are calculated.</t>
  </si>
  <si>
    <t>1 - Complete the "Refrigerants" form (by clicking on the gray button on the right) with the information of the refrigeration equipment of your organization. With this information, the calculator will automatically calculate the emissions related to this category.</t>
  </si>
  <si>
    <t>Complete "Refrigerants" sheet</t>
  </si>
  <si>
    <t>Gas or compound</t>
  </si>
  <si>
    <t>Global warming potential (GWP)</t>
  </si>
  <si>
    <t>Total reload (kg)</t>
  </si>
  <si>
    <r>
      <t>Emissions (kgCO</t>
    </r>
    <r>
      <rPr>
        <vertAlign val="subscript"/>
        <sz val="11"/>
        <color theme="1"/>
        <rFont val="Arial"/>
        <family val="2"/>
        <scheme val="minor"/>
      </rPr>
      <t>2</t>
    </r>
    <r>
      <rPr>
        <sz val="11"/>
        <color theme="1"/>
        <rFont val="Arial"/>
        <family val="2"/>
        <scheme val="minor"/>
      </rPr>
      <t>e)</t>
    </r>
  </si>
  <si>
    <t>Type of equipment</t>
  </si>
  <si>
    <t>Emissions (%)</t>
  </si>
  <si>
    <t>1.3.2</t>
  </si>
  <si>
    <t>Inhaled Anesthetic Gases</t>
  </si>
  <si>
    <t>In this section, the GHG emissions for inhaled anesthetic gases are calculated.</t>
  </si>
  <si>
    <t>1 - Complete the "Anesthetic gases" form (by clicking on the gray button on the right). With this information, the calculator will automatically calculate the emissions related to this category.</t>
  </si>
  <si>
    <t>Complete "Anesthetic Gases" sheet</t>
  </si>
  <si>
    <r>
      <t>Emissions in CO</t>
    </r>
    <r>
      <rPr>
        <vertAlign val="subscript"/>
        <sz val="11"/>
        <color theme="1"/>
        <rFont val="Arial"/>
        <family val="2"/>
        <scheme val="minor"/>
      </rPr>
      <t>2</t>
    </r>
    <r>
      <rPr>
        <sz val="11"/>
        <color theme="1"/>
        <rFont val="Arial"/>
        <family val="2"/>
        <scheme val="minor"/>
      </rPr>
      <t>e (kg)</t>
    </r>
  </si>
  <si>
    <t>N2O/O2 - 50/50 vol</t>
  </si>
  <si>
    <t xml:space="preserve">Scope 2 emissions are those that result from the generation of energy purchased by the organization. Typically, this category refers to purchased electricity and district fuels such as purchased steam, hot water or chilled water. The energy is produced by a provider (3rd party) at their own location and transported to the healthcare facility.These emissions do not occur physically at the organization, but rather where the energy is generated. </t>
  </si>
  <si>
    <t>2.1</t>
  </si>
  <si>
    <t>Purchased Electricity</t>
  </si>
  <si>
    <t xml:space="preserve">This section estimates the GHG emissions that result from the generation of electricity. It is important to note that this calculator uses the location-based method to calculate Scope 2 emissions. This means that all emissions are related to the utility grid you selected on row 5 of the Instructions tab. Some facilities choose to use a market-based approach for Scope 2 energy and that may result in their Scope 2 emissions having a lower emissions factor than the US region they are located in. </t>
  </si>
  <si>
    <t>Consumed quantity</t>
  </si>
  <si>
    <t>Emissions (kgCO2e)</t>
  </si>
  <si>
    <t>2.2</t>
  </si>
  <si>
    <t>Purchased Steam, Hot and Chilled Water</t>
  </si>
  <si>
    <t xml:space="preserve">This section calculates emissions that result from the production of district steam, hot water or chilled water. </t>
  </si>
  <si>
    <t>1- Please enter data for each type of district energy source.This calculation uses conversion factors specific to the US &amp; Canada .</t>
  </si>
  <si>
    <t>United States &amp; Canada</t>
  </si>
  <si>
    <t>1- Enter the amount of steam, chilled or hot water (in kbtu) in the appropriate row and column.</t>
  </si>
  <si>
    <t>Item</t>
  </si>
  <si>
    <t>Steam</t>
  </si>
  <si>
    <t>kbtu</t>
  </si>
  <si>
    <t>Hot Water</t>
  </si>
  <si>
    <t>Chilled Water- Electric Driven Chiller</t>
  </si>
  <si>
    <t>Chilled Water- Absorption Chiller using Natural Gas</t>
  </si>
  <si>
    <t>Chilled Water- Engine-Driven Chiller using Natural Gas</t>
  </si>
  <si>
    <t>Family/ Type</t>
  </si>
  <si>
    <t>GWP (Global Warming Potential)</t>
  </si>
  <si>
    <t>Classification</t>
  </si>
  <si>
    <t>Density (kg/m3)</t>
  </si>
  <si>
    <t>Comments</t>
  </si>
  <si>
    <t>Fuel oil/Bunker</t>
  </si>
  <si>
    <t>Fuel unit</t>
  </si>
  <si>
    <t>Density [Kg/fuel unit]; LPG [kg/liter]</t>
  </si>
  <si>
    <t>Low heating value [MJ/Kg]</t>
  </si>
  <si>
    <t>EF Stationary Combustion - CO2 [gCO2/MJ]</t>
  </si>
  <si>
    <t>EF Stationary Combustion -  CH4 [gCH4/MJ]</t>
  </si>
  <si>
    <t>EF Stationary Combustion -  N2O [gN2O/MJ]</t>
  </si>
  <si>
    <t>EF Mobile Combustion - CO2 [gCO2/MJ]</t>
  </si>
  <si>
    <t>FE Mobile Combustion  -  CH4 [gCH4/MJ]</t>
  </si>
  <si>
    <t>FE Mobile Combustion  -  N2O [gN2O/MJ]</t>
  </si>
  <si>
    <t>Type of vehicle/transport</t>
  </si>
  <si>
    <t>EF CO2 [gCO2/(passenger*km)] *</t>
  </si>
  <si>
    <t>EF CH4 [gCH4/(passenger*km)] *</t>
  </si>
  <si>
    <t>EF N2O [gN2O/(passenger*km)] *</t>
  </si>
  <si>
    <t>Compost</t>
  </si>
  <si>
    <t>EF [g gas/Kg de desecho húmedo]</t>
  </si>
  <si>
    <t>Vehicles for business trips</t>
  </si>
  <si>
    <t>Vehicles for the transfer of personnel and patients</t>
  </si>
  <si>
    <t>Service hours</t>
  </si>
  <si>
    <t>Type of health care institution</t>
  </si>
  <si>
    <t>Reason to visit</t>
  </si>
  <si>
    <t>Sample period</t>
  </si>
  <si>
    <t>Times factor</t>
  </si>
  <si>
    <t>Type of cooling equipment</t>
  </si>
  <si>
    <t>Grid emission factor</t>
  </si>
  <si>
    <t>T&amp;D losses</t>
  </si>
  <si>
    <t>Biofuel blends</t>
  </si>
  <si>
    <t>Composition of waste by type of material [%]</t>
  </si>
  <si>
    <t>Region</t>
  </si>
  <si>
    <t>GHG sources categories</t>
  </si>
  <si>
    <t>Yes/No</t>
  </si>
  <si>
    <t>SI</t>
  </si>
  <si>
    <t>non SI unit</t>
  </si>
  <si>
    <t>Volume and/or liquid fuels (gasoline, diesel, fuel oil, kerosene, biodiesel)</t>
  </si>
  <si>
    <t>Solid fuels (coal, wood) or activity data (ie. Waste)</t>
  </si>
  <si>
    <t>In situ / Ex situ</t>
  </si>
  <si>
    <t>Inhaler</t>
  </si>
  <si>
    <t>Refrigerant storage capacity / Unit options</t>
  </si>
  <si>
    <t>WIOD Mapping</t>
  </si>
  <si>
    <t>Currency Table</t>
  </si>
  <si>
    <t>District energy</t>
  </si>
  <si>
    <t>District Energy</t>
  </si>
  <si>
    <t>States and Provinces (US and Canada)</t>
  </si>
  <si>
    <t>Continent/Region</t>
  </si>
  <si>
    <t>Sub-region</t>
  </si>
  <si>
    <t>Value (g/kWh)</t>
  </si>
  <si>
    <t>Reference</t>
  </si>
  <si>
    <t>Value (%)</t>
  </si>
  <si>
    <t>Biodiesel (%)</t>
  </si>
  <si>
    <t>Bioethanol (%)</t>
  </si>
  <si>
    <t>Paper/cardboard</t>
  </si>
  <si>
    <t>Textiles</t>
  </si>
  <si>
    <t>Food waste</t>
  </si>
  <si>
    <t>Garden and Park Waste</t>
  </si>
  <si>
    <t>Nappies</t>
  </si>
  <si>
    <t>Other</t>
  </si>
  <si>
    <t>District Steam</t>
  </si>
  <si>
    <t>District Hot Water</t>
  </si>
  <si>
    <t>Pregunto</t>
  </si>
  <si>
    <t>Value</t>
  </si>
  <si>
    <t>non-SI unit</t>
  </si>
  <si>
    <t>Emissiones per dose (kgCO2e/dose)</t>
  </si>
  <si>
    <t>WIOD Country</t>
  </si>
  <si>
    <t>Country  Code</t>
  </si>
  <si>
    <t>Currency Name</t>
  </si>
  <si>
    <t>Code</t>
  </si>
  <si>
    <t>Source options</t>
  </si>
  <si>
    <t>Unit Options</t>
  </si>
  <si>
    <t>CH4</t>
  </si>
  <si>
    <t>-</t>
  </si>
  <si>
    <r>
      <t>m</t>
    </r>
    <r>
      <rPr>
        <vertAlign val="superscript"/>
        <sz val="10"/>
        <color theme="1"/>
        <rFont val="Arial"/>
        <family val="2"/>
        <scheme val="minor"/>
      </rPr>
      <t>3</t>
    </r>
  </si>
  <si>
    <t>Also used as CNG (Compressed Natural Gas) in mobile combustion.</t>
  </si>
  <si>
    <t>Private car (diesel)</t>
  </si>
  <si>
    <t>(8)</t>
  </si>
  <si>
    <t>Administrative-Only</t>
  </si>
  <si>
    <t>Medical consultations and outpatient procedures</t>
  </si>
  <si>
    <t>7 days</t>
  </si>
  <si>
    <t>Centralized equipment</t>
  </si>
  <si>
    <t>Canada-Alberta (AB)</t>
  </si>
  <si>
    <t>Asia</t>
  </si>
  <si>
    <t>(CE#8)</t>
  </si>
  <si>
    <t>(CE#25) Middle East &amp; North Africa value.</t>
  </si>
  <si>
    <t>(12)</t>
  </si>
  <si>
    <t>Eastern Asia</t>
  </si>
  <si>
    <t>Yes</t>
  </si>
  <si>
    <t>m3</t>
  </si>
  <si>
    <t>mmBTU</t>
  </si>
  <si>
    <t>(32)</t>
  </si>
  <si>
    <t>liter</t>
  </si>
  <si>
    <t>In situ</t>
  </si>
  <si>
    <t>MDI</t>
  </si>
  <si>
    <t>(34)</t>
  </si>
  <si>
    <t>Afghanistan afghani</t>
  </si>
  <si>
    <t>AFA</t>
  </si>
  <si>
    <t>Geothermal</t>
  </si>
  <si>
    <t>US - Alabama</t>
  </si>
  <si>
    <t>N2O</t>
  </si>
  <si>
    <t>Anesthetic</t>
  </si>
  <si>
    <t>(30)</t>
  </si>
  <si>
    <t>Density at 15ºC and atmosferic pression (1 bar)</t>
  </si>
  <si>
    <t>liters</t>
  </si>
  <si>
    <t>For generator testing</t>
  </si>
  <si>
    <t>Private car (gasoline)</t>
  </si>
  <si>
    <t>Academic Medical Center</t>
  </si>
  <si>
    <t>Internment</t>
  </si>
  <si>
    <t>1 month</t>
  </si>
  <si>
    <t>Extinguisher</t>
  </si>
  <si>
    <t>Canada-British Columbia (BC)</t>
  </si>
  <si>
    <t>Europe</t>
  </si>
  <si>
    <t xml:space="preserve">(CE#25) </t>
  </si>
  <si>
    <t>South-Central Asia</t>
  </si>
  <si>
    <t>No</t>
  </si>
  <si>
    <t>SCF</t>
  </si>
  <si>
    <t>gallon</t>
  </si>
  <si>
    <t>Ex situ</t>
  </si>
  <si>
    <t>DPI</t>
  </si>
  <si>
    <t>Albanian lek</t>
  </si>
  <si>
    <t>ALL</t>
  </si>
  <si>
    <t>Grid electricity</t>
  </si>
  <si>
    <t>1000 pounds</t>
  </si>
  <si>
    <t>US - Alaska</t>
  </si>
  <si>
    <t>Isoflurane</t>
  </si>
  <si>
    <t>(29)</t>
  </si>
  <si>
    <t>Fuel Oil #2</t>
  </si>
  <si>
    <t>"Residual Fuel Oil" values.</t>
  </si>
  <si>
    <t>Private car (CNG)</t>
  </si>
  <si>
    <t>(24)</t>
  </si>
  <si>
    <t>Se toma "Passenger Car - CNG - Engine Size Unknown". No se encontraron FE para CH4 y N2O.</t>
  </si>
  <si>
    <t>Referencias</t>
  </si>
  <si>
    <t>(16)</t>
  </si>
  <si>
    <t>Academic Medical Center w/ Onsite Research</t>
  </si>
  <si>
    <t>Withdrawal from studies or medication</t>
  </si>
  <si>
    <t>Annual</t>
  </si>
  <si>
    <t>Freezer</t>
  </si>
  <si>
    <t>Canada-Manitoba (MT)</t>
  </si>
  <si>
    <t>Africa</t>
  </si>
  <si>
    <t>South-Eastern Asia</t>
  </si>
  <si>
    <t>metric ton</t>
  </si>
  <si>
    <t>Algerian dinar</t>
  </si>
  <si>
    <t>DZD</t>
  </si>
  <si>
    <t>Incineration - WTE</t>
  </si>
  <si>
    <t>US - Arizona</t>
  </si>
  <si>
    <t>Sevoflurane</t>
  </si>
  <si>
    <t>"Motor gasoline" values.</t>
  </si>
  <si>
    <t>Plane - Short</t>
  </si>
  <si>
    <t>(10)</t>
  </si>
  <si>
    <t>Plane</t>
  </si>
  <si>
    <t>Ambulatory Surgery Center</t>
  </si>
  <si>
    <t>Shift request</t>
  </si>
  <si>
    <t>Freezer / Vaccines</t>
  </si>
  <si>
    <t>Canada-New Brunswick (NB)</t>
  </si>
  <si>
    <t>Oceania</t>
  </si>
  <si>
    <t>(CE#25) East Asia &amp; Pacific value.</t>
  </si>
  <si>
    <t>Western Asia &amp; Middle East</t>
  </si>
  <si>
    <t>therms (US)</t>
  </si>
  <si>
    <t>Angolan kwanza reajustado</t>
  </si>
  <si>
    <t>AOR</t>
  </si>
  <si>
    <t>ton-hour</t>
  </si>
  <si>
    <t>Desflurane</t>
  </si>
  <si>
    <t>Liquefied Petroleum Gases (LPG)</t>
  </si>
  <si>
    <t>Plane - Medium</t>
  </si>
  <si>
    <t>Community Hospital</t>
  </si>
  <si>
    <t>Emergencies</t>
  </si>
  <si>
    <t>Mini split</t>
  </si>
  <si>
    <t>Canada-Newfoundland and Labrador (NL)</t>
  </si>
  <si>
    <t>(CE#25) European Union value.</t>
  </si>
  <si>
    <t>Eastern Africa</t>
  </si>
  <si>
    <t>CCF</t>
  </si>
  <si>
    <t>Argentine peso</t>
  </si>
  <si>
    <t>ARS</t>
  </si>
  <si>
    <t>Solar thermal</t>
  </si>
  <si>
    <t>(31)</t>
  </si>
  <si>
    <t>Kerosene</t>
  </si>
  <si>
    <t>"Other Kerosene" values.</t>
  </si>
  <si>
    <t>Plane - Long</t>
  </si>
  <si>
    <t>Visits</t>
  </si>
  <si>
    <t>Multi Split</t>
  </si>
  <si>
    <t>Canada-Nova Scotia (NS)</t>
  </si>
  <si>
    <t>Middle Africa</t>
  </si>
  <si>
    <t>MCF</t>
  </si>
  <si>
    <t>Armenian dram</t>
  </si>
  <si>
    <t>AMD</t>
  </si>
  <si>
    <t>Refrigerant</t>
  </si>
  <si>
    <t>"Other Bituminous Coal" values.</t>
  </si>
  <si>
    <t>(9)</t>
  </si>
  <si>
    <t>Laboratory</t>
  </si>
  <si>
    <t>Others (meetings, payments, etc.)</t>
  </si>
  <si>
    <t>Refrigerator</t>
  </si>
  <si>
    <t>Canada-Northwest Territories (NT)</t>
  </si>
  <si>
    <t>Americas</t>
  </si>
  <si>
    <t>(CE#25) Caribbean small states value.</t>
  </si>
  <si>
    <t>Northern Africa</t>
  </si>
  <si>
    <t>only for LPG (24)</t>
  </si>
  <si>
    <t>Aruban guilder</t>
  </si>
  <si>
    <t>AWG</t>
  </si>
  <si>
    <t>Do not know it</t>
  </si>
  <si>
    <t>"Wood/Wood Waste" values.</t>
  </si>
  <si>
    <t>Long distance bus</t>
  </si>
  <si>
    <t>Long-Term Care Hospital</t>
  </si>
  <si>
    <t>Refrigerator / Vaccines</t>
  </si>
  <si>
    <t>Canada-Nunavut (NU)</t>
  </si>
  <si>
    <t>Southern Africa</t>
  </si>
  <si>
    <t>Australian dollar</t>
  </si>
  <si>
    <t>AUD</t>
  </si>
  <si>
    <t>Private SUV or truck (diesel)</t>
  </si>
  <si>
    <t>Medical Office Building</t>
  </si>
  <si>
    <t>Vending machine</t>
  </si>
  <si>
    <t>Canada-Ontario (ON)</t>
  </si>
  <si>
    <t>(CE#1)</t>
  </si>
  <si>
    <t>CB#3;CB#4</t>
  </si>
  <si>
    <t>(11)</t>
  </si>
  <si>
    <t>Western Africa</t>
  </si>
  <si>
    <t>Azerbaijanian new manat</t>
  </si>
  <si>
    <t>AZN</t>
  </si>
  <si>
    <t>Biogasoline/Bioethanol</t>
  </si>
  <si>
    <t>"Biogasoline" values.</t>
  </si>
  <si>
    <t>Private SUV (gasolina)</t>
  </si>
  <si>
    <t>Outpatient Center</t>
  </si>
  <si>
    <t>Canada-Prince Edward Island (PE)</t>
  </si>
  <si>
    <t>Eastern Europe</t>
  </si>
  <si>
    <t>Bahamian dollar</t>
  </si>
  <si>
    <t>BSD</t>
  </si>
  <si>
    <t xml:space="preserve">(24); (25); (26)  </t>
  </si>
  <si>
    <t>(1)</t>
  </si>
  <si>
    <t>(2)</t>
  </si>
  <si>
    <t>(3)</t>
  </si>
  <si>
    <t>(4)</t>
  </si>
  <si>
    <t>Private SUC or truck (CNG)</t>
  </si>
  <si>
    <t>(24); (8); (8)</t>
  </si>
  <si>
    <t>Specialty Hospital</t>
  </si>
  <si>
    <t>Canada-Quebec (QC)</t>
  </si>
  <si>
    <t>Northern Europe</t>
  </si>
  <si>
    <t>Bahraini dinar</t>
  </si>
  <si>
    <t>BHD</t>
  </si>
  <si>
    <t>Subway</t>
  </si>
  <si>
    <t>Canada-Saskatchewan (SK)</t>
  </si>
  <si>
    <t>(CE#22)</t>
  </si>
  <si>
    <t>Southern Europe</t>
  </si>
  <si>
    <t>Bangladeshi taka</t>
  </si>
  <si>
    <t>BDT</t>
  </si>
  <si>
    <t>Canada-Yukon Territory (YT)</t>
  </si>
  <si>
    <t>Western Europe</t>
  </si>
  <si>
    <t>Barbados dollar</t>
  </si>
  <si>
    <t>BBD</t>
  </si>
  <si>
    <t>Taxi</t>
  </si>
  <si>
    <t>US-AKGD (ASCC Alaska Grid)</t>
  </si>
  <si>
    <t>Australia and New Zealand</t>
  </si>
  <si>
    <t>Belarusian ruble</t>
  </si>
  <si>
    <t>BYN</t>
  </si>
  <si>
    <t>Train</t>
  </si>
  <si>
    <t>Rest of Oceania</t>
  </si>
  <si>
    <t>Belize dollar</t>
  </si>
  <si>
    <t>BZD</t>
  </si>
  <si>
    <t>US-AZNM (WECC Southwest)</t>
  </si>
  <si>
    <t>North America</t>
  </si>
  <si>
    <t>Bermudian dollar</t>
  </si>
  <si>
    <t>BMD</t>
  </si>
  <si>
    <t>US-CAMX (WECC California)</t>
  </si>
  <si>
    <t>Central America</t>
  </si>
  <si>
    <t>Bhutan ngultrum</t>
  </si>
  <si>
    <t>BTN</t>
  </si>
  <si>
    <t>Classification of types of flights</t>
  </si>
  <si>
    <t>From (km)</t>
  </si>
  <si>
    <t>To (km)</t>
  </si>
  <si>
    <t>US-ERCT (ERCOT All)</t>
  </si>
  <si>
    <t>South America</t>
  </si>
  <si>
    <t>Bolivian boliviano</t>
  </si>
  <si>
    <t>BOB</t>
  </si>
  <si>
    <t>(23)</t>
  </si>
  <si>
    <t>US-FRCC (FRCC All)</t>
  </si>
  <si>
    <t>Caribbean</t>
  </si>
  <si>
    <t>Botswana pula</t>
  </si>
  <si>
    <t>BWP</t>
  </si>
  <si>
    <t>HFC-236ea</t>
  </si>
  <si>
    <t>(10) ; (23)</t>
  </si>
  <si>
    <t>US-HIMS (HICC Miscellaneous)</t>
  </si>
  <si>
    <t>Brazilian real</t>
  </si>
  <si>
    <t>BRL</t>
  </si>
  <si>
    <t>HFC-236fa</t>
  </si>
  <si>
    <t>No upper limit</t>
  </si>
  <si>
    <t>US-HIOA (HICC Oahu)</t>
  </si>
  <si>
    <t>(CE#7)</t>
  </si>
  <si>
    <t>CB#1</t>
  </si>
  <si>
    <t>British pound</t>
  </si>
  <si>
    <t>GBP</t>
  </si>
  <si>
    <t>HFC-245ca</t>
  </si>
  <si>
    <t>US-MROE (MRO East)</t>
  </si>
  <si>
    <t>Brunei dollar</t>
  </si>
  <si>
    <t>BND</t>
  </si>
  <si>
    <t>HFC-245fa</t>
  </si>
  <si>
    <t>1 mile =</t>
  </si>
  <si>
    <t>km</t>
  </si>
  <si>
    <t>US-MROW (MRO West)</t>
  </si>
  <si>
    <t>(CE#25) Portugal value.</t>
  </si>
  <si>
    <t>Bulgarian lev</t>
  </si>
  <si>
    <t>BGN</t>
  </si>
  <si>
    <t>HFC-365mfc</t>
  </si>
  <si>
    <t>US-NEWE (NPCC New England)</t>
  </si>
  <si>
    <t>Burundi franc</t>
  </si>
  <si>
    <t>BIF</t>
  </si>
  <si>
    <t>HFC-43-10mee</t>
  </si>
  <si>
    <t>US-NWPP (WECC Northwest)</t>
  </si>
  <si>
    <t>Cambodian riel</t>
  </si>
  <si>
    <t>KHR</t>
  </si>
  <si>
    <t>US-NYCW (NPCC NYC/Westchester)</t>
  </si>
  <si>
    <t>Canadian dollar</t>
  </si>
  <si>
    <t>CAD</t>
  </si>
  <si>
    <t>US-NYLI (NPCC Long Island)</t>
  </si>
  <si>
    <t>Cape Verde escudo</t>
  </si>
  <si>
    <t>CVE</t>
  </si>
  <si>
    <t>PFC-14</t>
  </si>
  <si>
    <t>PFC</t>
  </si>
  <si>
    <t>US-NYUP (NPCC Upstate NY)</t>
  </si>
  <si>
    <t>Cayman Islands dollar</t>
  </si>
  <si>
    <t>KYD</t>
  </si>
  <si>
    <t>PFC-116</t>
  </si>
  <si>
    <t>US-RFCE (RFC East)</t>
  </si>
  <si>
    <t>CFA franc BCEAO</t>
  </si>
  <si>
    <t>XOF</t>
  </si>
  <si>
    <t>PFC-218</t>
  </si>
  <si>
    <t>US-RFCM (RFC Michigan)</t>
  </si>
  <si>
    <t>(CE#25) Latin America &amp; Caribbean value.</t>
  </si>
  <si>
    <t>CFA franc BEAC</t>
  </si>
  <si>
    <t>XAF</t>
  </si>
  <si>
    <t>PFC-318</t>
  </si>
  <si>
    <t>US-RFCW (RFC West)</t>
  </si>
  <si>
    <t>(CE#25) Middle East &amp; North Africa</t>
  </si>
  <si>
    <t>CFP franc</t>
  </si>
  <si>
    <t>XPF</t>
  </si>
  <si>
    <t>US-RMPA (WECC Rockies)</t>
  </si>
  <si>
    <t>Chilean peso</t>
  </si>
  <si>
    <t>CLP</t>
  </si>
  <si>
    <t>US-SPNO (SPP North)</t>
  </si>
  <si>
    <t>(CE#25) South Asia value.</t>
  </si>
  <si>
    <t>Chinese yuan renminbi</t>
  </si>
  <si>
    <t>CNY</t>
  </si>
  <si>
    <t>US-SPSO (SPP South)</t>
  </si>
  <si>
    <t>Colombian peso</t>
  </si>
  <si>
    <t>COP</t>
  </si>
  <si>
    <t>US-SRMV (SERC Mississippi Valley)</t>
  </si>
  <si>
    <t>Comoros franc</t>
  </si>
  <si>
    <t>KMF</t>
  </si>
  <si>
    <t>US-SRMW (SERC Midwest)</t>
  </si>
  <si>
    <t>Congolese franc</t>
  </si>
  <si>
    <t>CDF</t>
  </si>
  <si>
    <t>US-SRSO (SERC South)</t>
  </si>
  <si>
    <t>Costa Rican colon</t>
  </si>
  <si>
    <t>CRC</t>
  </si>
  <si>
    <t>R-11</t>
  </si>
  <si>
    <t>US-SRTV (SERC Tennessee Valley)</t>
  </si>
  <si>
    <t>Croatian kuna</t>
  </si>
  <si>
    <t>HRK</t>
  </si>
  <si>
    <t>R-12</t>
  </si>
  <si>
    <t>US-SRVC (SERC Virginia/Carolina)</t>
  </si>
  <si>
    <t>Cuban peso</t>
  </si>
  <si>
    <t>CUP</t>
  </si>
  <si>
    <t>R-22</t>
  </si>
  <si>
    <t>Bulgaria</t>
  </si>
  <si>
    <t>Czech koruna</t>
  </si>
  <si>
    <t>CZK</t>
  </si>
  <si>
    <t>R-44</t>
  </si>
  <si>
    <t>Burkina Faso</t>
  </si>
  <si>
    <t>Danish krone</t>
  </si>
  <si>
    <t>DKK</t>
  </si>
  <si>
    <t>R-123</t>
  </si>
  <si>
    <t>Burundi</t>
  </si>
  <si>
    <t>(CE#25) Sub-Saharan Africa value.</t>
  </si>
  <si>
    <t>Djibouti franc</t>
  </si>
  <si>
    <t>DJF</t>
  </si>
  <si>
    <t>R-290</t>
  </si>
  <si>
    <t>Cambodia</t>
  </si>
  <si>
    <t>Dominican peso</t>
  </si>
  <si>
    <t>DOP</t>
  </si>
  <si>
    <t>Cameroon</t>
  </si>
  <si>
    <t>East Caribbean dollar</t>
  </si>
  <si>
    <t>XCD</t>
  </si>
  <si>
    <t>R-401A</t>
  </si>
  <si>
    <t>(CE#23)</t>
  </si>
  <si>
    <t>kgCO2e/kbtu</t>
  </si>
  <si>
    <t>CH#1</t>
  </si>
  <si>
    <t>Egyptian pound</t>
  </si>
  <si>
    <t>EGP</t>
  </si>
  <si>
    <t>R-401B</t>
  </si>
  <si>
    <t>El Salvador colon</t>
  </si>
  <si>
    <t>SVC</t>
  </si>
  <si>
    <t>R-401C</t>
  </si>
  <si>
    <t>Eritrean nakfa</t>
  </si>
  <si>
    <t>ERN</t>
  </si>
  <si>
    <t>R-402A</t>
  </si>
  <si>
    <t>Estonian kroon</t>
  </si>
  <si>
    <t>EEK</t>
  </si>
  <si>
    <t>R-402B</t>
  </si>
  <si>
    <t>Ethiopian birr</t>
  </si>
  <si>
    <t>ETB</t>
  </si>
  <si>
    <t>R-403A</t>
  </si>
  <si>
    <t>EU euro</t>
  </si>
  <si>
    <t>EUR</t>
  </si>
  <si>
    <t>R-403B</t>
  </si>
  <si>
    <t>Fiji dollar</t>
  </si>
  <si>
    <t>FJD</t>
  </si>
  <si>
    <t>R-404A</t>
  </si>
  <si>
    <t>Gambian dalasi</t>
  </si>
  <si>
    <t>GMD</t>
  </si>
  <si>
    <t>R-406A</t>
  </si>
  <si>
    <t>Georgian lari</t>
  </si>
  <si>
    <t>GEL</t>
  </si>
  <si>
    <t>R-407A</t>
  </si>
  <si>
    <t>Ghanaian new cedi</t>
  </si>
  <si>
    <t>GHS</t>
  </si>
  <si>
    <t>R-407B</t>
  </si>
  <si>
    <t>Gibraltar pound</t>
  </si>
  <si>
    <t>GIP</t>
  </si>
  <si>
    <t>R-407C</t>
  </si>
  <si>
    <t>Gold franc</t>
  </si>
  <si>
    <t>XFO</t>
  </si>
  <si>
    <t>R-407D</t>
  </si>
  <si>
    <t>Guatemalan quetzal</t>
  </si>
  <si>
    <t>GTQ</t>
  </si>
  <si>
    <t>R-407E</t>
  </si>
  <si>
    <t>Canary Islands (Spain)</t>
  </si>
  <si>
    <t>Guinean franc</t>
  </si>
  <si>
    <t>GNF</t>
  </si>
  <si>
    <t>R-407F</t>
  </si>
  <si>
    <t>Cape Verde</t>
  </si>
  <si>
    <t>Guyana dollar</t>
  </si>
  <si>
    <t>GYD</t>
  </si>
  <si>
    <t>R-408A</t>
  </si>
  <si>
    <t>Cayman Islands</t>
  </si>
  <si>
    <t>Haitian gourde</t>
  </si>
  <si>
    <t>HTG</t>
  </si>
  <si>
    <t>R-409A</t>
  </si>
  <si>
    <t>Central African Republic</t>
  </si>
  <si>
    <t>Honduran lempira</t>
  </si>
  <si>
    <t>HNL</t>
  </si>
  <si>
    <t>R-409B</t>
  </si>
  <si>
    <t>Chad</t>
  </si>
  <si>
    <t>Hong Kong SAR dollar</t>
  </si>
  <si>
    <t>HKD</t>
  </si>
  <si>
    <t>R-410A</t>
  </si>
  <si>
    <t>Channel Islands</t>
  </si>
  <si>
    <t>Hungarian forint</t>
  </si>
  <si>
    <t>HUF</t>
  </si>
  <si>
    <t>R-410B</t>
  </si>
  <si>
    <t>(CE#11)</t>
  </si>
  <si>
    <t>Icelandic krona</t>
  </si>
  <si>
    <t>ISK</t>
  </si>
  <si>
    <t>R-411A</t>
  </si>
  <si>
    <t>(CE#13)</t>
  </si>
  <si>
    <t>CB#5</t>
  </si>
  <si>
    <t>Indian rupee</t>
  </si>
  <si>
    <t>INR</t>
  </si>
  <si>
    <t>R-411B</t>
  </si>
  <si>
    <t>(CE#2)</t>
  </si>
  <si>
    <t>Indonesian rupiah</t>
  </si>
  <si>
    <t>IDR</t>
  </si>
  <si>
    <t>R-412A</t>
  </si>
  <si>
    <t>Comoros</t>
  </si>
  <si>
    <t>Iranian rial</t>
  </si>
  <si>
    <t>IRR</t>
  </si>
  <si>
    <t>Congo. Democratic Republic of</t>
  </si>
  <si>
    <t>Iraqi dinar</t>
  </si>
  <si>
    <t>IQD</t>
  </si>
  <si>
    <t>Congo. Republic of</t>
  </si>
  <si>
    <t>Israeli new shekel</t>
  </si>
  <si>
    <t>ILS</t>
  </si>
  <si>
    <t>Cook Islands</t>
  </si>
  <si>
    <t>Jamaican dollar</t>
  </si>
  <si>
    <t>JMD</t>
  </si>
  <si>
    <t>R-415A</t>
  </si>
  <si>
    <t>(CE#3)</t>
  </si>
  <si>
    <t>(13)</t>
  </si>
  <si>
    <t>Japanese yen</t>
  </si>
  <si>
    <t>JPY</t>
  </si>
  <si>
    <t>R-415B</t>
  </si>
  <si>
    <t>Côte d'Ivoire</t>
  </si>
  <si>
    <t>Jordanian dinar</t>
  </si>
  <si>
    <t>JOD</t>
  </si>
  <si>
    <t>R-416A</t>
  </si>
  <si>
    <t>Croatia</t>
  </si>
  <si>
    <t>Kazakh tenge</t>
  </si>
  <si>
    <t>KZT</t>
  </si>
  <si>
    <t>R-417A</t>
  </si>
  <si>
    <t>Cuba</t>
  </si>
  <si>
    <t>Kenyan shilling</t>
  </si>
  <si>
    <t>KES</t>
  </si>
  <si>
    <t>R-417B</t>
  </si>
  <si>
    <t>Curaçao (Netherlands)</t>
  </si>
  <si>
    <t>Kuwaiti dinar</t>
  </si>
  <si>
    <t>KWD</t>
  </si>
  <si>
    <t>R-417C</t>
  </si>
  <si>
    <t>Cyprus</t>
  </si>
  <si>
    <t>Kyrgyz som</t>
  </si>
  <si>
    <t>KGS</t>
  </si>
  <si>
    <t>R-418A</t>
  </si>
  <si>
    <t>Czechia</t>
  </si>
  <si>
    <t>Lao kip</t>
  </si>
  <si>
    <t>LAK</t>
  </si>
  <si>
    <t>R-419A</t>
  </si>
  <si>
    <t>Denmark</t>
  </si>
  <si>
    <t>Latvian lats</t>
  </si>
  <si>
    <t>LVL</t>
  </si>
  <si>
    <t>R-419B</t>
  </si>
  <si>
    <t>Djibouti</t>
  </si>
  <si>
    <t>Lebanese pound</t>
  </si>
  <si>
    <t>LBP</t>
  </si>
  <si>
    <t>R-420A</t>
  </si>
  <si>
    <t>Dominica</t>
  </si>
  <si>
    <t>Lesotho loti</t>
  </si>
  <si>
    <t>LSL</t>
  </si>
  <si>
    <t>R-421A</t>
  </si>
  <si>
    <t>Dominican Republic</t>
  </si>
  <si>
    <t>Liberian dollar</t>
  </si>
  <si>
    <t>LRD</t>
  </si>
  <si>
    <t>R-421B</t>
  </si>
  <si>
    <t>Ecuador</t>
  </si>
  <si>
    <t>Libyan dinar</t>
  </si>
  <si>
    <t>LYD</t>
  </si>
  <si>
    <t>R-422A</t>
  </si>
  <si>
    <t>Lithuanian litas</t>
  </si>
  <si>
    <t>LTL</t>
  </si>
  <si>
    <t>R-422B</t>
  </si>
  <si>
    <t>El Salvador</t>
  </si>
  <si>
    <t>Macao SAR pataca</t>
  </si>
  <si>
    <t>MOP</t>
  </si>
  <si>
    <t>R-422C</t>
  </si>
  <si>
    <t>Equatorial Guinea</t>
  </si>
  <si>
    <t>Macedonian denar</t>
  </si>
  <si>
    <t>MKD</t>
  </si>
  <si>
    <t>R-422D</t>
  </si>
  <si>
    <t>Eritrea</t>
  </si>
  <si>
    <t>Malagasy ariary</t>
  </si>
  <si>
    <t>MGA</t>
  </si>
  <si>
    <t>R-422E</t>
  </si>
  <si>
    <t>Estonia</t>
  </si>
  <si>
    <t>Malawi kwacha</t>
  </si>
  <si>
    <t>MWK</t>
  </si>
  <si>
    <t>R-423A</t>
  </si>
  <si>
    <t>Eswatini</t>
  </si>
  <si>
    <t>Malaysian ringgit</t>
  </si>
  <si>
    <t>MYR</t>
  </si>
  <si>
    <t>R-424A</t>
  </si>
  <si>
    <t>Ethiopia</t>
  </si>
  <si>
    <t>Maldivian rufiyaa</t>
  </si>
  <si>
    <t>MVR</t>
  </si>
  <si>
    <t>R-425A</t>
  </si>
  <si>
    <t>Faroe Islands (Denmark)</t>
  </si>
  <si>
    <t>Mauritanian ouguiya</t>
  </si>
  <si>
    <t>MRO</t>
  </si>
  <si>
    <t>R-426A</t>
  </si>
  <si>
    <t>Fiji</t>
  </si>
  <si>
    <t>Mauritius rupee</t>
  </si>
  <si>
    <t>MUR</t>
  </si>
  <si>
    <t>R-427A</t>
  </si>
  <si>
    <t>Finland</t>
  </si>
  <si>
    <t>Mexican peso</t>
  </si>
  <si>
    <t>MXN</t>
  </si>
  <si>
    <t>R-428A</t>
  </si>
  <si>
    <t>Moldovan leu</t>
  </si>
  <si>
    <t>MDL</t>
  </si>
  <si>
    <t>R-429A</t>
  </si>
  <si>
    <t>French Guiana</t>
  </si>
  <si>
    <t>Mongolian tugrik</t>
  </si>
  <si>
    <t>MNT</t>
  </si>
  <si>
    <t>R-430A</t>
  </si>
  <si>
    <t>French Polynesia</t>
  </si>
  <si>
    <t>Moroccan dirham</t>
  </si>
  <si>
    <t>MAD</t>
  </si>
  <si>
    <t>R-431A</t>
  </si>
  <si>
    <t>Gabon</t>
  </si>
  <si>
    <t>Mozambique new metical</t>
  </si>
  <si>
    <t>MZN</t>
  </si>
  <si>
    <t>Gambia</t>
  </si>
  <si>
    <t>Myanmar kyat</t>
  </si>
  <si>
    <t>MMK</t>
  </si>
  <si>
    <t>Namibian dollar</t>
  </si>
  <si>
    <t>NAD</t>
  </si>
  <si>
    <t>R-434A</t>
  </si>
  <si>
    <t>Nepalese rupee</t>
  </si>
  <si>
    <t>NPR</t>
  </si>
  <si>
    <t>R-435A</t>
  </si>
  <si>
    <t>Ghana</t>
  </si>
  <si>
    <t>Netherlands Antillian guilder</t>
  </si>
  <si>
    <t>ANG</t>
  </si>
  <si>
    <t>Greece</t>
  </si>
  <si>
    <t>New Zealand dollar</t>
  </si>
  <si>
    <t>NZD</t>
  </si>
  <si>
    <t>Greenland</t>
  </si>
  <si>
    <t>(CE#25) World value.</t>
  </si>
  <si>
    <t>Nicaraguan cordoba oro</t>
  </si>
  <si>
    <t>NIO</t>
  </si>
  <si>
    <t>R-437A</t>
  </si>
  <si>
    <t>Grenada</t>
  </si>
  <si>
    <t>Nigerian naira</t>
  </si>
  <si>
    <t>NGN</t>
  </si>
  <si>
    <t>R-438A</t>
  </si>
  <si>
    <t>Guadeloupe (France)</t>
  </si>
  <si>
    <t>North Korean won</t>
  </si>
  <si>
    <t>KPW</t>
  </si>
  <si>
    <t>R-439A</t>
  </si>
  <si>
    <t>Guam</t>
  </si>
  <si>
    <t>Norwegian krone</t>
  </si>
  <si>
    <t>NOK</t>
  </si>
  <si>
    <t>R-440A</t>
  </si>
  <si>
    <t>Guatemala</t>
  </si>
  <si>
    <t>(CE#4)</t>
  </si>
  <si>
    <t>Omani rial</t>
  </si>
  <si>
    <t>OMR</t>
  </si>
  <si>
    <t>Guinea</t>
  </si>
  <si>
    <t>Pakistani rupee</t>
  </si>
  <si>
    <t>PKR</t>
  </si>
  <si>
    <t>R-442A</t>
  </si>
  <si>
    <t>Guinea-Bissau</t>
  </si>
  <si>
    <t>Panamanian balboa</t>
  </si>
  <si>
    <t>PAB</t>
  </si>
  <si>
    <t>Guyana</t>
  </si>
  <si>
    <t>Papua New Guinea kina</t>
  </si>
  <si>
    <t>PGK</t>
  </si>
  <si>
    <t>R-444A</t>
  </si>
  <si>
    <t>Haiti</t>
  </si>
  <si>
    <t>Paraguayan guarani</t>
  </si>
  <si>
    <t>PYG</t>
  </si>
  <si>
    <t>R-445A</t>
  </si>
  <si>
    <t>Honduras</t>
  </si>
  <si>
    <t>CB#2</t>
  </si>
  <si>
    <t>Peruvian nuevo sol</t>
  </si>
  <si>
    <t>PEN</t>
  </si>
  <si>
    <t>R-500</t>
  </si>
  <si>
    <t>Hong Kong (China)</t>
  </si>
  <si>
    <t>Philippine peso</t>
  </si>
  <si>
    <t>PHP</t>
  </si>
  <si>
    <t>Hungary</t>
  </si>
  <si>
    <t>Polish zloty</t>
  </si>
  <si>
    <t>PLN</t>
  </si>
  <si>
    <t>Iceland</t>
  </si>
  <si>
    <t>Qatari rial</t>
  </si>
  <si>
    <t>QAR</t>
  </si>
  <si>
    <t>R-503</t>
  </si>
  <si>
    <t>(CE#14;CE#10)</t>
  </si>
  <si>
    <t>Romanian new leu</t>
  </si>
  <si>
    <t>RON</t>
  </si>
  <si>
    <t>R-504</t>
  </si>
  <si>
    <t>(CE#15)</t>
  </si>
  <si>
    <t>Russian ruble</t>
  </si>
  <si>
    <t>RUB</t>
  </si>
  <si>
    <t>Iran</t>
  </si>
  <si>
    <t>Rwandan franc</t>
  </si>
  <si>
    <t>RWF</t>
  </si>
  <si>
    <t>Iraq</t>
  </si>
  <si>
    <t>Saint Helena pound</t>
  </si>
  <si>
    <t>SHP</t>
  </si>
  <si>
    <t>R-507 o R-507A</t>
  </si>
  <si>
    <t>Ireland</t>
  </si>
  <si>
    <t>Samoan tala</t>
  </si>
  <si>
    <t>WST</t>
  </si>
  <si>
    <t>Isle of Man</t>
  </si>
  <si>
    <t>Sao Tome and Principe dobra</t>
  </si>
  <si>
    <t>STD</t>
  </si>
  <si>
    <t>Israel</t>
  </si>
  <si>
    <t>Saudi riyal</t>
  </si>
  <si>
    <t>R-509 o R-509A</t>
  </si>
  <si>
    <t>Serbian dinar</t>
  </si>
  <si>
    <t>RSD</t>
  </si>
  <si>
    <t>Jamaica</t>
  </si>
  <si>
    <t>Seychelles rupee</t>
  </si>
  <si>
    <t>SCR</t>
  </si>
  <si>
    <t>(CE#16)</t>
  </si>
  <si>
    <t>Sierra Leone leone</t>
  </si>
  <si>
    <t>SLL</t>
  </si>
  <si>
    <t>R-512A</t>
  </si>
  <si>
    <t>Singapore dollar</t>
  </si>
  <si>
    <t>SGD</t>
  </si>
  <si>
    <t>R-600</t>
  </si>
  <si>
    <t>Butane</t>
  </si>
  <si>
    <t>Kazakhstan</t>
  </si>
  <si>
    <t>Solomon Islands dollar</t>
  </si>
  <si>
    <t>SBD</t>
  </si>
  <si>
    <t>R-600a</t>
  </si>
  <si>
    <t>Kenya</t>
  </si>
  <si>
    <t>Somali shilling</t>
  </si>
  <si>
    <t>SOS</t>
  </si>
  <si>
    <t>R-717</t>
  </si>
  <si>
    <t>Ammonia.</t>
  </si>
  <si>
    <t>Kiribati</t>
  </si>
  <si>
    <t>South African rand</t>
  </si>
  <si>
    <t>ZAR</t>
  </si>
  <si>
    <t>R-718</t>
  </si>
  <si>
    <t>Water. It is not considered as an anthropogenic GHG.</t>
  </si>
  <si>
    <t>Korea (North). Dem. People's Rep. of</t>
  </si>
  <si>
    <t>South Korean won</t>
  </si>
  <si>
    <t>KRW</t>
  </si>
  <si>
    <t>Korea (South). Republic of</t>
  </si>
  <si>
    <t>(CE#17)</t>
  </si>
  <si>
    <t>Korea (the Republic of)</t>
  </si>
  <si>
    <t>Sri Lanka rupee</t>
  </si>
  <si>
    <t>LKR</t>
  </si>
  <si>
    <t>Kosovo</t>
  </si>
  <si>
    <t>Sudanese pound</t>
  </si>
  <si>
    <t>SDG</t>
  </si>
  <si>
    <t>Kuwait</t>
  </si>
  <si>
    <t>Suriname dollar</t>
  </si>
  <si>
    <t>SRD</t>
  </si>
  <si>
    <t>Kyrgyzstan</t>
  </si>
  <si>
    <t>Swaziland lilangeni</t>
  </si>
  <si>
    <t>SZL</t>
  </si>
  <si>
    <t>Laos</t>
  </si>
  <si>
    <t>Swedish krona</t>
  </si>
  <si>
    <t>SEK</t>
  </si>
  <si>
    <t>Latvia</t>
  </si>
  <si>
    <t>Swiss franc</t>
  </si>
  <si>
    <t>CHF</t>
  </si>
  <si>
    <t>Lebanon</t>
  </si>
  <si>
    <t>Syrian pound</t>
  </si>
  <si>
    <t>SYP</t>
  </si>
  <si>
    <t>Lesotho</t>
  </si>
  <si>
    <t>Taiwan New dollar</t>
  </si>
  <si>
    <t>TWD</t>
  </si>
  <si>
    <t>Liberia</t>
  </si>
  <si>
    <t>Tajik somoni</t>
  </si>
  <si>
    <t>TJS</t>
  </si>
  <si>
    <t>Libya</t>
  </si>
  <si>
    <t>Tanzanian shilling</t>
  </si>
  <si>
    <t>TZS</t>
  </si>
  <si>
    <t>Liechtenstein</t>
  </si>
  <si>
    <t>Thai baht</t>
  </si>
  <si>
    <t>THB</t>
  </si>
  <si>
    <t>Lithuania</t>
  </si>
  <si>
    <t>Tongan pa'anga</t>
  </si>
  <si>
    <t>TOP</t>
  </si>
  <si>
    <t>Luxembourg</t>
  </si>
  <si>
    <t>Trinidad and Tobago dollar</t>
  </si>
  <si>
    <t>TTD</t>
  </si>
  <si>
    <t>Macao (China)</t>
  </si>
  <si>
    <t>Tunisian dinar</t>
  </si>
  <si>
    <t>TND</t>
  </si>
  <si>
    <t>Macedonia. North</t>
  </si>
  <si>
    <t>Turkish lira</t>
  </si>
  <si>
    <t>TRY</t>
  </si>
  <si>
    <t>Madagascar</t>
  </si>
  <si>
    <t>Turkmen new manat</t>
  </si>
  <si>
    <t>TMT</t>
  </si>
  <si>
    <t>Madeira (Portugal)</t>
  </si>
  <si>
    <t>UAE dirham</t>
  </si>
  <si>
    <t>AED</t>
  </si>
  <si>
    <t>Malawi</t>
  </si>
  <si>
    <t>Uganda new shilling</t>
  </si>
  <si>
    <t>UGX</t>
  </si>
  <si>
    <t>Ukrainian hryvnia</t>
  </si>
  <si>
    <t>UAH</t>
  </si>
  <si>
    <t>Uruguayan peso uruguayo</t>
  </si>
  <si>
    <t>UYU</t>
  </si>
  <si>
    <t>Mali</t>
  </si>
  <si>
    <t>US dollar</t>
  </si>
  <si>
    <t>USD</t>
  </si>
  <si>
    <t>Malta</t>
  </si>
  <si>
    <t>Uzbekistani sum</t>
  </si>
  <si>
    <t>UZS</t>
  </si>
  <si>
    <t>Marshall Islands</t>
  </si>
  <si>
    <t>Vanuatu vatu</t>
  </si>
  <si>
    <t>VUV</t>
  </si>
  <si>
    <t>Martinique (France)</t>
  </si>
  <si>
    <t>Venezuelan bolivar fuerte</t>
  </si>
  <si>
    <t>VEF</t>
  </si>
  <si>
    <t>Mauritania</t>
  </si>
  <si>
    <t>Vietnamese dong</t>
  </si>
  <si>
    <t>VND</t>
  </si>
  <si>
    <t>Mauritius</t>
  </si>
  <si>
    <t>Yemeni rial</t>
  </si>
  <si>
    <t>YER</t>
  </si>
  <si>
    <t>Mayotte (France)</t>
  </si>
  <si>
    <t>Zambian kwacha</t>
  </si>
  <si>
    <t>ZMK</t>
  </si>
  <si>
    <t>(CE#5)</t>
  </si>
  <si>
    <t>(14)</t>
  </si>
  <si>
    <t>Zimbabwe dollar</t>
  </si>
  <si>
    <t>ZWL</t>
  </si>
  <si>
    <t>Micronesia</t>
  </si>
  <si>
    <t>Local currency</t>
  </si>
  <si>
    <t>Moldova</t>
  </si>
  <si>
    <t>Monaco</t>
  </si>
  <si>
    <t>Mongolia</t>
  </si>
  <si>
    <t>Montenegro</t>
  </si>
  <si>
    <t>Montserrat</t>
  </si>
  <si>
    <t>Morocco</t>
  </si>
  <si>
    <t>Mozambique</t>
  </si>
  <si>
    <t>Myanmar</t>
  </si>
  <si>
    <t>Namibia</t>
  </si>
  <si>
    <t>Nauru</t>
  </si>
  <si>
    <t>Nepal</t>
  </si>
  <si>
    <t>Netherlands (the)</t>
  </si>
  <si>
    <t>Netherlands Antilles</t>
  </si>
  <si>
    <t>New Caledonia (France)</t>
  </si>
  <si>
    <t>New Zealand</t>
  </si>
  <si>
    <t>Nicaragua</t>
  </si>
  <si>
    <t>Niger</t>
  </si>
  <si>
    <t>Nigeria</t>
  </si>
  <si>
    <t>Niue</t>
  </si>
  <si>
    <t>Northern Mariana Islands (U.S.)</t>
  </si>
  <si>
    <t>Norway</t>
  </si>
  <si>
    <t>Pakistan</t>
  </si>
  <si>
    <t>Palau</t>
  </si>
  <si>
    <t>Panama</t>
  </si>
  <si>
    <t>Papua New Guinea</t>
  </si>
  <si>
    <t>Paraguay</t>
  </si>
  <si>
    <t>Peru</t>
  </si>
  <si>
    <t>Poland</t>
  </si>
  <si>
    <t>Puerto Rico (U.S.)</t>
  </si>
  <si>
    <t>Reunion (France)</t>
  </si>
  <si>
    <t>Romania</t>
  </si>
  <si>
    <t>(CE#18)</t>
  </si>
  <si>
    <t>Russian Federation (the)</t>
  </si>
  <si>
    <t>Rwanda</t>
  </si>
  <si>
    <t>Saint Helena (U.K.)</t>
  </si>
  <si>
    <t>Saint Kitts and Nevis</t>
  </si>
  <si>
    <t>Saint Lucia</t>
  </si>
  <si>
    <t>Saint Martin (France)</t>
  </si>
  <si>
    <t>Saint Pierre and Miquelon (France)</t>
  </si>
  <si>
    <t>Saint Vincent and Grenadines</t>
  </si>
  <si>
    <t>Samoa</t>
  </si>
  <si>
    <t>San Marino</t>
  </si>
  <si>
    <t>Sao Tomé &amp; Principe</t>
  </si>
  <si>
    <t>(CE#19)</t>
  </si>
  <si>
    <t>Senegal</t>
  </si>
  <si>
    <t>Serbia</t>
  </si>
  <si>
    <t>Seychelles</t>
  </si>
  <si>
    <t>Sierra Leone</t>
  </si>
  <si>
    <t>Sint Martin (Netherlands)</t>
  </si>
  <si>
    <t>Slovakia</t>
  </si>
  <si>
    <t>Slovenia</t>
  </si>
  <si>
    <t>Solomon Islands</t>
  </si>
  <si>
    <t>Somalia</t>
  </si>
  <si>
    <t>(CE#20)</t>
  </si>
  <si>
    <t>South Sudan</t>
  </si>
  <si>
    <t>Sri Lanka</t>
  </si>
  <si>
    <t>Sudan</t>
  </si>
  <si>
    <t>Suriname</t>
  </si>
  <si>
    <t>Sweden</t>
  </si>
  <si>
    <t>Syrian Arab Republic</t>
  </si>
  <si>
    <t>Taiwan</t>
  </si>
  <si>
    <t>Taiwan (Province of China)</t>
  </si>
  <si>
    <t>Tajikistan</t>
  </si>
  <si>
    <t>Tanzania</t>
  </si>
  <si>
    <t>Timor-Leste</t>
  </si>
  <si>
    <t>Togo</t>
  </si>
  <si>
    <t>Tonga</t>
  </si>
  <si>
    <t>Trinidad and Tobago</t>
  </si>
  <si>
    <t>Tunisia</t>
  </si>
  <si>
    <t>(CE#21)</t>
  </si>
  <si>
    <t>Turkmenistan</t>
  </si>
  <si>
    <t>Turks and Caicos Islands (U.K.)</t>
  </si>
  <si>
    <t>Tuvalu</t>
  </si>
  <si>
    <t>Uganda</t>
  </si>
  <si>
    <t>Ukraine</t>
  </si>
  <si>
    <t>United Kingdom</t>
  </si>
  <si>
    <t>(CE#9)</t>
  </si>
  <si>
    <t>United Kingdom of Great Britain and Northern Ireland (the)</t>
  </si>
  <si>
    <t>Uruguay</t>
  </si>
  <si>
    <t>(CE#6)</t>
  </si>
  <si>
    <t>(15)</t>
  </si>
  <si>
    <t>Uzbekistan</t>
  </si>
  <si>
    <t>Vanatu</t>
  </si>
  <si>
    <t>Venezuela</t>
  </si>
  <si>
    <t>Virgin Islands (U.S.)</t>
  </si>
  <si>
    <t>West Bank and Gaza</t>
  </si>
  <si>
    <t>Yemen</t>
  </si>
  <si>
    <t>Zambia</t>
  </si>
  <si>
    <t>Zanzibar (Tanzania)</t>
  </si>
  <si>
    <t>(CE#25) Tanzania value.</t>
  </si>
  <si>
    <t>Zimbabwe</t>
  </si>
  <si>
    <t>GHG total emissions (MTCO2e) Scope 1, 2 and 3</t>
  </si>
  <si>
    <t>Aux I</t>
  </si>
  <si>
    <t>Aux II</t>
  </si>
  <si>
    <t>Aux Sunburst</t>
  </si>
  <si>
    <t>Aux total emissions circular</t>
  </si>
  <si>
    <t>Total MTCO2e GHG Emissions for Scope 1,2,3</t>
  </si>
  <si>
    <t>Metrics</t>
  </si>
  <si>
    <t>Go back to Scope 1 and 2 Data</t>
  </si>
  <si>
    <t>Instrucciones</t>
  </si>
  <si>
    <t>1 - Complete each of the columns with the requested information. Only data with with a (*) are needed to estimate emissions. The rest of the data will provide you more information on this source to better define mitigation actions afterwards.</t>
  </si>
  <si>
    <t>2 - The columns "Type of equipment", "Gas used", "Was this equipment removed?", "Was this equipment refilled in the reporting year?" and "Unit" are completed through drop-down lists.</t>
  </si>
  <si>
    <r>
      <t>Serial Nº/ Internal ID N</t>
    </r>
    <r>
      <rPr>
        <vertAlign val="superscript"/>
        <sz val="12"/>
        <color theme="1"/>
        <rFont val="Arial"/>
        <family val="2"/>
        <scheme val="minor"/>
      </rPr>
      <t>o</t>
    </r>
  </si>
  <si>
    <t>Type of equipment (select from the list) (*)</t>
  </si>
  <si>
    <t>Location &amp; Description</t>
  </si>
  <si>
    <t>Refrigerator Capacity</t>
  </si>
  <si>
    <t>Date of Service</t>
  </si>
  <si>
    <r>
      <t xml:space="preserve">Type of gas </t>
    </r>
    <r>
      <rPr>
        <sz val="10"/>
        <rFont val="Calibri (Cuerpo)_x0000_"/>
      </rPr>
      <t>(select from the list) (*)</t>
    </r>
  </si>
  <si>
    <t>Number of maintenance visits in the reporting year</t>
  </si>
  <si>
    <t>Was this equipment removed?</t>
  </si>
  <si>
    <t xml:space="preserve">Was this equipment refilled in the reporting year? </t>
  </si>
  <si>
    <t>How much was the recharge in kilograms or lb? If you don't know, find the density and convert from liters/gallons to kilograms/lb</t>
  </si>
  <si>
    <t>Global Warming Potential</t>
  </si>
  <si>
    <t>Emissions in CO2e (kg)</t>
  </si>
  <si>
    <t>Capacity</t>
  </si>
  <si>
    <t>Quantity reloaded  (*)</t>
  </si>
  <si>
    <t>Unit (select from the list) (*)</t>
  </si>
  <si>
    <t>Quantity reloaded</t>
  </si>
  <si>
    <t>Institution / Organization</t>
  </si>
  <si>
    <t>Document / Dataset</t>
  </si>
  <si>
    <t>Section / Table</t>
  </si>
  <si>
    <t>URL</t>
  </si>
  <si>
    <t>IPCC</t>
  </si>
  <si>
    <t>2006 Guidelines. Volume 2. Chapter 1</t>
  </si>
  <si>
    <t>Table 1.2</t>
  </si>
  <si>
    <t>http://www.ipcc-nggip.iges.or.jp/public/2006gl/spanish/index.html</t>
  </si>
  <si>
    <t>2006 Guidelines. Volume 2. Chapter 2</t>
  </si>
  <si>
    <t>Table 2.4</t>
  </si>
  <si>
    <t>2006 Guidelines. Volume 2. Chapter 3</t>
  </si>
  <si>
    <t>Table 3.2.1</t>
  </si>
  <si>
    <t>Table 3.2.2</t>
  </si>
  <si>
    <t>Fourth Assessment Report</t>
  </si>
  <si>
    <t>Table 2.14</t>
  </si>
  <si>
    <t>https://www.ipcc.ch/publications_and_data/ar4/wg1/en/ch2s2-10-2.html</t>
  </si>
  <si>
    <t>Values corresponding to 100 years time horizon.</t>
  </si>
  <si>
    <t>ASHRAE</t>
  </si>
  <si>
    <t>Standard 34 - Designation and Safety Classification of Refrigerants</t>
  </si>
  <si>
    <t>Secretaría de Energía (actualmente Ministerio de Energía y Minería)</t>
  </si>
  <si>
    <t>Resolución 660/2015</t>
  </si>
  <si>
    <t>http://servicios.infoleg.gob.ar/infolegInternet/anexos/250000-254999/251066/norma.htm</t>
  </si>
  <si>
    <t>World Resources Institute / GHG Protocol</t>
  </si>
  <si>
    <t>GHG Emission Factors Compilation</t>
  </si>
  <si>
    <t>Table 14</t>
  </si>
  <si>
    <t>https://ghgprotocol.org/calculation-tools</t>
  </si>
  <si>
    <t>Table 18</t>
  </si>
  <si>
    <t>Department for Environment, Food and Rural Affairs and Department of Energy and Climate Change of UK.</t>
  </si>
  <si>
    <t>Defra Standard Set</t>
  </si>
  <si>
    <t>Business travel- air</t>
  </si>
  <si>
    <t>1. Average passenger values. Uplift effect (8%) was removed.
2. Radiative force effect (+90%) was removed in CO2 emission factor as there are still uncertanties regarding this effect.
3. Global Warming Potential was corrected in Methane and Nitrous Oxide emission factors.
4. Using a conservative approach, as the emission factor for medium trips was zero for Methane, long trips value was adopted.</t>
  </si>
  <si>
    <t>Ministerio de Ambiente y Desarrollo Sustentable</t>
  </si>
  <si>
    <t>Tercera Comunicación Nacional a la Convención Marco de Naciones Unidas sobre Cambio Climático</t>
  </si>
  <si>
    <t>http://unfccc.int/resource/docs/natc/argnc3s.pdf</t>
  </si>
  <si>
    <t>2006 Guidelines. Volume 5. Chapter 2</t>
  </si>
  <si>
    <t>Table 2.3</t>
  </si>
  <si>
    <t>1. As there are not default values for "Como las guías no ofrecen valores por defecto para las fracciones "Nappies" y "Garden and park waste", the average between Argentina, Costa Rica and Mexico values was adopted, unless for Australia and New Zeland where due to the values of the other categories, the remaining percentage had to be divided in equal shares and allocated among the categories without information.
2. When there was not information for a given category, the remaning percetage (to fulfill 100%) was divided in equal shares and allocated to these categories.</t>
  </si>
  <si>
    <t>Ministerio de Ambiente y Energía</t>
  </si>
  <si>
    <t>Inventario Nacional de GEIs y absorción de carbono</t>
  </si>
  <si>
    <t>Table 5.2</t>
  </si>
  <si>
    <t>http://unfccc.int/resource/docs/natc/crinir2.pdf</t>
  </si>
  <si>
    <t>Secretaría de Medio Ambiente y Recursos Naturales</t>
  </si>
  <si>
    <t>Quinta Comunicación Nacional a la Convención Marco de Naciones Unidas sobre Cambio Climático</t>
  </si>
  <si>
    <t>http://unfccc.int/resource/docs/natc/mexnc5s.pdf</t>
  </si>
  <si>
    <t>Ministerio de Vivienda, Ordenamiento Territorial y Medio Ambiente</t>
  </si>
  <si>
    <t>Segundo Informe Bienal a la CMNUCC sobre el Cambio Climático. Anexos al Capítulo 2.</t>
  </si>
  <si>
    <t>Table 36</t>
  </si>
  <si>
    <t>2017</t>
  </si>
  <si>
    <t>http://unfccc.int/files/national_reports/non-annex_i_parties/biennial_update_reports/submitted_burs/application/pdf/43207915_uruguay-bur2-1-2-anexo_capitulo_2_-_bur_2_uy.pdf</t>
  </si>
  <si>
    <t xml:space="preserve">For plastic, department average values (17%) was adopted. </t>
  </si>
  <si>
    <t>2006 Guidelines. Volume 5. Chapter 4</t>
  </si>
  <si>
    <t>Table 4.1</t>
  </si>
  <si>
    <t>Wet weight basis values.</t>
  </si>
  <si>
    <t>2006 Guidelines. Volume 5. Chapter 3</t>
  </si>
  <si>
    <t>Table 3.1</t>
  </si>
  <si>
    <t>Table 3.3</t>
  </si>
  <si>
    <t>For each temperature interval, average default value between wet and dry zone was adopted for the category "Bulk waste".</t>
  </si>
  <si>
    <t>Section 3.2.3</t>
  </si>
  <si>
    <t>Table 2.6</t>
  </si>
  <si>
    <t>Programa Brasileiro GHG Protocol</t>
  </si>
  <si>
    <t>Ferramenta do Programa Brasileiro GHG Protocol. Versão 2016.2</t>
  </si>
  <si>
    <t>Viagens a negocios</t>
  </si>
  <si>
    <t>Tables 1 y 15</t>
  </si>
  <si>
    <t>Resolución 6/2010 - Establécense las especificaciones de calidad que deberá cumplir el biodiesel.</t>
  </si>
  <si>
    <t>Anexo</t>
  </si>
  <si>
    <t>http://servicios.infoleg.gob.ar/infolegInternet/anexos/160000-164999/163911/norma.htm</t>
  </si>
  <si>
    <t>Average value.</t>
  </si>
  <si>
    <t>Green House Gas Protocol</t>
  </si>
  <si>
    <t>Global Warming Potential Values</t>
  </si>
  <si>
    <t>https://www.ghgprotocol.org/sites/default/files/ghgp/Global-Warming-Potential-Values%20%28Feb%2016%202016%29_1.pdf</t>
  </si>
  <si>
    <t>UN Enviroment</t>
  </si>
  <si>
    <t>GWP-ODP Calculator</t>
  </si>
  <si>
    <t>https://www.unenvironment.org/ozonaction/gwp-odp-calculator</t>
  </si>
  <si>
    <t>Cuarto Informe de Evaluación</t>
  </si>
  <si>
    <t>Table 2.15</t>
  </si>
  <si>
    <t>International Anesthesia Research Society</t>
  </si>
  <si>
    <t>Life Cycle Greenhouse Gas Emissions of Anesthetic Drugs</t>
  </si>
  <si>
    <t>BOC</t>
  </si>
  <si>
    <t>Medical nitrous oxide / Medical Gas Data Sheet</t>
  </si>
  <si>
    <t>https://www.boconline.co.uk/en/images/medical_nitrous_oxide_tcm410-55835.pdf</t>
  </si>
  <si>
    <t>Medical carbon dioxide / Medical Gas Data Sheet</t>
  </si>
  <si>
    <t>https://www.bochealthcare.co.uk/en/images/HLC_506810-MGDS%20Medical%20carbon%20dioxide%28web%29_tcm409-61147.pdf</t>
  </si>
  <si>
    <t>EPA</t>
  </si>
  <si>
    <t>Simplified GHG Emissions Calculator Version 5</t>
  </si>
  <si>
    <t>Heat content &amp; Unit Convertions</t>
  </si>
  <si>
    <t>Pound to gram equivalence: 1lb = 453.592g</t>
  </si>
  <si>
    <t>Scope 2 Summary Table (Egrid Power Profiler)</t>
  </si>
  <si>
    <t>Scope 2 emissions</t>
  </si>
  <si>
    <t>Summary Data | US EPA</t>
  </si>
  <si>
    <t>National Institute for Health and Care Excellence</t>
  </si>
  <si>
    <t>Patient decision aid / Inhalers for asthma</t>
  </si>
  <si>
    <t>https://www.nice.org.uk/guidance/ng80/resources/inhalers-for-asthma-patient-decision-aid-pdf-6727144573</t>
  </si>
  <si>
    <t>Ethanol Blend in gasoline</t>
  </si>
  <si>
    <t>Scope 1 Mobile Fleet Combustion</t>
  </si>
  <si>
    <t>Ethanol explained - use of ethanol - U.S. Energy Information Administration (EIA)</t>
  </si>
  <si>
    <t>Biodiesel Blend in Diesel Fuel</t>
  </si>
  <si>
    <t>Biofuels explained - use and supply - U.S. Energy Information Administration (EIA)</t>
  </si>
  <si>
    <t>GWP of Waste Anesthetic Gases</t>
  </si>
  <si>
    <t>Scope 1 Fugitive Emissions / Anesthetic Gases</t>
  </si>
  <si>
    <t>Understanding Global Warming Potentials | US EPA</t>
  </si>
  <si>
    <r>
      <t xml:space="preserve">1 - For each of the anesthetic gases, indicate the number of bottles </t>
    </r>
    <r>
      <rPr>
        <b/>
        <u/>
        <sz val="12"/>
        <color rgb="FFFF0000"/>
        <rFont val="Arial"/>
        <family val="2"/>
        <scheme val="minor"/>
      </rPr>
      <t>purchased</t>
    </r>
    <r>
      <rPr>
        <b/>
        <sz val="12"/>
        <color theme="1"/>
        <rFont val="Arial"/>
        <family val="2"/>
        <scheme val="minor"/>
      </rPr>
      <t xml:space="preserve"> (not administered)</t>
    </r>
    <r>
      <rPr>
        <sz val="12"/>
        <color theme="1"/>
        <rFont val="Arial"/>
        <family val="2"/>
        <scheme val="minor"/>
      </rPr>
      <t xml:space="preserve"> for each container size. </t>
    </r>
    <r>
      <rPr>
        <b/>
        <sz val="12"/>
        <color theme="1"/>
        <rFont val="Arial"/>
        <family val="2"/>
        <scheme val="minor"/>
      </rPr>
      <t>Compare</t>
    </r>
    <r>
      <rPr>
        <sz val="12"/>
        <color theme="1"/>
        <rFont val="Arial"/>
        <family val="2"/>
        <scheme val="minor"/>
      </rPr>
      <t xml:space="preserve"> your purchased gases quantities to administered gases quantities to help identify</t>
    </r>
    <r>
      <rPr>
        <b/>
        <sz val="12"/>
        <color theme="1"/>
        <rFont val="Arial"/>
        <family val="2"/>
        <scheme val="minor"/>
      </rPr>
      <t xml:space="preserve"> gas leakage</t>
    </r>
    <r>
      <rPr>
        <sz val="12"/>
        <color theme="1"/>
        <rFont val="Arial"/>
        <family val="2"/>
        <scheme val="minor"/>
      </rPr>
      <t>.</t>
    </r>
  </si>
  <si>
    <r>
      <t>2- In N</t>
    </r>
    <r>
      <rPr>
        <vertAlign val="subscript"/>
        <sz val="12"/>
        <color theme="1"/>
        <rFont val="Arial"/>
        <family val="2"/>
        <scheme val="minor"/>
      </rPr>
      <t>2</t>
    </r>
    <r>
      <rPr>
        <sz val="12"/>
        <color theme="1"/>
        <rFont val="Arial"/>
        <family val="2"/>
        <scheme val="minor"/>
      </rPr>
      <t>O, N</t>
    </r>
    <r>
      <rPr>
        <vertAlign val="subscript"/>
        <sz val="12"/>
        <color theme="1"/>
        <rFont val="Arial"/>
        <family val="2"/>
        <scheme val="minor"/>
      </rPr>
      <t>2</t>
    </r>
    <r>
      <rPr>
        <sz val="12"/>
        <color theme="1"/>
        <rFont val="Arial"/>
        <family val="2"/>
        <scheme val="minor"/>
      </rPr>
      <t>O/O</t>
    </r>
    <r>
      <rPr>
        <vertAlign val="subscript"/>
        <sz val="12"/>
        <color theme="1"/>
        <rFont val="Arial"/>
        <family val="2"/>
        <scheme val="minor"/>
      </rPr>
      <t>2</t>
    </r>
    <r>
      <rPr>
        <sz val="12"/>
        <color theme="1"/>
        <rFont val="Arial"/>
        <family val="2"/>
        <scheme val="minor"/>
      </rPr>
      <t xml:space="preserve"> and CO</t>
    </r>
    <r>
      <rPr>
        <vertAlign val="subscript"/>
        <sz val="12"/>
        <color theme="1"/>
        <rFont val="Arial"/>
        <family val="2"/>
        <scheme val="minor"/>
      </rPr>
      <t>2</t>
    </r>
    <r>
      <rPr>
        <sz val="12"/>
        <color theme="1"/>
        <rFont val="Arial"/>
        <family val="2"/>
        <scheme val="minor"/>
      </rPr>
      <t xml:space="preserve"> fields, entered directly the total quantity delivered in pounds.</t>
    </r>
  </si>
  <si>
    <t>Calculations</t>
  </si>
  <si>
    <t>Anesthetic Agent</t>
  </si>
  <si>
    <t>Bottle Size (ml)</t>
  </si>
  <si>
    <t>Number of Bottles</t>
  </si>
  <si>
    <t>Gas</t>
  </si>
  <si>
    <t>Amount of Gas</t>
  </si>
  <si>
    <t>ml</t>
  </si>
  <si>
    <t>Density</t>
  </si>
  <si>
    <t>Emissions</t>
  </si>
  <si>
    <t>Bottle Size 1</t>
  </si>
  <si>
    <t>Bottle Size 2</t>
  </si>
  <si>
    <t>Bottle Size 3</t>
  </si>
  <si>
    <t>Density (kg/l)</t>
  </si>
  <si>
    <t>kgCO2e</t>
  </si>
  <si>
    <t>Density (kg/Lb)</t>
  </si>
  <si>
    <t>Completing this sheet is highly recommended, even though the information it requests is not directly used by the calculator to estimate emissions.</t>
  </si>
  <si>
    <t xml:space="preserve">At first it may appear to be a labor intensive activity without any concrete results, but having metadata (unit, year, reference, category) for each value used to estimate GHG footprint will be helpful when repeating this activity in subsequent years in order to ensure transparency and accuracy of calculations. </t>
  </si>
  <si>
    <t>Name of the parameter</t>
  </si>
  <si>
    <t>Source category where this parameter is used</t>
  </si>
  <si>
    <t>Year of the value</t>
  </si>
  <si>
    <t>Additional information (ie. comments, clarifications, etc.)</t>
  </si>
  <si>
    <t>note, outpatient type
must be selected</t>
  </si>
  <si>
    <t>Outpatient type (mandatory)</t>
  </si>
  <si>
    <t>Updated Scope 2 emission factors per region to 2022 EPA data set, Aded Market-Based Electricity input to Scope 2, Updated Waste Anesthetic Gases and Refrigerants to AR6 values</t>
  </si>
  <si>
    <t>https://www.ipcc-nggip.iges.or.jp/public/2006gl/pdf/2_Volume2/V2_2_Ch2_Stationary_Combustion.pdf</t>
  </si>
  <si>
    <t>Table A1 District Steam Current Year Usage</t>
  </si>
  <si>
    <t>Table A1 District Hot Water Current Year Usage</t>
  </si>
  <si>
    <t>Table A1 District Chilled Water- Electric Driven Chiller Current Year Usage</t>
  </si>
  <si>
    <t>Table A1 District Chilled Water- Absorption Chiller using Natural Gas Current Year Usage</t>
  </si>
  <si>
    <t>Table A1 District Chilled Water- Engine-Driven Chiller Natural Gas Current Year Usage</t>
  </si>
  <si>
    <t>HFC-161</t>
  </si>
  <si>
    <t>HFC-236cb</t>
  </si>
  <si>
    <t>Sixth Assessment Report</t>
  </si>
  <si>
    <t>Table 7.15</t>
  </si>
  <si>
    <t>https://ghgprotocol.org/sites/default/files/2024-08/Global-Warming-Potential-Values%20%28August%202024%29.pdf</t>
  </si>
  <si>
    <t>(39)</t>
  </si>
  <si>
    <t>PFC-31-10</t>
  </si>
  <si>
    <t>PFC-41-12</t>
  </si>
  <si>
    <t>PFC-51-14</t>
  </si>
  <si>
    <t>PFC-91-18</t>
  </si>
  <si>
    <t>Trifluoromethyl Sulfur pentafluoride (SF5CF3)</t>
  </si>
  <si>
    <t>https://www.ipcc-nggip.iges.or.jp/public/2006gl/pdf/2_Volume2/V2_1_Ch1_Introduction.pdf &lt;--link to English version, pg 18 of pdf</t>
  </si>
  <si>
    <t>CO2e for Gallons of Fuel</t>
  </si>
  <si>
    <t>?? Conversion to gallons?</t>
  </si>
  <si>
    <t>ENERGY PAGE</t>
  </si>
  <si>
    <t>GHG Conversion for Energy Page: See on Calculations Tab as an argument, not coded as a protected function</t>
  </si>
  <si>
    <t>QID</t>
  </si>
  <si>
    <t>Energy Source KBTUs</t>
  </si>
  <si>
    <t>pghq_energy_2_7_a2_6</t>
  </si>
  <si>
    <t>Natural Gas Baseline</t>
  </si>
  <si>
    <t>pghq_energy_2_7_a2_7</t>
  </si>
  <si>
    <t>Natural Gas Previous</t>
  </si>
  <si>
    <t>pghq_energy_2_7_a2_8</t>
  </si>
  <si>
    <t>Natural Gas Current</t>
  </si>
  <si>
    <t>pghq_energy_2_7_a2_11</t>
  </si>
  <si>
    <t>Fuel Oil (#2) Baseline</t>
  </si>
  <si>
    <t>pghq_energy_2_7_a2_12</t>
  </si>
  <si>
    <t>Fuel Oil (#2) Previous</t>
  </si>
  <si>
    <t>pghq_energy_2_7_a2_13</t>
  </si>
  <si>
    <t>Fuel Oil (#2) Current</t>
  </si>
  <si>
    <t>pghq_energy_2_7_a2_16</t>
  </si>
  <si>
    <t>District Steam Baseline</t>
  </si>
  <si>
    <t>pghq_energy_2_7_a2_17</t>
  </si>
  <si>
    <t>District Steam Previous</t>
  </si>
  <si>
    <t>pghq_energy_2_7_a2_18</t>
  </si>
  <si>
    <t>District Steam Current</t>
  </si>
  <si>
    <t>pghq_energy_2_7_a2_36</t>
  </si>
  <si>
    <t>District Hot Water Baseline</t>
  </si>
  <si>
    <t>pghq_energy_2_7_a2_37</t>
  </si>
  <si>
    <t>District Hot Water Previous</t>
  </si>
  <si>
    <t>pghq_energy_2_7_a2_38</t>
  </si>
  <si>
    <t>District Hot Water Current</t>
  </si>
  <si>
    <t>pghq_energy_2_7_a2_21</t>
  </si>
  <si>
    <t>District Chilled Water- Electric Driven Chiller Baseline</t>
  </si>
  <si>
    <t>pghq_energy_2_7_a2_22</t>
  </si>
  <si>
    <t>District Chilled Water- Electric Driven Chiller Previous</t>
  </si>
  <si>
    <t>pghq_energy_2_7_a2_23</t>
  </si>
  <si>
    <t>District Chilled Water- Electric Driven Chiller Current</t>
  </si>
  <si>
    <t>pghq_energy_2_7_a2_26</t>
  </si>
  <si>
    <t>District Chilled Water- Absorption Chiller using Natural Gas Baseline</t>
  </si>
  <si>
    <t>pghq_energy_2_7_a2_27</t>
  </si>
  <si>
    <t>District Chilled Water- Absorption Chiller using Natural Gas Previous</t>
  </si>
  <si>
    <t>pghq_energy_2_7_a2_28</t>
  </si>
  <si>
    <t>District Chilled Water- Absorption Chiller using Natural Gas Current</t>
  </si>
  <si>
    <t>pghq_energy_2_7_a2_31</t>
  </si>
  <si>
    <t>District Chilled Water- Engine-Driven Chiller Natural Gas Baseline</t>
  </si>
  <si>
    <t>pghq_energy_2_7_a2_32</t>
  </si>
  <si>
    <t>District Chilled Water- Engine-Driven Chiller Natural Gas Previous</t>
  </si>
  <si>
    <t>pghq_energy_2_7_a2_33</t>
  </si>
  <si>
    <t>District Chilled Water- Engine-Driven Chiller Natural Gas Current</t>
  </si>
  <si>
    <t>pghq_energy_2_7_a2_41</t>
  </si>
  <si>
    <t>Diesel Baseline</t>
  </si>
  <si>
    <t>pghq_energy_2_7_a2_42</t>
  </si>
  <si>
    <t>Diesel Previous</t>
  </si>
  <si>
    <t>pghq_energy_2_7_a2_43</t>
  </si>
  <si>
    <t>Diesel Current</t>
  </si>
  <si>
    <t>pghq_energy_2_7_a2_46</t>
  </si>
  <si>
    <t>Propane Baseline</t>
  </si>
  <si>
    <t>pghq_energy_2_7_a2_47</t>
  </si>
  <si>
    <t>Propane Previous</t>
  </si>
  <si>
    <t>pghq_energy_2_7_a2_48</t>
  </si>
  <si>
    <t>Propane Current</t>
  </si>
  <si>
    <t>Conversion Factor</t>
  </si>
  <si>
    <t>Current</t>
  </si>
  <si>
    <t>New</t>
  </si>
  <si>
    <t>MTCO2e/kbtu</t>
  </si>
  <si>
    <t>Note: MTco2e/kbtu = kgco2e per mbtu / 1,000,0000</t>
  </si>
  <si>
    <t>1MTCo2e = 1000 kg CO2e</t>
  </si>
  <si>
    <t>Yellow = need to double-check, this is a big variance</t>
  </si>
  <si>
    <t>Input</t>
  </si>
  <si>
    <t>Current Year Usage - Electricity</t>
  </si>
  <si>
    <t>Current Year Usage Units - Electricity</t>
  </si>
  <si>
    <t>Market-Based Emissions - Purchased Electricity - Current Year kWh</t>
  </si>
  <si>
    <t>Market-Based Emissions - Purchased Electricity - Current Year Conversion Factor (kWh to kgCO2e)</t>
  </si>
  <si>
    <t>Table A1 District Steam Current Year Usage - Units</t>
  </si>
  <si>
    <t>Table A1 District Hot Water Current Year Usage - Units</t>
  </si>
  <si>
    <t>Table A1 District Chilled Water- Electric Driven Chiller Current Year Usage - Units</t>
  </si>
  <si>
    <t>Table A1 District Chilled Water- Absorption Chiller using Natural Gas Current Year Usage - Units</t>
  </si>
  <si>
    <t>Table A1 District Chilled Water- Engine-Driven Chiller Natural Gas Current Year Usage - Units</t>
  </si>
  <si>
    <t>Refrigerants and Fire Suppression (Calculated Internally)</t>
  </si>
  <si>
    <t>Stationary Combustion (HSC - Calculated Internally)</t>
  </si>
  <si>
    <t>Mobile Combustion (HSC - Calculated Internally)</t>
  </si>
  <si>
    <t>Refrigerants and Fire Suppression (HSC - Calculated Internally)</t>
  </si>
  <si>
    <t>Inhaled Anesthetic Gases (HSC - Calculated Internally)</t>
  </si>
  <si>
    <t>Purchased Electricity (PFC - Calculated Externally)</t>
  </si>
  <si>
    <t>Purchased Steam, Hot and Chilled Water (PFC - Calculated Externally)</t>
  </si>
  <si>
    <t>Purchased Electricity (HSC - Calculated Externally)</t>
  </si>
  <si>
    <t>Purchased Steam, Hot and Chilled Water (HSC - Calculated Externally)</t>
  </si>
  <si>
    <t>Purchased goods &amp; services (PFC - Calculated Internally)</t>
  </si>
  <si>
    <t>Capital goods (PFC - Calculated Internally)</t>
  </si>
  <si>
    <t>Waste generated in operations (PFC - Calculated Internally)</t>
  </si>
  <si>
    <t>Business travel (PFC - Calculated Internally)</t>
  </si>
  <si>
    <t>Employee commuting (PFC - Calculated Internally)</t>
  </si>
  <si>
    <t>Upstream leased assets (PFC - Calculated Internally)</t>
  </si>
  <si>
    <t>Upstream + Downstream Transportation &amp; Distribution (PFC - Calculated Internally)</t>
  </si>
  <si>
    <t>Other Scope 3 -  Use of Sold Products &amp; Investments (PFC - Calculated Internally)</t>
  </si>
  <si>
    <t>Stationary Combustion (PFC - Calculated Externally)</t>
  </si>
  <si>
    <t>Mobile Combustion (PFC - Calculated Externally)</t>
  </si>
  <si>
    <t>Refrigerants and Fire Suppression (PFC - Calculated Externally)</t>
  </si>
  <si>
    <t>Inhaled Anesthetic Gases (PFC - Calculated Externally)</t>
  </si>
  <si>
    <t>App (PFC or HSC)?</t>
  </si>
  <si>
    <t>HSC</t>
  </si>
  <si>
    <t>Total mL Isoflurane (PFC - Calculated Internally)</t>
  </si>
  <si>
    <t>Total mL Sevoflurane (PFC - Calculated Internally)</t>
  </si>
  <si>
    <t>Total mL Desflurane (PFC - Calculated Internally)</t>
  </si>
  <si>
    <t>Total mL N2O + N2O/O2 (PFC - Calculated Internally)</t>
  </si>
  <si>
    <t>PFC/HSC Current Year QID</t>
  </si>
  <si>
    <t>Baseline Year QID</t>
  </si>
  <si>
    <t>Previous Year QID</t>
  </si>
  <si>
    <t>climate_1_4_z</t>
  </si>
  <si>
    <t>Baseline Year QID:</t>
  </si>
  <si>
    <t>Number of Telehealth Visits</t>
  </si>
  <si>
    <t>Purchased goods &amp; services (HSC - Calculated Externally)</t>
  </si>
  <si>
    <t>Capital goods (HSC - Calculated Externally)</t>
  </si>
  <si>
    <t>Fuel- &amp; energy-related emissions (HSC - Calculated Externally)</t>
  </si>
  <si>
    <t>Upstream transportation &amp; distribution (HSC - Calculated Externally)</t>
  </si>
  <si>
    <t>Waste generated in operations (HSC - Calculated Externally)</t>
  </si>
  <si>
    <t>Business travel (HSC - Calculated Externally)</t>
  </si>
  <si>
    <t>Employee commuting (HSC - Calculated Externally)</t>
  </si>
  <si>
    <t>Upstream leased assets (HSC - Calculated Externally)</t>
  </si>
  <si>
    <t>Downstream transportation &amp; distribution
[Patient Visits &amp; Telehealth] (HSC - Calculated Externally)</t>
  </si>
  <si>
    <t>Use of sold products (HSC - Calculated Externally)</t>
  </si>
  <si>
    <t>Downstream leased assets (HSC - Calculated Externally)</t>
  </si>
  <si>
    <t>Investments (HSC - Calculated Externally)</t>
  </si>
  <si>
    <t>Scope 3 Category 3: Fuel- &amp; energy-related emissions (PFC - Calculated Externally)</t>
  </si>
  <si>
    <t>Scope 3 Category 4: Upstream transportation &amp; distribution (PFC - Calculated Externally)</t>
  </si>
  <si>
    <t>Scope 3 Category 5: Waste generated in operations (PFC - Calculated Externally)</t>
  </si>
  <si>
    <t>Scope 3 Category 6: Business travel (PFC - Calculated Externally)</t>
  </si>
  <si>
    <t>Scope 3 Category 1: Purchased goods &amp; services (PFC - Calculated Externally)</t>
  </si>
  <si>
    <t>Scope 3 Category 7: Employee commuting (PFC - Calculated Externally)</t>
  </si>
  <si>
    <t>Scope 3 Category 8: Upstream leased assets (PFC - Calculated Externally)</t>
  </si>
  <si>
    <t>Scope 3 Category 13:  Downstream leased assets (PFC - Calculated Externally)</t>
  </si>
  <si>
    <t>Scope 3 Category 11: Use of sold products (PFC - Calculated Externally)</t>
  </si>
  <si>
    <t>Scope 3 Category 15: Investments (PFC - Calculated Externally)</t>
  </si>
  <si>
    <t>Scope 3 Category 2: Capital goods (PFC - Calculated Externally)</t>
  </si>
  <si>
    <t>Scope 3 Category 9: Downstream transportation &amp; distribution
[Patient Visits &amp; Telehealth] (PFC - Calculated Externally)</t>
  </si>
  <si>
    <t>Scope 3: Fuel- &amp; energy-related emissions (PFC - Calculated Internally)</t>
  </si>
  <si>
    <r>
      <t>Total number of system </t>
    </r>
    <r>
      <rPr>
        <b/>
        <sz val="10"/>
        <color rgb="FF555555"/>
        <rFont val="Arial"/>
        <family val="2"/>
        <scheme val="minor"/>
      </rPr>
      <t>employees</t>
    </r>
    <r>
      <rPr>
        <sz val="10"/>
        <color rgb="FF555555"/>
        <rFont val="Arial"/>
        <family val="2"/>
        <scheme val="minor"/>
      </rPr>
      <t>:</t>
    </r>
  </si>
  <si>
    <t>Total Square Footage</t>
  </si>
  <si>
    <t>Total Number of Staffed Beds</t>
  </si>
  <si>
    <t>Total Number of Operating Rooms</t>
  </si>
  <si>
    <t>Current Data Year</t>
  </si>
  <si>
    <t>pghq_climate_1_5_18</t>
  </si>
  <si>
    <t>pghq_climate_1_5_18_a1</t>
  </si>
  <si>
    <t>pghq_climate_1_5_18_b1</t>
  </si>
  <si>
    <t>pghq_climate_1_5_19</t>
  </si>
  <si>
    <t>pghq_climate_1_5_19_a1</t>
  </si>
  <si>
    <t>pghq_climate_1_5_19_b1</t>
  </si>
  <si>
    <t>pghq_climate_1_5_24</t>
  </si>
  <si>
    <t>pghq_climate_1_5_24_a1</t>
  </si>
  <si>
    <t>pghq_climate_1_5_24_b1</t>
  </si>
  <si>
    <t>pghq_climate_1_5_31</t>
  </si>
  <si>
    <t>pghq_climate_1_5_31_a1</t>
  </si>
  <si>
    <t>pghq_climate_1_5_31_b1</t>
  </si>
  <si>
    <t>pghq_climate_1_5_32</t>
  </si>
  <si>
    <t>pghq_climate_1_5_32_a1</t>
  </si>
  <si>
    <t>pghq_climate_1_5_32_b1</t>
  </si>
  <si>
    <t>pghq_climate_1_5_33</t>
  </si>
  <si>
    <t>pghq_climate_1_5_33_a1</t>
  </si>
  <si>
    <t>pghq_climate_1_5_33_b1</t>
  </si>
  <si>
    <t>pghq_climate_1_5_34</t>
  </si>
  <si>
    <t>pghq_climate_1_5_34_a1</t>
  </si>
  <si>
    <t>pghq_climate_1_5_34_b1</t>
  </si>
  <si>
    <t>pghq_climate_1_5_35</t>
  </si>
  <si>
    <t>pghq_climate_1_5_35_a1</t>
  </si>
  <si>
    <t>pghq_climate_1_5_35_b1</t>
  </si>
  <si>
    <t>pghq_climate_1_5_38</t>
  </si>
  <si>
    <t>pghq_climate_1_5_38_a1</t>
  </si>
  <si>
    <t>pghq_climate_1_5_38_b1</t>
  </si>
  <si>
    <t>pghq_climate_1_5_7</t>
  </si>
  <si>
    <t>pghq_climate_1_5_7_a1</t>
  </si>
  <si>
    <t>pghq_climate_1_5_7_b1</t>
  </si>
  <si>
    <t>pghq_climate_6_2_1_t13</t>
  </si>
  <si>
    <t>pghq_climate_6_2_1_t11</t>
  </si>
  <si>
    <t>pghq_climate_6_2_1_t12</t>
  </si>
  <si>
    <t>pghq_climate_6_2_1_t18</t>
  </si>
  <si>
    <t>pghq_climate_6_2_1_t16</t>
  </si>
  <si>
    <t>pghq_climate_6_2_1_t17</t>
  </si>
  <si>
    <t>pghq_climate_6_2_1_t3</t>
  </si>
  <si>
    <t>pghq_climate_6_2_1_t1</t>
  </si>
  <si>
    <t>pghq_climate_6_2_1_t2</t>
  </si>
  <si>
    <t>pghq_climate_6_2_1_t8</t>
  </si>
  <si>
    <t>pghq_climate_6_2_1_t6</t>
  </si>
  <si>
    <t>pghq_climate_6_2_1_t7</t>
  </si>
  <si>
    <t>pghq_climate_6_2_2_t3</t>
  </si>
  <si>
    <t>pghq_climate_6_2_2_t1</t>
  </si>
  <si>
    <t>pghq_climate_6_2_2_t2</t>
  </si>
  <si>
    <t>pghq_climate_6_2_2_t8</t>
  </si>
  <si>
    <t>pghq_climate_6_2_2_t6</t>
  </si>
  <si>
    <t>pghq_climate_6_2_2_t7</t>
  </si>
  <si>
    <t>pghq_climate_6_2_3_t13</t>
  </si>
  <si>
    <t>pghq_climate_6_2_3_t11</t>
  </si>
  <si>
    <t>pghq_climate_6_2_3_t12</t>
  </si>
  <si>
    <t>pghq_climate_6_2_3_t18</t>
  </si>
  <si>
    <t>pghq_climate_6_2_3_t16</t>
  </si>
  <si>
    <t>pghq_climate_6_2_3_t17</t>
  </si>
  <si>
    <t>pghq_climate_6_2_3_t23</t>
  </si>
  <si>
    <t>pghq_climate_6_2_3_t21</t>
  </si>
  <si>
    <t>pghq_climate_6_2_3_t22</t>
  </si>
  <si>
    <t>pghq_climate_6_2_3_t28</t>
  </si>
  <si>
    <t>pghq_climate_6_2_3_t26</t>
  </si>
  <si>
    <t>pghq_climate_6_2_3_t27</t>
  </si>
  <si>
    <t>pghq_climate_6_2_3_t3</t>
  </si>
  <si>
    <t>pghq_climate_6_2_3_t1</t>
  </si>
  <si>
    <t>pghq_climate_6_2_3_t2</t>
  </si>
  <si>
    <t>pghq_climate_6_2_3_t33</t>
  </si>
  <si>
    <t>pghq_climate_6_2_3_t31</t>
  </si>
  <si>
    <t>pghq_climate_6_2_3_t32</t>
  </si>
  <si>
    <t>pghq_climate_6_2_3_t38</t>
  </si>
  <si>
    <t>pghq_climate_6_2_3_t36</t>
  </si>
  <si>
    <t>pghq_climate_6_2_3_t37</t>
  </si>
  <si>
    <t>pghq_climate_6_2_3_t48</t>
  </si>
  <si>
    <t>pghq_climate_6_2_3_t46</t>
  </si>
  <si>
    <t>pghq_climate_6_2_3_t47</t>
  </si>
  <si>
    <t>pghq_climate_6_2_3_t58</t>
  </si>
  <si>
    <t>pghq_climate_6_2_3_t56</t>
  </si>
  <si>
    <t>pghq_climate_6_2_3_t57</t>
  </si>
  <si>
    <t>pghq_climate_6_2_3_t68</t>
  </si>
  <si>
    <t>pghq_climate_6_2_3_t66</t>
  </si>
  <si>
    <t>pghq_climate_6_2_3_t67</t>
  </si>
  <si>
    <t>pghq_climate_6_2_3_t8</t>
  </si>
  <si>
    <t>pghq_climate_6_2_3_t6</t>
  </si>
  <si>
    <t>pghq_climate_6_2_3_t7</t>
  </si>
  <si>
    <t>pghq_climate_6_2_3_t81</t>
  </si>
  <si>
    <t>pghq_climate_6_2_3_t79</t>
  </si>
  <si>
    <t>pghq_climate_6_2_3_t80</t>
  </si>
  <si>
    <t>pghq_demographic_1_7_1</t>
  </si>
  <si>
    <t>pghq_energy_2_7_16</t>
  </si>
  <si>
    <t>pghq_energy_2_7_18</t>
  </si>
  <si>
    <t>pghq_energy_2_7_19</t>
  </si>
  <si>
    <t>pghq_energy_2_7_17</t>
  </si>
  <si>
    <t>pghq_energy_2_7_45</t>
  </si>
  <si>
    <t>pghq_energy_2_7_54</t>
  </si>
  <si>
    <t>pghq_energy_2_7_20z</t>
  </si>
  <si>
    <t>pghq_energy_2_7_22z</t>
  </si>
  <si>
    <t>pghq_energy_2_7_23z</t>
  </si>
  <si>
    <t>pghq_energy_2_7_20z1</t>
  </si>
  <si>
    <t>pghq_energy_2_7_22z1</t>
  </si>
  <si>
    <t>pghq_energy_2_7_23z1</t>
  </si>
  <si>
    <t>pghq_energy_2_7_20z2</t>
  </si>
  <si>
    <t>pghq_energy_2_7_22z2</t>
  </si>
  <si>
    <t>pghq_energy_2_7_23z2</t>
  </si>
  <si>
    <t>pghq_energy_2_7_21z</t>
  </si>
  <si>
    <t>pghq_energy_2_7_46z</t>
  </si>
  <si>
    <t>pghq_energy_2_7_55z</t>
  </si>
  <si>
    <t>pghq_energy_2_7_21z1</t>
  </si>
  <si>
    <t>pghq_energy_2_7_46z1</t>
  </si>
  <si>
    <t>pghq_energy_2_7_55z1</t>
  </si>
  <si>
    <t>pghq_energy_2_7_21z2</t>
  </si>
  <si>
    <t>pghq_energy_2_7_46z2</t>
  </si>
  <si>
    <t>pghq_energy_2_7_55z2</t>
  </si>
  <si>
    <t>pghq_energy_2_7_24</t>
  </si>
  <si>
    <t>pghq_energy_2_7_26</t>
  </si>
  <si>
    <t>pghq_energy_2_7_27</t>
  </si>
  <si>
    <t>pghq_energy_2_7_25</t>
  </si>
  <si>
    <t>pghq_energy_2_7_47</t>
  </si>
  <si>
    <t>pghq_energy_2_7_56</t>
  </si>
  <si>
    <t>pghq_energy_2_7_4</t>
  </si>
  <si>
    <t>pghq_energy_2_7_6</t>
  </si>
  <si>
    <t>pghq_energy_2_7_7</t>
  </si>
  <si>
    <t>pghq_energy_2_7_5</t>
  </si>
  <si>
    <t>pghq_energy_2_7_42</t>
  </si>
  <si>
    <t>pghq_energy_2_7_51</t>
  </si>
  <si>
    <t>pghq_energy_712</t>
  </si>
  <si>
    <t>pghq_energy_710</t>
  </si>
  <si>
    <t>pghq_energy_711</t>
  </si>
  <si>
    <t>pghq_energy_715</t>
  </si>
  <si>
    <t>pghq_energy_713</t>
  </si>
  <si>
    <t>pghq_energy_714</t>
  </si>
  <si>
    <t>pghq_gor_4_7_11</t>
  </si>
  <si>
    <t>pghq_gor_4_7_9</t>
  </si>
  <si>
    <t>pghq_gor_4_7_10</t>
  </si>
  <si>
    <t>pghq_gor_4_7_23</t>
  </si>
  <si>
    <t>pghq_gor_4_7_21</t>
  </si>
  <si>
    <t>pghq_gor_4_7_22</t>
  </si>
  <si>
    <t>pghq_gor_4_7_34</t>
  </si>
  <si>
    <t>pghq_gor_4_7_38</t>
  </si>
  <si>
    <t>pghq_gor_4_7_33</t>
  </si>
  <si>
    <t>pghq_gor_4_9_tJ_1_z</t>
  </si>
  <si>
    <t>pghq_gor_4_9_tJ_1_z_a1</t>
  </si>
  <si>
    <t>pghq_gor_4_9_tJ_1_z_b1</t>
  </si>
  <si>
    <t>pghq_transportation_4_3_tD_2</t>
  </si>
  <si>
    <t>pghq_transportation_4_3_tD_1</t>
  </si>
  <si>
    <t>pghq_transportation_4_3_tD_8</t>
  </si>
  <si>
    <t>pghq_climate_6_2_3_t13_sys</t>
  </si>
  <si>
    <t>pghq_climate_6_2_3_t11_sys</t>
  </si>
  <si>
    <t>pghq_climate_6_2_3_t12_sys</t>
  </si>
  <si>
    <t>pghq_climate_6_2_3_t18_sys</t>
  </si>
  <si>
    <t>pghq_climate_6_2_3_t16_sys</t>
  </si>
  <si>
    <t>pghq_climate_6_2_3_t17_sys</t>
  </si>
  <si>
    <t>pghq_climate_6_2_3_t23_sys</t>
  </si>
  <si>
    <t>pghq_climate_6_2_3_t21_sys</t>
  </si>
  <si>
    <t>pghq_climate_6_2_3_t22_sys</t>
  </si>
  <si>
    <t>pghq_climate_6_2_3_t28_sys</t>
  </si>
  <si>
    <t>pghq_climate_6_2_3_t26_sys</t>
  </si>
  <si>
    <t>pghq_climate_6_2_3_t27_sys</t>
  </si>
  <si>
    <t>pghq_climate_6_2_3_t3_sys</t>
  </si>
  <si>
    <t>pghq_climate_6_2_3_t1_sys</t>
  </si>
  <si>
    <t>pghq_climate_6_2_3_t2_sys</t>
  </si>
  <si>
    <t>pghq_climate_6_2_3_t33_sys</t>
  </si>
  <si>
    <t>pghq_climate_6_2_3_t31_sys</t>
  </si>
  <si>
    <t>pghq_climate_6_2_3_t32_sys</t>
  </si>
  <si>
    <t>pghq_climate_6_2_3_t38_sys</t>
  </si>
  <si>
    <t>pghq_climate_6_2_3_t36_sys</t>
  </si>
  <si>
    <t>pghq_climate_6_2_3_t37_sys</t>
  </si>
  <si>
    <t>pghq_climate_6_2_3_t48_sys</t>
  </si>
  <si>
    <t>pghq_climate_6_2_3_t46_sys</t>
  </si>
  <si>
    <t>pghq_climate_6_2_3_t47_sys</t>
  </si>
  <si>
    <t>pghq_climate_6_2_3_t58_sys</t>
  </si>
  <si>
    <t>pghq_climate_6_2_3_t56_sys</t>
  </si>
  <si>
    <t>pghq_climate_6_2_3_t57_sys</t>
  </si>
  <si>
    <t>pghq_climate_6_2_3_t68_sys</t>
  </si>
  <si>
    <t>pghq_climate_6_2_3_t66_sys</t>
  </si>
  <si>
    <t>pghq_climate_6_2_3_t67_sys</t>
  </si>
  <si>
    <t>pghq_climate_6_2_3_t8_sys</t>
  </si>
  <si>
    <t>pghq_climate_6_2_3_t6_sys</t>
  </si>
  <si>
    <t>pghq_climate_6_2_3_t7_sys</t>
  </si>
  <si>
    <t>pghq_climate_6_2_3_t81_sys</t>
  </si>
  <si>
    <t>pghq_climate_6_2_3_t79_sys</t>
  </si>
  <si>
    <t>pghq_climate_6_2_3_t80_sys</t>
  </si>
  <si>
    <t>pghq_climate_6_2_1_t13_sys</t>
  </si>
  <si>
    <t>pghq_climate_6_2_1_t11_sys</t>
  </si>
  <si>
    <t>pghq_climate_6_2_1_t12_sys</t>
  </si>
  <si>
    <t>pghq_climate_6_2_1_t18_sys</t>
  </si>
  <si>
    <t>pghq_climate_6_2_1_t16_sys</t>
  </si>
  <si>
    <t>pghq_climate_6_2_1_t17_sys</t>
  </si>
  <si>
    <t>pghq_climate_6_2_1_t3_sys</t>
  </si>
  <si>
    <t>pghq_climate_6_2_1_t1_sys</t>
  </si>
  <si>
    <t>pghq_climate_6_2_1_t2_sys</t>
  </si>
  <si>
    <t>pghq_climate_6_2_1_t8_sys</t>
  </si>
  <si>
    <t>pghq_climate_6_2_1_t6_sys</t>
  </si>
  <si>
    <t>pghq_climate_6_2_1_t7_sys</t>
  </si>
  <si>
    <t>pghq_climate_6_2_2_t3_sys</t>
  </si>
  <si>
    <t>pghq_climate_6_2_2_t1_sys</t>
  </si>
  <si>
    <t>pghq_climate_6_2_2_t2_sys</t>
  </si>
  <si>
    <t>pghq_climate_6_2_2_t8_sys</t>
  </si>
  <si>
    <t>pghq_climate_6_2_2_t6_sys</t>
  </si>
  <si>
    <t>pghq_climate_6_2_2_t7_sys</t>
  </si>
  <si>
    <t>pghq_demographic_8_1_10</t>
  </si>
  <si>
    <t>pghq_demographic_8_1_11</t>
  </si>
  <si>
    <t>pghq_demographic_8_1_5</t>
  </si>
  <si>
    <t>pghq_demographic_8_1_12</t>
  </si>
  <si>
    <t>pghq_demographic_8_1_13</t>
  </si>
  <si>
    <t>https://journals.lww.com/anesthesia-analgesia/fulltext/2012/05000/life_cycle_greenhouse_gas_emissions_of_anesthetic.25.aspx</t>
  </si>
  <si>
    <t>https://www.thelancet.com/journals/lanplh/article/PIIS2542-5196(23)00084-0/fulltext</t>
  </si>
  <si>
    <t>Assessing the potential climate impact of anaesthetic gases by Mads Peter Sulbaek Andersen, PhD, Prof Ole John Nielsen, PhD, Jodi D Sherman, MD, The Lancet: Planetary Health, VOLUME 7, ISSUE 7, E622-E629, JULY 2023,</t>
  </si>
  <si>
    <t>(40)</t>
  </si>
  <si>
    <t>*calculator output is kgCO2e, app output is MTCO2e so divide by 1000</t>
  </si>
  <si>
    <t>Input Purchased (not administered) Amount</t>
  </si>
  <si>
    <t>Grid / Location-Based Electricity</t>
  </si>
  <si>
    <t>Market-Based Electricity</t>
  </si>
  <si>
    <r>
      <t xml:space="preserve">Before entering the requested data for each source, please indicate the type of data. Emissions will </t>
    </r>
    <r>
      <rPr>
        <b/>
        <i/>
        <sz val="11"/>
        <color theme="1"/>
        <rFont val="Arial"/>
        <family val="2"/>
        <scheme val="minor"/>
      </rPr>
      <t>not</t>
    </r>
    <r>
      <rPr>
        <i/>
        <sz val="11"/>
        <color theme="1"/>
        <rFont val="Arial"/>
        <family val="2"/>
        <scheme val="minor"/>
      </rPr>
      <t xml:space="preserve"> calculate without selecting an option for each source.                                         The possible options and their explanations are detailed below:</t>
    </r>
  </si>
  <si>
    <t>Quantity delivered</t>
  </si>
  <si>
    <t>Units</t>
  </si>
  <si>
    <t>mL</t>
  </si>
  <si>
    <t>lbs</t>
  </si>
  <si>
    <t xml:space="preserve">Anesthetics - N2O </t>
  </si>
  <si>
    <t>Density (kg/mL)</t>
  </si>
  <si>
    <t>1 - Enter the quantity of electricity consumed in the appropriate column.</t>
  </si>
  <si>
    <t>Electricity</t>
  </si>
  <si>
    <t>kBtu</t>
  </si>
  <si>
    <t>MMBtu</t>
  </si>
  <si>
    <t>Market-Based Emission Factor (kgCO2e/electricity purchased)</t>
  </si>
  <si>
    <t>Units
(select from dropdown)</t>
  </si>
  <si>
    <t>Amount Purchased</t>
  </si>
  <si>
    <t>Welcome to the GHG calculation tool for healthcare institutions developed by Health Care Without Harm and Practice Greenhealth for a U.S. or Canadian Health System or Facility. The calculator is going to calculate the GHG emissions for all Scope 1, 2, and 3 activities that fall under an organization's operational, financial or equity boundary.</t>
  </si>
  <si>
    <r>
      <rPr>
        <b/>
        <sz val="11"/>
        <color theme="1"/>
        <rFont val="Arial"/>
        <family val="2"/>
        <scheme val="minor"/>
      </rPr>
      <t>1- Select your region</t>
    </r>
    <r>
      <rPr>
        <sz val="11"/>
        <color theme="1"/>
        <rFont val="Arial"/>
        <family val="2"/>
        <scheme val="minor"/>
      </rPr>
      <t xml:space="preserve">      </t>
    </r>
    <r>
      <rPr>
        <b/>
        <sz val="11"/>
        <color rgb="FFFF0000"/>
        <rFont val="Arial"/>
        <family val="2"/>
        <scheme val="minor"/>
      </rPr>
      <t>THIS IS REQUIRED TO GET RESULTS</t>
    </r>
  </si>
  <si>
    <t xml:space="preserve">EPA </t>
  </si>
  <si>
    <t>eGRID 2023 Summary Table</t>
  </si>
  <si>
    <t>https://www.epa.gov/egrid/summary-data</t>
  </si>
  <si>
    <t>Download Summary Table in xlsx, use CO2e factor under Table 1, "Total output emissions rates" (units are lbs/MWh). Last updated 1/17/2025 with 2023 values</t>
  </si>
  <si>
    <t>Table 1, CO2e values under "Total Output Emissions Rates section"</t>
  </si>
  <si>
    <t>Wholesaler / Retailer / Distributer</t>
  </si>
  <si>
    <t xml:space="preserve">Updated Scope 2 emission factors per region to 2023 EPA data set, added Canada emission factors for Scope 2, added more units of measurement to Scope 1 and 2 data inputs, and fixed some activities that were not calculating totals. </t>
  </si>
  <si>
    <r>
      <rPr>
        <b/>
        <sz val="11"/>
        <color theme="1"/>
        <rFont val="Arial"/>
        <family val="2"/>
        <scheme val="minor"/>
      </rPr>
      <t>2.1.0</t>
    </r>
    <r>
      <rPr>
        <sz val="11"/>
        <color theme="1"/>
        <rFont val="Arial"/>
        <family val="2"/>
        <scheme val="minor"/>
      </rPr>
      <t xml:space="preserve"> - April 2025</t>
    </r>
  </si>
  <si>
    <t>- IPCC Sixth Assessment Report (2023) Global Warming Potential (GWP) values for non-CO2 greenhouse gases.</t>
  </si>
  <si>
    <t>Note, totals will auto-populate once worksheets are completed with activity data</t>
  </si>
  <si>
    <t>Percent 
of Total Scope 3</t>
  </si>
  <si>
    <t>Commercial and Institutional Building Construction</t>
  </si>
  <si>
    <t>Industrial Building Construction</t>
  </si>
  <si>
    <t>Land Subdivision</t>
  </si>
  <si>
    <t>Lessors of Residential Buildings and Dwellings</t>
  </si>
  <si>
    <t>New Housing For-Sale Builders</t>
  </si>
  <si>
    <t>Poured Concrete Foundation and Structure Contractors</t>
  </si>
  <si>
    <t>Structural Steel and Precast Concrete Contractors</t>
  </si>
  <si>
    <t>Framing Contractors</t>
  </si>
  <si>
    <t>Masonry Contractors</t>
  </si>
  <si>
    <t>Glass and Glazing Contractors</t>
  </si>
  <si>
    <t>Roofing Contractors</t>
  </si>
  <si>
    <t>Siding Contractors</t>
  </si>
  <si>
    <t>Other Foundation,Structure,and Building Exterior Contractors</t>
  </si>
  <si>
    <t>Plumbing,Heating,and Air-Conditioning Contractors</t>
  </si>
  <si>
    <t>Other Building Equipment Contractors</t>
  </si>
  <si>
    <t>Drywall and Insulation Contractors</t>
  </si>
  <si>
    <t>Establishments primarily engaged in manufacturing abrasive grinding wheels of natural or synthetic materials, abrasive-coated products, and other abrasive products.</t>
  </si>
  <si>
    <t>Establishments primarily engaged in providing services, such as auditing of accounting records, designing accounting systems, preparing financial statements, developing budgets, preparing tax returns, processing payrolls, bookkeeping, and billing.</t>
  </si>
  <si>
    <t>Establishments primarily engaged in manufacturing adhesives, glues, and caulking compounds.</t>
  </si>
  <si>
    <t>This industry group comprises (1) Advertising Agencies, (2) Public Relations Agencies, (3) Media Buying Agencies, (4) Media Representatives, (5) Display Advertising, (6) Direct Mail Advertising, (7) Advertising Material Distribution Services, and (8) Other Services Related to Advertising.</t>
  </si>
  <si>
    <t>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industry.Establishments that primarily perform these activities independent of the agriculture or forestry producing establishment are in this subsector.</t>
  </si>
  <si>
    <t>Establishments primarily engaged in manufacturing general purpose air and gas compressors, such as reciprocating compressors, centrifugal compressors, vacuum pumps (except laboratory), and nonagricultural spraying and dusting compressors and spray gun units.</t>
  </si>
  <si>
    <t>Establishments primarily engaged inThis industry group comprises (1) manufacturing air-conditioning (except motor vehicle) and warm air furnace equipment and/or (2) manufacturing commercial and industrial refrigeration and freezer equipment.</t>
  </si>
  <si>
    <t>Establishments primarily engaged in manufacturing ventilating, heating, air-conditioning, and commercial and industrial refrigeration and freezer equipment.</t>
  </si>
  <si>
    <t>Establishments primarily engaged in one or more of the following:This industry group comprises (1) manufacturing or assembling complete aircraft; (2) developing and making aircraft prototypes; (3) aircraft conversion (i.e., major modifications to systems); and (4) complete aircraft overhaul and rebuilding (i.e., periodic restoration of aircraft to original design specifications).</t>
  </si>
  <si>
    <t>Establishments primarily engaged in one or more of the following:This industry group comprises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</si>
  <si>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</si>
  <si>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Establishments providing customers with lodging and/or preparing meals, snacks, and beverages for immediate consumption. The sector includes both accommodation and food servicesEstablishments because the two activities are often combined at the same establishment.   Excluded from this sector are civic and social organizations; amusement and recreation parks; theaters; and other recreation or entertainment facilities providing food and beverage services.</t>
  </si>
  <si>
    <t>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areEstablishments primarily engaged in mixing purchased dried and/or dehydrated ingredients including those mixing purchased dried and/or dehydrated ingredients for soup mixes and bouillon.</t>
  </si>
  <si>
    <t xml:space="preserve">Establishments primarily engaged in one or more of the following:This industry group comprises (1) manufacturing forgings from purchased metals; (2) manufacturing metal custom roll forming products; (3) manufacturing metal stamped and spun products (except automotive, cans, coins); and (4) manufacturing powder metallurgy products.Establishments making metal forgings, metal stampings, and metal spun products and further manufacturing (e.g., machining, assembling) a specific manufactured product are classified in the industry of the finished product. Metal forging, metal stamping, and metal spun productsEstablishments may perform surface finishing operations, such as cleaning and deburring, on the products they manufacture. </t>
  </si>
  <si>
    <t>Establishments primarily engaged in providing ambulatory health care services (except offices of physicians, dentists, and other health practitioners; outpatient care centers; medical laboratories and diagnostic imaging centers; and home health care providers).</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</si>
  <si>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t>
  </si>
  <si>
    <t>Establishments primarily engaged in operating amusement parks and amusement arcades and parlors.</t>
  </si>
  <si>
    <t>Establishments primarily engaged in manufacturing instruments and instrumentation systems for laboratory analysis of the chemical or physical composition or concentration of samples of solid, fluid, gaseous, or composite material.</t>
  </si>
  <si>
    <t>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required.Establishments are classified in the Animal Production and Aquaculture subsector when animal production (i.e., value of animals for market) accounts for one-half or more of the establishment</t>
  </si>
  <si>
    <t>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</si>
  <si>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Establishments primarily engaged in manufacturing asphalt and tar paving mixtures and blocks from purchased asphaltic materials.</t>
  </si>
  <si>
    <t>Establishments primarily engaged inThis industry group comprises (1) saturating purchased mats and felts with asphalt or tar from purchased asphaltic materials and (2) manufacturing asphalt and tar and roofing cements and coatings from purchased asphaltic materials.</t>
  </si>
  <si>
    <t>Establishments primarily engaged in manufacturing electronic audio and video equipment for home entertainment, motor vehicles, and public address and musical instrument amplification. Examples of products made by theseEstablishments are video cassette recorders, televisions, stereo equipment, speaker systems, household-type video cameras, jukeboxes, and amplifiers for musical instruments and public address systems.</t>
  </si>
  <si>
    <t>Establishments primarily engaged in manufacturing automatic controls and regulators for applications, such as heating, air-conditioning, refrigeration and appliances.</t>
  </si>
  <si>
    <t>Establishments primarily engaged inThis industry group comprises (1) manufacturing complete automobiles (i.e., body and chassis or unibody) or (2) manufacturing automobile chassis only.</t>
  </si>
  <si>
    <t>Establishments primarily engaged in manufacturing ball and roller bearings of all materials.</t>
  </si>
  <si>
    <t>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</si>
  <si>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Establishments primarily engaged in building boats. Boats are defined as watercraft not built in shipyards and typically of the type suitable or intended for personal use. Included in this industry areEstablishments that manufacture heavy-duty inflatable rubber or inflatable plastic boats (RIBs).</t>
  </si>
  <si>
    <t>Establishments known as book publishers.Establishments in this industry carry out design, editing, and marketing activities necessary for producing and distributing books. TheseEstablishments may publish books in print, electronic, or audio form.</t>
  </si>
  <si>
    <t>Establishments primarily engaged in printing on apparel and textile products, paper, metal, glass, plastics, and other materials, except fabric (grey goods). The printing processes employed include, but are not limited to, lithographic, gravure, screen, flexographic, digital, and letterpress.Establishments in this industry do not manufacture the stock that they print, but may perform postprinting activities, such as folding, cutting, or laminating the materials they print, and mailing.</t>
  </si>
  <si>
    <t>Establishments primarily engaged in manufacturing fresh and frozen bread and other bakery products.</t>
  </si>
  <si>
    <t>Establishments primarily engaged in manufacturing breakfast cereal foods.</t>
  </si>
  <si>
    <t>Establishments primarily engaged in brewing beer, ale, malt liquors, and nonalcoholic beer.</t>
  </si>
  <si>
    <t>This industry group comprisesThis industry group comprises (1) Building Material and Supplies Dealers and (2) Lawn and Garden Equipment and Supplies Stores.</t>
  </si>
  <si>
    <t>This industry group comprises (1) Exterminating and Pest Control Services, (2) Janitorial Services, (3) Landscaping Services, (4) Carpet and Upholstery Cleaning Services, and (5) Other Services to Buildings and Dwellings.</t>
  </si>
  <si>
    <t>Establishments engaged in performing activities that are ongoing routine business support functions that businesses and organizations traditionally do for themselves.</t>
  </si>
  <si>
    <t>Establishments primarily engaged in operating studios and facilities for the broadcasting of programs on a subscription or fee basis. The broadcast programming is typically narrowcast in nature (e.g., limited format, such as news, sports, education, or youth-oriented). TheseEstablishments produce programming in their own facilities or acquire programming from external sources. The programming material is usually delivered to a third party, such as cable systems or direct-to-home satellite systems, for transmission to viewers.</t>
  </si>
  <si>
    <t>Establishments primarily engaged in manufacturing carbon, graphite, and metal-graphite brushes and brush stock; carbon or graphite electrodes for thermal and electrolytic uses; carbon and graphite fibers; and other carbon, graphite, and metal-graphite products.</t>
  </si>
  <si>
    <t>Establishments primarily engaged in manufacturing paperboard from pulp. TheseEstablishments may manufacture or purchase pulp. In addition, theEstablishments may also convert the paperboard they make.</t>
  </si>
  <si>
    <t>Establishments primarily engaged in converting paperboard into containers without manufacturing paperboard. TheseEstablishments use corrugating, cutting, and shaping machinery to form paperboard into containers. Products made by theseEstablishments include boxes, corrugated sheets, pads, pallets, paper dishes, and fiber drums, and reels.</t>
  </si>
  <si>
    <t>Establishments primarily engaged inThis industry group comprises (1) manufacturing woven, tufted, and other carpets and rugs, such as art squares, floor mattings, needlepunch carpeting, and door mats and mattings, from textile materials or from twisted paper, grasses, reeds, sisal, jute, or rags and/or (2) finishing carpets and rugs.</t>
  </si>
  <si>
    <t>Establishments primarily engaged in pouring molten iron and steel into molds of a desired shape to make castings.Establishments in this industry purchase iron and steel made in otherEstablishments.</t>
  </si>
  <si>
    <t>Establishments primarily engaged in raising cattle, milking dairy cattle, or feeding cattle for fattening.</t>
  </si>
  <si>
    <t>Establishments primarily engaged in manufacturing portland, natural, masonry, pozzolanic, and other hydraulic cements. Cement manufacturingEstablishments may calcine earths or mine, quarry, manufacture, or purchase lime.</t>
  </si>
  <si>
    <t>Establishments primarily engaged inThis industry group comprises (1) manufacturing cheese products (except cottage cheese) from raw milk and/or processed milk products and/or (2) manufacturing cheese substitutes from soybean and other nondairy substances.</t>
  </si>
  <si>
    <t>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t>
  </si>
  <si>
    <t>Establishments primarily engaged in providing day care of infants or children. These establishments generally care for preschool children, but may care for older children when they are not in school and may also offer pre-kindergarten educational programs.</t>
  </si>
  <si>
    <t>Establishments engaged in providing services not specifically provided for elsewhere in the classification system.Establishments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areEstablishments primarily engaged in retailing new equipment and also performing repairs and general maintenance on equipment. TheseEstablishments are classified in Sector 44-45, Retail Trade.</t>
  </si>
  <si>
    <t>This industry group comprisesThis industry group comprises (1) Pottery, Ceramics, and Plumbing Fixture Manufacturing, and (2) Clay Building Material and Refractories Manufacturing.</t>
  </si>
  <si>
    <t>Establishments with two distinct manufacturing processes:This industry group comprises (1) cut and sew (i.e., purchasing fabric and cutting and sewing to make a garment), and (2) the manufacture of garments inEstablishments that first knit fabric and then cut and sew the fabric into a garment. The Apparel Manufacturing subsector includes a diverse range ofEstablishments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</si>
  <si>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 xml:space="preserve"> Clothing and Clothing Accessories Stores.</t>
  </si>
  <si>
    <t>Establishments primarily engaged in one or more of the following:This industry group comprises (1) mining bituminous coal, anthracite, and lignite by underground mining, auger mining, strip mining, culm bank mining, and other surface mining; (2) developing coal mine sites; and (3) beneficiating (i.e., preparing) coal (e.g., cleaning, washing, screening, and sizing coal).</t>
  </si>
  <si>
    <t>Establishments primarily engaged in one or more of the following:This industry group comprises (1) roasting coffee; (2) manufacturing coffee and tea concentrates (including instant and freeze-dried); (3) blending tea; (4) manufacturing herbal tea; and (5) manufacturing coffee extracts, flavorings, and syrups.</t>
  </si>
  <si>
    <t>Establishments that provide instruction and training in a wide variety of subjects. This instruction and training is provided by specializedEstablishments, such as schools, colleges, universities, and training centers. TheseEstablishments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t>
  </si>
  <si>
    <t>Establishments primarily responsible for the construction (including new work, additions, alterations, maintenance, and repairs) of commercial and institutional buildings and related structures, such as stadiums, grain elevators, and indoor swimming facilities.  This industry includes establishments responsible for the on-site assembly of modular or prefabricated commercial and institutional buildings.  Included in this industry are commercial and institutional building general contractors, commercial and institutional building for-sale builders, commercial and institutional building design-build firms, and commercial and institutional building project construction management firms.
Illustrative Examples:
Airport building construction
Office building construction
Arena construction
Parking garage construction
Barrack construction
Prison construction
Farm building construction
Radio and television broadcast studio construction
Fire station construction
Religious building (e.g., church, synagogue, mosque, temple) construction
Grain elevator or bin construction
Restaurant construction
Hospital construction
School building construction
Hotel construction
Shopping mall construction
Indoor swimming facility construction
Warehouse construction (e.g., commercial, industrial, manufacturing, private)
Cross-References. Establishments primarily engaged in--</t>
  </si>
  <si>
    <t>Establishments primarily engaged in renting or leasing commercial-type and industrial-type machinery and equipment. The types ofEstablishments included in this industry group are generally involved in providing capital or investment-type equipment that clients use in their business operations. TheseEstablishments typically cater to a business clientele and do not generally operate a retail-like or store-front facility.</t>
  </si>
  <si>
    <t>Establishments primarily engaged in the repair and maintenance of commercial and industrial machinery and equipment.Establishments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</si>
  <si>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Establishments insulating fiber-optic cable, and manufacturing insulated nonferrous wire and cable from nonferrous wire drawn in otherEstablishments.</t>
  </si>
  <si>
    <t>Establishments primarily engaged in manufacturing communications equipment (except telephone apparatus, and radio and television broadcast, and wireless communications equipment).</t>
  </si>
  <si>
    <t>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thoseEstablishments providing medical care exclusively, continuing with those providing health care and social assistance, and finally finishing with those providing only social assistance. The services provided byEstablishments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t>
  </si>
  <si>
    <t>This industry group comprises (1)Establishments that hold the securities of (or other equity interests in) companies and enterprises for the purpose of owning a controlling interest or influencing management decisions or (2)Establishments (except governmentEstablishments) that administer, oversee, and manageEstablishments of the company or enterprise and that normally undertake the strategic or organizational planning and decision making role of the company or enterprise.Establishments that administer, oversee, and manage may hold the securities of the company or enterprise.Establishments in this sector perform essential activities that are often undertaken, in-house, byEstablishments in many sectors of the economy. By consolidating the performance of these activities of the enterprise at one establishment, economies of scale are achieved. GovernmentEstablishments primarily engaged in administering, overseeing, and managing governmental programs are classified in Sector 92, Public Administration.Establishments primarily engaged in providing a range of day-to-day office administrative services, such as financial planning, billing and recordkeeping, personnel, and physical distribution and logistics are classified in Industry 56111, Office Administrative Services.</t>
  </si>
  <si>
    <t>Establishments primarily engaged in manufacturing industrial organic and inorganic gases in compressed, liquid, and solid forms.</t>
  </si>
  <si>
    <t>Establishments primarily engaged in manufacturing computer storage devices that allow the storage and retrieval of data from a phase change, magnetic, optical, or magnetic/optical media. Examples of products made by theseEstablishments are CD-ROM drives, floppy disk drives, hard disk drives, and tape storage and backup units.</t>
  </si>
  <si>
    <t>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TheseEstablishments often install the system and train and support users of the system.</t>
  </si>
  <si>
    <t>Establishments primarily engaged in manufacturing and/or assembling electronic computers, such as mainframes, personal computers, workstations, laptops, and computer servers; and computer peripheral equipment, such as storage devices, printers, monitors, input/output devices and terminals.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comprise at least analog, control, and programming elements.Â </t>
  </si>
  <si>
    <t>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</si>
  <si>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Establishments primarily engaged in manufacturing concrete pipe, brick, and block.</t>
  </si>
  <si>
    <t>Establishments primarily engaged in manufacturing construction machinery, surface mining machinery, and logging equipment.</t>
  </si>
  <si>
    <t>Establishments primarily engaged in renting, leasing, or otherwise allowing the use of tangible or intangible assets, andEstablishments providing related services. The major portion of this sector comprisesEstablishments that rent, lease, or otherwise allow the use of their own assets by others. The assets may be tangible, as is the case of real estate and equipment, or intangible, as is the case with patents and trademarks.   This sector also includesEstablishments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areEstablishments primarily engaged in renting or leasing equipment with operators.Establishments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t>
  </si>
  <si>
    <t>Establishments primarily engaged in one of the following:This industry group comprises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t>
  </si>
  <si>
    <t>Establishments primarily engaged inThis industry group comprises (1) smelting ores into nonferrous metals and/or (2) the primary refining of nonferrous metals (except aluminum) by electrolytic methods or other processes.</t>
  </si>
  <si>
    <t>Establishments primarily engaged in developing the mine site, mining, and/or beneficiating (i.e., preparing) ores valued chiefly for their copper, nickel, lead, or zinc content. Beneficiating includes the transformation of ores into concentrates.</t>
  </si>
  <si>
    <t>Establishments primarily engaged in wet milling corn and other vegetables (except to make ethyl alcohol). Examples of products made in theseEstablishments are corn sweeteners, such as glucose, dextrose, and fructose; corn oil; and starches (except laundry).</t>
  </si>
  <si>
    <t>Establishments primarily engaged in manufacturing household textile products, such as curtains, draperies, linens, bedspreads, sheets, tablecloths, towels, and shower curtains, from purchased materials.</t>
  </si>
  <si>
    <t>Establishments primarily engaged in writing, modifying, testing, and supporting software to meet the needs of a particular customer.</t>
  </si>
  <si>
    <t>Establishments primarily engaged in custom roll forming metal products by use of rotary motion of rolls with various contours to bend or shape the products.</t>
  </si>
  <si>
    <t>Establishments primarily engaged in cutting, shaping, and finishing granite, marble, limestone, slate, and other stone for building and miscellaneous uses. Stone product manufacturingEstablishments may mine, quarry, or purchase stone.</t>
  </si>
  <si>
    <t>Establishments primarily engaged in one or more of the following:This industry group comprises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</si>
  <si>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machines.Â </t>
  </si>
  <si>
    <t>Establishments primarily engaged in milking dairy cattle.</t>
  </si>
  <si>
    <t>Establishments primarily engaged as independent contractors in the installation and maintenance of broadcasting and telecommunications systems are classified in Sector 23, Construction.Establishments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</si>
  <si>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Establishments primarily engaged in manufacturing dental equipment and supplies used by dental laboratories and offices of dentists, such as dental chairs, dental instrument delivery systems, dental hand instruments, and dental impression material and dental cements.</t>
  </si>
  <si>
    <t>Establishments primarily engaged in manufacturing dentures, crowns, bridges, and orthodontic appliances customized for individual application.</t>
  </si>
  <si>
    <t>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</si>
  <si>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</si>
  <si>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Establishments primarily engaged in initially underwriting (i.e., assuming the risk and assigning premiums) annuities and life insurance policies, disability income insurance policies, and accidental death and dismemberment insurance policies.</t>
  </si>
  <si>
    <t>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works.Â </t>
  </si>
  <si>
    <t>Establishments primarily engaged in one or more of the following:This industry group comprises (1) distilling potable liquors (except brandies); (2) distilling and blending liquors; and (3) blending and mixing liquors and other ingredients.</t>
  </si>
  <si>
    <t>Establishments primarily engaged in manufacturing dog and cat food from ingredients, such as grains, oilseed mill products, and meat products.</t>
  </si>
  <si>
    <t>Establishments primarily engaged in manufacturing dolls, toys, and games, such as complete dolls, doll parts, doll clothes, action figures, toys, games (including electronic), hobby kits, and children</t>
  </si>
  <si>
    <t>Establishments primarily engaged in operating water treatment plants and/or operating water supply systems. The water supply system may include pumping stations, aqueducts, and/or distribution mains. The water may be used for drinking, irrigation, or other uses.</t>
  </si>
  <si>
    <t>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</si>
  <si>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Establishments primarily engaged in manufacturing dry, condensed, and evaporated milk and dairy substitute products.</t>
  </si>
  <si>
    <t>This industry group comprises (1) Coin-Operated Laundries and Drycleaners, (2) Drycleaning and Laundry Services (except Coin-Operated), and (3) Linen and Uniform Supply.</t>
  </si>
  <si>
    <t>Establishments primarily engaged in manufacturing electromedical and electrotherapeutic apparatus, such as magnetic resonance imaging equipment, medical ultrasound equipment, pacemakers, hearing aids, electrocardiographs, and electromedical endoscopic equipment.</t>
  </si>
  <si>
    <t>Establishments primarily engaged in repairing electronic equipment, such as computers and communications equipment, and highly specialized precision instruments.Establishments in this industry group typically have staff skilled in repairing items having complex, electronic components.</t>
  </si>
  <si>
    <t>Establishments primarily engaged in manufacturing semiconductors and other components for electronic applications. Examples of products made by theseEstablishments are capacitors, resistors, microprocessors, bare and loaded printed circuit boards, electron tubes, electronic connectors, and computer modems.Â </t>
  </si>
  <si>
    <t>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</si>
  <si>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This industry group comprises (1) Employment Placement Agencies and Executive Search Services, (2) Temporary Help Services, and (3) Professional Employer Organizations.</t>
  </si>
  <si>
    <t>This industry group comprises (1) Management Consulting Services, (2) Environmental Consulting Services, and (3) Other Scientific and Technical Consulting Services.</t>
  </si>
  <si>
    <t>Establishments primarily engaged inThis industry group comprises (1) manufacturing optical and magnetic media, such as blank audio tape, blank video tape, and blank diskettes and/or (2) mass duplicating (i.e., making copies) audio, video, software, and other data on magnetic, optical, and similar media.</t>
  </si>
  <si>
    <t>This industry group comprisesThis industry group comprises (1) Broadwoven Fabric Mills, (2) Narrow Fabric Mills and Schiffli Machine Embroidery, (3) Nonwoven Fabric Mills, and (4) Knit Fabric Mills.</t>
  </si>
  <si>
    <t>Establishments primarily engaged in fabricating, such as cutting, threading, and bending metal pipes and pipe fittings made from purchased metal pipe.</t>
  </si>
  <si>
    <t>Establishments primarily engaged in providing operating staff to perform a combination of support services within a client</t>
  </si>
  <si>
    <t>Establishments primarily engaged in manufacturing agricultural and farm machinery and equipment, and other turf and grounds care equipment, including planting, harvesting, and grass mowing equipment (except lawn and garden-type).</t>
  </si>
  <si>
    <t>This industry group comprisesThis industry group comprises (1) Fertilizer Manufacturing, and (2) Pesticide and Other Agricultural Chemical Manufacturing.</t>
  </si>
  <si>
    <t>Establishments primarily engaged in one or more of the following:This industry group comprises (1) spinning yarn; (2) manufacturing thread of any fiber; (3) texturizing, throwing, twisting, and winding purchased yarn or manmade fiber filaments; and (4) producing hemp yarn and further processing into rope or bags.</t>
  </si>
  <si>
    <t>This industry group comprisesThis industry group comprises (1) Textile and Fabric Finishing Mills, and (2) Fabric Coating Mills.</t>
  </si>
  <si>
    <t>Establishments primarily engaged in manufacturing flavoring syrup drink concentrates and related products for soda fountain use or for the manufacture of soft drinks.</t>
  </si>
  <si>
    <t>Establishments primarily engaged in one or more of the following:This industry group comprises (1) milling flour or meal from grains or vegetables; (2) preparing flour mixes or doughs from flour milled in the same establishment; (3) milling, cleaning, and polishing rice; and (4) manufacturing malt from barley, rye, or other grains.</t>
  </si>
  <si>
    <t>Establishments primarily engaged in manufacturing totalizing (i.e., registering) fluid meters and counting devices. Examples of products made by theseEstablishments are gas consumption meters, water consumption meters, parking meters, taxi meters, motor vehicle gauges, and fare collection equipment.</t>
  </si>
  <si>
    <t>Establishments that manufacture dairy products from raw milk, processed milk, and dairy substitutes.</t>
  </si>
  <si>
    <t>Industries in the Food and Beverage Stores subsector usually retail food and beverages merchandise from fixed point-of-sale locations.Establishments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</si>
  <si>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Establishments primarily engaged in growing fruit and/or tree nut crops. The crops included in this industry group are generally not grown from seeds and have a perennial life cycle.</t>
  </si>
  <si>
    <t>Establishments primarily engaged in growing oilseed crops. These crops have an annual life cycle and are typically grown in open fields.</t>
  </si>
  <si>
    <t>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</si>
  <si>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Establishments primarily engaged in producing grain seeds. These crops have an annual life cycle and are typically grown in open fields.</t>
  </si>
  <si>
    <t>Establishments primarily engaged in manufacturing frozen fruit, frozen juices, frozen vegetables, and frozen specialty foods (except seafood), such as frozen dinners, entrees, and side dishes; frozen pizza; frozen whipped toppings; and frozen waffles, pancakes, and french toast.</t>
  </si>
  <si>
    <t>Establishments primarily engaged in manufacturing canned, pickled, and dried fruits, vegetables, and specialty foods.Establishments in this industry may package the dried or dehydrated ingredients they make with other purchased ingredients. Examples of products made by theseEstablishments are canned juices; canned baby foods; canned soups (except seafood); canned dry beans; canned tomato-based sauces, such as catsup, salsa, chili, spaghetti, barbeque, and tomato paste, pickles, relishes, jams and jellies, dried soup mixes and bullions, and sauerkraut.</t>
  </si>
  <si>
    <t>Establishments primarily engaged in providing food services to patrons who order and are served while seated (i.e., waiter/waitress service) and pay after eating. TheseEstablishments may provide this type of food service to patrons in combination with selling alcoholic beverages, providing carry out services, or presenting live nontheatrical entertainment.</t>
  </si>
  <si>
    <t>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services.Establishments with employees devoted to the management of funds are classified in Industry Group 5239, Other Financial Investment Activities.Establishments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</si>
  <si>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This industry group comprises (1) Funeral Homes and Funeral Services, and (2) Cemeteries and Crematories.</t>
  </si>
  <si>
    <t>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</si>
  <si>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Establishments primarily engaged in miscellaneous manufacturing (except medical equipment and supplies, jewelry and flatware, sporting and athletic goods, dolls, toys, games, office supplies (except paper), and signs).</t>
  </si>
  <si>
    <t xml:space="preserve"> Gasoline Stations.</t>
  </si>
  <si>
    <t>Establishments primarily engaged in refining crude petroleum into refined petroleum. Petroleum refining involves one or more of the following activities:This industry group comprises (1) fractionation; (2) straight distillation of crude oil; and (3) cracking.</t>
  </si>
  <si>
    <t>Industries in the General Merchandise Stores subsector retail new general merchandise from fixed pointof- sale locations.Establishments in this subsector are unique in that they have the equipment and staff capable of retailing a large variety of goods from a single location. This includes a variety of display equipment and staff trained to provide information on many lines of products.</t>
  </si>
  <si>
    <t>Establishments primarily engaged in manufacturing glass and/or glass products.Establishments in this industry may manufacture glass and/or glass products by melting silica sand or cullet, or purchasing glass.</t>
  </si>
  <si>
    <t>This industry group comprises (1) Golf Courses and Country Clubs, (2) Skiing Facilities, (3) Marinas, (4) Fitness and Recreational Sports Centers, (5) Bowling Centers, and (6) All Other Amusement and Recreation Industries.</t>
  </si>
  <si>
    <t>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</si>
  <si>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Establishments primarily engaged inThis industry group comprises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</si>
  <si>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Establishments primarily engaged in calcining, dead burning, or otherwise processing beyond beneficiation, clays, ceramic and refractory minerals, barite, and miscellaneous nonmetallic minerals.</t>
  </si>
  <si>
    <t>Establishments primarily engaged inThis industry group comprises (1) manufacturing complete guided missiles and space vehicles and/or (2) developing and making prototypes of guided missiles or space vehicles.</t>
  </si>
  <si>
    <t xml:space="preserve"> Health and Personal Care Stores.</t>
  </si>
  <si>
    <t>Establishments of independent health practitioners (except physicians and dentists).</t>
  </si>
  <si>
    <t>Establishments primarily engaged in manufacturing heating equipment (except electric and warm air furnaces), such as heating boilers, heating stoves, floor and wall furnaces, and wall and baseboard heating units.</t>
  </si>
  <si>
    <t>Establishments primarily engaged inThis industry group comprises (1) manufacturing heavy duty truck chassis and assembling complete heavy duty trucks, buses, heavy duty motor homes, and other special purpose heavy duty motor vehicles for highway use or (2) manufacturing heavy duty truck chassis only.</t>
  </si>
  <si>
    <t>Establishments primarily engaged in cutting, forming, and joining heavy gauge metal to manufacture tanks, vessels, and other containers.</t>
  </si>
  <si>
    <t>Construction of transportation structures, including bridges, roads, highways, and streets.</t>
  </si>
  <si>
    <t>Establishments manufacturing household-type furniture, such as living room, kitchen and bedroom furniture and institutional (i.e., public building) furniture, such as furniture for schools, theaters, and churches.</t>
  </si>
  <si>
    <t>Establishments primarily engaged in manufacturing upholstered householdtype furniture. The furniture may be made on a stock or custom basis.</t>
  </si>
  <si>
    <t>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</si>
  <si>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</si>
  <si>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activity.Establishments in the Hospitals subsector provide inpatient health services, many of which can only be provided using the specialized facilities and equipment that form a significant and integral part of the production process.</t>
  </si>
  <si>
    <t>Industries in the Accommodation subsector provide lodging or short-term accommodations for travelers, vacationers, and others. There is a wide range ofEstablishments in these industries. Some provide lodging only; while others provide meals, laundry services, and recreational facilities, as well as lodging. LodgingEstablishments are classified in this subsector even if the provision of complementary services generates more revenue. The types of complementary services provided vary from establishment to establishment. The subsector is organized into three industry groups:This industry group comprises (1) traveler accommodation, (2) recreational accommodation, and (3) rooming and boarding houses. The Traveler Accommodation industry group includesEstablishments that primarily provide traditional types of lodging services. This group includes hotels, motels, and bed and breakfast inns. In addition to lodging, theseEstablishments may provide a range of other services to their guests. The RV (Recreational Vehicle) Parks and Recreational Camps industry group includesEstablishments that operate lodging facilities primarily designed to accommodate outdoor enthusiasts. Included are travel trailer campsites, recreational vehicle parks, and outdoor adventure retreats. The Rooming and Boarding Houses industry group includesEstablishments providing temporary or longer-term accommodations, which for the period of occupancy, may serve as a principal residence. Board (i.e., meals) may be provided but is not essential.Establishments that manage short-stay accommodationEstablishments (e.g., hotels and motels) on a contractual basis are classified in this subsector if they both manage the operation and provide the operating staff. SuchEstablishments are classified based on the type of facility managed and operated.</t>
  </si>
  <si>
    <t>Establishments primarily engaged in the merchant wholesale distribution of electrical construction materials; wiring supplies; electric light fixtures; light bulbs; and/or electrical power equipment for the generation, transmission, distribution, or control of electric energy.</t>
  </si>
  <si>
    <t>This industry group comprises (1) Home and Garden Equipment and Appliance Repair and Maintenance, (2) Reupholstery and Furniture Repair, (3) Footwear and Leather Goods Repair, and (4) Other Personal and Household Goods Repair and Maintenance.</t>
  </si>
  <si>
    <t>Establishments primarily engaged inThis industry group comprises (1) manufacturing fluid power (i.e., hydraulic and pneumatic) cylinders and actuators, and (2) manufacturing fluid power (i.e., hydraulic and pneumatic) pumps and motors.</t>
  </si>
  <si>
    <t>Establishments primarily engaged in manufacturing ice cream, frozen yogurts, frozen ices, sherbets, frozen tofu, and other frozen desserts (except bakery products).</t>
  </si>
  <si>
    <t>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</si>
  <si>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This industry group comprises (1) Child and Youth Services, (2) Services for the Elderly and Persons with Disabilities, and (3) Other Individual and Family Services.</t>
  </si>
  <si>
    <t>Establishments primarily responsible for the construction (including new work, additions, alterations, maintenance, and repairs) of industrial buildings (except warehouses).  The construction of selected additional structures, whose production processes are similar to those for industrial buildings (e.g., incinerators, cement plants, blast furnaces, and similar nonbuilding structures), is included in this industry.  Included in this industry are industrial building general contractors, industrial building for-sale builders, industrial building design-build firms, and industrial building construction management firms.
Illustrative Examples:
Assembly plant construction
Furnace, industrial plant, construction
Cannery construction
Mine loading and discharging station construction
Cement plant construction
Paper or pulp mill construction
Chemical plant (except petrochemical) construction
Pharmaceutical manufacturing plant construction
Factory construction
Steel mill construction
Food processing plant construction
Waste disposal plant (except sewage treatment) construction
Cross-References. Establishments primarily engaged in--</t>
  </si>
  <si>
    <t>Establishments primarily engaged in manufacturing industrial molds for casting metals or forming other materials, such as plastics, glass, or rubber.</t>
  </si>
  <si>
    <t>Establishments primarily engaged in manufacturing industrial process ovens, induction and dielectric heating equipment, and kilns (except cement, chemical, wood). Included in this industry areEstablishments manufacturing laboratory furnaces and ovens.</t>
  </si>
  <si>
    <t>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</si>
  <si>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Establishments primarily engaged in manufacturing printing and inkjet inks and inkjet cartridges.</t>
  </si>
  <si>
    <t>Establishments primarily engaged in manufacturing institutional-type furniture (e.g., library, school, theater, and church furniture). Included in this industry areEstablishments primarily engaged in manufacturing general purpose hospital, laboratory, and dental furniture (e.g., tables, stools, and benches). The furniture may be made on a stock or custom basis and may be assembled or unassembled (i.e., knockdown).</t>
  </si>
  <si>
    <t>Establishments primarily engaged inThis industry group comprises (1) acting as agents (i.e., brokers) in selling annuities and insurance policies or (2) providing other employee benefits and insurance related services, such as claims adjustment and third party administration.</t>
  </si>
  <si>
    <t>Establishments primarily engaged in underwriting (assuming the risk, assigning premiums, and so forth) annuities and insurance policies and investing premiums to build up a portfolio of financial assets to be used against future claims. Direct insurance carriers areEstablishments that are primarily engaged in initially underwriting and assuming the risk of annuities and insurance policies. Reinsurance carriers areEstablishments that are primarily engaged in assuming all or part of the risk associated with an existing insurance policy (or set of policies) originally underwritten by another insurance carrierIndustries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t>
  </si>
  <si>
    <t>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broadcastingEstablishments in this industry do not provide traditional (non-Internet) versions of the content that they publish or broadcast. They provide textual, audio, and/or video content of general or specific interest on the Internet exclusively.Establishments known as Web search portals often provide additional Internet services, such as e-mail, connections to other web sites, auctions, news, and other limited content, and serve as a home base for Internet users.</t>
  </si>
  <si>
    <t>This industry group comprises (1) Investigation, Guard, and Armored Car Services, and (2) Security Systems Services.</t>
  </si>
  <si>
    <t>Establishments primarily engaged in one of the following:This industry group comprises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</si>
  <si>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Establishments primarily engaged in developing mine sites or mining metallic minerals, andEstablishments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t>
  </si>
  <si>
    <t>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</si>
  <si>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Establishments primarily engaged in one or more of the following:This industry group comprises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</si>
  <si>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Establishments primarily engaged in laminating plastics profile shapes such as plate, sheet (except packaging), and rod. The lamination process generally involves bonding or impregnating profiles with plastics resins and compressing them under heat.</t>
  </si>
  <si>
    <t>Establishments primarily engaged in servicing land and subdividing real property into lots, for subsequent sale to builders.  Servicing of land may include excavation work for the installation of roads and utility lines.  The extent of work may vary from project to project.  Land subdivision precedes building activity and the subsequent building is often residential, but may also be commercial tracts and industrial parks.  These establishments may do all the work themselves or subcontract the work to others.  Establishments that perform only the legal subdivision of land are not included in this industry.
Cross-References. Establishments primarily engaged in--</t>
  </si>
  <si>
    <t>Establishments primarily engaged in manufacturing powered lawnmowers, lawn and garden tractors, and other home lawn and garden equipment, such as tillers, shredders, yard vacuums, and leaf blowers.</t>
  </si>
  <si>
    <t>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</si>
  <si>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This industry group comprises (1) Offices of Lawyers, (2) Offices of Notaries, and (3) Other Legal Services including:  (a) Title Abstract and Settlement Offices, and (b) All Other Legal Services.</t>
  </si>
  <si>
    <t>Industries in the Lessors of Nonfinancial Intangible Assets (except Copyrighted Works) subsector includeEstablishments that are primarily engaged in assigning rights to assets, such as patents, trademarks, brand names, and/or franchise agreements for which a royalty payment or licensing fee is paid to the asset holder.Establishments in this subsector own the patents, trademarks, and/or franchise agreements that they allow others to use or reproduce for a fee and may or may not have created those assets.Establishments that allow franchisees the use of the franchise name, contingent on the franchisee buying products or services from the franchisor, are classified elsewhere. Excluded from this subsector areEstablishments primarily engaged in leasing real property andEstablishments primarily engaged in leasing tangible assets, such as automobiles, computers, consumer goods, and industrial machinery and equipment. TheseEstablishments are classified in Subsector 531, Real Estate and Subsector 532, Rental and Leasing Services, respectively.</t>
  </si>
  <si>
    <t>Establishments primarily engaged in acting as lessors of buildings used as residences or dwellings, such as single-family homes, apartment buildings, and town homes.  Included in this industry are owner-lessors and establishments renting real estate and then acting as lessors in subleasing it to others.  The establishments in this industry may manage the property themselves or have another establishment manage it for them.
Cross-References.</t>
  </si>
  <si>
    <t>Establishments primarily engaged in one or more of the following:This industry group comprises (1) stamping metal crowns and closures, such as bottle caps and home canning lids and rings; and/or (2) manufacturing other unfinished metal stampings and spinning unfinished metal products (except automotive and coins).Establishments making metal stampings and metal spun products and further manufacturing (e.g. machining, assembling) a specific product are classified in the industry of the finished product. Metal stamping and metal spun productsEstablishments may perform surface finishing operations, such as cleaning and deburring, on the products they manufacture.</t>
  </si>
  <si>
    <t>Establishments primarily engaged in manufacturing electric light bulbs and tubes, and parts and components (except glass blanks for electric light bulbs).</t>
  </si>
  <si>
    <t>Establishments primarily engaged in manufacturing electric lighting fixtures (except vehicular), nonelectric lighting equipment, lamp shades (except glass and plastics), and lighting fixture components (except current-carrying wiring devices).</t>
  </si>
  <si>
    <t>Establishments primarily engaged in forming light gauge metal containers.</t>
  </si>
  <si>
    <t>This industry group comprises This industry group comprises (1) Lime Manufacturing, and (2) Gypsum Product Manufacturing.</t>
  </si>
  <si>
    <t>Establishments primarily engaged in providing food services (except snack and nonalcoholic beverage bars) where patrons generally order or select items and pay before eating. Food and drink may be consumed on premises, taken out, or delivered to the customer</t>
  </si>
  <si>
    <t>Establishments whose primary production process begins with logs or bolts that are transformed into boards, dimension lumber, beams, timbers, poles, ties, shingles, shakes, siding, and wood chips.Establishments that cut and treat round wood and/or treat wood products made in otherEstablishments to prevent rotting by impregnation with creosote or other chemical compounds are also included in this industry group.</t>
  </si>
  <si>
    <t>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</si>
  <si>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This industry group comprises This industry group comprises (1) Sawmill and Woodworking Machinery Manufacturing, (2) Plastics and Rubber Industry Machinery Manufacturing, and (3) Other Industrial Machinery Manufacturing including:  (a) Paper Industry Machinery Manufacturing, (b) Textile Machinery Manufacturing, (c) Printing Machinery and Equipment Manufacturing, (d) Food Product Machinery Manufacturing, (e) Semiconductor Machinery Manufacturing, and (f) All Other Industrial Machinery Manufacturing.</t>
  </si>
  <si>
    <t>Establishments primarily engaged in the merchant wholesale distribution of construction, mining, farm, garden, industrial, service establishment, and transportation machinery, equipment and supplies.</t>
  </si>
  <si>
    <t>Establishments known either as magazine publishers or periodical publishers. TheseEstablishments carry out the operations necessary for producing and distributing magazines and other periodicals, such as gathering, writing, and editing articles, and selling and preparing advertisements. TheseEstablishments may publish magazines and other periodicals in print or electronic form.</t>
  </si>
  <si>
    <t>Establishments primarily engaged in manufacturing household-type cooking appliances, household-type laundry equipment, household-type refrigerators, upright and chest freezers, and other electrical and nonelectrical major household-type appliances, such as dishwashers, water heaters, and garbage disposal units.
Cross-References. Establishments primarily engaged in--</t>
  </si>
  <si>
    <t>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</si>
  <si>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t>
  </si>
  <si>
    <t>Establishments primarily engaged in manufacturing material handling equipment, such as elevators and moving stairs; conveyors and conveying equipment; overhead traveling cranes, hoists, and monorail systems; and industrial trucks, tractors, trailers, and stacker machinery.</t>
  </si>
  <si>
    <t>Establishments manufacturing furniture related products, such as mattresses, blinds, and shades.</t>
  </si>
  <si>
    <t>Establishments primarily engaged in (1) manufacturing measuring and dispensing pumps, such as gasoline pumps and lubricating oil measuring and dispensing pumps and/or (2) manufacturing general purpose pumps and pumping equipment (except fluid power pumps and motors), such as reciprocating pumps, turbine pumps, centrifugal pumps, rotary pumps, diaphragm pumps, domestic water system pumps, oil well and oil field pumps, and sump pumps.
Cross-References. Establishments primarily engaged in--</t>
  </si>
  <si>
    <t>Establishments primarily engaged in manufacturing mechanical power transmission equipment (except motor vehicle and aircraft), such as plain bearings, clutches (except motor vehicle and electromagnetic industrial control), couplings, joints, and drive chains.</t>
  </si>
  <si>
    <t>Establishments known as medical and diagnostic laboratories primarily engaged in providing analytic or diagnostic services, including body fluid analysis and diagnostic imaging, generally to the medical profession or to the patient on referral from a health practitioner.</t>
  </si>
  <si>
    <t>Establishments primarily engaged inThis industry group comprises (1) manufacturing uncompounded medicinal chemicals and their derivatives (i.e., generally for use by pharmaceutical preparation manufacturers) and/or (2) grading, grinding, and milling uncompounded botanicals.</t>
  </si>
  <si>
    <t>Establishments primarily engaged in one or more of the following:This industry group comprises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trade.Establishments in this industry coat, engrave, and heat treat metals and metal formed products fabricated elsewhere.</t>
  </si>
  <si>
    <t>Establishments primarily engaged inThis industry group comprises (1) manufacturing metal cutting machine tools (except handtools) and/or (2) manufacturing metal forming machine tools (except handtools), such as punching, sheering, bending, forming, pressing, forging and die-casting machines.</t>
  </si>
  <si>
    <t>Establishments primarily engaged in manufacturing metal hardware, such as metal hinges, metal handles, keys, and locks (except coin-operated, time locks).</t>
  </si>
  <si>
    <t>Establishments primarily engaged in manufacturing metal and plastics plumbing fixture fittings and trim, such as faucets, flush valves, and shower heads.</t>
  </si>
  <si>
    <t>Establishments primarily engaged in manufacturing one or more of the following:This industry group comprises (1) prefabricated metal buildings, panels and sections; (2) structural metal products; and (3) metal plate work products.</t>
  </si>
  <si>
    <t>Establishments primarily engaged in manufacturing one or more of the following:This industry group comprises (1) metal framed windows (i.e., typically using purchased glass) and metal doors; (2) sheet metal work; and (3) ornamental and architectural metal products.</t>
  </si>
  <si>
    <t>Establishments primarily engaged in manufacturing complete military armored vehicles, combat tanks, specialized components for combat tanks, and self-propelled weapons.</t>
  </si>
  <si>
    <t>Establishments primarily engaged in manufacturing mineral wool and mineral wool (i.e., fiberglass) insulation products made of such siliceous materials as rock, slag, and glass or combinations thereof.</t>
  </si>
  <si>
    <t>Establishments primarily engaged in manufacturing oil and gas field and underground mining machinery and equipment.</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</si>
  <si>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</si>
  <si>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The Finance and Insurance sector comprisesEstablishments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ofThis industry group comprises (1) intermediaries with similar patterns of raising and using funds and (2)Establishments engaged in activities that facilitate, or are otherwise related to, that type of financial or insurance intermediationIndustries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specialistEstablishments, the extent to which the activity of the intermediaries can be separately identified is not clear.   The Finance and Insurance sector has been defined to encompassEstablishments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SeparateEstablishments and employees devoted to the management of funds are classified in Industry Group 5239, Other Financial Investment Activities.</t>
  </si>
  <si>
    <t>Establishments primarily engaged inThis industry group comprises (1) manufacturing motor homes on purchased chassis and/or (2) manufacturing conversion vans on an assembly line basis. Motor homes are units where the motor and the living quarters are integrated in the same unit.</t>
  </si>
  <si>
    <t>Establishments primarily engaged in the merchant wholesale distribution of automobiles and other motor vehicles, motor vehicle supplies, tires, and new and used parts.</t>
  </si>
  <si>
    <t>This industry group comprises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  (a) Motor Vehicle Air-Conditioning Manufacturing, and (b) All Other Motor Vehicle Parts Manufacturing</t>
  </si>
  <si>
    <t>Establishments primarily engaged in manufacturing motorcycles, bicycles, tricycles and similar equipment, and parts.</t>
  </si>
  <si>
    <t>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includesEstablishments rewinding armatures on a factory basis.</t>
  </si>
  <si>
    <t>Publishing establishments may create the works in-house, contract for, purchase, or compile works that were originally created by others. These works may be published in one or more formats, such as print and/or electronic form, including proprietary electronic networks.Establishments in this industry may print, reproduce, or offer direct access to the works themselves or may arrange with others to carry out such functions.Â </t>
  </si>
  <si>
    <t>Construction of multifamily residential structures</t>
  </si>
  <si>
    <t>Industries in the Museums, Historical Sites, and Similar Institutions subsector engage in the preservation and exhibition of objects, sites, and natural wonders of historical, cultural, and/or educational value.</t>
  </si>
  <si>
    <t>Establishments primarily engaged in operating gas distribution systems (e.g., mains, meters); (2)Establishments known as gas marketers that buy gas from the well and sell it to a distribution system; (3)Establishments known as gas brokers or agents that arrange the sale of gas over gas distribution systems operated by others; and (4)Establishments primarily engaged in transmitting and distributing gas to final consumers.</t>
  </si>
  <si>
    <t>Establishments primarily engaged in manufacturing search, detection, navigation, guidance, aeronautical, and nautical systems and instruments. Examples of products made by theseEstablishments are aircraft instruments (except engine), flight recorders, navigational instruments and systems, radar systems and equipment, and sonar systems and equipment.</t>
  </si>
  <si>
    <t>Establishments primarily engaged in building new homes on land that is owned or controlled by the builder rather than the homebuyer or investor.  The land is included with the sale of the home.  Establishments in this industry build single-family and/or multifamily homes.  These establishments are often referred to as merchant builders, but are also known as production or for-sale builders.
Cross-References. Establishments primarily engaged in--</t>
  </si>
  <si>
    <t>Industries in the Other Information Services subsector groupEstablishments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t>
  </si>
  <si>
    <t>Establishments known as newspaper publishers.Establishments in this industry carry out operations necessary for producing and distributing newspapers, including gathering news; writing news columns, feature stories, and editorials; and selling and preparing advertisements. TheseEstablishments may publish newspapers in print or electronic form.</t>
  </si>
  <si>
    <t>Industries in the Credit Intermediation and Related Activities subsector groupEstablishments thatThis industry group comprises (1) lend funds raised from depositors; (2) lend funds raised from credit market borrowing; or (3) facilitate the lending of funds or issuance of credit by engaging in such activities as mortgage and loan brokerage, clearinghouse and reserve services, and check cashing services.</t>
  </si>
  <si>
    <t>Establishments primarily engaged in pouring and/or introducing molten nonferrous metal, under high pressure, into metal molds or dies to manufacture castings.Establishments in this industry purchase nonferrous metals made in otherEstablishments.</t>
  </si>
  <si>
    <t xml:space="preserve"> Nonstore Retailers.</t>
  </si>
  <si>
    <t>Establishments primarily engaged in providing a range of day-to-day office administrative services, such as financial planning; billing and recordkeeping; personnel; and physical distribution and logistics for others on a contract or fee basis. TheseEstablishments do not provide operating staff to carry out the complete operations of a business.</t>
  </si>
  <si>
    <t>Establishments primarily engaged in manufacturing office furniture and/or office and store fixtures. The furniture may be made on a stock or custom basis and may be assembled or unassembled (i.e., knockdown).Â </t>
  </si>
  <si>
    <t>Establishments primarily engaged in manufacturing office supplies. Examples of products made by theseEstablishments are pens, pencils, felt tip markers, crayons, chalk, pencil sharpeners, staplers, hand operated stamps, modeling clay, and inked ribbons.</t>
  </si>
  <si>
    <t>Establishments primarily engaged in manufacturing ophthalmic goods. Examples of products made by theseEstablishments are prescription eyeglasses (except manufactured in a retail setting), contact lenses, sunglasses, eyeglass frames, and reading glasses made to standard powers, and protective eyewear.</t>
  </si>
  <si>
    <t>Establishments primarily engaged in one or more of the following:This industry group comprises (1) manufacturing optical instruments and lens, such as binoculars, microscopes (except electron, proton), telescopes, prisms, and lenses (except ophthalmic); (2) coating or polishing lenses (except ophthalmic); and (3) mounting lenses (except ophthalmic).</t>
  </si>
  <si>
    <t>Establishments primarily engaged inThis industry group comprises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</si>
  <si>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Establishments primarily engaged in manufacturing animal food (except dog and cat) from ingredients, such as grains, oilseed mill products, and meat products.</t>
  </si>
  <si>
    <t>Establishments primarily engaged in manufacturing basic inorganic chemicals (except industrial gases and synthetic dyes and pigments).</t>
  </si>
  <si>
    <t>Establishments primarily engaged in manufacturing basic organic chemicals (except petrochemicals, industrial gases, and synthetic dyes and pigments).</t>
  </si>
  <si>
    <t>Establishments primarily engaged in manufacturing commercial and service industry equipment (except optical instruments and lenses, and photographic and photocopying equipment).</t>
  </si>
  <si>
    <t>Establishments primarily engaged in providing expertise in the field of information technologies through one or more of the following activities:This industry group comprises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computer-related advice and services.Â </t>
  </si>
  <si>
    <t>Establishments primarily engaged in manufacturing concrete products (except block, brick, and pipe).</t>
  </si>
  <si>
    <t>This comprises the following industry groups:This industry group comprises (1)Establishments primarily engaged in the merchant wholesale distribution of furniture (except hospital beds, medical furniture, and drafting tables). (2)Establishments primarily engaged in the merchant wholesale distribution of home furnishings and/or housewares. (3)Establishments primarily engaged in the merchant wholesale distribution of lumber; plywood; reconstituted wood fiber products; wood fencing; doors and windows and their frames (all materials); wood roofing and siding; and/or other wood or metal millwork. (4)Establishments primarily engaged in the merchant wholesale distribution of stone, cement, lime, construction sand, and gravel; brick; asphalt and concrete mixtures; and/or concrete, stone, and structural clay products. (5)Establishments primarily engaged in the merchant wholesale distribution of nonwood roofing and nonwood siding and insulation materials. (6)Establishments primarily engaged in the merchant wholesale distribution of manufactured homes (i.e., mobile homes) and/or prefabricated buildings and Establishments primarily engaged in the merchant wholesale distribution of construction materials (except lumber, plywood, millwork, wood panels, brick, stone, roofing, siding, electrical and wiring supplies, and insulation materials). (7)Establishments primarily engaged in the merchant wholesale distribution of products of the primary metals industries. Service centers maintain inventory and may perform functions, such as sawing, shearing, bending, leveling, cleaning, or edging, on a custom basis as part of sales transactions and in the merchant wholesale distribution of coal, coke, metal ores, and/or nonmetallic minerals (except precious and semiprecious stones and minerals used in construction, such as sand and gravel).(8)Establishments primarily engaged in the merchant wholesale distribution of hardware, knives, handtools, plumbing equipment, hydronic heating equipment, household-type water heaters, other plumbing supplies, warm air heating and air-conditioning equipment and supplies, and refrigeration equipment (except household-type refrigerators, freezers, and air-conditioners).(9)Establishments primarily engaged in the merchant wholesale distribution of sporting, recreational, toy, hobby, and jewelry goods and supplies, and precious stones and metals.</t>
  </si>
  <si>
    <t>Establishments primarily engaged in manufacturing internal combustion engines (except automotive gasoline and aircraft).</t>
  </si>
  <si>
    <t>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</si>
  <si>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This comprises the following industry groups:This industry group comprises (1)Establishments primarily engaged in the merchant wholesale distribution of bulk printing and/or writing paper generally on rolls for further processing, stationery, office supplies, and/or gift wrap, kraft wrapping and other coarse paper, paperboard, converted paper (except stationery and office supplies), and/or related disposable plastics products. (2)Establishments primarily engaged in the merchant wholesale distribution of piece goods, fabrics, knitting yarns (except industrial), thread and other notions, and/or hair accessories, men</t>
  </si>
  <si>
    <t>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</si>
  <si>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Construction of other nonresidential structures</t>
  </si>
  <si>
    <t>Establishments primarily engaged in manufacturing petroleum products (except asphalt paving, roofing and saturated materials) from refined petroleum or coal products made in coke ovens not integrated with a steel mill.</t>
  </si>
  <si>
    <t>Establishments primarily engaged in manufacturing resilient floor covering and other plastics products (except film, sheet, bags, profile shapes, pipes, pipe fittings, laminates, foam products, and bottles).</t>
  </si>
  <si>
    <t>This industry group comprisesThis industry group comprises (1) Furniture and Home Furnishings Stores, (2) Electronics and Appliance Stores, (3) Building Material and Garden Equipment and Supplies Dealers, (4) Health and Personal Care Stores, (5) Gasoline Stations, (6) Clothing and Clothing Accessories Stores, (7) Sporting Goods, Hobby, Book, and Music Stores, (8) Miscellaneous Store Retailers (e.g. Florists), and (9) Nonstore Retailers.</t>
  </si>
  <si>
    <t>Establishments primarily engaged in manufacturing rubber products (except tires, hoses, and belting) from natural and synthetic rubber.</t>
  </si>
  <si>
    <t>Establishments primarily engaged in one or more of the following:This industry group comprises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</si>
  <si>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t>
  </si>
  <si>
    <t>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</si>
  <si>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Establishments primarily engaged in making textile products (except carpets and rugs, curtains and draperies, and other household textile products) from purchased materials.</t>
  </si>
  <si>
    <t>Establishments primarily engaged in manufacturing transportation equipment (except motor vehicles, motor vehicle parts, boats, ships, railroad rolling stock, aerospace products, motorcycles, bicycles, armored vehicles and tanks).</t>
  </si>
  <si>
    <t>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</si>
  <si>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</si>
  <si>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Establishments primarily engaged in one or more of the following:This industry group comprises (1) slaughtering animals; (2) preparing processed meats and meat byproducts; and (3) rendering and/or refining animal fat, bones, and meat scraps. This industry includesEstablishments primarily engaged in assembly cutting and packing of meats (i.e., boxed meats) from purchased carcasses.</t>
  </si>
  <si>
    <t>Establishments primarily engaged inThis industry group comprises (1) slaughtering poultry and small game and/or (2) preparing processed poultry and small game meat and meat byproducts.</t>
  </si>
  <si>
    <t>Establishments primarily engaged in manufacturing packaging machinery, such as wrapping, bottling, canning, and labeling machinery.</t>
  </si>
  <si>
    <t>Establishments primarily engaged inThis industry group comprises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</si>
  <si>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Establishments primarily engaged in manufacturing paper from pulp. TheseEstablishments may manufacture or purchase pulp. In addition, theEstablishments may convert the paper they make. The activity of making paper classifies an establishment into this industry regardless of the output.</t>
  </si>
  <si>
    <t>Establishments primarily engaged in one or more of the following:This industry group comprises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</si>
  <si>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Establishments primarily engaged in producing live presentations involving the performances of actors and actresses, singers, dancers, musical groups and artists, and other performing artists.</t>
  </si>
  <si>
    <t>Establishments primarily engaged in the formulation and preparation of agricultural and household pest control chemicals (except fertilizers).</t>
  </si>
  <si>
    <t>Establishments primarily engaged in providing personal services (except personal care services, death care services, or drycleaning and laundry services).</t>
  </si>
  <si>
    <t>Establishments primarily engaged inThis industry group comprises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</si>
  <si>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This industry comprises establishments with bulk and non-bulk liquid storage facilities primarily engaged in the merchant wholesale distribution of crude petroleum and petroleum products, including liquefied petroleum gas.</t>
  </si>
  <si>
    <t>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</si>
  <si>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Establishments primarily engaged in providing still, video, or digital photography services. TheseEstablishments may specialize in a particular field of photography, such as commercial and industrial photography, portrait photography, and special events photography. Commercial or portrait photography studios are included in this industry.</t>
  </si>
  <si>
    <t>Establishments primarily engaged in manufacturing photographic and photocopying equipment, such as cameras (except television, video and digital) projectors, film developing equipment, photocopying equipment, and microfilm equipment.</t>
  </si>
  <si>
    <t>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</si>
  <si>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Establishments primarily engaged inThis industry group comprises (1) manufacturing complete light trucks and utility vehicles (i.e., body and chassis) or (2) manufacturing light truck and utility vehicle chassis only. Vehicles made include light duty vans, pick-up trucks, minivans, and sport utility vehicles.</t>
  </si>
  <si>
    <t>Establishments primarily engaged inThis industry group comprises (1) converting plastics resins into unsupported plastics film and sheet and/or (2) forming, coating or laminating plastics film and sheet into plastics bags.</t>
  </si>
  <si>
    <t>Establishments primarily engaged in manufacturing plastics bottles.</t>
  </si>
  <si>
    <t>Establishments primarily engaged in manufacturing plastics pipes and pipe fittings, and plastics profile shapes such as rod, tube, and sausage casings.</t>
  </si>
  <si>
    <t>Establishments primarily engaged inThis industry group comprises (1) manufacturing resins, plastics materials, and nonvulcanizable thermoplastic elastomers and mixing and blending resins on a custom basis and/or (2) manufacturing noncustomized synthetic resins.</t>
  </si>
  <si>
    <t>Establishments primarily engaged in one or more of the following:This industry group comprises (1) manufacturing veneer and/or plywood; (2) manufacturing engineered wood members; and (3) manufacturing reconstituted wood products. This industry includes manufacturing plywood from veneer made in the same establishment or from veneer made in otherEstablishments, and manufacturing plywood faced with nonwood materials, such as plastics or metal.</t>
  </si>
  <si>
    <t>Establishments primarily engaged in manufacturing polystyrene foam products.</t>
  </si>
  <si>
    <t>Establishments primarily engaged in breeding, hatching, and raising poultry for meat or egg production.</t>
  </si>
  <si>
    <t>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
Cross-References. Establishments primarily engaged in--</t>
  </si>
  <si>
    <t>Establishments primarily engaged in manufacturing power boilers and heat exchangers.Establishments in this industry may perform installation in addition to manufacturing power boilers and heat exchangers.</t>
  </si>
  <si>
    <t>Establishments primarily engaged in manufacturing power-driven (e.g., battery, corded, pneumatic) handtools, such as drills, screwguns, circular saws, chain saws, staplers, and nailers.</t>
  </si>
  <si>
    <t xml:space="preserve">Establishments primarily engaged inThis industry group comprises (1) refining alumina (i.e., aluminum oxide) generally from bauxite and (2) making aluminum from alumina and/or rolling, drawing, extruding, or casting the aluminum they make into primary forms (e.g., bar, billet, ingot, plate, rod, sheet, strip).Establishments in this industry may make primary aluminum or aluminum-based alloys from alumina. </t>
  </si>
  <si>
    <t>Establishments primarily engaged in manufacturing wet or dry primary batteries.</t>
  </si>
  <si>
    <t>Establishments primarily engaged in one or more of the following:This industry group comprises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</si>
  <si>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</si>
  <si>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Establishments primarily engaged in performing prepress (e.g., platemaking, typesetting) and postpress services (e.g., book binding) in support of printing activities.</t>
  </si>
  <si>
    <t>Establishments primarily engaged in the merchant wholesale distribution of photographic equipment and supplies; office, computer, and computer peripheral equipment; and medical, dental, hospital, ophthalmic, and other commercial and professional equipment and supplies.</t>
  </si>
  <si>
    <t>Establishments that operate facilities or provide services to meet varied cultural, entertainment, and recreational interests of their patrons. This sector comprisesThis industry group comprises (1)Establishments that are involved in producing, promoting, or participating in live performances, events, or exhibits intended for public viewing; (2)Establishments that preserve and exhibit objects and sites of historical, cultural, or educational interest; and (3)Establishments that operate facilities or provide services that enable patrons to participate in recreational activities or pursue amusement, hobby, and leisure-time interests.   SomeEstablishments that provide cultural, entertainment, or recreational facilities and services are classified in other sectors. Excluded from this sector are:This industry group comprises (1)Establishments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(4)Establishments using transportation equipment to provide recreational and entertainment services, such as those operating sightseeing buses, dinner cruises, or helicopter rides, are classified in Subsector 487, Scenic and Sightseeing Transportation.</t>
  </si>
  <si>
    <t>Establishments primarily engaged in one or more of the following:This industry group comprises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specifications).Â </t>
  </si>
  <si>
    <t>Establishments that both print and publish may fill excess capacity with commercial or job printing. However, the publishing activity is still considered to be the primary activity of theseEstablishments.</t>
  </si>
  <si>
    <t>Establishments primarily engaged in one or more of the following:This industry group comprises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</si>
  <si>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Establishments, such as batch plants or mix plants, primarily engaged in manufacturing concrete delivered to a purchaser in a plastic and unhardened state. Ready-mix concrete manufacturingEstablishments may mine, quarry, or purchase sand and gravel.</t>
  </si>
  <si>
    <t>Establishments primarily engaged in one or more of the following:This industry group comprises (1) manufacturing shortening and margarine from purchased fats and oils; (2) refining and/or blending vegetable, oilseed, and tree nut oils from purchased oils; and (3) blending purchased animal fats with purchased vegetable fats.</t>
  </si>
  <si>
    <t>Establishments primarily engaged in manufacturing relays, motor starters and controllers, and other industrial controls and control accessories.</t>
  </si>
  <si>
    <t>This industry group comprises (1)Establishments primarily engaged in operating religious organizations, such as churches, religious temples, and monasteries, and/or (2)Establishments primarily engaged in administering an organized religion or promoting religious activities.</t>
  </si>
  <si>
    <t>This industry includes maintenance and repair of residential buildings.</t>
  </si>
  <si>
    <t>Establishments primarily engaged in manufacturing rubber hose and/or plastics (reinforced) hose and belting from natural and synthetic rubber and/or plastics resins.Establishments manufacturing garden hoses from purchased hose are included in this industry.</t>
  </si>
  <si>
    <t>Establishments primarily engaged in manufacturing tires and inner tubes from natural and synthetic rubber and retreading or rebuilding tires.</t>
  </si>
  <si>
    <t>Establishments, such as barber and beauty shops, that provide appearance care services to individual consumers.</t>
  </si>
  <si>
    <t>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t>
  </si>
  <si>
    <t>Establishments primarily engaged in converting purchased sanitary paper stock or wadding into sanitary paper products, such as facial tissues, handkerchiefs, table napkins, toilet paper, towels, disposable diapers, sanitary napkins, and tampons.</t>
  </si>
  <si>
    <t>Industries in the Telecommunications subsector groupEstablishments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technologies.Establishments in the Telecommunications subsector are grouped into four industry groups. The first three are comprised ofEstablishments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ofEstablishments that provide support activities, telecommunications reselling services, or many of the same services provided byEstablishments in the first three industry groups, but do not operate as telecommunications carriers.</t>
  </si>
  <si>
    <t>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</si>
  <si>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Establishments primarily engaged inThis industry group comprises (1) machining precision turned products or (2) manufacturing metal bolts, nuts, screws, rivets, and other industrial fasteners. Included in this industry areEstablishments primarily engaged in manufacturing parts for machinery and equipment on a customized basis.</t>
  </si>
  <si>
    <t>Establishments primarily engaged in one or more of the following:This industry group comprises (1) canning seafood (including soup); (2) smoking, salting, and drying seafood; (3) eviscerating fresh fish by removing heads, fins, scales, bones, and entrails; (4) shucking and packing fresh shellfish; (5) processing marine fats and oils; and (6) freezing seafood.Establishments known as "floating factory ships" that are engaged in the gathering and processing of seafood into canned seafood products are included in this industry.</t>
  </si>
  <si>
    <t>Establishments primarily engaged in one or more of the following:This industry group comprises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</si>
  <si>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 xml:space="preserve">Establishments primarily engaged in one or more of the following:This industry group comprises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t>
  </si>
  <si>
    <t>Establishments primarily engaged in one or more of the following:This industry group comprises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</si>
  <si>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Establishments primarily engaged in manufacturing iron and steel tube and pipe, drawing steel wire, and rolling or drawing shapes from purchased iron or steel.</t>
  </si>
  <si>
    <t>Industries in the Securities, Commodity Contracts, and Other Financial Investments and Related Activities subsector groupEstablishments that are primarily engaged in one of the following:This industry group comprises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t>
  </si>
  <si>
    <t>Establishments primarily engaged in manufacturing wafer processing equipment, semiconductor assembly and packaging equipment, and other semiconductor making machinery.</t>
  </si>
  <si>
    <t>Establishments primarily engaged in manufacturing semiconductors and related solid state devices. Examples of products made by theseEstablishments are integrated circuits, memory chips, microprocessors, diodes, transistors, solar cells and other optoelectronic devices.</t>
  </si>
  <si>
    <t xml:space="preserve">Establishments primarily engaged in manufacturing office furniture and/or office and store fixtures. The furniture may be made on a stock or custom basis and may be assembled or unassembled (i.e., knockdown). </t>
  </si>
  <si>
    <t>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theConstruction of ships, their repair, conversion and alteration, the production of prefabricated ship and barge sections, and specialized services, such as ship scaling.</t>
  </si>
  <si>
    <t>Establishments primarily engaged in manufacturing instruments for measuring and testing the characteristics of electricity and electrical signals. Examples of products made by theseEstablishments are circuit and continuity testers, voltmeters, ohm meters, wattmeters, multimeters, and semiconductor test equipment.</t>
  </si>
  <si>
    <t>Establishments primarily engaged in manufacturing signs and related displays of all materials (except printing paper and paperboard signs, notices, displays).</t>
  </si>
  <si>
    <t>Construction of single-family residential structures</t>
  </si>
  <si>
    <t>Establishments primarily engaged in manufacturing small electric appliances and electric housewares, household-type fans, household-type vacuum cleaners, and other electric householdtype floor care machines.</t>
  </si>
  <si>
    <t>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</si>
  <si>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Establishments primarily engaged in manufacturing and packaging soap and other cleaning compounds, surface active agents, and textile and leather finishing agents used to reduce tension or speed the drying process.</t>
  </si>
  <si>
    <t>Establishments primarily engaged in one or more of the following:This industry group comprises (1) manufacturing soft drinks; (2) manufacturing ice; and (3) purifying and bottling water.</t>
  </si>
  <si>
    <t xml:space="preserve">Establishments primarily engaged in computer software publishing or publishing and reproduction.Establishments in this industry carry out operations necessary for producing and distributing computer software, such as designing, providing documentation, assisting in installation, and providing support services to software purchasers. TheseEstablishments may design, develop, and publish, or publish only. </t>
  </si>
  <si>
    <t>Establishments primarily engaged in producing and distributing musical recordings, in publishing music, or in providing sound recording and related services.</t>
  </si>
  <si>
    <t>Establishments, known as tool and die shops, primarily engaged in manufacturing special tools and fixtures, such as cutting dies and jigs.</t>
  </si>
  <si>
    <t>Establishments providing specialized design services (except architectural, engineering, and computer systems design).</t>
  </si>
  <si>
    <t>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</si>
  <si>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Establishments primarily engaged in manufacturing gears, speed changers, and industrial high-speed drives (except hydrostatic).</t>
  </si>
  <si>
    <t>Establishments primarily engaged in manufacturing sporting and athletic goods (except apparel and footwear).</t>
  </si>
  <si>
    <t>This industry group comprises (1) sports teams or clubs primarily participating in live sporting events before a paying audience; (2)Establishments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</si>
  <si>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Establishments primarily engaged inThis industry group comprises (1) manufacturing steel springs by forming, such as cutting, bending, and heat winding, metal rod or strip stock and/or (2) manufacturing wire springs and fabricated wire products from wire drawn elsewhere (except watch and clock springs).</t>
  </si>
  <si>
    <t>Establishments primarily engaged in converting paper or paperboard into products used for writing, filing, art work, and similar applications.</t>
  </si>
  <si>
    <t>Establishments primarily engaged in manufacturing storage batteries.</t>
  </si>
  <si>
    <t>Establishments that process agricultural inputs, such as sugarcane, beet, and cacao, to give rise to a new product (sugar or chocolate), and (2) those that begin with sugar and chocolate and process these further.</t>
  </si>
  <si>
    <t>Establishments primarily engaged in manufacturing medical, surgical, ophthalmic, and veterinary instruments and apparatus (except electrotherapeutic, electromedical and irradiation apparatus). Examples of products made by theseEstablishments are syringes, hypodermic needles, anesthesia apparatus, blood transfusion equipment, catheters, surgical clamps, and medical thermometers.</t>
  </si>
  <si>
    <t>Establishments primarily engaged in manufacturing surgical appliances and supplies. Examples of products made by theseEstablishments are orthopedic devices, prosthetic appliances, surgical dressings, crutches, surgical sutures, personal industrial safety devices (except protective eyewear), hospital beds, and operating room tables.</t>
  </si>
  <si>
    <t>Establishments primarily engaged in manufacturing switchgear and switchboard apparatus.</t>
  </si>
  <si>
    <t>Establishments primarily engaged in manufacturing synthetic organic and inorganic dyes and pigments, such as lakes and toners (except electrostatic and photographic).</t>
  </si>
  <si>
    <t>Establishments primarily engaged in one of the following:This industry group comprises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t>
  </si>
  <si>
    <t>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exception,Establishments providing satellite television distribution services using facilities and infrastructure that they operate are included in this industry.</t>
  </si>
  <si>
    <t>Establishments primarily engaged in manufacturing wire telephone and data communications equipment. These products may be standalone or board-level components of a larger system. Examples of products made by theseEstablishments are central office switching equipment, cordless telephones (except cellular), PBX equipment, telephones, telephone answering machines, LAN modems, multi-user modems, and other data communications equipment, such as bridges, routers, and gateways.</t>
  </si>
  <si>
    <t>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industry.Establishments gathering forest products, such as gums, barks, balsam needles, rhizomes, fibers, Spanish moss, and ginseng and truffles, are also included in this subsector.</t>
  </si>
  <si>
    <t>Establishments primarily engaged in manufacturing cigarettes, cigars, smoking and chewing tobacco, and reconstituted tobacco.</t>
  </si>
  <si>
    <t>Establishments primarily engaged inThis industry group comprises (1) growing crops (except oilseed and/or grain; vegetable and/or melon; fruit and tree nut; and greenhouse, nursery, and/or floriculture products). TheseEstablishments grow crops, such as tobacco, cotton, sugarcane, hay, sugar beets, peanuts, agave, herbs and spices, and hay and grass seeds; or (2) growing a combination of crops (except a combination of oilseed(s) and grain(s) and a combination of fruit(s) and tree nut(s)).</t>
  </si>
  <si>
    <t>Establishments primarily engaged in preparing, blending, compounding, and packaging toilet preparations, such as perfumes, shaving preparations, hair preparations, face creams, lotions (including sunscreens), and other cosmetic preparations.</t>
  </si>
  <si>
    <t>Establishments primarily engaged in manufacturing and/or rebuilding motor vehicle transmissions and power train parts.</t>
  </si>
  <si>
    <t>Establishments primarily engaged in one or more of the following:This industry group comprises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</si>
  <si>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Establishments primarily engaged in manufacturing truck trailers, truck trailer chassis, cargo container chassis, detachable trailer bodies, and detachable trailer chassis for sale separately.</t>
  </si>
  <si>
    <t>Establishments primarily engaged in manufacturing turbines (except aircraft); and complete turbine generator set units, such as steam, hydraulic, gas, and wind.</t>
  </si>
  <si>
    <t>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liquids.Establishments in this subsector include those that operate oil and gas wells on their own account or for others on a contract or fee basis.Establishments primarily engaged in providing support services, on a fee or contract basis, required for the drilling or operation of oil and gas wells (except geophysical surveying and mapping, mine site preparation, andConstruction of oil/gas pipelines) are classified in Subsector 213, Support Activities for Mining.</t>
  </si>
  <si>
    <t>Establishments primarily engaged in manufacturing plastics foam products (except polystyrene).</t>
  </si>
  <si>
    <t>Construction of power and communication structures</t>
  </si>
  <si>
    <t>Establishments primarily engaged in manufacturing vaccines, toxoids, blood fractions, and culture media of plant or animal origin (except diagnostic).</t>
  </si>
  <si>
    <t>Establishments primarily engaged in crushing oilseeds and tree nuts, such as soybeans, cottonseeds, linseeds, peanuts, and sunflower seeds. Examples of products produced in theseEstablishments are oilseed oils, cakes, meals, and protein isolates and concentrates.</t>
  </si>
  <si>
    <t>Establishments primarily engaged in manufacturing truck and bus bodies and cabs and automobile bodies. The products made may be sold separately or may be assembled on purchased chassis and sold as complete vehicles.</t>
  </si>
  <si>
    <t>Establishments primarily engaged inThis industry group comprises (1) manufacturing vehicular lighting and/or (2) manufacturing and/or rebuilding motor vehicle electrical and electronic equipment. The products made can be used for all types of transportation equipment (i.e., aircraft, automobiles, trains, ships).</t>
  </si>
  <si>
    <t>Establishments primarily engaged in manufacturing and/or rebuilding motor vehicle gasoline engines, and engine parts, whether or not for vehicular use.</t>
  </si>
  <si>
    <t>Establishments primarily engaged in manufacturing motor vehicle stampings, such as fenders, tops, body parts, trim, and molding.</t>
  </si>
  <si>
    <t>Establishments primarily engaged in renting or leasing the following types of vehicles: passenger cars and trucks without drivers, and utility trailers. TheseEstablishments generally operate from a retail-like facility. SomeEstablishments offer only short-term rental, others only longerterm leases, and some provide both types of services.</t>
  </si>
  <si>
    <t>Establishments involved in providing repair and maintenance services for automotive vehicles, such as passenger cars, trucks, and vans, and all trailers.Establishments in this industry group employ mechanics with specialized technical skills to diagnose and repair the mechanical and electrical systems for automotive vehicles, repair automotive interiors, and paint or repair automotive exteriors.</t>
  </si>
  <si>
    <t>Establishments primarily engaged in manufacturing motor vehicle seating, seats, seat frames, seat belts, and interior trimmings.</t>
  </si>
  <si>
    <t>Industries in the Motor Vehicle and Parts Dealers subsector retail motor vehicles and parts from fixed point-of-sale locations.Establishments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</si>
  <si>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Establishments primarily engaged in manufacturing wood products (exceptEstablishments operating sawmills and wood preservation facilities; andEstablishments manufacturing veneer, plywood, or engineered wood products).</t>
  </si>
  <si>
    <t>Establishments of licensed veterinary practitioners primarily engaged in the practice of veterinary medicine, dentistry, or surgery for animals; andEstablishments primarily engaged in providing testing services for licensed veterinary practitioners.</t>
  </si>
  <si>
    <t>Establishments primarily engaged in manufacturing navigational, measuring, electromedical, and control instruments. Examples of products made by theseEstablishments are aeronautical instruments, appliance regulators and controls (except switches), laboratory analytical instruments, navigation and guidance systems, and physical properties testing equipment.Â </t>
  </si>
  <si>
    <t>Establishments primarily engaged inThis industry group comprises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t>
  </si>
  <si>
    <t>Establishments primarily engaged in drilling oil and gas wells for others on a contract or fee basis. This industry includes contractors that specialize in spudding in, drilling in, redrilling, and directional drilling.</t>
  </si>
  <si>
    <t>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</si>
  <si>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</si>
  <si>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Establishments primarily engaged in one or more of the following:This industry group comprises (1) growing grapes and manufacturing wines and brandies; (2) manufacturing wines and brandies from grapes and other fruits grown elsewhere; and (3) blending wines and brandies.</t>
  </si>
  <si>
    <t>Establishments primarily engaged in manufacturing radio and television broadcast and wireless communications equipment. Examples of products made by theseEstablishments are: transmitting and receiving antennas, cable television equipment, GPS equipment, pagers, cellular phones, mobile communications equipment, and radio and television studio and broadcasting equipment.</t>
  </si>
  <si>
    <t>Establishments engaged in operating and maintaining switching and transmission facilities to provide communications via the airwaves.Establishments in this industry have spectrum licenses and provide services using that spectrum, such as cellular phone services, paging services, wireless Internet access, and wireless video services.</t>
  </si>
  <si>
    <t>Establishments primarily engaged in manufacturing current-carrying wiring devices and noncurrent-carrying wiring devices for wiring electrical circuits.</t>
  </si>
  <si>
    <t>Establishments primarily engaged in manufacturing wood or plastics laminated on wood kitchen cabinets, bathroom vanities, and countertops (except freestanding). The cabinets and counters may be made on a stock or custom basis.</t>
  </si>
  <si>
    <t>Establishments primarily engaged in manufacturing pulp without manufacturing paper or paperboard. The pulp is made by separating the cellulose fibers from the other impurities in wood or other materials, such as used or recycled rags, linters, scrap paper, and straw.</t>
  </si>
  <si>
    <t>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TheseEstablishments generally use woodworking machinery, such as jointers, planers, lathes, and routers to shape wood.</t>
  </si>
  <si>
    <t>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Cross-References.</t>
  </si>
  <si>
    <t>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
Cross-References. Establishments primarily engaged in--</t>
  </si>
  <si>
    <t>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
Cross-References. Establishments primarily engaged in--</t>
  </si>
  <si>
    <t>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
Cross-References. Establishments primarily engaged in--</t>
  </si>
  <si>
    <t>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
Cross-References. Establishments primarily engaged in--</t>
  </si>
  <si>
    <t>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
Cross-References. Establishments primarily engaged in--</t>
  </si>
  <si>
    <t>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
Cross-References. Establishments primarily engaged in--</t>
  </si>
  <si>
    <t>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
Cross-References. Establishments primarily engaged in--</t>
  </si>
  <si>
    <t>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
Cross-References. Establishments primarily engaged in--</t>
  </si>
  <si>
    <t>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
Cross-References. Establishments primarily engaged in--</t>
  </si>
  <si>
    <t>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
Cross-References. Establishments primarily engaged in--</t>
  </si>
  <si>
    <t>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
Cross-References. Establishments primarily engaged in--</t>
  </si>
  <si>
    <t>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
Cross-References. Establishments primarily engaged in--</t>
  </si>
  <si>
    <t>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
Cross-References. Establishments primarily engaged in--</t>
  </si>
  <si>
    <t>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
Cross-References. Establishments primarily engaged in--</t>
  </si>
  <si>
    <t>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
Cross-References. Establishments primarily engaged in--</t>
  </si>
  <si>
    <t>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
Cross-References. Establishments primarily engaged in--</t>
  </si>
  <si>
    <t>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
Cross-References. Establishments primarily engaged in--</t>
  </si>
  <si>
    <t>230301,233210,233262,2332A0</t>
  </si>
  <si>
    <t>5416A0</t>
  </si>
  <si>
    <t>2332C0</t>
  </si>
  <si>
    <t>233210,233230,233240,233262,2332A0,2332C0,2332D0,233411,233412,2334A0</t>
  </si>
  <si>
    <t>5419A0</t>
  </si>
  <si>
    <t>233411,233412,2334A0</t>
  </si>
  <si>
    <t>54151A</t>
  </si>
  <si>
    <t>55: Management of Companies and Enterprises</t>
  </si>
  <si>
    <t>2372: Land Subdivision</t>
  </si>
  <si>
    <t>5311: Lessors of Real Estate</t>
  </si>
  <si>
    <t>2381: Foundation, Structure, and Building Exterior Contractors</t>
  </si>
  <si>
    <t>2382: Building Equipment Contractors</t>
  </si>
  <si>
    <t>2383: Building Finishing Contractors</t>
  </si>
  <si>
    <t>2389: Other Specialty Trade Contractors</t>
  </si>
  <si>
    <t>Supply Chain Emission Factors without Margins
(kg CO2e/2022 USD)</t>
  </si>
  <si>
    <t>Supply Chain Emission Factors 
with Margins 
(kg CO2e/2022 USD)</t>
  </si>
  <si>
    <t>Category 1: Purchased Goods &amp; Services</t>
  </si>
  <si>
    <t>Travel arrangement and reservation</t>
  </si>
  <si>
    <t>This industry group comprises (1) Travel Agencies, (2) Tour Operators, and (3) Other Travel Arrangement and Reservation Services including:  (a) Convention and Visitors Bureaus, and (b) All Other Travel Arrangement and Reservation Services.</t>
  </si>
  <si>
    <t xml:space="preserve">Lessors of Residential Buildings and Dwellings </t>
  </si>
  <si>
    <t>Scenic and sightseeing transportation and support activities for transportation</t>
  </si>
  <si>
    <t>Oilseed and Grain Farming</t>
  </si>
  <si>
    <t>Vegetable and Melon Farming</t>
  </si>
  <si>
    <t>Fruit and Tree Nut Farming</t>
  </si>
  <si>
    <t>Greenhouse, Nursery, and Floriculture Production</t>
  </si>
  <si>
    <t>Other Crop Farming</t>
  </si>
  <si>
    <t>Cattle Ranching and Farming</t>
  </si>
  <si>
    <t>Poultry and Egg Production</t>
  </si>
  <si>
    <t>Other Animal Production</t>
  </si>
  <si>
    <t>Timber Tract Operations</t>
  </si>
  <si>
    <t>Support Activities for Crop Production</t>
  </si>
  <si>
    <t>Oil and Gas Extraction</t>
  </si>
  <si>
    <t>Coal Mining</t>
  </si>
  <si>
    <t>Metal Ore Mining</t>
  </si>
  <si>
    <t>Nonmetallic Mineral Mining and Quarrying</t>
  </si>
  <si>
    <t>Support Activities for Mining</t>
  </si>
  <si>
    <t>Natural Gas Distribution</t>
  </si>
  <si>
    <t>Water, Sewage and Other Systems</t>
  </si>
  <si>
    <t>Residential Building Construction</t>
  </si>
  <si>
    <t>Nonresidential Building Construction</t>
  </si>
  <si>
    <t>Utility System Construction</t>
  </si>
  <si>
    <t>Highway, Street, and Bridge Construction</t>
  </si>
  <si>
    <t>Animal Food Manufacturing</t>
  </si>
  <si>
    <t>Grain and Oilseed Milling</t>
  </si>
  <si>
    <t>Sugar and Confectionery Product Manufacturing</t>
  </si>
  <si>
    <t>Fruit and Vegetable Preserving and Specialty Food Manufacturing</t>
  </si>
  <si>
    <t>Dairy Product Manufacturing</t>
  </si>
  <si>
    <t>Animal Slaughtering and Processing</t>
  </si>
  <si>
    <t>Seafood Product Preparation and Packaging</t>
  </si>
  <si>
    <t>Bakeries and Tortilla Manufacturing</t>
  </si>
  <si>
    <t>Other Food Manufacturing</t>
  </si>
  <si>
    <t>Beverage Manufacturing</t>
  </si>
  <si>
    <t>Tobacco Manufacturing</t>
  </si>
  <si>
    <t>Fiber, Yarn, and Thread Mills</t>
  </si>
  <si>
    <t>Fabric Mills</t>
  </si>
  <si>
    <t>Textile and Fabric Finishing and Fabric Coating Mills</t>
  </si>
  <si>
    <t>Textile Furnishings Mills</t>
  </si>
  <si>
    <t>Other Textile Product Mills</t>
  </si>
  <si>
    <t>Apparel Knitting Mills</t>
  </si>
  <si>
    <t>Leather and Hide Tanning and Finishing</t>
  </si>
  <si>
    <t>Sawmills and Wood Preservation</t>
  </si>
  <si>
    <t>Veneer, Plywood, and Engineered Wood Product Manufacturing</t>
  </si>
  <si>
    <t>Other Wood Product Manufacturing</t>
  </si>
  <si>
    <t>Pulp, Paper, and Paperboard Mills</t>
  </si>
  <si>
    <t>Converted Paper Product Manufacturing</t>
  </si>
  <si>
    <t>Printing and Related Support Activities</t>
  </si>
  <si>
    <t>Petroleum and Coal Products Manufacturing</t>
  </si>
  <si>
    <t>Basic Chemical Manufacturing</t>
  </si>
  <si>
    <t>Resin, Synthetic Rubber, and Artificial and Synthetic Fibers and Filaments Manufacturing</t>
  </si>
  <si>
    <t>Pesticide, Fertilizer, and Other Agricultural Chemical Manufacturing</t>
  </si>
  <si>
    <t>Pharmaceutical and Medicine Manufacturing</t>
  </si>
  <si>
    <t>Paint, Coating, and Adhesive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</si>
  <si>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</si>
  <si>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</si>
  <si>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</si>
  <si>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</si>
  <si>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</si>
  <si>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</si>
  <si>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</si>
  <si>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</si>
  <si>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</si>
  <si>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Iron and Steel Mills and Ferroalloy Manufacturing</t>
  </si>
  <si>
    <t>Steel Product Manufacturing from Purchased Steel</t>
  </si>
  <si>
    <t>Alumina and Aluminum Production and Processing</t>
  </si>
  <si>
    <t>Nonferrous Metal (except Aluminum) Production and Processing</t>
  </si>
  <si>
    <t>Foundries</t>
  </si>
  <si>
    <t>Forging and Stamping</t>
  </si>
  <si>
    <t>Cutlery and Handtool Manufacturing</t>
  </si>
  <si>
    <t>Architectural and Structural Metals Manufacturing</t>
  </si>
  <si>
    <t>Boiler, Tank, and Shipping Container Manufacturing</t>
  </si>
  <si>
    <t>Hardware Manufacturing</t>
  </si>
  <si>
    <t>Spring and Wire Product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</si>
  <si>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</si>
  <si>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</si>
  <si>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</si>
  <si>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</si>
  <si>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Industrial Machinery Manufacturing</t>
  </si>
  <si>
    <t>Commercial and Service Industry Machinery Manufacturing</t>
  </si>
  <si>
    <t>Ventilation, Heating, Air-Conditioning, and Commercial Refrigeration Equipment Manufacturing</t>
  </si>
  <si>
    <t>Metalworking Machinery Manufacturing</t>
  </si>
  <si>
    <t>Engine, Turbine, and Power Transmission Equipment Manufacturing</t>
  </si>
  <si>
    <t>Other General Purpose Machinery Manufacturing</t>
  </si>
  <si>
    <t>Computer and Peripheral Equipment Manufacturing</t>
  </si>
  <si>
    <t>Communications Equipment Manufacturing</t>
  </si>
  <si>
    <t>Audio and Video Equipment Manufacturing</t>
  </si>
  <si>
    <t>Semiconductor and Other Electronic Component Manufacturing</t>
  </si>
  <si>
    <t>Navigational, Measuring, Electromedical, and Control Instruments Manufacturing</t>
  </si>
  <si>
    <t>Manufacturing and Reproducing Magnetic and Optical Media</t>
  </si>
  <si>
    <t>Electric Lighting Equipment Manufacturing</t>
  </si>
  <si>
    <t>Household Appliance Manufacturing</t>
  </si>
  <si>
    <t>Electrical Equipment Manufacturing</t>
  </si>
  <si>
    <t>Other Electrical Equipment and Component Manufacturing</t>
  </si>
  <si>
    <t>Motor Vehicle Manufacturing</t>
  </si>
  <si>
    <t>Motor Vehicle Body and Trailer Manufacturing</t>
  </si>
  <si>
    <t>Motor Vehicle Parts Manufacturing</t>
  </si>
  <si>
    <t>Aerospace Product and Parts Manufacturing</t>
  </si>
  <si>
    <t>Railroad Rolling Stock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</si>
  <si>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</si>
  <si>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</si>
  <si>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</si>
  <si>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</si>
  <si>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</si>
  <si>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</si>
  <si>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</si>
  <si>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Motor Vehicle and Motor Vehicle Parts and Supplies Merchant Wholesalers</t>
  </si>
  <si>
    <t>Professional and Commercial Equipment and Supplies Merchant Wholesalers</t>
  </si>
  <si>
    <t>Household Appliances and Electrical and Electronic Goods Merchant Wholesalers</t>
  </si>
  <si>
    <t>Machinery, Equipment, and Supplies Merchant Wholesalers</t>
  </si>
  <si>
    <t>Drugs and Druggists Sundries Merchant Wholesalers</t>
  </si>
  <si>
    <t>Grocery and Related Product Merchant Wholesalers</t>
  </si>
  <si>
    <t>Petroleum and Petroleum Products Merchant Wholesalers</t>
  </si>
  <si>
    <t>Wholesale Electronic Markets and Agents and Brokers</t>
  </si>
  <si>
    <t>Automobile Dealers</t>
  </si>
  <si>
    <t>Building Material and Supplies Dealers</t>
  </si>
  <si>
    <t>Grocery Stores</t>
  </si>
  <si>
    <t>Health and Personal Care Stores</t>
  </si>
  <si>
    <t>Gasoline Stations</t>
  </si>
  <si>
    <t>Clothing Stores</t>
  </si>
  <si>
    <t>General Merchandise Stores, including Warehouse Clubs and Supercenters</t>
  </si>
  <si>
    <t>Electronic Shopping and Mail-Order Houses</t>
  </si>
  <si>
    <t>Scheduled Air Transportation</t>
  </si>
  <si>
    <t>Rail Transportation</t>
  </si>
  <si>
    <t>Deep Sea, Coastal, and Great Lakes Water Transportation</t>
  </si>
  <si>
    <t>General Freight Trucking</t>
  </si>
  <si>
    <t>Other Transit and Ground Passenger Transportation</t>
  </si>
  <si>
    <t>Other Pipeline Transportation</t>
  </si>
  <si>
    <t>Postal Service</t>
  </si>
  <si>
    <t>Couriers and Express Delivery Services</t>
  </si>
  <si>
    <t>Warehousing and Storage</t>
  </si>
  <si>
    <t>Newspaper, Periodical, Book, and Directory Publishers</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</si>
  <si>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</si>
  <si>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</si>
  <si>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</si>
  <si>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</si>
  <si>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</si>
  <si>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</si>
  <si>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</si>
  <si>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Other Telecommunications</t>
  </si>
  <si>
    <t>Data Processing, Hosting, and Related Services</t>
  </si>
  <si>
    <t>Other Information Services</t>
  </si>
  <si>
    <t>Monetary Authorities-Central Bank</t>
  </si>
  <si>
    <t>Nondepository Credit Intermediation</t>
  </si>
  <si>
    <t>Securities and Commodity Contracts Intermediation and Brokerage</t>
  </si>
  <si>
    <t>Other Financial Investment Activities</t>
  </si>
  <si>
    <t>Insurance Carriers</t>
  </si>
  <si>
    <t>Agencies, Brokerages, and Other Insurance Related Activities</t>
  </si>
  <si>
    <t>Insurance and Employee Benefit Funds</t>
  </si>
  <si>
    <t>Automotive Equipment Rental and Leasing</t>
  </si>
  <si>
    <t>Consumer Goods Rental</t>
  </si>
  <si>
    <t>Commercial and Industrial Machinery and Equipment Rental and Leasing</t>
  </si>
  <si>
    <t>Lessors of Nonfinancial Intangible Assets (except Copyrighted Works)</t>
  </si>
  <si>
    <t>Legal Services</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</si>
  <si>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</si>
  <si>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</si>
  <si>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</si>
  <si>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</si>
  <si>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</si>
  <si>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</si>
  <si>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Advertising, Public Relations, and Related Services</t>
  </si>
  <si>
    <t>Other Professional, Scientific, and Technical Services</t>
  </si>
  <si>
    <t>Management of Companies and Enterprises</t>
  </si>
  <si>
    <t>Office Administrative Services</t>
  </si>
  <si>
    <t>Facilities Support Services</t>
  </si>
  <si>
    <t>Employment Services</t>
  </si>
  <si>
    <t>Business Support Services</t>
  </si>
  <si>
    <t>Travel Arrangement and Reservation Services</t>
  </si>
  <si>
    <t>Investigation and Security Services</t>
  </si>
  <si>
    <t>Services to Buildings and Dwellings</t>
  </si>
  <si>
    <t>Other Support Services</t>
  </si>
  <si>
    <t>Elementary and Secondary Schools</t>
  </si>
  <si>
    <t>Offices of Physicians</t>
  </si>
  <si>
    <t>Offices of Dentists</t>
  </si>
  <si>
    <t>Offices of Other Health Practitioners</t>
  </si>
  <si>
    <t>Outpatient Care Centers</t>
  </si>
  <si>
    <t>Special Food Services</t>
  </si>
  <si>
    <t>Automotive Repair and Maintenance</t>
  </si>
  <si>
    <t>Electronic and Precision Equipment Repair and Maintenance</t>
  </si>
  <si>
    <t>Supply Chain Emission Factors with Margins (kg CO2e/RYUSD)</t>
  </si>
  <si>
    <t>NAICS and title</t>
  </si>
  <si>
    <t>Title Only</t>
  </si>
  <si>
    <t>NAICS: Industry Name</t>
  </si>
  <si>
    <t xml:space="preserve">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 land, water, and other.   Activities that are recreational in nature and involve participation by the customer, such as white-water rafting, are generally excluded from this subsector, unless they impose an impact on part of the transportation system. Charter boat fishing, for example, is included in the Scenic and Sightseeing Transportation, Water industry.  2) Industries in the Support Activities for Transportation subsector provide services which support transportation. These services may be provided to transportation carrierEstablishments or to the general public. This subsector includes a wide array ofEstablishments, including air traffic control services, marine cargo handling, and motor vehicle towing.   The Support Activities for Transportation subsector includes services to transportation but is separated by type of mode serviced. The Support Activities for Rail Transportation industry includes services to the rail industry (e.g., railroad switching and terminalEstablishments).   Ship repair and maintenance not done in a shipyard are included in Other Support Activities for Water Transportation. An example would be floating drydock services in a harbor.   Excluded from this subsector areEstablishments primarily engaged in providing factory conversion and overhaul of transportation equipment, which are classified in Subsector 336, Transportation Equipment Manufacturing. Also,Establishments primarily engaged in providing rental and leasing of transportation equipment without operator are classified in Subsector 532, Rental and Leasing Services. </t>
  </si>
  <si>
    <t>Calculated Share of Equity (percent)</t>
  </si>
  <si>
    <t>Total Revenue of Investee in reporting year</t>
  </si>
  <si>
    <r>
      <rPr>
        <b/>
        <i/>
        <sz val="10"/>
        <rFont val="Arial"/>
        <family val="2"/>
      </rPr>
      <t>Investee organization</t>
    </r>
    <r>
      <rPr>
        <sz val="10"/>
        <rFont val="Arial"/>
        <family val="2"/>
      </rPr>
      <t xml:space="preserve"> - for the user to track various investments by investee</t>
    </r>
  </si>
  <si>
    <t>Mixed Paper (general)</t>
  </si>
  <si>
    <t>Last Modified: January 15, 2025</t>
  </si>
  <si>
    <t>Mixed_Electronics</t>
  </si>
  <si>
    <t>2025 GHG Emission Factors Hub (xlsx)</t>
  </si>
  <si>
    <t>PR</t>
  </si>
  <si>
    <t>Puerto Rico</t>
  </si>
  <si>
    <t>kg CO2e per employee per mile</t>
  </si>
  <si>
    <t>Sum of WtT kg CO2e per unit</t>
  </si>
  <si>
    <t>Business travel- land</t>
  </si>
  <si>
    <t>passenger.km</t>
  </si>
  <si>
    <t>GWP dataset:</t>
  </si>
  <si>
    <t>Manually Calculated 
kg CO2e 
(per selected 
GWP dataset
 in cell Q2)</t>
  </si>
  <si>
    <t xml:space="preserve">US Department of Energy Alternative Fuels data center </t>
  </si>
  <si>
    <t>2023 Light-Duty Vehicle Registration Counts by State and Fuel Type</t>
  </si>
  <si>
    <t>US 2022</t>
  </si>
  <si>
    <t>US 2023</t>
  </si>
  <si>
    <t>Electric (EV)</t>
  </si>
  <si>
    <t>Plug-In Hybrid Electric (PHEV)</t>
  </si>
  <si>
    <t>Hybrid Electric (HEV)</t>
  </si>
  <si>
    <t>Ethanol/Flex (E85)</t>
  </si>
  <si>
    <t>Compressed Natural Gas (CNG)</t>
  </si>
  <si>
    <t>Hydrogen</t>
  </si>
  <si>
    <t>Unknown Fuel</t>
  </si>
  <si>
    <t>Emission Factor (kg CO2e/ passenger-mile)</t>
  </si>
  <si>
    <t>UK Government GHG Conversion Factors for Company Reporting</t>
  </si>
  <si>
    <t>Conversions</t>
  </si>
  <si>
    <t>Index</t>
  </si>
  <si>
    <t>Emissions source:</t>
  </si>
  <si>
    <t>None</t>
  </si>
  <si>
    <t xml:space="preserve">Next publication date: </t>
  </si>
  <si>
    <t>Factor set:</t>
  </si>
  <si>
    <t>Full set</t>
  </si>
  <si>
    <t>Scope:</t>
  </si>
  <si>
    <t>Version:</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</si>
  <si>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</si>
  <si>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</si>
  <si>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</si>
  <si>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</si>
  <si>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</si>
  <si>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</si>
  <si>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</si>
  <si>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</si>
  <si>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</si>
  <si>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</si>
  <si>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</si>
  <si>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</si>
  <si>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</si>
  <si>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</si>
  <si>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</si>
  <si>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</si>
  <si>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</si>
  <si>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</si>
  <si>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</si>
  <si>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</si>
  <si>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</si>
  <si>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</si>
  <si>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</si>
  <si>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</si>
  <si>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</si>
  <si>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Energy</t>
  </si>
  <si>
    <t>Volume</t>
  </si>
  <si>
    <t>Weight/mass</t>
  </si>
  <si>
    <t>m</t>
  </si>
  <si>
    <t>ft</t>
  </si>
  <si>
    <t>nmi</t>
  </si>
  <si>
    <t>Length / distance</t>
  </si>
  <si>
    <t>Metre, m</t>
  </si>
  <si>
    <t>Feet, ft</t>
  </si>
  <si>
    <t>Miles, mi</t>
  </si>
  <si>
    <t>Kilometres, km</t>
  </si>
  <si>
    <t>Nautical miles, nmi or NM</t>
  </si>
  <si>
    <t>in</t>
  </si>
  <si>
    <t>cm</t>
  </si>
  <si>
    <t>yd</t>
  </si>
  <si>
    <t>Inch, in</t>
  </si>
  <si>
    <t>Centimetres, cm</t>
  </si>
  <si>
    <t>Yard, yd</t>
  </si>
  <si>
    <t>Number of days worked at home per year</t>
  </si>
  <si>
    <t>Annual water usage at facility A</t>
  </si>
  <si>
    <t>Table 1c. Water Treatment</t>
  </si>
  <si>
    <t>Note, it is recommended to quantify emissions from water treatment (prior to usage) and wastewater treatment (after usage) based on total volume used; see Table 1c in the "Category 1 and 2 (custom input)" tab and Table 2 in the "Category 5 Waste" tab, for water treatment and wastewater treatment, respectively.</t>
  </si>
  <si>
    <t>Cars (by market segment)</t>
  </si>
  <si>
    <t>Average:</t>
  </si>
  <si>
    <t>Note, percentages have been rebalanced after removing work-from-home. 
A different approach is used to estimate work-from-home emissions based on remote worker staff counts.</t>
  </si>
  <si>
    <t>Biodiesel + Diesel</t>
  </si>
  <si>
    <t>E85 + Gasoline</t>
  </si>
  <si>
    <t>https://www.gov.uk/government/collections/government-conversion-factors-for-company-reporting</t>
  </si>
  <si>
    <t xml:space="preserve">UK Government Conversion Factors for Company Reporting: Year 2024.  Department for Energy Security and Net Zero (DESNZ) 2024. </t>
  </si>
  <si>
    <t>https://www.epa.gov/climateleadership/ghg-emission-factors-hub</t>
  </si>
  <si>
    <r>
      <t xml:space="preserve">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t>
    </r>
  </si>
  <si>
    <t xml:space="preserve">Table 3 (Generation Emission): </t>
  </si>
  <si>
    <t>https://learn.streetlightdata.com/commutes-across-america</t>
  </si>
  <si>
    <t xml:space="preserve">U.S. Energy Information Administration (2018), Commercial Buildings Energy Consumption Survey (CBECS). </t>
  </si>
  <si>
    <t>https://www.eia.gov/consumption/commercial/data/2018/</t>
  </si>
  <si>
    <t>https://www.epa.gov/climateleadership/ghg-emission-factors-hub.</t>
  </si>
  <si>
    <t>U.S. EPA (2024). United States Environmental Protection Agency, Emissions &amp; Generation Resource Integrated Database (eGRID 2023).</t>
  </si>
  <si>
    <t>https://www.epa.gov/egrid</t>
  </si>
  <si>
    <t>Domestic, to/from UK (EPA "Short Haul"; &lt; 300 miles &amp; &lt; 483 km)</t>
  </si>
  <si>
    <t>With RF</t>
  </si>
  <si>
    <t>Long-haul, to/from UK (EPA "Long Haul"; &gt;= 2300 miles, &gt;=3701 km)</t>
  </si>
  <si>
    <t>Short-haul, to/from UK (EPA "Medium Haul";  &gt;= 300 miles, &lt; 2300 miles &amp; &gt;= 483 km, &lt; 3701 km)</t>
  </si>
  <si>
    <t>"Medium Haul";  &gt;= 300 miles, &lt; 2300 miles</t>
  </si>
  <si>
    <t>"Short Haul"; &lt; 300 miles</t>
  </si>
  <si>
    <t>"Long Haul"; &gt;= 2300 miles</t>
  </si>
  <si>
    <t>Large car</t>
  </si>
  <si>
    <t>Medium car</t>
  </si>
  <si>
    <t>Small car</t>
  </si>
  <si>
    <t>DESNZ order</t>
  </si>
  <si>
    <t>Emission Factor (kg CO2e/mile)</t>
  </si>
  <si>
    <t>WTT (kg CO2e/mile)</t>
  </si>
  <si>
    <t>TtW (kg CO2e/mile)</t>
  </si>
  <si>
    <t>Gaseous fuels</t>
  </si>
  <si>
    <t>LNG</t>
  </si>
  <si>
    <t>Natural gas (100% mineral blend)</t>
  </si>
  <si>
    <t>Other petroleum gas</t>
  </si>
  <si>
    <t>Liquid fuels</t>
  </si>
  <si>
    <t>Burning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</si>
  <si>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</si>
  <si>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</si>
  <si>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</si>
  <si>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</si>
  <si>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</si>
  <si>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</si>
  <si>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</si>
  <si>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</si>
  <si>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</si>
  <si>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</si>
  <si>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</si>
  <si>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</si>
  <si>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</si>
  <si>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</si>
  <si>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</si>
  <si>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</si>
  <si>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</si>
  <si>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</si>
  <si>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r>
      <t xml:space="preserve">StreetLight Data, Inc. 2018. </t>
    </r>
    <r>
      <rPr>
        <i/>
        <sz val="11"/>
        <color theme="1"/>
        <rFont val="Arial"/>
        <family val="2"/>
        <scheme val="major"/>
      </rPr>
      <t xml:space="preserve">Commutes Across America: Where Are The Longest Trips to Work? </t>
    </r>
  </si>
  <si>
    <t>State (or select "United States")</t>
  </si>
  <si>
    <t>Emissions from Electricity Usage (MTCO2e)</t>
  </si>
  <si>
    <t>Emissions from Natural Gas Usage (MTCO2e)</t>
  </si>
  <si>
    <t>Use these tables if electricity and natural gas usage data is available</t>
  </si>
  <si>
    <t>Heat and Steam</t>
  </si>
  <si>
    <t>District Heating</t>
  </si>
  <si>
    <t>Chilled water</t>
  </si>
  <si>
    <t>Table 1. Upstream emissions from purchased fuels, district heating, and chilled water</t>
  </si>
  <si>
    <t>WTT- heat and steam</t>
  </si>
  <si>
    <t>WTT- district heat &amp; steam distribution</t>
  </si>
  <si>
    <t>5% loss</t>
  </si>
  <si>
    <t>See heat and steam table below</t>
  </si>
  <si>
    <t>1 ton hour</t>
  </si>
  <si>
    <t>Just combined electric T&amp;D + upstream (so missing upstream of T&amp;D) and multiplied by .921 (see EIA 1065)</t>
  </si>
  <si>
    <t>Chilled Water</t>
  </si>
  <si>
    <t>If the country of stay is not in the dropdown list, use the Global Median option.</t>
  </si>
  <si>
    <t>From EPA CCCL (Jan 2025):</t>
  </si>
  <si>
    <t>Energy consumed (kWh)</t>
  </si>
  <si>
    <t>Average Car (gasoline)</t>
  </si>
  <si>
    <t>Average Car (unknown)</t>
  </si>
  <si>
    <r>
      <t xml:space="preserve">- </t>
    </r>
    <r>
      <rPr>
        <i/>
        <sz val="11"/>
        <color theme="1"/>
        <rFont val="Arial"/>
        <family val="2"/>
        <scheme val="minor"/>
      </rPr>
      <t>Scope 3 Summary</t>
    </r>
    <r>
      <rPr>
        <sz val="11"/>
        <color theme="1"/>
        <rFont val="Arial"/>
        <family val="2"/>
        <scheme val="minor"/>
      </rPr>
      <t xml:space="preserve"> tab: Added new "Percent of Total Scope 3" column F. Slight title refinement ("Summary of 2024 Scope 3 Emissions Results")</t>
    </r>
  </si>
  <si>
    <r>
      <t xml:space="preserve">- </t>
    </r>
    <r>
      <rPr>
        <i/>
        <sz val="11"/>
        <color theme="1"/>
        <rFont val="Arial"/>
        <family val="2"/>
        <scheme val="minor"/>
      </rPr>
      <t>Cat 1 (Goods &amp; Services)</t>
    </r>
    <r>
      <rPr>
        <sz val="11"/>
        <color theme="1"/>
        <rFont val="Arial"/>
        <family val="2"/>
        <scheme val="minor"/>
      </rPr>
      <t xml:space="preserve"> - Copy/pasted v1.3 processed table over existing v1.2 table. Updated inflation correction value.</t>
    </r>
  </si>
  <si>
    <t>» Added State-specific eGRID factors similar to Cat 9 tab and Cat 7 WFH (previously referencing national average EF).
» Created separate electricity and gas emissions columns</t>
  </si>
  <si>
    <r>
      <rPr>
        <i/>
        <sz val="11"/>
        <color theme="1"/>
        <rFont val="Arial"/>
        <family val="2"/>
        <scheme val="minor"/>
      </rPr>
      <t>- Cat 6 Business Trav. (spend)</t>
    </r>
    <r>
      <rPr>
        <sz val="11"/>
        <color theme="1"/>
        <rFont val="Arial"/>
        <family val="2"/>
        <scheme val="minor"/>
      </rPr>
      <t>: Transferred updated EFs from v1.3 USEEIO for the four Transportation and Warehousing categories. Put running total at the top of column E to be consistent with Cat 1, Cat 2, and Cat 4 tabs.</t>
    </r>
  </si>
  <si>
    <r>
      <rPr>
        <i/>
        <sz val="11"/>
        <color theme="1"/>
        <rFont val="Arial"/>
        <family val="2"/>
        <scheme val="minor"/>
      </rPr>
      <t>- Cat 6 Business Trav. (distance)</t>
    </r>
    <r>
      <rPr>
        <sz val="11"/>
        <color theme="1"/>
        <rFont val="Arial"/>
        <family val="2"/>
        <scheme val="minor"/>
      </rPr>
      <t>: Updated emission factors from UK DESNZ. Fuel type drop-down menu now includes all options present in UK DESNZ for "cars by market segment"</t>
    </r>
  </si>
  <si>
    <r>
      <rPr>
        <i/>
        <sz val="11"/>
        <color theme="1"/>
        <rFont val="Arial"/>
        <family val="2"/>
        <scheme val="minor"/>
      </rPr>
      <t>- Cat 7 Employee Commuting</t>
    </r>
    <r>
      <rPr>
        <sz val="11"/>
        <color theme="1"/>
        <rFont val="Arial"/>
        <family val="2"/>
        <scheme val="minor"/>
      </rPr>
      <t>: Updated info from Bureau of Transportation Statistics (BTS).</t>
    </r>
  </si>
  <si>
    <t xml:space="preserve">- Cat 8 &amp; Cat 13 Leased Assets: </t>
  </si>
  <si>
    <r>
      <rPr>
        <i/>
        <sz val="11"/>
        <color theme="1"/>
        <rFont val="Arial"/>
        <family val="2"/>
        <scheme val="minor"/>
      </rPr>
      <t>- Cat 9 (Patient Visits)</t>
    </r>
    <r>
      <rPr>
        <sz val="11"/>
        <color theme="1"/>
        <rFont val="Arial"/>
        <family val="2"/>
        <scheme val="minor"/>
      </rPr>
      <t>: Minor adjustments based on underlying emission factors; added upstream (well-to-tank) emissions for Telehealth visits</t>
    </r>
  </si>
  <si>
    <r>
      <rPr>
        <i/>
        <sz val="11"/>
        <color theme="1"/>
        <rFont val="Arial"/>
        <family val="2"/>
        <scheme val="minor"/>
      </rPr>
      <t>- Cat 11 Use of Sold Products</t>
    </r>
    <r>
      <rPr>
        <sz val="11"/>
        <color theme="1"/>
        <rFont val="Arial"/>
        <family val="2"/>
        <scheme val="minor"/>
      </rPr>
      <t>: No Updates Needed</t>
    </r>
  </si>
  <si>
    <r>
      <rPr>
        <i/>
        <sz val="11"/>
        <color theme="1"/>
        <rFont val="Arial"/>
        <family val="2"/>
        <scheme val="minor"/>
      </rPr>
      <t>- Cat 15 Investments</t>
    </r>
    <r>
      <rPr>
        <sz val="11"/>
        <color theme="1"/>
        <rFont val="Arial"/>
        <family val="2"/>
        <scheme val="minor"/>
      </rPr>
      <t>: Widened column C and referenced alphabetized table of Industry Names for drop-downs (v2.0.0 organized by NAICS code).</t>
    </r>
  </si>
  <si>
    <r>
      <rPr>
        <i/>
        <sz val="11"/>
        <color theme="1"/>
        <rFont val="Arial"/>
        <family val="2"/>
        <scheme val="minor"/>
      </rPr>
      <t>- Cat 15 descriptions</t>
    </r>
    <r>
      <rPr>
        <sz val="11"/>
        <color theme="1"/>
        <rFont val="Arial"/>
        <family val="2"/>
        <scheme val="minor"/>
      </rPr>
      <t>: updated to include only current list of 185 industries per 2024 v1.3 processed factors</t>
    </r>
  </si>
  <si>
    <r>
      <rPr>
        <i/>
        <sz val="11"/>
        <color theme="1"/>
        <rFont val="Arial"/>
        <family val="2"/>
        <scheme val="minor"/>
      </rPr>
      <t>- Cat 4 Upstream Trans &amp; Dist</t>
    </r>
    <r>
      <rPr>
        <sz val="11"/>
        <color theme="1"/>
        <rFont val="Arial"/>
        <family val="2"/>
        <scheme val="minor"/>
      </rPr>
      <t>: Transferred updated EFs from v1.3 USEEIO for the seven Transportation and Warehousing categories. Placed running total at the top of column E to be consistent with Cat 1 and Cat 2 tabs.</t>
    </r>
  </si>
  <si>
    <t>See below "Global Warming Potential Values"</t>
  </si>
  <si>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</si>
  <si>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MSW and Recycling</t>
  </si>
  <si>
    <t>Hospital ABC</t>
  </si>
  <si>
    <t>&lt;--- ENTER TOTAL EMISSIONS HERE IF CALCULATED ELSEWHERE</t>
  </si>
  <si>
    <t>Select the inventory year entered above. Note, inflation adjustment for a non-calendar fiscal year reporting period (e.g., April to March) can be accommodated based on month selection (see below under "Month").</t>
  </si>
  <si>
    <t>Spend-based Emissions Quantification: Inventory Year and Adjusting for Inflation</t>
  </si>
  <si>
    <t xml:space="preserve">
Note, this is only an example image of the CPI Inflation Calculator, users must visit website linked above.
</t>
  </si>
  <si>
    <t>Enter year and month information as described to the left, click "Calculate" and enter result above where indicated.</t>
  </si>
  <si>
    <r>
      <t xml:space="preserve">For a number of Scope 3 categories relevant to the healthcare industry, this tool employs the "spend-based method", as detailed in The GHG Protocol's </t>
    </r>
    <r>
      <rPr>
        <i/>
        <sz val="11"/>
        <rFont val="Arial"/>
        <family val="2"/>
        <scheme val="minor"/>
      </rPr>
      <t>Technical Guidance for Calculating Scope 3 Emissions</t>
    </r>
    <r>
      <rPr>
        <sz val="11"/>
        <rFont val="Arial"/>
        <family val="2"/>
        <scheme val="minor"/>
      </rPr>
      <t>.</t>
    </r>
  </si>
  <si>
    <t xml:space="preserve">&lt;--- ENTER TOTAL EMISSIONS HERE IF CALCULATED ELSEWHERE </t>
  </si>
  <si>
    <t>Enter the resulting value from the bls.gov site ("has the same buying power as") in cell I9 above where shown.</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</si>
  <si>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</si>
  <si>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r>
      <t xml:space="preserve">kg CO2 per </t>
    </r>
    <r>
      <rPr>
        <b/>
        <sz val="12"/>
        <color theme="1"/>
        <rFont val="Arial"/>
        <family val="2"/>
        <scheme val="minor"/>
      </rPr>
      <t>mmBtu</t>
    </r>
  </si>
  <si>
    <r>
      <t xml:space="preserve">g CH4 per </t>
    </r>
    <r>
      <rPr>
        <b/>
        <sz val="12"/>
        <color theme="1"/>
        <rFont val="Arial"/>
        <family val="2"/>
        <scheme val="minor"/>
      </rPr>
      <t>mmBtu</t>
    </r>
  </si>
  <si>
    <r>
      <t xml:space="preserve">g N2O per </t>
    </r>
    <r>
      <rPr>
        <b/>
        <sz val="12"/>
        <color theme="1"/>
        <rFont val="Arial"/>
        <family val="2"/>
        <scheme val="minor"/>
      </rPr>
      <t>mmBtu</t>
    </r>
  </si>
  <si>
    <t xml:space="preserve">1 therm = </t>
  </si>
  <si>
    <t>cubic feet</t>
  </si>
  <si>
    <t xml:space="preserve">1 mmBtu = </t>
  </si>
  <si>
    <t>NOT USED</t>
  </si>
  <si>
    <t>Note, U.S. gas production also includes some biogas, so "Natural Gas" from DESNZ is used (i.e., not "100% mineral blend")</t>
  </si>
  <si>
    <t>kWh/sq ft</t>
  </si>
  <si>
    <r>
      <rPr>
        <b/>
        <sz val="11"/>
        <color theme="1"/>
        <rFont val="Arial"/>
        <family val="2"/>
        <scheme val="minor"/>
      </rPr>
      <t>Transit and ground passenger transportation:</t>
    </r>
    <r>
      <rPr>
        <sz val="11"/>
        <color theme="1"/>
        <rFont val="Arial"/>
        <family val="2"/>
        <scheme val="minor"/>
      </rPr>
      <t xml:space="preserve">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r>
  </si>
  <si>
    <t>Category Description</t>
  </si>
  <si>
    <t>Fuel oil #2</t>
  </si>
  <si>
    <t>Fuel Type (DESNZ)</t>
  </si>
  <si>
    <t>kg CO2e per unit1</t>
  </si>
  <si>
    <t>kg CO2e per Unit2</t>
  </si>
  <si>
    <t>Solid fuel</t>
  </si>
  <si>
    <t>WTT- biofuel</t>
  </si>
  <si>
    <t>Bioethanol</t>
  </si>
  <si>
    <t>Biodiesel ME</t>
  </si>
  <si>
    <t>Biomethane (compressed)</t>
  </si>
  <si>
    <t>Biodiesel ME (from used cooking oil)</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</si>
  <si>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</si>
  <si>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</si>
  <si>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</si>
  <si>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</si>
  <si>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</si>
  <si>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</si>
  <si>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</si>
  <si>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</si>
  <si>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</si>
  <si>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</si>
  <si>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</si>
  <si>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</si>
  <si>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</si>
  <si>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Biogas</t>
  </si>
  <si>
    <t>Landfill gas</t>
  </si>
  <si>
    <t xml:space="preserve">Well-to-tank (WTT) fuels conversion factors should be used to account for the upstream Scope 3 emissions associated with extraction, refining and transportation of the raw fuel sources to an organisation’s site (or asset), prior to combustion.   </t>
  </si>
  <si>
    <t>DESNZ Fuel</t>
  </si>
  <si>
    <t>NOTE: These tables will auto-populate based on the information provided in the "Scope 1 and 2 Data" tab.</t>
  </si>
  <si>
    <t>Fuel properties</t>
  </si>
  <si>
    <t>The fuel properties can be used to determine the typical calorific values/densities of most common fuels.</t>
  </si>
  <si>
    <t>Some cells refer to notes which can be found at the bottom of the worksheet</t>
  </si>
  <si>
    <t>Net CV</t>
  </si>
  <si>
    <t>Gross CV</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</si>
  <si>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</si>
  <si>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</si>
  <si>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</si>
  <si>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</si>
  <si>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</si>
  <si>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</si>
  <si>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</si>
  <si>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</si>
  <si>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</si>
  <si>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</si>
  <si>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</si>
  <si>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</si>
  <si>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</si>
  <si>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</si>
  <si>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</si>
  <si>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</si>
  <si>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</si>
  <si>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Biodiesel (ME)</t>
  </si>
  <si>
    <t>Biodiesel (BtL or HVO)</t>
  </si>
  <si>
    <t>BioETBE</t>
  </si>
  <si>
    <t xml:space="preserve">Biomethane </t>
  </si>
  <si>
    <t>Grasses/Straw</t>
  </si>
  <si>
    <t>Landfill Gas</t>
  </si>
  <si>
    <t>Wood Chips</t>
  </si>
  <si>
    <t>Wood Logs</t>
  </si>
  <si>
    <t>Wood Pellets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</si>
  <si>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</si>
  <si>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</si>
  <si>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</si>
  <si>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xml:space="preserve">Note </t>
  </si>
  <si>
    <t>Note 1</t>
  </si>
  <si>
    <t>Units are referring to volume/mass, which is the inverse of density (known as Specific Volume).</t>
  </si>
  <si>
    <t>kg CO2e/liter</t>
  </si>
  <si>
    <t>District Heating and Chilled Water</t>
  </si>
  <si>
    <t>Final UoM</t>
  </si>
  <si>
    <t>denominator UoM</t>
  </si>
  <si>
    <t>Raw Values (DESNZ)</t>
  </si>
  <si>
    <t>Converted Values (for user-entered units)</t>
  </si>
  <si>
    <r>
      <t>kg CO2e/</t>
    </r>
    <r>
      <rPr>
        <sz val="11"/>
        <color rgb="FF0000FF"/>
        <rFont val="Arial"/>
        <family val="2"/>
        <scheme val="minor"/>
      </rPr>
      <t>kbtu</t>
    </r>
  </si>
  <si>
    <r>
      <t>kg CO2e/</t>
    </r>
    <r>
      <rPr>
        <sz val="11"/>
        <color rgb="FF0000FF"/>
        <rFont val="Arial"/>
        <family val="2"/>
        <scheme val="minor"/>
      </rPr>
      <t>liter</t>
    </r>
  </si>
  <si>
    <r>
      <t>kg CO2e/</t>
    </r>
    <r>
      <rPr>
        <sz val="11"/>
        <color rgb="FF0000FF"/>
        <rFont val="Arial"/>
        <family val="2"/>
        <scheme val="minor"/>
      </rPr>
      <t>kg</t>
    </r>
  </si>
  <si>
    <r>
      <t>kg CO2e/</t>
    </r>
    <r>
      <rPr>
        <sz val="11"/>
        <color rgb="FF0000FF"/>
        <rFont val="Arial"/>
        <family val="2"/>
        <scheme val="minor"/>
      </rPr>
      <t>m3</t>
    </r>
  </si>
  <si>
    <t>User-input Fuel Name</t>
  </si>
  <si>
    <t>1 kWh =</t>
  </si>
  <si>
    <t>For Natural Gas driven Chillers</t>
  </si>
  <si>
    <r>
      <t xml:space="preserve">- </t>
    </r>
    <r>
      <rPr>
        <i/>
        <sz val="11"/>
        <color theme="1"/>
        <rFont val="Arial"/>
        <family val="2"/>
        <scheme val="minor"/>
      </rPr>
      <t>Cat 2 (Capital Goods)</t>
    </r>
    <r>
      <rPr>
        <sz val="11"/>
        <color theme="1"/>
        <rFont val="Arial"/>
        <family val="2"/>
        <scheme val="minor"/>
      </rPr>
      <t xml:space="preserve"> - updates consistent with those noted for Cat 1 Goods &amp; Services, incorporating the USEEIO v1.3 database. </t>
    </r>
  </si>
  <si>
    <r>
      <t xml:space="preserve">- </t>
    </r>
    <r>
      <rPr>
        <i/>
        <sz val="11"/>
        <color theme="1"/>
        <rFont val="Arial"/>
        <family val="2"/>
        <scheme val="minor"/>
      </rPr>
      <t>Category 1 and 2 (custom input)</t>
    </r>
    <r>
      <rPr>
        <sz val="11"/>
        <color theme="1"/>
        <rFont val="Arial"/>
        <family val="2"/>
        <scheme val="minor"/>
      </rPr>
      <t xml:space="preserve"> - DESNZ water treatment added in Table 1c. Emission factor pull-down lookup was found to be corrupted, and was fixed.</t>
    </r>
  </si>
  <si>
    <r>
      <t xml:space="preserve">- </t>
    </r>
    <r>
      <rPr>
        <i/>
        <sz val="11"/>
        <color theme="1"/>
        <rFont val="Arial"/>
        <family val="2"/>
        <scheme val="minor"/>
      </rPr>
      <t>Cat 3 Fuel &amp; Energy</t>
    </r>
    <r>
      <rPr>
        <sz val="11"/>
        <color theme="1"/>
        <rFont val="Arial"/>
        <family val="2"/>
        <scheme val="minor"/>
      </rPr>
      <t xml:space="preserve"> - All entries auto-populate from </t>
    </r>
    <r>
      <rPr>
        <i/>
        <sz val="11"/>
        <color theme="1"/>
        <rFont val="Arial"/>
        <family val="2"/>
        <scheme val="minor"/>
      </rPr>
      <t>Scope 1 and 2 Data</t>
    </r>
    <r>
      <rPr>
        <sz val="11"/>
        <color theme="1"/>
        <rFont val="Arial"/>
        <family val="2"/>
        <scheme val="minor"/>
      </rPr>
      <t xml:space="preserve"> tab. User input no longer needed.</t>
    </r>
  </si>
  <si>
    <r>
      <rPr>
        <i/>
        <sz val="11"/>
        <color theme="1"/>
        <rFont val="Arial"/>
        <family val="2"/>
        <scheme val="minor"/>
      </rPr>
      <t>- References</t>
    </r>
    <r>
      <rPr>
        <sz val="11"/>
        <color theme="1"/>
        <rFont val="Arial"/>
        <family val="2"/>
        <scheme val="minor"/>
      </rPr>
      <t>: Updated citations to 2024; added reference to Global Warming Potential (GWP) values sourced from IPCCC Sixth Assessment Report.</t>
    </r>
  </si>
  <si>
    <t>Mass
(short ton)</t>
  </si>
  <si>
    <t>Mass
(metric tonnes)</t>
  </si>
  <si>
    <t>Autoclave</t>
  </si>
  <si>
    <r>
      <t xml:space="preserve">Table 1. Solid Waste - </t>
    </r>
    <r>
      <rPr>
        <b/>
        <i/>
        <sz val="14"/>
        <color rgb="FF0000FF"/>
        <rFont val="Arial"/>
        <family val="2"/>
        <scheme val="minor"/>
      </rPr>
      <t>mass in short tons</t>
    </r>
  </si>
  <si>
    <r>
      <t xml:space="preserve">Table 2. Wastewater Treatment - </t>
    </r>
    <r>
      <rPr>
        <b/>
        <i/>
        <sz val="14"/>
        <color rgb="FF0000FF"/>
        <rFont val="Arial"/>
        <family val="2"/>
        <scheme val="minor"/>
      </rPr>
      <t>volume in gallons</t>
    </r>
  </si>
  <si>
    <t>https://sustainability.wm.com/esg-hub/company/wm-healthcare-solutions/</t>
  </si>
  <si>
    <r>
      <rPr>
        <i/>
        <sz val="11"/>
        <color theme="1"/>
        <rFont val="Arial"/>
        <family val="2"/>
        <scheme val="minor"/>
      </rPr>
      <t>- Cat 5 Waste</t>
    </r>
    <r>
      <rPr>
        <sz val="11"/>
        <color theme="1"/>
        <rFont val="Arial"/>
        <family val="2"/>
        <scheme val="minor"/>
      </rPr>
      <t>: Table 1 - EPA CCCL Jan 2025 EFs updated (same as 2024 mid-year); new Table 2 - DESNZ wastewater treatment EF updated (for Table 2); new Tables 3a and 3b - quantification of medical/biological waste disposal/treatment
   via the spend-based and supplier-specific methods, respectively.</t>
    </r>
  </si>
  <si>
    <r>
      <t xml:space="preserve">- All Scope 3 categories now include emissions spanning the full life cycle of the fuels consumed in travel, or well-to-wheel (WtW), in accordance with GHG Protocol guidance. This includes well-to-tank (WtT) emissions resulting from fuel
   extraction, transportation, and refining up to the point of sale, </t>
    </r>
    <r>
      <rPr>
        <i/>
        <sz val="11"/>
        <color rgb="FF343A3C"/>
        <rFont val="Arial"/>
        <family val="2"/>
        <scheme val="minor"/>
      </rPr>
      <t>as well as</t>
    </r>
    <r>
      <rPr>
        <sz val="11"/>
        <color rgb="FF343A3C"/>
        <rFont val="Arial"/>
        <family val="2"/>
        <scheme val="minor"/>
      </rPr>
      <t xml:space="preserve"> tank-to-wheel (TtW) emissions resulting from direct combustion of the fuels to facilitate the given transportation, power, or heating activities.</t>
    </r>
  </si>
  <si>
    <t>» Spend-based factors already include this component, updates now incorporate WTT for non-spend calculations available in Category 6, 7, 8, 9, and 13.</t>
  </si>
  <si>
    <r>
      <t xml:space="preserve">- </t>
    </r>
    <r>
      <rPr>
        <i/>
        <sz val="11"/>
        <color theme="1"/>
        <rFont val="Arial"/>
        <family val="2"/>
        <scheme val="minor"/>
      </rPr>
      <t>Inventory Settings</t>
    </r>
    <r>
      <rPr>
        <sz val="11"/>
        <color theme="1"/>
        <rFont val="Arial"/>
        <family val="2"/>
        <scheme val="minor"/>
      </rPr>
      <t xml:space="preserve"> tab changed to </t>
    </r>
    <r>
      <rPr>
        <i/>
        <sz val="11"/>
        <color theme="1"/>
        <rFont val="Arial"/>
        <family val="2"/>
        <scheme val="minor"/>
      </rPr>
      <t>Reporting Year &amp; Inlfation Adj.</t>
    </r>
    <r>
      <rPr>
        <sz val="11"/>
        <color theme="1"/>
        <rFont val="Arial"/>
        <family val="2"/>
        <scheme val="minor"/>
      </rPr>
      <t xml:space="preserve">, updated to reflect USEEIO v1.3 based on USD 2022 (prior version was based on USD 2021). Moved reference to AR6 GWPs to the </t>
    </r>
    <r>
      <rPr>
        <i/>
        <sz val="11"/>
        <color theme="1"/>
        <rFont val="Arial"/>
        <family val="2"/>
        <scheme val="minor"/>
      </rPr>
      <t>References</t>
    </r>
    <r>
      <rPr>
        <sz val="11"/>
        <color theme="1"/>
        <rFont val="Arial"/>
        <family val="2"/>
        <scheme val="minor"/>
      </rPr>
      <t xml:space="preserve"> tab.</t>
    </r>
  </si>
  <si>
    <t>April 2025</t>
  </si>
  <si>
    <t>Category 7 - Employee Commuting: Custom emissions - if travel mode is known</t>
  </si>
  <si>
    <t>Under Transportation Mode, for "Cars by market segment" selection, see table to the right for descriptions to choose from in the "if car, vehicle type" column</t>
  </si>
  <si>
    <t>drop-down options will appear once Haul length category is selected</t>
  </si>
  <si>
    <t>Custom Emissions Inputs - Categories 4, 5, 6, 7, 9, and 15</t>
  </si>
  <si>
    <t>Example - amulence service</t>
  </si>
  <si>
    <t>Ambulance service annual emissions allocated to reporting organization</t>
  </si>
  <si>
    <t>Air Transport</t>
  </si>
  <si>
    <t>Total
spend ($)</t>
  </si>
  <si>
    <r>
      <t xml:space="preserve">Category 9 - Dowstream Transportation - Patient Mobility via Ambulance or Air Transport - </t>
    </r>
    <r>
      <rPr>
        <b/>
        <i/>
        <sz val="11"/>
        <color rgb="FF0000FF"/>
        <rFont val="Arial"/>
        <family val="2"/>
        <scheme val="minor"/>
      </rPr>
      <t>spend totals</t>
    </r>
  </si>
  <si>
    <t>Use this section if you have received total spend data for these services.</t>
  </si>
  <si>
    <r>
      <t xml:space="preserve">Category 9 - Dowstream Transportation - Patient Mobility via Ambulance or Air Transport - </t>
    </r>
    <r>
      <rPr>
        <b/>
        <i/>
        <sz val="11"/>
        <color rgb="FF0000FF"/>
        <rFont val="Arial"/>
        <family val="2"/>
        <scheme val="minor"/>
      </rPr>
      <t>vendor emissions data</t>
    </r>
  </si>
  <si>
    <r>
      <t xml:space="preserve">- </t>
    </r>
    <r>
      <rPr>
        <i/>
        <sz val="11"/>
        <color theme="1"/>
        <rFont val="Arial"/>
        <family val="2"/>
        <scheme val="minor"/>
      </rPr>
      <t>Custom Emissions Inputs - other</t>
    </r>
    <r>
      <rPr>
        <sz val="11"/>
        <color theme="1"/>
        <rFont val="Arial"/>
        <family val="2"/>
        <scheme val="minor"/>
      </rPr>
      <t>: New Category 9 supplier-specific and spend-based tables provided to track emissions from patient mobility via ambulance or air transport.</t>
    </r>
  </si>
  <si>
    <r>
      <t xml:space="preserve">- Reporting Year &amp; Inflation Adj. tab updated to reflect </t>
    </r>
    <r>
      <rPr>
        <i/>
        <sz val="11"/>
        <color theme="1"/>
        <rFont val="Arial"/>
        <family val="2"/>
        <scheme val="minor"/>
      </rPr>
      <t>SupplyChainGHGEmissionFactorsv1.4.0.xlsx</t>
    </r>
    <r>
      <rPr>
        <sz val="11"/>
        <color theme="1"/>
        <rFont val="Arial"/>
        <family val="2"/>
        <scheme val="minor"/>
      </rPr>
      <t xml:space="preserve"> based on USD 2024.</t>
    </r>
  </si>
  <si>
    <r>
      <t xml:space="preserve">Spend-based emission factors are sourced from the </t>
    </r>
    <r>
      <rPr>
        <i/>
        <sz val="11"/>
        <rFont val="Arial"/>
        <family val="2"/>
        <scheme val="minor"/>
      </rPr>
      <t xml:space="preserve">Supply Chain Greenhouse Gas Emission Factors for U.S. Commodities </t>
    </r>
    <r>
      <rPr>
        <sz val="11"/>
        <rFont val="Arial"/>
        <family val="2"/>
        <scheme val="minor"/>
      </rPr>
      <t xml:space="preserve">database, based on year 2024 purchaser price data. </t>
    </r>
  </si>
  <si>
    <t xml:space="preserve">This resource was previously maintained by US EPA, and is now maintained by Cornerstone Sustainability Data Initiative (https://cornerstonedata.org). </t>
  </si>
  <si>
    <r>
      <rPr>
        <b/>
        <sz val="20"/>
        <color rgb="FFFF0000"/>
        <rFont val="Arial"/>
        <family val="2"/>
      </rPr>
      <t>←</t>
    </r>
    <r>
      <rPr>
        <b/>
        <i/>
        <sz val="11"/>
        <color rgb="FFFF0000"/>
        <rFont val="Arial"/>
        <family val="2"/>
        <scheme val="minor"/>
      </rPr>
      <t xml:space="preserve"> Enter inventory year here</t>
    </r>
  </si>
  <si>
    <r>
      <rPr>
        <b/>
        <i/>
        <sz val="20"/>
        <color rgb="FFFF0000"/>
        <rFont val="Arial"/>
        <family val="2"/>
        <scheme val="minor"/>
      </rPr>
      <t xml:space="preserve">← </t>
    </r>
    <r>
      <rPr>
        <b/>
        <i/>
        <sz val="11"/>
        <color rgb="FFFF0000"/>
        <rFont val="Arial"/>
        <family val="2"/>
        <scheme val="minor"/>
      </rPr>
      <t xml:space="preserve">Enter value from CPI Inflation Calculator here </t>
    </r>
  </si>
  <si>
    <t>Inventory Year:</t>
  </si>
  <si>
    <t>Inflation Correction (relative to 2024):</t>
  </si>
  <si>
    <t>Users can adjust for inflation (compared to 2024) by using the U.S. Bureau of Labor Statistics Consumer Price Index (CPI) Inflation Calculator found at:</t>
  </si>
  <si>
    <t xml:space="preserve">This tab facilitates the inflation adjustment from 2024 USD to 2025 USD. </t>
  </si>
  <si>
    <t xml:space="preserve">The spend-based factors referenced above were released in 2025 and are most appropriate for quantifying emissions from 2024 activities and thereafter. </t>
  </si>
  <si>
    <t>If emissions from 2024 activities are being quantified, no inflation adjustment is needed, and a value of "1" can be entered in cell F9.</t>
  </si>
  <si>
    <t>Converting from 2024 USD:</t>
  </si>
  <si>
    <t>For organization's where fiscal year aligns with the calendar year, selecting June or July is recommended, as these months should be representative of the average inflation over the course of the calendar year. For organization's on a non-calendar (e.g., "fiscal year") reporting period, it is recommended to pick the halfway point of that period (for both 2024 and 2025).</t>
  </si>
  <si>
    <t>- Fixed calculation error for Category 3 upstream natural gas emissions</t>
  </si>
  <si>
    <t>kgCO2</t>
  </si>
  <si>
    <t>Source: DESNZ 2025, WTT - fuels and WTT - Heat and Steam. Chilled water based on IEA electric upstream Efs</t>
  </si>
  <si>
    <t>IEA 2025</t>
  </si>
  <si>
    <t>Source: DESNZ 2025, WTT -Heat and Steam</t>
  </si>
  <si>
    <t>Water and Wastewater (from DESNZ 2025)</t>
  </si>
  <si>
    <t>Hotel emissions (kg CO2e per night)
DESNZ 2025</t>
  </si>
  <si>
    <r>
      <t xml:space="preserve">USEEIO (v1.4; 2025) Category </t>
    </r>
    <r>
      <rPr>
        <b/>
        <i/>
        <sz val="11"/>
        <color theme="1"/>
        <rFont val="Arial"/>
        <family val="2"/>
        <scheme val="minor"/>
      </rPr>
      <t>Ambulatory Services and Air Transport - for Category 9</t>
    </r>
  </si>
  <si>
    <t>Supply Chain Emission Factors without Margins
(kg CO2e/2024 USD)</t>
  </si>
  <si>
    <t>Supply Chain Emission Factors 
with Margins 
(kg CO2e/2024 USD)</t>
  </si>
  <si>
    <t>Supply Chain Emission Factors
(kg CO2e/2024 USD)</t>
  </si>
  <si>
    <t>US 2024</t>
  </si>
  <si>
    <r>
      <t xml:space="preserve">Pasted Pivots from DESNZ </t>
    </r>
    <r>
      <rPr>
        <b/>
        <i/>
        <sz val="11"/>
        <color rgb="FF0000FF"/>
        <rFont val="Arial"/>
        <family val="2"/>
        <scheme val="minor"/>
      </rPr>
      <t>2025</t>
    </r>
    <r>
      <rPr>
        <b/>
        <i/>
        <sz val="11"/>
        <color theme="1"/>
        <rFont val="Arial"/>
        <family val="2"/>
        <scheme val="minor"/>
      </rPr>
      <t xml:space="preserve"> processed flat file</t>
    </r>
  </si>
  <si>
    <r>
      <t>eGRID202</t>
    </r>
    <r>
      <rPr>
        <b/>
        <sz val="11"/>
        <color rgb="FF0000FF"/>
        <rFont val="Calibri"/>
        <family val="2"/>
      </rPr>
      <t>4</t>
    </r>
  </si>
  <si>
    <t>Data Year</t>
  </si>
  <si>
    <t>State abbreviation</t>
  </si>
  <si>
    <t>YEAR</t>
  </si>
  <si>
    <t>PSTATABB</t>
  </si>
  <si>
    <t>https://zenodo.org/records/18968658</t>
  </si>
  <si>
    <t>https://zenodo.org/records/18968658/files/egrid2024_data_metric.xlsx?download=1</t>
  </si>
  <si>
    <t>egrid2024_data_metric.xlsx</t>
  </si>
  <si>
    <t>Tab 'ST24'</t>
  </si>
  <si>
    <t>https://cornerstonedata.org/blog/egrid2024</t>
  </si>
  <si>
    <t>State annual CO2 total output emission rate (kg/MWh)</t>
  </si>
  <si>
    <t>STCO2RTA</t>
  </si>
  <si>
    <t>State annual CH4 total output emission rate (kg/MWh)</t>
  </si>
  <si>
    <t>STCH4RTA</t>
  </si>
  <si>
    <t>State annual N2O total output emission rate (kg/MWh)</t>
  </si>
  <si>
    <t>STN2ORTA</t>
  </si>
  <si>
    <t>State annual CO2 equivalent total output emission rate (kg/MWh)</t>
  </si>
  <si>
    <t>STC2ERTA</t>
  </si>
  <si>
    <t>STATE</t>
  </si>
  <si>
    <t>Adjustment for T&amp;D losses induced emissions 2025 ed (2023 data)</t>
  </si>
  <si>
    <t>Note, "Petrol" changed to "Gasoline" in column G (so dropdown lists in Cat 6 (distance) reference gasoline</t>
  </si>
  <si>
    <t>kg CO2e/
night</t>
  </si>
  <si>
    <t>Emission Factor
 (kg CO2e/night)</t>
  </si>
  <si>
    <r>
      <t xml:space="preserve">Water supply 
</t>
    </r>
    <r>
      <rPr>
        <b/>
        <sz val="11"/>
        <color rgb="FF0000FF"/>
        <rFont val="Arial"/>
        <family val="2"/>
        <scheme val="minor"/>
      </rPr>
      <t>(include in Category 1)</t>
    </r>
  </si>
  <si>
    <r>
      <t>Water treatment</t>
    </r>
    <r>
      <rPr>
        <b/>
        <sz val="11"/>
        <color rgb="FF0000FF"/>
        <rFont val="Arial"/>
        <family val="2"/>
        <scheme val="minor"/>
      </rPr>
      <t xml:space="preserve"> 
(include in Category 5)</t>
    </r>
  </si>
  <si>
    <t>Major home appliances</t>
  </si>
  <si>
    <t>Pumps and pumping equipment</t>
  </si>
  <si>
    <t>Source: USEEIO Industry Factors v 1.4</t>
  </si>
  <si>
    <t>Investee’s percent of revenue in named sector in reporting year</t>
  </si>
  <si>
    <r>
      <t>Investee’s percent of revenue in sector in reporting year</t>
    </r>
    <r>
      <rPr>
        <sz val="10"/>
        <rFont val="Arial"/>
        <family val="2"/>
      </rPr>
      <t xml:space="preserve"> - this relates to how much of the company's business is attributed to the sector for which emission calculations are being performed. If a company operates in multiple sectors, it's advisable to list each sector separately and the percentage of revenue they allocate to each sector.</t>
    </r>
  </si>
  <si>
    <t>CO2e (kg/MWh) - using user-selected GWPs</t>
  </si>
  <si>
    <t>CO2e (MT/kWh) - using user-selected GWPs</t>
  </si>
  <si>
    <t>Average of DESNZ "Average Car" and "Dual Purpose 4 x 4" weighted by fuel-type distribution (see "DESNZ Cat 6 &amp; 7" tab). Includes WTT + TTW</t>
  </si>
  <si>
    <t>Using an average of "Average local bus" and "Light rail and tram" per km. Includes WTT + TTW</t>
  </si>
  <si>
    <t>Assuming average of "regular taxi" by passenger km and average motorbike per km. Includes WTT + TTW</t>
  </si>
  <si>
    <r>
      <t>Bureau of Transportation Statistics Commute Mode data by percent by state (202</t>
    </r>
    <r>
      <rPr>
        <b/>
        <sz val="16"/>
        <rFont val="Arial"/>
        <family val="2"/>
        <scheme val="minor"/>
      </rPr>
      <t>4</t>
    </r>
    <r>
      <rPr>
        <b/>
        <sz val="16"/>
        <color theme="1"/>
        <rFont val="Arial"/>
        <family val="2"/>
        <scheme val="minor"/>
      </rPr>
      <t xml:space="preserve">) </t>
    </r>
  </si>
  <si>
    <t>Incineration</t>
  </si>
  <si>
    <t>RMW treated offsite</t>
  </si>
  <si>
    <t>MTCO2e/MT of treated waste</t>
  </si>
  <si>
    <t>Stericycle</t>
  </si>
  <si>
    <t>kgCO2e/kg of hazardous waste</t>
  </si>
  <si>
    <t>hazardous waste incineration</t>
  </si>
  <si>
    <t>EcoInvent</t>
  </si>
  <si>
    <t>Hazardous waste collection treatment and disposal</t>
  </si>
  <si>
    <t>Solid waste landfilling</t>
  </si>
  <si>
    <t>Solid waste combustors and incinerators</t>
  </si>
  <si>
    <t>Other waste collection and treatment services</t>
  </si>
  <si>
    <t>Supply Chain Emission Factors with Margins 
(kg CO2e/2024 USD)</t>
  </si>
  <si>
    <t>Regulated medical waste (Cat 5 table 4a)</t>
  </si>
  <si>
    <r>
      <t xml:space="preserve">USEEIO (v1.4; 2025) Category </t>
    </r>
    <r>
      <rPr>
        <b/>
        <i/>
        <sz val="11"/>
        <color theme="1"/>
        <rFont val="Arial"/>
        <family val="2"/>
        <scheme val="minor"/>
      </rPr>
      <t>Waste Management and Remediaion - for Category 5 table 3</t>
    </r>
  </si>
  <si>
    <t>kg CO2e/kg mater</t>
  </si>
  <si>
    <t>Cleveland-to-Lake County Solid Waste Facility</t>
  </si>
  <si>
    <t>Item Description (optional)
(e.g., Origin-Destination)</t>
  </si>
  <si>
    <t>Notes on Tables 4a and 4b below:</t>
  </si>
  <si>
    <r>
      <t xml:space="preserve">Table 3. Off-Site Regulated Medical Waste (RMW) Autoclave or Incineration - </t>
    </r>
    <r>
      <rPr>
        <b/>
        <i/>
        <sz val="14"/>
        <color rgb="FF0000FF"/>
        <rFont val="Arial"/>
        <family val="2"/>
        <scheme val="minor"/>
      </rPr>
      <t>mass-based method (in metric tonnes)</t>
    </r>
  </si>
  <si>
    <t>Regulated Medical Waste</t>
  </si>
  <si>
    <t>General Waste, Recycling, and Water Usage (non-regulated)</t>
  </si>
  <si>
    <t>Off-Site Post-Treatment Disposal at MSW landfill permitted to accept treated RMW</t>
  </si>
  <si>
    <t>This sector is disaggregated from BEA 562000:Waste management and remediation services. This U.S. industry comprises establishments primarily engaged in (1) operating landfills for the disposal of nonhazardous solid waste or (2) the combined activity of collecting and/or hauling nonhazardous waste materials within a local area and operating landfills for the disposal of nonhazardous solid waste. These establishments may produce byproducts such as methane.</t>
  </si>
  <si>
    <t>This sector is disaggregated from BEA '562000:Waste management and remediation services'. The Hazardous Waste Collection, Treatment, and Disposal industry comprises establishments primarily engaged in (1)  collecting and/or hauling hazardous waste within a local area and/or operating hazardous waste transfer stations. Hazardous waste collection establishments may be responsible for the identification treatment packaging and labeling of waste for the purposes of transport, or (2) operating treatment and/or disposal facilities for hazardous waste or the combined activity of collecting and/or hauling of hazardous waste materials within a local area and operating treatment or disposal facilities for hazardous waste.</t>
  </si>
  <si>
    <t>This sector is disaggregated from BEA '562000:Waste management and remediation services'. The Other Waste Collection and Treatment industry comprises establishments primarily engaged in (1) collecting and/or hauling waste (except nonhazardous solid waste and hazardous waste) within a local area, including brush or rubble removal services, (2) operating nonhazardous waste treatment and disposal facilities (except landfills combustors incinerators and sewer systems or sewage treatment facilities), including compost dumps, (3) pumping (i.e. cleaning) septic tanks and cesspools and/or renting and/or servicing portable toilets, or (4) all other waste management services not already specified.</t>
  </si>
  <si>
    <t>This sector is disaggregated from BEA 562000:Waste management and remediation services. This U.S. industry comprises establishments primarily engaged in operating combustors and incinerators for the disposal of nonhazardous solid waste. These establishments may produce byproducts such as electricity and steam.</t>
  </si>
  <si>
    <t>Post-treatment mass of
Regulated Medical Waste (RMW) 
shipped to landfill (short tons)</t>
  </si>
  <si>
    <r>
      <t xml:space="preserve">1. These tables should be used to quantify emissions related to final off-site transportation and disposal of RMW </t>
    </r>
    <r>
      <rPr>
        <b/>
        <i/>
        <u/>
        <sz val="14"/>
        <color rgb="FFFF0000"/>
        <rFont val="Arial"/>
        <family val="2"/>
        <scheme val="minor"/>
      </rPr>
      <t>after</t>
    </r>
    <r>
      <rPr>
        <b/>
        <sz val="14"/>
        <color rgb="FFFF0000"/>
        <rFont val="Arial"/>
        <family val="2"/>
        <scheme val="minor"/>
      </rPr>
      <t xml:space="preserve"> on-site treatment via approved methods (e.g., autoclave, ozone, chemical disinfection, microwave tratment, etc.)</t>
    </r>
  </si>
  <si>
    <t>2. Table 4a quantifies emissions based on the mass of post-treated RMW and is recommended. In the event mass information is unavailable, Table 4b can be used to quantify emissions by monetary spend with the landfill for disposal.</t>
  </si>
  <si>
    <r>
      <t xml:space="preserve">Table 4b. Off-Site Disposal of Regulated Medical Waste (RMW) following On-Site Treatment  ̶  </t>
    </r>
    <r>
      <rPr>
        <b/>
        <i/>
        <sz val="14"/>
        <color rgb="FF0000FF"/>
        <rFont val="Arial"/>
        <family val="2"/>
        <scheme val="minor"/>
      </rPr>
      <t>spend-based method</t>
    </r>
    <r>
      <rPr>
        <b/>
        <i/>
        <sz val="14"/>
        <color theme="1"/>
        <rFont val="Arial"/>
        <family val="2"/>
        <scheme val="minor"/>
      </rPr>
      <t xml:space="preserve"> </t>
    </r>
    <r>
      <rPr>
        <b/>
        <i/>
        <sz val="14"/>
        <color rgb="FFFF0000"/>
        <rFont val="Arial"/>
        <family val="2"/>
        <scheme val="minor"/>
      </rPr>
      <t>(use only if input for Table 4a (mass of waste disposed) is unavailable)</t>
    </r>
  </si>
  <si>
    <t>RMW landfiling - facility A</t>
  </si>
  <si>
    <r>
      <rPr>
        <u/>
        <sz val="11"/>
        <color theme="1"/>
        <rFont val="Arial"/>
        <family val="2"/>
        <scheme val="minor"/>
      </rPr>
      <t>Note</t>
    </r>
    <r>
      <rPr>
        <sz val="11"/>
        <color theme="1"/>
        <rFont val="Arial"/>
        <family val="2"/>
        <scheme val="minor"/>
      </rPr>
      <t>: Emissions in Table 4a are quantified based on US EPA's emission factor for "Mixed MSW" landfilling (see 'References' tab for full citation). This is considered to be a reasonable proxy for treated RMW.</t>
    </r>
  </si>
  <si>
    <t xml:space="preserve">Certain elements of RMW landfilling-related activities are likely to emit more CO2e compared to EPA’s “Mixed MSW” factor, due to additional material handling requirements for RMW at at an MSW landfill. </t>
  </si>
  <si>
    <t>However, RMW is expected to produce less methane compared to typical MSW, due to MSW's expected higher organic content from putrescible food waste, and RMW's higher inert material content (e.g., sharps, plastics, textiles, etc).</t>
  </si>
  <si>
    <t>Off-Site Treatment/Disposal via Autoclave or Incineration</t>
  </si>
  <si>
    <t>Waste disposal/
treatment method
(select from drop-down)</t>
  </si>
  <si>
    <t>not relevant for healthcare</t>
  </si>
  <si>
    <t>Fuels</t>
  </si>
  <si>
    <t>Bioenergy</t>
  </si>
  <si>
    <t>Biofuel</t>
  </si>
  <si>
    <t>Biodiesel ME (from tallow)</t>
  </si>
  <si>
    <t>Biomass</t>
  </si>
  <si>
    <t>Calculated 
kg CO2e 
(per AR6)</t>
  </si>
  <si>
    <r>
      <t xml:space="preserve">» </t>
    </r>
    <r>
      <rPr>
        <b/>
        <sz val="10"/>
        <rFont val="Arial"/>
        <family val="2"/>
        <scheme val="major"/>
      </rPr>
      <t xml:space="preserve">Table 1 — </t>
    </r>
    <r>
      <rPr>
        <sz val="10"/>
        <rFont val="Arial"/>
        <family val="2"/>
        <scheme val="major"/>
      </rPr>
      <t>Emissions from general Municipal Solid Waste (MSW) for disposal and Recylables: For estimating emissions from off-site treatment/disposal of the following mixed material types: 
   glass, paper, metals, plastics, mixed recyclables, organics, municipal solid waste (MSW), and electronics.</t>
    </r>
  </si>
  <si>
    <r>
      <t xml:space="preserve">» </t>
    </r>
    <r>
      <rPr>
        <b/>
        <sz val="10"/>
        <rFont val="Arial"/>
        <family val="2"/>
        <scheme val="major"/>
      </rPr>
      <t xml:space="preserve">Table 2 — </t>
    </r>
    <r>
      <rPr>
        <sz val="10"/>
        <rFont val="Arial"/>
        <family val="2"/>
        <scheme val="major"/>
      </rPr>
      <t xml:space="preserve">Emissions from municipal wastewater treatment: For esimtating emissions from wastewater treatment, based on water usage volume.
 </t>
    </r>
  </si>
  <si>
    <r>
      <t xml:space="preserve">» </t>
    </r>
    <r>
      <rPr>
        <b/>
        <sz val="10"/>
        <rFont val="Arial"/>
        <family val="2"/>
        <scheme val="major"/>
      </rPr>
      <t xml:space="preserve">Table 3 — </t>
    </r>
    <r>
      <rPr>
        <sz val="10"/>
        <rFont val="Arial"/>
        <family val="2"/>
        <scheme val="major"/>
      </rPr>
      <t xml:space="preserve">For estimating emissions from off-site autoclave or incineration of Regulated Medical Waste (RMW) via supplier-specific emission factors from Stericycle (on a per mass basis). </t>
    </r>
  </si>
  <si>
    <r>
      <t xml:space="preserve">»  </t>
    </r>
    <r>
      <rPr>
        <b/>
        <sz val="10"/>
        <rFont val="Arial"/>
        <family val="2"/>
        <scheme val="major"/>
      </rPr>
      <t xml:space="preserve">Table 4a — </t>
    </r>
    <r>
      <rPr>
        <sz val="10"/>
        <rFont val="Arial"/>
        <family val="2"/>
        <scheme val="major"/>
      </rPr>
      <t>For estimating emissions from landfilling of treated RMW (preferred average-data method).</t>
    </r>
  </si>
  <si>
    <r>
      <t xml:space="preserve">» </t>
    </r>
    <r>
      <rPr>
        <b/>
        <sz val="10"/>
        <rFont val="Arial"/>
        <family val="2"/>
        <scheme val="major"/>
      </rPr>
      <t xml:space="preserve">Table 4b — </t>
    </r>
    <r>
      <rPr>
        <sz val="10"/>
        <rFont val="Arial"/>
        <family val="2"/>
        <scheme val="major"/>
      </rPr>
      <t>For estimating emissions from landfilling of treated RMW (secondary spend-based method).</t>
    </r>
  </si>
  <si>
    <t>RCRA Hazardous Waste Incineration</t>
  </si>
  <si>
    <r>
      <t xml:space="preserve">» </t>
    </r>
    <r>
      <rPr>
        <b/>
        <sz val="10"/>
        <rFont val="Arial"/>
        <family val="2"/>
        <scheme val="major"/>
      </rPr>
      <t xml:space="preserve">Table 5 — </t>
    </r>
    <r>
      <rPr>
        <sz val="10"/>
        <rFont val="Arial"/>
        <family val="2"/>
        <scheme val="major"/>
      </rPr>
      <t>Emissions from off-site incineration of RCRA-regulated hazardous waste as well as hazardous pharmaceuticals.</t>
    </r>
  </si>
  <si>
    <r>
      <t xml:space="preserve">Table 4a. Off-Site Landfilling of Regulated Medical Waste (RMW) following On-Site Treatment  </t>
    </r>
    <r>
      <rPr>
        <b/>
        <sz val="14"/>
        <color theme="1"/>
        <rFont val="Calibri"/>
        <family val="2"/>
      </rPr>
      <t>̶</t>
    </r>
    <r>
      <rPr>
        <b/>
        <i/>
        <sz val="14"/>
        <color theme="1"/>
        <rFont val="Arial"/>
        <family val="2"/>
        <scheme val="minor"/>
      </rPr>
      <t xml:space="preserve">  </t>
    </r>
    <r>
      <rPr>
        <b/>
        <i/>
        <sz val="14"/>
        <color rgb="FF0000FF"/>
        <rFont val="Arial"/>
        <family val="2"/>
        <scheme val="minor"/>
      </rPr>
      <t>average-data method</t>
    </r>
  </si>
  <si>
    <r>
      <t xml:space="preserve">Table 5. RCRA Hazardous Waste Incineration - </t>
    </r>
    <r>
      <rPr>
        <b/>
        <i/>
        <sz val="14"/>
        <color rgb="FF0000FF"/>
        <rFont val="Arial"/>
        <family val="2"/>
        <scheme val="minor"/>
      </rPr>
      <t>mass in short tons</t>
    </r>
  </si>
  <si>
    <t>RCRA waste (Hospital ABC)</t>
  </si>
  <si>
    <t>Hazardous waste incineration (Cat 5 table 5)</t>
  </si>
  <si>
    <t>Autoclave OR Incineration
(select from drop-down)</t>
  </si>
  <si>
    <t>Transportation mode
(select from drop-down)</t>
  </si>
  <si>
    <t>If car, vehicle type
(select from drop-down)</t>
  </si>
  <si>
    <t>If car, fuel type
(select from drop-down)</t>
  </si>
  <si>
    <t>Ambulance or Air Transport
(select from drop-down)</t>
  </si>
  <si>
    <t>Haul length category
(select from drop-down; 
see definitions to the right)</t>
  </si>
  <si>
    <t>Cabin Class
(select from drop-down)</t>
  </si>
  <si>
    <t>Country
(select from drop-down;  select "Global Median"
 if not in list)</t>
  </si>
  <si>
    <t>- Modified the "Cat 5 Waste" tab to include new Tables 4a/4b with user inputs for off-site landfilling after on-site treatment of Regulated Medical Waste (RMW) and new Table 5 for off-site incineration of RCRA-regulated materials and hazardous pharmaceuticals</t>
  </si>
  <si>
    <r>
      <rPr>
        <b/>
        <sz val="11"/>
        <color theme="1"/>
        <rFont val="Arial"/>
        <family val="2"/>
        <scheme val="minor"/>
      </rPr>
      <t>2.1.1</t>
    </r>
    <r>
      <rPr>
        <sz val="11"/>
        <color theme="1"/>
        <rFont val="Arial"/>
        <family val="2"/>
        <scheme val="minor"/>
      </rPr>
      <t xml:space="preserve"> - May 2026</t>
    </r>
  </si>
  <si>
    <t>Version 2.1.1 May 2026</t>
  </si>
  <si>
    <t>source: eGrid2024 (year 2024 data)</t>
  </si>
  <si>
    <t>Temp (to alphabetize)</t>
  </si>
  <si>
    <t xml:space="preserve">UK Government Conversion Factors for Company Reporting: Year 2025.  Department for Energy Security and Net Zero (DESNZ) 2025. </t>
  </si>
  <si>
    <t>Bureau of Transportation Statistics Commute Mode data by percent by state (2024).</t>
  </si>
  <si>
    <r>
      <rPr>
        <b/>
        <sz val="11"/>
        <color theme="1"/>
        <rFont val="Arial"/>
        <family val="2"/>
        <scheme val="major"/>
      </rPr>
      <t xml:space="preserve">Table 2: </t>
    </r>
    <r>
      <rPr>
        <sz val="11"/>
        <color theme="1"/>
        <rFont val="Arial"/>
        <family val="2"/>
        <scheme val="major"/>
      </rPr>
      <t xml:space="preserve">UK Government Conversion Factors for Company Reporting: Year 2025.  Department for Energy Security and Net Zero (DESNZ) 2025. </t>
    </r>
  </si>
  <si>
    <r>
      <rPr>
        <b/>
        <sz val="11"/>
        <color theme="1"/>
        <rFont val="Arial"/>
        <family val="2"/>
        <scheme val="major"/>
      </rPr>
      <t>Table 3</t>
    </r>
    <r>
      <rPr>
        <sz val="11"/>
        <color theme="1"/>
        <rFont val="Arial"/>
        <family val="2"/>
        <scheme val="major"/>
      </rPr>
      <t>: WM Healthcare Solutions, "Autoclave &amp; Incineration Emission Factors" (April 2025)</t>
    </r>
  </si>
  <si>
    <r>
      <rPr>
        <b/>
        <sz val="11"/>
        <color theme="1"/>
        <rFont val="Arial"/>
        <family val="2"/>
        <scheme val="major"/>
      </rPr>
      <t>Table 5</t>
    </r>
    <r>
      <rPr>
        <sz val="11"/>
        <color theme="1"/>
        <rFont val="Arial"/>
        <family val="2"/>
        <scheme val="major"/>
      </rPr>
      <t>: Gabor Doka., Doka G. 2008, Treatment of hazardous waste, hazardous waste incineration | hazardous waste, for incineration | Cutoff, S, Ecoinvent database version 3.9.1</t>
    </r>
  </si>
  <si>
    <r>
      <t xml:space="preserve">Ingwersen, W. and B. Young. </t>
    </r>
    <r>
      <rPr>
        <i/>
        <sz val="11"/>
        <color theme="1"/>
        <rFont val="Arial"/>
        <family val="2"/>
        <scheme val="major"/>
      </rPr>
      <t>Supply Chain Greenhouse Gas Emission Factors for US Industries and Commodities</t>
    </r>
    <r>
      <rPr>
        <sz val="11"/>
        <color theme="1"/>
        <rFont val="Arial"/>
        <family val="2"/>
        <scheme val="major"/>
      </rPr>
      <t>. Cornerstone Sustainability Data Initiative. Version v1.4.0. October 2025.</t>
    </r>
  </si>
  <si>
    <t>https://cornerstonedata.org</t>
  </si>
  <si>
    <t>(see link to download 'US EEIO')</t>
  </si>
  <si>
    <t>Category 5: Waste (Table 4b only)</t>
  </si>
  <si>
    <r>
      <rPr>
        <b/>
        <sz val="11"/>
        <color theme="1"/>
        <rFont val="Arial"/>
        <family val="2"/>
        <scheme val="major"/>
      </rPr>
      <t>Table 1 and 4a</t>
    </r>
    <r>
      <rPr>
        <sz val="11"/>
        <color theme="1"/>
        <rFont val="Arial"/>
        <family val="2"/>
        <scheme val="major"/>
      </rPr>
      <t xml:space="preserve">: U.S. EPA (2025).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 January 2025.</t>
    </r>
  </si>
  <si>
    <r>
      <rPr>
        <i/>
        <sz val="11"/>
        <color theme="1"/>
        <rFont val="Arial"/>
        <family val="2"/>
        <scheme val="major"/>
      </rPr>
      <t>WTT- fuels</t>
    </r>
    <r>
      <rPr>
        <sz val="11"/>
        <color theme="1"/>
        <rFont val="Arial"/>
        <family val="2"/>
        <scheme val="major"/>
      </rPr>
      <t xml:space="preserve"> tab for Table 1; </t>
    </r>
    <r>
      <rPr>
        <i/>
        <sz val="11"/>
        <color theme="1"/>
        <rFont val="Arial"/>
        <family val="2"/>
        <scheme val="major"/>
      </rPr>
      <t>WTT- UK &amp; overseas elec</t>
    </r>
    <r>
      <rPr>
        <sz val="11"/>
        <color theme="1"/>
        <rFont val="Arial"/>
        <family val="2"/>
        <scheme val="major"/>
      </rPr>
      <t xml:space="preserve"> tab; </t>
    </r>
    <r>
      <rPr>
        <i/>
        <sz val="11"/>
        <color theme="1"/>
        <rFont val="Arial"/>
        <family val="2"/>
        <scheme val="major"/>
      </rPr>
      <t>WTT- overseas electricity (generation)</t>
    </r>
    <r>
      <rPr>
        <sz val="11"/>
        <color theme="1"/>
        <rFont val="Arial"/>
        <family val="2"/>
        <scheme val="major"/>
      </rPr>
      <t xml:space="preserve"> for Table 2 and </t>
    </r>
    <r>
      <rPr>
        <i/>
        <sz val="11"/>
        <color theme="1"/>
        <rFont val="Arial"/>
        <family val="2"/>
        <scheme val="major"/>
      </rPr>
      <t>WTT- overseas electricity (T&amp;D)</t>
    </r>
    <r>
      <rPr>
        <sz val="11"/>
        <color theme="1"/>
        <rFont val="Arial"/>
        <family val="2"/>
        <scheme val="major"/>
      </rPr>
      <t xml:space="preserve"> for Table 3.</t>
    </r>
  </si>
  <si>
    <t>IEA (2024), Emission Factors. International Energy Agency (IEA) 2025. IEA GHG Emissions from Electricity Generation (Year 2023 data).</t>
  </si>
  <si>
    <t>Note: "WTT" = Well-to-tank</t>
  </si>
  <si>
    <t>State (or select "United States" for US average)</t>
  </si>
  <si>
    <t>2.1.1</t>
  </si>
  <si>
    <t>June 2026</t>
  </si>
  <si>
    <t>outside the US that are uncertain of their region, please select grid MRO East.</t>
  </si>
  <si>
    <t>3.10</t>
  </si>
  <si>
    <t>`</t>
  </si>
  <si>
    <t>SRL23 Tab "eGRID subregion year 2023 data"</t>
  </si>
  <si>
    <t>eGRID 2023 Summary Table, Rev 2 (released June 12, 2025)</t>
  </si>
  <si>
    <t>Download Summary Table in xlsx, navigate to the SRL23 tab, and utilized , "TeGRID subregion annual CO2 equivalent total output emission rate (lb/MWh)" (units are lbs/MWh). Last updated 6/12/2025 (rev 2) with 2023 values.</t>
  </si>
  <si>
    <t>#42</t>
  </si>
  <si>
    <t>39</t>
  </si>
  <si>
    <t>Carbon Dioxide (CO2​)</t>
  </si>
  <si>
    <t>HCFO-1233zd(E)</t>
  </si>
  <si>
    <t>HFC-125 (CHF2​CF3​)</t>
  </si>
  <si>
    <t>HFC-134 (CHF2​CHF2​)</t>
  </si>
  <si>
    <t>HFC-134a (CH2​FCF3​)</t>
  </si>
  <si>
    <t>HFC-143 (CH2​FCHF2​)</t>
  </si>
  <si>
    <t>HFC-143a (CH3​CF3​)</t>
  </si>
  <si>
    <t>HFC-152a (CH3​CHF2​)</t>
  </si>
  <si>
    <t>HFC-227ea (CF3​CHFCF3​)</t>
  </si>
  <si>
    <t>HFC-23 (CHF3​)</t>
  </si>
  <si>
    <t>HFC-32 (CH2​F2​)</t>
  </si>
  <si>
    <t>HFC-41 (CH3​F)</t>
  </si>
  <si>
    <t>HFO-1234yf</t>
  </si>
  <si>
    <t>HFO-1234ze(E)</t>
  </si>
  <si>
    <t>HFO-1336mzz(E)</t>
  </si>
  <si>
    <t>HFO-1336mzz(Z)</t>
  </si>
  <si>
    <t>Methane (Non-Fossil / Biogenic) (CH4​)</t>
  </si>
  <si>
    <t>Nitrogen Trifluoride (NF3​)</t>
  </si>
  <si>
    <t>Nitrous Oxide (N2​O)</t>
  </si>
  <si>
    <t>R-448A</t>
  </si>
  <si>
    <t>R-449A</t>
  </si>
  <si>
    <t>R-450A</t>
  </si>
  <si>
    <t>R-452A</t>
  </si>
  <si>
    <t>R-454A</t>
  </si>
  <si>
    <t>R-454B</t>
  </si>
  <si>
    <t>R-454C</t>
  </si>
  <si>
    <t>R-455A</t>
  </si>
  <si>
    <t>R-513A</t>
  </si>
  <si>
    <t>R-515B</t>
  </si>
  <si>
    <t>Sulfur Hexafluoride (SF6​)</t>
  </si>
  <si>
    <t>Ice and/or water machine</t>
  </si>
  <si>
    <t>Total Emissions per Source</t>
  </si>
  <si>
    <t>Total Scope 1, 2 &amp; 3 GHG Emissions</t>
  </si>
  <si>
    <t>N2O: 273; O2:0</t>
  </si>
  <si>
    <t>US-PRMS (Puerto Rico Miscellaneous)</t>
  </si>
  <si>
    <t>Purchased electricity</t>
  </si>
  <si>
    <t>Purchased steam, hot and chilled water</t>
  </si>
  <si>
    <t>Stationary combustion</t>
  </si>
  <si>
    <t>Fugitive Combustion</t>
  </si>
  <si>
    <t>Mobile combustion</t>
  </si>
  <si>
    <t>MTCO2e</t>
  </si>
  <si>
    <t>Inhaled anesthetic gases</t>
  </si>
  <si>
    <t>Refrigerants and fire suppression</t>
  </si>
  <si>
    <t>Total Scope 1 &amp; 2 Emissions per Source</t>
  </si>
  <si>
    <t>Updated Scope 2 emissions factors to 2023 EPA data set (rev 2), updated refrigerant GWP to align with IPCC AR6, and added a few newer, lower GWP refrigerants. Updated graphs on Results &amp; Summary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</si>
</sst>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5" formatCode="&quot;$&quot;#,##0_);\(&quot;$&quot;#,##0\)"/>
    <numFmt numFmtId="44" formatCode="_(&quot;$&quot;* #,##0.00_);_(&quot;$&quot;* \(#,##0.00\);_(&quot;$&quot;* &quot;-&quot;??_);_(@_)"/>
    <numFmt numFmtId="43" formatCode="_(* #,##0.00_);_(* \(#,##0.00\);_(* &quot;-&quot;??_);_(@_)"/>
    <numFmt numFmtId="164" formatCode="0.000"/>
    <numFmt numFmtId="165" formatCode="0.000000"/>
    <numFmt numFmtId="166" formatCode="0.0000"/>
    <numFmt numFmtId="167" formatCode="#,##0.000"/>
    <numFmt numFmtId="168" formatCode="0.0"/>
    <numFmt numFmtId="169" formatCode="_(* #,##0.000_);_(* \(#,##0.000\);_(* &quot;-&quot;??_);_(@_)"/>
    <numFmt numFmtId="170" formatCode="_-* #,##0.00_-;\-* #,##0.00_-;_-* &quot;-&quot;??_-;_-@_-"/>
    <numFmt numFmtId="171" formatCode="#,##0.000000"/>
    <numFmt numFmtId="172" formatCode="0.00000"/>
    <numFmt numFmtId="173" formatCode="General_)"/>
    <numFmt numFmtId="174" formatCode="#,##0.0000_);\(#,##0.0000\)"/>
    <numFmt numFmtId="175" formatCode="_(* #,##0.0000_);_(* \(#,##0.0000\);_(* &quot;-&quot;??_);_(@_)"/>
    <numFmt numFmtId="176" formatCode="_(&quot;$&quot;* #,##0_);_(&quot;$&quot;* \(#,##0\);_(&quot;$&quot;* &quot;-&quot;??_);_(@_)"/>
    <numFmt numFmtId="177" formatCode="_(* #,##0.0_);_(* \(#,##0.0\);_(* &quot;-&quot;??_);_(@_)"/>
    <numFmt numFmtId="178" formatCode="#,##0.0000"/>
    <numFmt numFmtId="179" formatCode="#,##0.0"/>
    <numFmt numFmtId="180" formatCode="??0.00"/>
    <numFmt numFmtId="181" formatCode="??0.00000"/>
    <numFmt numFmtId="182" formatCode="0.00000000"/>
    <numFmt numFmtId="183" formatCode="0.0000000"/>
    <numFmt numFmtId="184" formatCode="#,##0.00000"/>
    <numFmt numFmtId="185" formatCode="#,##0.000000000"/>
    <numFmt numFmtId="186" formatCode="#,##0.0000000"/>
    <numFmt numFmtId="187" formatCode="0.0%"/>
    <numFmt numFmtId="188" formatCode="_-* #,##0_-;\-* #,##0_-;_-* &quot;-&quot;??_-;_-@_-"/>
    <numFmt numFmtId="189" formatCode="_-* #,##0.000_-;\-* #,##0.000_-;_-* &quot;-&quot;??_-;_-@_-"/>
    <numFmt numFmtId="190" formatCode="_-* #,##0.0000_-;\-* #,##0.0000_-;_-* &quot;-&quot;??_-;_-@_-"/>
    <numFmt numFmtId="191" formatCode="_-* #,##0.00000_-;\-* #,##0.00000_-;_-* &quot;-&quot;??_-;_-@_-"/>
    <numFmt numFmtId="192" formatCode="_-* #,##0.0_-;\-* #,##0.0_-;_-* &quot;-&quot;??_-;_-@_-"/>
    <numFmt numFmtId="193" formatCode="#,##0.000_);\(#,##0.000\)"/>
    <numFmt numFmtId="194" formatCode="&quot;$&quot;#,##0"/>
    <numFmt numFmtId="195" formatCode="0.0000000%"/>
    <numFmt numFmtId="196" formatCode="_(* #,##0.00000_);_(* \(#,##0.00000\);_(* &quot;-&quot;??_);_(@_)"/>
    <numFmt numFmtId="197" formatCode="_(* #,##0_);_(* \(#,##0\);_(* &quot;-&quot;??_);_(@_)"/>
  </numFmts>
  <fonts count="262">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Arial"/>
      <family val="2"/>
      <scheme val="minor"/>
    </font>
    <font>
      <b/>
      <sz val="11"/>
      <color theme="0"/>
      <name val="Arial"/>
      <family val="2"/>
      <scheme val="minor"/>
    </font>
    <font>
      <b/>
      <sz val="11"/>
      <color theme="1"/>
      <name val="Arial"/>
      <family val="2"/>
      <scheme val="minor"/>
    </font>
    <font>
      <i/>
      <sz val="11"/>
      <color theme="1"/>
      <name val="Arial"/>
      <family val="2"/>
      <scheme val="minor"/>
    </font>
    <font>
      <sz val="11"/>
      <color rgb="FFFF0000"/>
      <name val="Arial"/>
      <family val="2"/>
      <scheme val="minor"/>
    </font>
    <font>
      <sz val="11"/>
      <name val="Arial"/>
      <family val="2"/>
      <scheme val="minor"/>
    </font>
    <font>
      <b/>
      <sz val="16"/>
      <color theme="1"/>
      <name val="Arial"/>
      <family val="2"/>
      <scheme val="minor"/>
    </font>
    <font>
      <u/>
      <sz val="11"/>
      <color theme="10"/>
      <name val="Arial"/>
      <family val="2"/>
      <scheme val="minor"/>
    </font>
    <font>
      <b/>
      <sz val="22"/>
      <color theme="0"/>
      <name val="Arial"/>
      <family val="2"/>
      <scheme val="minor"/>
    </font>
    <font>
      <b/>
      <i/>
      <sz val="11"/>
      <color theme="1"/>
      <name val="Arial"/>
      <family val="2"/>
      <scheme val="minor"/>
    </font>
    <font>
      <sz val="10"/>
      <name val="Arial"/>
      <family val="2"/>
    </font>
    <font>
      <b/>
      <sz val="14"/>
      <color theme="1"/>
      <name val="Arial"/>
      <family val="2"/>
      <scheme val="minor"/>
    </font>
    <font>
      <i/>
      <sz val="11"/>
      <color rgb="FFFF00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sz val="10"/>
      <name val="Verdana"/>
      <family val="2"/>
    </font>
    <font>
      <sz val="9"/>
      <color theme="1"/>
      <name val="Arial"/>
      <family val="2"/>
      <scheme val="minor"/>
    </font>
    <font>
      <sz val="10"/>
      <color theme="1"/>
      <name val="Arial"/>
      <family val="2"/>
      <scheme val="minor"/>
    </font>
    <font>
      <b/>
      <sz val="10"/>
      <color theme="1"/>
      <name val="Arial"/>
      <family val="2"/>
      <scheme val="minor"/>
    </font>
    <font>
      <b/>
      <sz val="12"/>
      <color theme="4"/>
      <name val="Arial"/>
      <family val="2"/>
      <scheme val="minor"/>
    </font>
    <font>
      <u/>
      <sz val="11"/>
      <color theme="6"/>
      <name val="Calibri"/>
      <family val="2"/>
    </font>
    <font>
      <b/>
      <sz val="9"/>
      <color theme="1"/>
      <name val="Arial"/>
      <family val="2"/>
      <scheme val="minor"/>
    </font>
    <font>
      <u/>
      <sz val="10"/>
      <color theme="4"/>
      <name val="Arial"/>
      <family val="2"/>
      <scheme val="minor"/>
    </font>
    <font>
      <sz val="11"/>
      <color rgb="FF9C6500"/>
      <name val="Arial"/>
      <family val="2"/>
      <scheme val="minor"/>
    </font>
    <font>
      <b/>
      <sz val="18"/>
      <color theme="3"/>
      <name val="Arial"/>
      <family val="2"/>
      <scheme val="major"/>
    </font>
    <font>
      <i/>
      <sz val="10"/>
      <color theme="1"/>
      <name val="Arial"/>
      <family val="2"/>
      <scheme val="minor"/>
    </font>
    <font>
      <b/>
      <sz val="11"/>
      <color rgb="FFFF0000"/>
      <name val="Arial"/>
      <family val="2"/>
      <scheme val="minor"/>
    </font>
    <font>
      <b/>
      <sz val="16"/>
      <color theme="0"/>
      <name val="Arial"/>
      <family val="2"/>
      <scheme val="minor"/>
    </font>
    <font>
      <sz val="10"/>
      <color theme="1"/>
      <name val="Calibri"/>
      <family val="2"/>
    </font>
    <font>
      <i/>
      <sz val="10"/>
      <color rgb="FFFF0000"/>
      <name val="Arial"/>
      <family val="2"/>
      <scheme val="minor"/>
    </font>
    <font>
      <sz val="11"/>
      <color rgb="FF000000"/>
      <name val="Calibri"/>
      <family val="2"/>
    </font>
    <font>
      <b/>
      <sz val="12"/>
      <color theme="1"/>
      <name val="Arial"/>
      <family val="2"/>
      <scheme val="minor"/>
    </font>
    <font>
      <sz val="12"/>
      <color theme="1"/>
      <name val="Arial"/>
      <family val="2"/>
      <scheme val="minor"/>
    </font>
    <font>
      <b/>
      <sz val="11"/>
      <name val="Arial"/>
      <family val="2"/>
      <scheme val="minor"/>
    </font>
    <font>
      <sz val="10"/>
      <color theme="1"/>
      <name val="Arial"/>
      <family val="2"/>
    </font>
    <font>
      <u/>
      <sz val="11"/>
      <color indexed="12"/>
      <name val="Calibri"/>
      <family val="2"/>
    </font>
    <font>
      <u/>
      <sz val="10"/>
      <color indexed="12"/>
      <name val="Arial"/>
      <family val="2"/>
    </font>
    <font>
      <sz val="12"/>
      <color theme="1"/>
      <name val="Arial"/>
      <family val="2"/>
      <charset val="129"/>
      <scheme val="minor"/>
    </font>
    <font>
      <sz val="11"/>
      <color theme="1"/>
      <name val="Calibri"/>
      <family val="2"/>
    </font>
    <font>
      <i/>
      <sz val="11"/>
      <name val="Arial"/>
      <family val="2"/>
      <scheme val="minor"/>
    </font>
    <font>
      <sz val="12"/>
      <name val="Arial"/>
      <family val="2"/>
      <scheme val="minor"/>
    </font>
    <font>
      <b/>
      <sz val="14"/>
      <color theme="0"/>
      <name val="Arial"/>
      <family val="2"/>
      <scheme val="minor"/>
    </font>
    <font>
      <sz val="12"/>
      <color rgb="FF000000"/>
      <name val="Arial"/>
      <family val="2"/>
      <scheme val="minor"/>
    </font>
    <font>
      <b/>
      <i/>
      <sz val="12"/>
      <name val="Arial"/>
      <family val="2"/>
      <scheme val="minor"/>
    </font>
    <font>
      <b/>
      <i/>
      <sz val="12"/>
      <color theme="1"/>
      <name val="Arial"/>
      <family val="2"/>
      <scheme val="minor"/>
    </font>
    <font>
      <sz val="11"/>
      <color theme="1"/>
      <name val="Arial"/>
      <family val="2"/>
    </font>
    <font>
      <b/>
      <vertAlign val="subscript"/>
      <sz val="10"/>
      <name val="Arial"/>
      <family val="2"/>
    </font>
    <font>
      <b/>
      <sz val="10"/>
      <name val="Arial"/>
      <family val="2"/>
    </font>
    <font>
      <sz val="10"/>
      <color rgb="FF0070C0"/>
      <name val="Arial"/>
      <family val="2"/>
    </font>
    <font>
      <b/>
      <i/>
      <sz val="11"/>
      <name val="Calibri"/>
      <family val="2"/>
    </font>
    <font>
      <i/>
      <sz val="11"/>
      <name val="Calibri"/>
      <family val="2"/>
    </font>
    <font>
      <i/>
      <sz val="9"/>
      <color theme="1"/>
      <name val="Arial"/>
      <family val="2"/>
      <scheme val="minor"/>
    </font>
    <font>
      <b/>
      <sz val="11"/>
      <color theme="1"/>
      <name val="Arial"/>
      <family val="2"/>
    </font>
    <font>
      <sz val="11"/>
      <color rgb="FF002060"/>
      <name val="Arial"/>
      <family val="2"/>
      <scheme val="minor"/>
    </font>
    <font>
      <vertAlign val="subscript"/>
      <sz val="11"/>
      <color indexed="56"/>
      <name val="Calibri"/>
      <family val="2"/>
    </font>
    <font>
      <sz val="11"/>
      <color indexed="56"/>
      <name val="Calibri"/>
      <family val="2"/>
    </font>
    <font>
      <b/>
      <sz val="11"/>
      <color rgb="FF0000FF"/>
      <name val="Arial"/>
      <family val="2"/>
      <scheme val="minor"/>
    </font>
    <font>
      <sz val="12"/>
      <color theme="0"/>
      <name val="Arial"/>
      <family val="2"/>
      <scheme val="minor"/>
    </font>
    <font>
      <b/>
      <i/>
      <sz val="10"/>
      <name val="Arial"/>
      <family val="2"/>
    </font>
    <font>
      <i/>
      <sz val="10"/>
      <name val="Arial"/>
      <family val="2"/>
    </font>
    <font>
      <b/>
      <i/>
      <u/>
      <sz val="10"/>
      <color theme="3" tint="-0.499984740745262"/>
      <name val="Arial"/>
      <family val="2"/>
    </font>
    <font>
      <sz val="11"/>
      <color rgb="FF0000FF"/>
      <name val="Arial"/>
      <family val="2"/>
      <scheme val="minor"/>
    </font>
    <font>
      <b/>
      <sz val="13.5"/>
      <color rgb="FF0000FF"/>
      <name val="Arial"/>
      <family val="2"/>
      <scheme val="minor"/>
    </font>
    <font>
      <b/>
      <sz val="13.5"/>
      <color theme="7"/>
      <name val="Arial"/>
      <family val="2"/>
      <scheme val="minor"/>
    </font>
    <font>
      <sz val="12"/>
      <color rgb="FF0000FF"/>
      <name val="Arial"/>
      <family val="2"/>
      <scheme val="minor"/>
    </font>
    <font>
      <sz val="18"/>
      <color rgb="FF0000FF"/>
      <name val="Arial"/>
      <family val="2"/>
      <scheme val="minor"/>
    </font>
    <font>
      <i/>
      <sz val="12"/>
      <color theme="1"/>
      <name val="Arial"/>
      <family val="2"/>
      <scheme val="minor"/>
    </font>
    <font>
      <b/>
      <sz val="18"/>
      <color rgb="FF0000FF"/>
      <name val="Arial"/>
      <family val="2"/>
      <scheme val="minor"/>
    </font>
    <font>
      <sz val="14"/>
      <color theme="0"/>
      <name val="Arial"/>
      <family val="2"/>
      <scheme val="minor"/>
    </font>
    <font>
      <b/>
      <u/>
      <sz val="14"/>
      <color theme="0"/>
      <name val="Arial"/>
      <family val="2"/>
      <scheme val="minor"/>
    </font>
    <font>
      <b/>
      <sz val="14"/>
      <color rgb="FFFF0000"/>
      <name val="Arial"/>
      <family val="2"/>
      <scheme val="minor"/>
    </font>
    <font>
      <sz val="11"/>
      <color rgb="FF343A3C"/>
      <name val="Arial"/>
      <family val="2"/>
      <scheme val="minor"/>
    </font>
    <font>
      <i/>
      <sz val="11"/>
      <color rgb="FF343A3C"/>
      <name val="Arial"/>
      <family val="2"/>
      <scheme val="minor"/>
    </font>
    <font>
      <b/>
      <i/>
      <sz val="14"/>
      <color theme="0"/>
      <name val="Arial"/>
      <family val="2"/>
      <scheme val="minor"/>
    </font>
    <font>
      <b/>
      <i/>
      <sz val="20"/>
      <name val="Arial"/>
      <family val="2"/>
      <scheme val="minor"/>
    </font>
    <font>
      <b/>
      <i/>
      <sz val="18"/>
      <color theme="1"/>
      <name val="Arial"/>
      <family val="2"/>
      <scheme val="minor"/>
    </font>
    <font>
      <b/>
      <sz val="12"/>
      <color theme="0"/>
      <name val="Arial"/>
      <family val="2"/>
      <scheme val="minor"/>
    </font>
    <font>
      <sz val="10"/>
      <color rgb="FFFF0000"/>
      <name val="Arial"/>
      <family val="2"/>
      <scheme val="minor"/>
    </font>
    <font>
      <b/>
      <sz val="14.5"/>
      <color theme="1"/>
      <name val="Arial"/>
      <family val="2"/>
      <scheme val="minor"/>
    </font>
    <font>
      <b/>
      <u/>
      <sz val="11"/>
      <color theme="1"/>
      <name val="Arial"/>
      <family val="2"/>
      <scheme val="minor"/>
    </font>
    <font>
      <b/>
      <i/>
      <sz val="11"/>
      <color rgb="FFFF0000"/>
      <name val="Arial"/>
      <family val="2"/>
      <scheme val="minor"/>
    </font>
    <font>
      <i/>
      <sz val="9"/>
      <color rgb="FF0000FF"/>
      <name val="Arial"/>
      <family val="2"/>
      <scheme val="minor"/>
    </font>
    <font>
      <b/>
      <sz val="12"/>
      <name val="Arial"/>
      <family val="2"/>
      <scheme val="minor"/>
    </font>
    <font>
      <b/>
      <i/>
      <sz val="14"/>
      <color theme="1"/>
      <name val="Arial"/>
      <family val="2"/>
      <scheme val="minor"/>
    </font>
    <font>
      <b/>
      <i/>
      <sz val="11"/>
      <name val="Arial"/>
      <family val="2"/>
      <scheme val="minor"/>
    </font>
    <font>
      <i/>
      <sz val="11"/>
      <color theme="2" tint="-0.499984740745262"/>
      <name val="Arial"/>
      <family val="2"/>
      <scheme val="minor"/>
    </font>
    <font>
      <b/>
      <sz val="12"/>
      <name val="Arial"/>
      <family val="2"/>
    </font>
    <font>
      <b/>
      <sz val="12"/>
      <color rgb="FFFF0000"/>
      <name val="Calibri"/>
      <family val="2"/>
    </font>
    <font>
      <sz val="12"/>
      <color theme="1"/>
      <name val="Calibri"/>
      <family val="2"/>
    </font>
    <font>
      <b/>
      <u/>
      <sz val="12"/>
      <color theme="1"/>
      <name val="Calibri"/>
      <family val="2"/>
    </font>
    <font>
      <b/>
      <i/>
      <sz val="12"/>
      <color theme="1"/>
      <name val="Calibri"/>
      <family val="2"/>
    </font>
    <font>
      <sz val="12"/>
      <color rgb="FF333333"/>
      <name val="Calibri"/>
      <family val="2"/>
    </font>
    <font>
      <b/>
      <i/>
      <sz val="12"/>
      <color rgb="FF333333"/>
      <name val="Calibri"/>
      <family val="2"/>
    </font>
    <font>
      <b/>
      <u/>
      <sz val="12"/>
      <color rgb="FF333333"/>
      <name val="Calibri"/>
      <family val="2"/>
    </font>
    <font>
      <sz val="12"/>
      <color rgb="FF000000"/>
      <name val="Calibri"/>
      <family val="2"/>
    </font>
    <font>
      <b/>
      <sz val="12"/>
      <color theme="1"/>
      <name val="Calibri"/>
      <family val="2"/>
    </font>
    <font>
      <i/>
      <sz val="12"/>
      <color theme="1"/>
      <name val="Calibri"/>
      <family val="2"/>
    </font>
    <font>
      <u/>
      <sz val="11"/>
      <color theme="1"/>
      <name val="Calibri"/>
      <family val="2"/>
    </font>
    <font>
      <u/>
      <sz val="12"/>
      <color theme="1"/>
      <name val="Calibri"/>
      <family val="2"/>
    </font>
    <font>
      <b/>
      <u/>
      <sz val="10"/>
      <name val="Arial"/>
      <family val="2"/>
    </font>
    <font>
      <b/>
      <sz val="11"/>
      <color rgb="FFFF0000"/>
      <name val="Arial"/>
      <family val="2"/>
      <scheme val="major"/>
    </font>
    <font>
      <sz val="11"/>
      <color theme="2" tint="-0.499984740745262"/>
      <name val="Arial"/>
      <family val="2"/>
      <scheme val="minor"/>
    </font>
    <font>
      <b/>
      <sz val="10"/>
      <color rgb="FF00B0F0"/>
      <name val="Arial"/>
      <family val="2"/>
    </font>
    <font>
      <b/>
      <sz val="10"/>
      <color rgb="FF0000FF"/>
      <name val="Arial"/>
      <family val="2"/>
    </font>
    <font>
      <b/>
      <sz val="10"/>
      <color rgb="FF00B050"/>
      <name val="Arial"/>
      <family val="2"/>
    </font>
    <font>
      <u/>
      <sz val="10"/>
      <name val="Arial"/>
      <family val="2"/>
    </font>
    <font>
      <b/>
      <i/>
      <sz val="14"/>
      <color rgb="FF0000FF"/>
      <name val="Arial"/>
      <family val="2"/>
      <scheme val="minor"/>
    </font>
    <font>
      <b/>
      <i/>
      <sz val="14"/>
      <color rgb="FF00B050"/>
      <name val="Arial"/>
      <family val="2"/>
      <scheme val="minor"/>
    </font>
    <font>
      <i/>
      <u/>
      <sz val="11"/>
      <color theme="10"/>
      <name val="Arial"/>
      <family val="2"/>
      <scheme val="minor"/>
    </font>
    <font>
      <sz val="8"/>
      <name val="Times New Roman Bold"/>
      <family val="2"/>
    </font>
    <font>
      <sz val="11"/>
      <name val="Calibri"/>
      <family val="2"/>
    </font>
    <font>
      <sz val="11"/>
      <color rgb="FF333333"/>
      <name val="Calibri"/>
      <family val="2"/>
    </font>
    <font>
      <sz val="9"/>
      <name val="Arial"/>
      <family val="2"/>
    </font>
    <font>
      <sz val="10"/>
      <color rgb="FF828386"/>
      <name val="Times New Roman"/>
      <family val="2"/>
    </font>
    <font>
      <b/>
      <i/>
      <sz val="16"/>
      <color theme="1"/>
      <name val="Arial"/>
      <family val="2"/>
      <scheme val="minor"/>
    </font>
    <font>
      <b/>
      <sz val="14"/>
      <name val="Arial"/>
      <family val="2"/>
      <scheme val="minor"/>
    </font>
    <font>
      <sz val="11"/>
      <color rgb="FF0000FF"/>
      <name val="Calibri"/>
      <family val="2"/>
    </font>
    <font>
      <sz val="11"/>
      <color rgb="FF053D5F"/>
      <name val="Arial"/>
      <family val="2"/>
      <scheme val="minor"/>
    </font>
    <font>
      <b/>
      <sz val="11"/>
      <color rgb="FF053D5F"/>
      <name val="Arial"/>
      <family val="2"/>
      <scheme val="minor"/>
    </font>
    <font>
      <i/>
      <sz val="11"/>
      <color rgb="FF053D5F"/>
      <name val="Arial"/>
      <family val="2"/>
      <scheme val="minor"/>
    </font>
    <font>
      <vertAlign val="subscript"/>
      <sz val="11"/>
      <color rgb="FF002060"/>
      <name val="Arial"/>
      <family val="2"/>
      <scheme val="minor"/>
    </font>
    <font>
      <b/>
      <sz val="11"/>
      <color rgb="FF002060"/>
      <name val="Arial"/>
      <family val="2"/>
      <scheme val="minor"/>
    </font>
    <font>
      <b/>
      <sz val="8"/>
      <name val="Tahoma"/>
      <family val="2"/>
    </font>
    <font>
      <b/>
      <sz val="9"/>
      <color indexed="81"/>
      <name val="Tahoma"/>
      <family val="2"/>
    </font>
    <font>
      <b/>
      <sz val="18"/>
      <color theme="0"/>
      <name val="Arial"/>
      <family val="2"/>
      <scheme val="major"/>
    </font>
    <font>
      <sz val="11"/>
      <color theme="0"/>
      <name val="Arial"/>
      <family val="2"/>
      <scheme val="major"/>
    </font>
    <font>
      <sz val="11"/>
      <color theme="1"/>
      <name val="Arial"/>
      <family val="2"/>
      <scheme val="major"/>
    </font>
    <font>
      <b/>
      <sz val="11"/>
      <color theme="1"/>
      <name val="Arial"/>
      <family val="2"/>
      <scheme val="major"/>
    </font>
    <font>
      <i/>
      <sz val="11"/>
      <color theme="1"/>
      <name val="Arial"/>
      <family val="2"/>
      <scheme val="major"/>
    </font>
    <font>
      <u/>
      <sz val="11"/>
      <color theme="10"/>
      <name val="Arial"/>
      <family val="2"/>
      <scheme val="major"/>
    </font>
    <font>
      <b/>
      <vertAlign val="superscript"/>
      <sz val="11"/>
      <color indexed="56"/>
      <name val="Calibri"/>
      <family val="2"/>
    </font>
    <font>
      <b/>
      <sz val="8"/>
      <color rgb="FFFF0000"/>
      <name val="Arial"/>
      <family val="2"/>
      <scheme val="minor"/>
    </font>
    <font>
      <sz val="18"/>
      <color theme="1"/>
      <name val="Arial"/>
      <family val="2"/>
      <scheme val="minor"/>
    </font>
    <font>
      <b/>
      <sz val="20"/>
      <color theme="4" tint="-0.249977111117893"/>
      <name val="Arial"/>
      <family val="2"/>
      <scheme val="minor"/>
    </font>
    <font>
      <sz val="18"/>
      <color theme="0"/>
      <name val="Arial"/>
      <family val="2"/>
      <scheme val="minor"/>
    </font>
    <font>
      <u/>
      <sz val="11"/>
      <color indexed="12"/>
      <name val="Arial"/>
      <family val="2"/>
    </font>
    <font>
      <b/>
      <sz val="12"/>
      <color rgb="FF000000"/>
      <name val="Arial"/>
      <family val="2"/>
      <scheme val="minor"/>
    </font>
    <font>
      <sz val="11"/>
      <color rgb="FF000000"/>
      <name val="Arial"/>
      <family val="2"/>
      <scheme val="minor"/>
    </font>
    <font>
      <b/>
      <u/>
      <sz val="12"/>
      <color theme="10"/>
      <name val="Arial"/>
      <family val="2"/>
      <scheme val="minor"/>
    </font>
    <font>
      <b/>
      <sz val="16"/>
      <color theme="4" tint="-0.249977111117893"/>
      <name val="Arial"/>
      <family val="2"/>
      <scheme val="minor"/>
    </font>
    <font>
      <b/>
      <u/>
      <sz val="11"/>
      <color theme="10"/>
      <name val="Arial"/>
      <family val="2"/>
      <scheme val="minor"/>
    </font>
    <font>
      <b/>
      <sz val="18"/>
      <color rgb="FF0070C0"/>
      <name val="Arial"/>
      <family val="2"/>
      <scheme val="minor"/>
    </font>
    <font>
      <sz val="14"/>
      <color theme="1"/>
      <name val="Arial"/>
      <family val="2"/>
      <scheme val="minor"/>
    </font>
    <font>
      <vertAlign val="subscript"/>
      <sz val="11"/>
      <color theme="1"/>
      <name val="Arial"/>
      <family val="2"/>
      <scheme val="minor"/>
    </font>
    <font>
      <b/>
      <sz val="10"/>
      <color rgb="FFFF0000"/>
      <name val="Arial"/>
      <family val="2"/>
      <scheme val="minor"/>
    </font>
    <font>
      <vertAlign val="subscript"/>
      <sz val="11"/>
      <name val="Arial"/>
      <family val="2"/>
      <scheme val="minor"/>
    </font>
    <font>
      <vertAlign val="superscript"/>
      <sz val="11"/>
      <color theme="1"/>
      <name val="Arial"/>
      <family val="2"/>
      <scheme val="minor"/>
    </font>
    <font>
      <vertAlign val="subscript"/>
      <sz val="10"/>
      <color theme="1"/>
      <name val="Arial"/>
      <family val="2"/>
      <scheme val="minor"/>
    </font>
    <font>
      <sz val="13"/>
      <color theme="1"/>
      <name val="Arial"/>
      <family val="2"/>
      <scheme val="minor"/>
    </font>
    <font>
      <sz val="10"/>
      <name val="Arial"/>
      <family val="2"/>
      <scheme val="minor"/>
    </font>
    <font>
      <sz val="12"/>
      <name val="Calibri"/>
      <family val="2"/>
    </font>
    <font>
      <b/>
      <sz val="11"/>
      <color rgb="FFFF0000"/>
      <name val="Calibri"/>
      <family val="2"/>
    </font>
    <font>
      <b/>
      <sz val="11"/>
      <color rgb="FFFF0000"/>
      <name val="Arial"/>
      <family val="2"/>
    </font>
    <font>
      <i/>
      <sz val="11"/>
      <color rgb="FF3F3F76"/>
      <name val="Arial"/>
      <family val="2"/>
      <scheme val="minor"/>
    </font>
    <font>
      <i/>
      <sz val="10"/>
      <name val="Arial"/>
      <family val="2"/>
      <scheme val="minor"/>
    </font>
    <font>
      <vertAlign val="superscript"/>
      <sz val="10"/>
      <color theme="1"/>
      <name val="Arial"/>
      <family val="2"/>
      <scheme val="minor"/>
    </font>
    <font>
      <sz val="10"/>
      <color rgb="FF000000"/>
      <name val="Calibri"/>
      <family val="2"/>
    </font>
    <font>
      <sz val="10"/>
      <color indexed="8"/>
      <name val="Arial"/>
      <family val="2"/>
      <scheme val="minor"/>
    </font>
    <font>
      <sz val="13"/>
      <name val="Arial"/>
      <family val="2"/>
      <scheme val="minor"/>
    </font>
    <font>
      <sz val="13"/>
      <color theme="0"/>
      <name val="Arial"/>
      <family val="2"/>
      <scheme val="minor"/>
    </font>
    <font>
      <sz val="12"/>
      <color theme="1" tint="0.249977111117893"/>
      <name val="Arial"/>
      <family val="2"/>
      <scheme val="minor"/>
    </font>
    <font>
      <i/>
      <sz val="12"/>
      <name val="Arial"/>
      <family val="2"/>
      <scheme val="minor"/>
    </font>
    <font>
      <b/>
      <sz val="20"/>
      <color theme="0"/>
      <name val="Arial"/>
      <family val="2"/>
      <scheme val="minor"/>
    </font>
    <font>
      <sz val="20"/>
      <color theme="0"/>
      <name val="Arial"/>
      <family val="2"/>
      <scheme val="minor"/>
    </font>
    <font>
      <sz val="20"/>
      <name val="Arial"/>
      <family val="2"/>
      <scheme val="minor"/>
    </font>
    <font>
      <b/>
      <sz val="17"/>
      <color theme="0"/>
      <name val="Arial"/>
      <family val="2"/>
      <scheme val="minor"/>
    </font>
    <font>
      <b/>
      <sz val="18"/>
      <color theme="4" tint="-0.249977111117893"/>
      <name val="Arial"/>
      <family val="2"/>
      <scheme val="minor"/>
    </font>
    <font>
      <vertAlign val="superscript"/>
      <sz val="12"/>
      <color theme="1"/>
      <name val="Arial"/>
      <family val="2"/>
      <scheme val="minor"/>
    </font>
    <font>
      <sz val="10"/>
      <name val="Calibri (Cuerpo)_x0000_"/>
    </font>
    <font>
      <u/>
      <sz val="10"/>
      <color indexed="12"/>
      <name val="Arial"/>
      <family val="2"/>
      <scheme val="minor"/>
    </font>
    <font>
      <b/>
      <u/>
      <sz val="12"/>
      <color rgb="FFFF0000"/>
      <name val="Arial"/>
      <family val="2"/>
      <scheme val="minor"/>
    </font>
    <font>
      <vertAlign val="subscript"/>
      <sz val="12"/>
      <color theme="1"/>
      <name val="Arial"/>
      <family val="2"/>
      <scheme val="minor"/>
    </font>
    <font>
      <b/>
      <sz val="9"/>
      <color rgb="FF888888"/>
      <name val="Arial"/>
      <family val="2"/>
      <scheme val="minor"/>
    </font>
    <font>
      <b/>
      <sz val="10"/>
      <color rgb="FF555555"/>
      <name val="Arial"/>
      <family val="2"/>
      <scheme val="minor"/>
    </font>
    <font>
      <sz val="9"/>
      <color indexed="81"/>
      <name val="Tahoma"/>
      <family val="2"/>
    </font>
    <font>
      <sz val="10"/>
      <color rgb="FF555555"/>
      <name val="Arial"/>
      <family val="2"/>
      <scheme val="minor"/>
    </font>
    <font>
      <b/>
      <sz val="12"/>
      <color rgb="FF888888"/>
      <name val="Arial"/>
      <family val="2"/>
      <scheme val="minor"/>
    </font>
    <font>
      <b/>
      <u/>
      <sz val="12"/>
      <color theme="1"/>
      <name val="Arial"/>
      <family val="2"/>
      <scheme val="minor"/>
    </font>
    <font>
      <sz val="12"/>
      <color rgb="FF3F3F76"/>
      <name val="Arial"/>
      <family val="2"/>
      <scheme val="minor"/>
    </font>
    <font>
      <sz val="9"/>
      <color rgb="FF1B1B1B"/>
      <name val="Arial"/>
      <family val="2"/>
      <scheme val="minor"/>
    </font>
    <font>
      <i/>
      <sz val="9"/>
      <color indexed="81"/>
      <name val="Tahoma"/>
      <family val="2"/>
    </font>
    <font>
      <sz val="8"/>
      <name val="Arial"/>
      <family val="2"/>
      <scheme val="minor"/>
    </font>
    <font>
      <b/>
      <sz val="11"/>
      <color theme="1"/>
      <name val="Calibri"/>
      <family val="2"/>
    </font>
    <font>
      <sz val="9"/>
      <name val="Calibri"/>
      <family val="2"/>
    </font>
    <font>
      <u/>
      <sz val="11"/>
      <color theme="10"/>
      <name val="Calibri"/>
      <family val="2"/>
    </font>
    <font>
      <b/>
      <sz val="11"/>
      <color theme="1"/>
      <name val="Arial"/>
      <family val="2"/>
    </font>
    <font>
      <sz val="11"/>
      <color theme="1"/>
      <name val="Arial"/>
      <family val="2"/>
    </font>
    <font>
      <b/>
      <sz val="10"/>
      <color rgb="FF0000FF"/>
      <name val="Arial"/>
      <family val="2"/>
    </font>
    <font>
      <sz val="11"/>
      <color indexed="8"/>
      <name val="Arial"/>
      <family val="2"/>
      <scheme val="minor"/>
    </font>
    <font>
      <b/>
      <sz val="11"/>
      <color rgb="FF333333"/>
      <name val="Arial"/>
      <family val="2"/>
    </font>
    <font>
      <b/>
      <sz val="10"/>
      <color rgb="FF333333"/>
      <name val="Arial"/>
      <family val="2"/>
    </font>
    <font>
      <b/>
      <sz val="11"/>
      <name val="Calibri"/>
      <family val="2"/>
    </font>
    <font>
      <b/>
      <sz val="12"/>
      <color theme="1"/>
      <name val="Arial"/>
      <family val="2"/>
    </font>
    <font>
      <b/>
      <sz val="10"/>
      <color rgb="FFFF0000"/>
      <name val="Calibri"/>
      <family val="2"/>
    </font>
    <font>
      <i/>
      <sz val="8"/>
      <name val="Arial"/>
      <family val="2"/>
      <scheme val="minor"/>
    </font>
    <font>
      <b/>
      <sz val="16"/>
      <name val="Arial"/>
      <family val="2"/>
      <scheme val="minor"/>
    </font>
    <font>
      <u/>
      <sz val="10"/>
      <color theme="10"/>
      <name val="Calibri"/>
      <family val="2"/>
    </font>
    <font>
      <sz val="4"/>
      <color rgb="FF053D5F"/>
      <name val="Arial"/>
      <family val="2"/>
      <scheme val="minor"/>
    </font>
    <font>
      <sz val="10"/>
      <color rgb="FF053D5F"/>
      <name val="Arial"/>
      <family val="2"/>
      <scheme val="minor"/>
    </font>
    <font>
      <b/>
      <sz val="10"/>
      <color rgb="FF053D5F"/>
      <name val="Arial"/>
      <family val="2"/>
      <scheme val="minor"/>
    </font>
    <font>
      <b/>
      <u/>
      <sz val="11"/>
      <color rgb="FF053D5F"/>
      <name val="Arial"/>
      <family val="2"/>
      <scheme val="minor"/>
    </font>
    <font>
      <vertAlign val="superscript"/>
      <sz val="11"/>
      <color indexed="56"/>
      <name val="Calibri"/>
      <family val="2"/>
    </font>
    <font>
      <b/>
      <i/>
      <sz val="10"/>
      <color rgb="FF0000FF"/>
      <name val="Arial"/>
      <family val="2"/>
      <scheme val="minor"/>
    </font>
    <font>
      <b/>
      <u/>
      <sz val="12"/>
      <color rgb="FF053D5F"/>
      <name val="Arial"/>
      <family val="2"/>
      <scheme val="minor"/>
    </font>
    <font>
      <i/>
      <sz val="12"/>
      <name val="Calibri"/>
      <family val="2"/>
    </font>
    <font>
      <b/>
      <i/>
      <sz val="18"/>
      <color rgb="FFFF0000"/>
      <name val="Arial"/>
      <family val="2"/>
      <scheme val="minor"/>
    </font>
    <font>
      <i/>
      <sz val="12"/>
      <color rgb="FF000000"/>
      <name val="Calibri"/>
      <family val="2"/>
    </font>
    <font>
      <b/>
      <sz val="12"/>
      <color rgb="FF002060"/>
      <name val="Arial"/>
      <family val="2"/>
      <scheme val="minor"/>
    </font>
    <font>
      <u/>
      <sz val="12"/>
      <color theme="10"/>
      <name val="Arial"/>
      <family val="2"/>
      <scheme val="minor"/>
    </font>
    <font>
      <i/>
      <sz val="12"/>
      <color rgb="FFFF0000"/>
      <name val="Arial"/>
      <family val="2"/>
      <scheme val="minor"/>
    </font>
    <font>
      <b/>
      <sz val="18"/>
      <color theme="1"/>
      <name val="Arial"/>
      <family val="2"/>
      <scheme val="minor"/>
    </font>
    <font>
      <b/>
      <u/>
      <sz val="12"/>
      <color rgb="FF0000FF"/>
      <name val="Arial"/>
      <family val="2"/>
      <scheme val="minor"/>
    </font>
    <font>
      <b/>
      <u/>
      <sz val="11"/>
      <name val="Arial"/>
      <family val="2"/>
      <scheme val="minor"/>
    </font>
    <font>
      <b/>
      <sz val="13"/>
      <color theme="0"/>
      <name val="Arial"/>
      <family val="2"/>
      <scheme val="minor"/>
    </font>
    <font>
      <sz val="11"/>
      <color rgb="FF053D5F"/>
      <name val="Arial"/>
      <family val="2"/>
    </font>
    <font>
      <i/>
      <sz val="10"/>
      <color rgb="FF053D5F"/>
      <name val="Arial"/>
      <family val="2"/>
      <scheme val="minor"/>
    </font>
    <font>
      <vertAlign val="subscript"/>
      <sz val="11"/>
      <color indexed="56"/>
      <name val="Arial"/>
      <family val="2"/>
    </font>
    <font>
      <sz val="11"/>
      <color indexed="56"/>
      <name val="Arial"/>
      <family val="2"/>
    </font>
    <font>
      <sz val="9"/>
      <color rgb="FF053D5F"/>
      <name val="Arial"/>
      <family val="2"/>
      <scheme val="minor"/>
    </font>
    <font>
      <b/>
      <sz val="21"/>
      <color rgb="FFFF0000"/>
      <name val="Arial"/>
      <family val="2"/>
      <scheme val="minor"/>
    </font>
    <font>
      <b/>
      <i/>
      <sz val="11"/>
      <color rgb="FF0000FF"/>
      <name val="Arial"/>
      <family val="2"/>
      <scheme val="minor"/>
    </font>
    <font>
      <b/>
      <sz val="20"/>
      <color rgb="FFFF0000"/>
      <name val="Arial"/>
      <family val="2"/>
    </font>
    <font>
      <b/>
      <i/>
      <sz val="20"/>
      <color rgb="FFFF0000"/>
      <name val="Arial"/>
      <family val="2"/>
      <scheme val="minor"/>
    </font>
    <font>
      <sz val="10"/>
      <color rgb="FF333333"/>
      <name val="Arial"/>
      <family val="2"/>
    </font>
    <font>
      <sz val="10"/>
      <color theme="0" tint="-0.34998626667073579"/>
      <name val="Arial"/>
      <family val="2"/>
    </font>
    <font>
      <b/>
      <sz val="11"/>
      <color theme="0" tint="-0.34998626667073579"/>
      <name val="Arial"/>
      <family val="2"/>
    </font>
    <font>
      <sz val="10"/>
      <color theme="0" tint="-0.34998626667073579"/>
      <name val="Calibri"/>
      <family val="2"/>
    </font>
    <font>
      <sz val="8"/>
      <color rgb="FF0000FF"/>
      <name val="Arial"/>
      <family val="2"/>
      <scheme val="minor"/>
    </font>
    <font>
      <b/>
      <sz val="11"/>
      <color rgb="FF0000FF"/>
      <name val="Calibri"/>
      <family val="2"/>
    </font>
    <font>
      <b/>
      <sz val="8.5"/>
      <color rgb="FF000000"/>
      <name val="Arial"/>
      <family val="2"/>
    </font>
    <font>
      <sz val="8.5"/>
      <color rgb="FF000000"/>
      <name val="Arial"/>
      <family val="2"/>
    </font>
    <font>
      <b/>
      <i/>
      <sz val="14"/>
      <color rgb="FFFF0000"/>
      <name val="Arial"/>
      <family val="2"/>
      <scheme val="minor"/>
    </font>
    <font>
      <b/>
      <sz val="14"/>
      <color theme="1"/>
      <name val="Calibri"/>
      <family val="2"/>
    </font>
    <font>
      <b/>
      <i/>
      <u/>
      <sz val="14"/>
      <color rgb="FFFF0000"/>
      <name val="Arial"/>
      <family val="2"/>
      <scheme val="minor"/>
    </font>
    <font>
      <u/>
      <sz val="11"/>
      <color theme="1"/>
      <name val="Arial"/>
      <family val="2"/>
      <scheme val="minor"/>
    </font>
    <font>
      <i/>
      <sz val="10"/>
      <color rgb="FFC00000"/>
      <name val="Arial"/>
      <family val="2"/>
      <scheme val="minor"/>
    </font>
    <font>
      <b/>
      <sz val="10"/>
      <color theme="1"/>
      <name val="Arial"/>
      <family val="2"/>
    </font>
    <font>
      <b/>
      <sz val="16"/>
      <color rgb="FF0000FF"/>
      <name val="Arial"/>
      <family val="2"/>
      <scheme val="minor"/>
    </font>
    <font>
      <b/>
      <u/>
      <sz val="10"/>
      <name val="Arial"/>
      <family val="2"/>
      <scheme val="major"/>
    </font>
    <font>
      <sz val="10"/>
      <name val="Arial"/>
      <family val="2"/>
      <scheme val="major"/>
    </font>
    <font>
      <b/>
      <sz val="10"/>
      <name val="Arial"/>
      <family val="2"/>
      <scheme val="major"/>
    </font>
    <font>
      <b/>
      <i/>
      <sz val="10"/>
      <name val="Arial"/>
      <family val="2"/>
      <scheme val="major"/>
    </font>
    <font>
      <sz val="9"/>
      <color rgb="FF0000FF"/>
      <name val="Calibri"/>
      <family val="2"/>
    </font>
    <font>
      <b/>
      <u/>
      <sz val="20"/>
      <color theme="10"/>
      <name val="Arial"/>
      <family val="2"/>
      <scheme val="minor"/>
    </font>
    <font>
      <sz val="16"/>
      <color rgb="FF3F3F76"/>
      <name val="Arial"/>
      <family val="2"/>
      <scheme val="minor"/>
    </font>
    <font>
      <sz val="10"/>
      <color theme="0"/>
      <name val="Arial"/>
      <family val="2"/>
      <scheme val="minor"/>
    </font>
    <font>
      <sz val="16"/>
      <color theme="0"/>
      <name val="Arial"/>
      <family val="2"/>
      <scheme val="minor"/>
    </font>
  </fonts>
  <fills count="90">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249977111117893"/>
        <bgColor indexed="64"/>
      </patternFill>
    </fill>
    <fill>
      <patternFill patternType="solid">
        <fgColor theme="3"/>
        <bgColor indexed="64"/>
      </patternFill>
    </fill>
    <fill>
      <patternFill patternType="solid">
        <fgColor theme="2"/>
        <bgColor indexed="64"/>
      </patternFill>
    </fill>
    <fill>
      <patternFill patternType="solid">
        <fgColor rgb="FFFFFFFF"/>
        <bgColor rgb="FF000000"/>
      </patternFill>
    </fill>
    <fill>
      <patternFill patternType="solid">
        <fgColor rgb="FF33CCFF"/>
        <bgColor indexed="64"/>
      </patternFill>
    </fill>
    <fill>
      <patternFill patternType="solid">
        <fgColor rgb="FF92D050"/>
        <bgColor indexed="64"/>
      </patternFill>
    </fill>
    <fill>
      <patternFill patternType="solid">
        <fgColor theme="4"/>
        <bgColor theme="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CDF2FF"/>
        <bgColor rgb="FF000000"/>
      </patternFill>
    </fill>
    <fill>
      <patternFill patternType="solid">
        <fgColor rgb="FFD9D9D9"/>
        <bgColor indexed="64"/>
      </patternFill>
    </fill>
    <fill>
      <patternFill patternType="solid">
        <fgColor rgb="FFFFFF00"/>
        <bgColor indexed="64"/>
      </patternFill>
    </fill>
    <fill>
      <patternFill patternType="solid">
        <fgColor rgb="FF00B0F0"/>
        <bgColor indexed="64"/>
      </patternFill>
    </fill>
    <fill>
      <patternFill patternType="solid">
        <fgColor theme="4"/>
        <bgColor indexed="64"/>
      </patternFill>
    </fill>
    <fill>
      <patternFill patternType="solid">
        <fgColor theme="0" tint="-0.499984740745262"/>
        <bgColor indexed="64"/>
      </patternFill>
    </fill>
    <fill>
      <patternFill patternType="solid">
        <fgColor rgb="FFCDF2FF"/>
        <bgColor indexed="64"/>
      </patternFill>
    </fill>
    <fill>
      <patternFill patternType="solid">
        <fgColor rgb="FFFFFFCC"/>
        <bgColor indexed="64"/>
      </patternFill>
    </fill>
    <fill>
      <patternFill patternType="gray125">
        <bgColor theme="0"/>
      </patternFill>
    </fill>
    <fill>
      <patternFill patternType="solid">
        <fgColor theme="1" tint="-0.249977111117893"/>
        <bgColor indexed="64"/>
      </patternFill>
    </fill>
    <fill>
      <patternFill patternType="solid">
        <fgColor rgb="FFA9D08E"/>
        <bgColor indexed="64"/>
      </patternFill>
    </fill>
    <fill>
      <patternFill patternType="solid">
        <fgColor rgb="FFD2E7D6"/>
        <bgColor indexed="64"/>
      </patternFill>
    </fill>
    <fill>
      <patternFill patternType="darkUp"/>
    </fill>
    <fill>
      <patternFill patternType="solid">
        <fgColor rgb="FF9BE686"/>
        <bgColor indexed="64"/>
      </patternFill>
    </fill>
    <fill>
      <patternFill patternType="solid">
        <fgColor rgb="FF6DCEF9"/>
        <bgColor indexed="64"/>
      </patternFill>
    </fill>
    <fill>
      <patternFill patternType="solid">
        <fgColor rgb="FF007EA7"/>
        <bgColor indexed="64"/>
      </patternFill>
    </fill>
    <fill>
      <patternFill patternType="solid">
        <fgColor rgb="FFDAF6FF"/>
        <bgColor indexed="64"/>
      </patternFill>
    </fill>
    <fill>
      <patternFill patternType="solid">
        <fgColor theme="0" tint="-4.9989318521683403E-2"/>
        <bgColor indexed="64"/>
      </patternFill>
    </fill>
    <fill>
      <patternFill patternType="darkDown"/>
    </fill>
    <fill>
      <patternFill patternType="solid">
        <fgColor rgb="FFFFA101"/>
        <bgColor indexed="64"/>
      </patternFill>
    </fill>
    <fill>
      <patternFill patternType="solid">
        <fgColor rgb="FFFEEAE2"/>
        <bgColor indexed="64"/>
      </patternFill>
    </fill>
    <fill>
      <patternFill patternType="darkUp">
        <bgColor theme="0"/>
      </patternFill>
    </fill>
    <fill>
      <patternFill patternType="solid">
        <fgColor theme="9" tint="0.79998168889431442"/>
        <bgColor indexed="64"/>
      </patternFill>
    </fill>
    <fill>
      <patternFill patternType="solid">
        <fgColor theme="2" tint="-0.249977111117893"/>
        <bgColor indexed="64"/>
      </patternFill>
    </fill>
    <fill>
      <patternFill patternType="solid">
        <fgColor rgb="FFF5F5F5"/>
        <bgColor indexed="64"/>
      </patternFill>
    </fill>
    <fill>
      <patternFill patternType="solid">
        <fgColor rgb="FF679436"/>
        <bgColor indexed="64"/>
      </patternFill>
    </fill>
    <fill>
      <patternFill patternType="solid">
        <fgColor rgb="FFE5F1D8"/>
        <bgColor indexed="64"/>
      </patternFill>
    </fill>
    <fill>
      <patternFill patternType="solid">
        <fgColor rgb="FFCCECFF"/>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66CC"/>
        <bgColor indexed="64"/>
      </patternFill>
    </fill>
    <fill>
      <patternFill patternType="solid">
        <fgColor rgb="FFEAD1DC"/>
        <bgColor indexed="64"/>
      </patternFill>
    </fill>
    <fill>
      <patternFill patternType="solid">
        <fgColor rgb="FFFFE4FF"/>
        <bgColor indexed="64"/>
      </patternFill>
    </fill>
    <fill>
      <patternFill patternType="solid">
        <fgColor rgb="FFFFF2CC"/>
        <bgColor indexed="64"/>
      </patternFill>
    </fill>
    <fill>
      <patternFill patternType="solid">
        <fgColor theme="9" tint="-0.249977111117893"/>
        <bgColor indexed="64"/>
      </patternFill>
    </fill>
    <fill>
      <patternFill patternType="solid">
        <fgColor rgb="FFEBF1DE"/>
      </patternFill>
    </fill>
    <fill>
      <patternFill patternType="solid">
        <fgColor rgb="FFFFC000"/>
        <bgColor indexed="64"/>
      </patternFill>
    </fill>
    <fill>
      <patternFill patternType="solid">
        <fgColor rgb="FFDCDFE0"/>
        <bgColor indexed="64"/>
      </patternFill>
    </fill>
    <fill>
      <patternFill patternType="solid">
        <fgColor theme="3" tint="0.59999389629810485"/>
        <bgColor indexed="64"/>
      </patternFill>
    </fill>
    <fill>
      <patternFill patternType="solid">
        <fgColor rgb="FFCC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auto="1"/>
      </left>
      <right/>
      <top style="thin">
        <color auto="1"/>
      </top>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auto="1"/>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ashed">
        <color auto="1"/>
      </left>
      <right style="dashed">
        <color auto="1"/>
      </right>
      <top style="dashed">
        <color auto="1"/>
      </top>
      <bottom style="dashed">
        <color auto="1"/>
      </bottom>
      <diagonal/>
    </border>
    <border>
      <left style="medium">
        <color auto="1"/>
      </left>
      <right style="thin">
        <color auto="1"/>
      </right>
      <top/>
      <bottom/>
      <diagonal/>
    </border>
    <border>
      <left style="thin">
        <color theme="4" tint="0.39997558519241921"/>
      </left>
      <right style="thin">
        <color theme="4" tint="0.39997558519241921"/>
      </right>
      <top style="thin">
        <color auto="1"/>
      </top>
      <bottom/>
      <diagonal/>
    </border>
    <border>
      <left style="thin">
        <color theme="4" tint="0.39997558519241921"/>
      </left>
      <right style="thin">
        <color theme="4" tint="0.39997558519241921"/>
      </right>
      <top style="thin">
        <color theme="4" tint="0.39997558519241921"/>
      </top>
      <bottom/>
      <diagonal/>
    </border>
    <border>
      <left style="thin">
        <color rgb="FF053D5F"/>
      </left>
      <right style="thin">
        <color rgb="FF053D5F"/>
      </right>
      <top style="thin">
        <color rgb="FF053D5F"/>
      </top>
      <bottom style="thin">
        <color rgb="FF053D5F"/>
      </bottom>
      <diagonal/>
    </border>
    <border>
      <left/>
      <right/>
      <top style="thin">
        <color theme="4" tint="0.39997558519241921"/>
      </top>
      <bottom style="thin">
        <color theme="4" tint="0.39997558519241921"/>
      </bottom>
      <diagonal/>
    </border>
    <border>
      <left style="thin">
        <color auto="1"/>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thin">
        <color indexed="64"/>
      </right>
      <top style="dotted">
        <color indexed="64"/>
      </top>
      <bottom style="dotted">
        <color indexed="64"/>
      </bottom>
      <diagonal/>
    </border>
    <border>
      <left/>
      <right/>
      <top style="dotted">
        <color indexed="64"/>
      </top>
      <bottom style="thin">
        <color auto="1"/>
      </bottom>
      <diagonal/>
    </border>
    <border>
      <left/>
      <right/>
      <top/>
      <bottom style="dotted">
        <color indexed="64"/>
      </bottom>
      <diagonal/>
    </border>
    <border>
      <left/>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4" tint="0.39997558519241921"/>
      </left>
      <right/>
      <top style="hair">
        <color indexed="64"/>
      </top>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right/>
      <top/>
      <bottom style="thin">
        <color theme="0" tint="-0.24994659260841701"/>
      </bottom>
      <diagonal/>
    </border>
    <border>
      <left style="thick">
        <color theme="0"/>
      </left>
      <right/>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ck">
        <color rgb="FF053D5F"/>
      </left>
      <right style="thick">
        <color rgb="FF053D5F"/>
      </right>
      <top style="thick">
        <color rgb="FF053D5F"/>
      </top>
      <bottom style="thick">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style="thick">
        <color rgb="FF053D5F"/>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top/>
      <bottom style="thin">
        <color theme="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theme="0"/>
      </top>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ck">
        <color rgb="FFFF66CC"/>
      </left>
      <right style="medium">
        <color rgb="FFCCCCCC"/>
      </right>
      <top style="thick">
        <color rgb="FFFF66CC"/>
      </top>
      <bottom style="medium">
        <color rgb="FFCCCCCC"/>
      </bottom>
      <diagonal/>
    </border>
    <border>
      <left style="medium">
        <color rgb="FFCCCCCC"/>
      </left>
      <right style="medium">
        <color rgb="FFCCCCCC"/>
      </right>
      <top style="thick">
        <color rgb="FFFF66CC"/>
      </top>
      <bottom style="medium">
        <color rgb="FFCCCCCC"/>
      </bottom>
      <diagonal/>
    </border>
    <border>
      <left style="thick">
        <color rgb="FFFF66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ck">
        <color rgb="FFFF66CC"/>
      </left>
      <right style="medium">
        <color rgb="FFCCCCCC"/>
      </right>
      <top style="medium">
        <color rgb="FFCCCCCC"/>
      </top>
      <bottom style="thick">
        <color rgb="FFFF00FF"/>
      </bottom>
      <diagonal/>
    </border>
    <border>
      <left style="medium">
        <color rgb="FFCCCCCC"/>
      </left>
      <right style="medium">
        <color rgb="FFCCCCCC"/>
      </right>
      <top style="medium">
        <color rgb="FFCCCCCC"/>
      </top>
      <bottom style="thick">
        <color rgb="FFFF00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hair">
        <color indexed="64"/>
      </right>
      <top style="hair">
        <color indexed="64"/>
      </top>
      <bottom/>
      <diagonal/>
    </border>
    <border>
      <left/>
      <right/>
      <top/>
      <bottom style="thin">
        <color theme="4" tint="0.39997558519241921"/>
      </bottom>
      <diagonal/>
    </border>
    <border>
      <left/>
      <right style="thin">
        <color theme="1" tint="0.39997558519241921"/>
      </right>
      <top style="thin">
        <color theme="1" tint="0.39997558519241921"/>
      </top>
      <bottom style="thin">
        <color theme="1" tint="0.39997558519241921"/>
      </bottom>
      <diagonal/>
    </border>
    <border>
      <left style="thin">
        <color theme="1" tint="0.39997558519241921"/>
      </left>
      <right style="thin">
        <color theme="1" tint="0.39997558519241921"/>
      </right>
      <top style="thin">
        <color theme="1" tint="0.39997558519241921"/>
      </top>
      <bottom/>
      <diagonal/>
    </border>
    <border>
      <left style="medium">
        <color rgb="FFCCCCCC"/>
      </left>
      <right/>
      <top style="medium">
        <color rgb="FFCCCCCC"/>
      </top>
      <bottom style="medium">
        <color rgb="FFCCCCCC"/>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style="medium">
        <color indexed="64"/>
      </left>
      <right style="dashed">
        <color auto="1"/>
      </right>
      <top style="medium">
        <color indexed="64"/>
      </top>
      <bottom style="medium">
        <color indexed="64"/>
      </bottom>
      <diagonal/>
    </border>
    <border>
      <left style="medium">
        <color theme="1" tint="0.39997558519241921"/>
      </left>
      <right style="medium">
        <color theme="1" tint="0.39997558519241921"/>
      </right>
      <top style="medium">
        <color theme="1" tint="0.39997558519241921"/>
      </top>
      <bottom style="medium">
        <color theme="1" tint="0.39997558519241921"/>
      </bottom>
      <diagonal/>
    </border>
    <border>
      <left style="medium">
        <color theme="1" tint="0.39997558519241921"/>
      </left>
      <right/>
      <top style="medium">
        <color theme="1" tint="0.39997558519241921"/>
      </top>
      <bottom/>
      <diagonal/>
    </border>
    <border>
      <left/>
      <right/>
      <top style="medium">
        <color theme="1" tint="0.39997558519241921"/>
      </top>
      <bottom/>
      <diagonal/>
    </border>
    <border>
      <left/>
      <right style="medium">
        <color theme="1" tint="0.39997558519241921"/>
      </right>
      <top style="medium">
        <color theme="1" tint="0.39997558519241921"/>
      </top>
      <bottom/>
      <diagonal/>
    </border>
    <border>
      <left style="medium">
        <color theme="1" tint="0.39997558519241921"/>
      </left>
      <right/>
      <top/>
      <bottom/>
      <diagonal/>
    </border>
    <border>
      <left/>
      <right style="medium">
        <color theme="1" tint="0.39997558519241921"/>
      </right>
      <top/>
      <bottom/>
      <diagonal/>
    </border>
    <border>
      <left/>
      <right/>
      <top/>
      <bottom style="medium">
        <color theme="1" tint="0.39997558519241921"/>
      </bottom>
      <diagonal/>
    </border>
    <border>
      <left/>
      <right style="medium">
        <color theme="1" tint="0.39997558519241921"/>
      </right>
      <top/>
      <bottom style="medium">
        <color theme="1" tint="0.39997558519241921"/>
      </bottom>
      <diagonal/>
    </border>
    <border>
      <left style="medium">
        <color theme="1" tint="0.39997558519241921"/>
      </left>
      <right/>
      <top/>
      <bottom style="medium">
        <color theme="1" tint="0.39997558519241921"/>
      </bottom>
      <diagonal/>
    </border>
    <border>
      <left style="medium">
        <color theme="1" tint="0.39997558519241921"/>
      </left>
      <right style="medium">
        <color theme="1" tint="0.39997558519241921"/>
      </right>
      <top style="medium">
        <color theme="1" tint="0.39997558519241921"/>
      </top>
      <bottom/>
      <diagonal/>
    </border>
    <border>
      <left style="medium">
        <color theme="1" tint="0.39997558519241921"/>
      </left>
      <right style="medium">
        <color theme="1" tint="0.39997558519241921"/>
      </right>
      <top/>
      <bottom/>
      <diagonal/>
    </border>
    <border>
      <left style="medium">
        <color theme="1" tint="0.39997558519241921"/>
      </left>
      <right style="medium">
        <color theme="1" tint="0.39997558519241921"/>
      </right>
      <top/>
      <bottom style="medium">
        <color theme="1" tint="0.39997558519241921"/>
      </bottom>
      <diagonal/>
    </border>
    <border>
      <left/>
      <right/>
      <top style="thin">
        <color theme="1" tint="0.39997558519241921"/>
      </top>
      <bottom/>
      <diagonal/>
    </border>
    <border>
      <left/>
      <right style="thin">
        <color theme="1" tint="0.39997558519241921"/>
      </right>
      <top style="thin">
        <color theme="1" tint="0.39997558519241921"/>
      </top>
      <bottom/>
      <diagonal/>
    </border>
    <border>
      <left style="thin">
        <color rgb="FF053D5F"/>
      </left>
      <right style="thin">
        <color rgb="FF053D5F"/>
      </right>
      <top style="thin">
        <color rgb="FF053D5F"/>
      </top>
      <bottom/>
      <diagonal/>
    </border>
    <border>
      <left style="thin">
        <color rgb="FF053D5F"/>
      </left>
      <right style="thin">
        <color rgb="FF053D5F"/>
      </right>
      <top/>
      <bottom style="thin">
        <color rgb="FF053D5F"/>
      </bottom>
      <diagonal/>
    </border>
    <border>
      <left style="thin">
        <color rgb="FF053D5F"/>
      </left>
      <right/>
      <top style="thick">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style="thick">
        <color rgb="FF053D5F"/>
      </bottom>
      <diagonal/>
    </border>
    <border>
      <left style="medium">
        <color indexed="64"/>
      </left>
      <right/>
      <top style="thin">
        <color theme="4" tint="0.39997558519241921"/>
      </top>
      <bottom/>
      <diagonal/>
    </border>
    <border>
      <left/>
      <right style="medium">
        <color indexed="64"/>
      </right>
      <top/>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right style="thin">
        <color rgb="FF053D5F"/>
      </right>
      <top style="thin">
        <color rgb="FF053D5F"/>
      </top>
      <bottom/>
      <diagonal/>
    </border>
    <border>
      <left/>
      <right style="thin">
        <color rgb="FF053D5F"/>
      </right>
      <top/>
      <bottom style="thin">
        <color rgb="FF053D5F"/>
      </bottom>
      <diagonal/>
    </border>
  </borders>
  <cellStyleXfs count="75">
    <xf numFmtId="0" fontId="0" fillId="0" borderId="0"/>
    <xf numFmtId="9" fontId="6" fillId="0" borderId="0" applyFont="0" applyFill="0" applyBorder="0" applyAlignment="0" applyProtection="0"/>
    <xf numFmtId="0" fontId="13" fillId="0" borderId="0" applyNumberFormat="0" applyFill="0" applyBorder="0" applyAlignment="0" applyProtection="0"/>
    <xf numFmtId="0" fontId="16" fillId="0" borderId="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9" borderId="8" applyNumberFormat="0" applyAlignment="0" applyProtection="0"/>
    <xf numFmtId="0" fontId="25" fillId="10" borderId="9" applyNumberFormat="0" applyAlignment="0" applyProtection="0"/>
    <xf numFmtId="0" fontId="26" fillId="10" borderId="8" applyNumberFormat="0" applyAlignment="0" applyProtection="0"/>
    <xf numFmtId="0" fontId="27" fillId="0" borderId="10" applyNumberFormat="0" applyFill="0" applyAlignment="0" applyProtection="0"/>
    <xf numFmtId="0" fontId="7" fillId="11" borderId="11" applyNumberFormat="0" applyAlignment="0" applyProtection="0"/>
    <xf numFmtId="0" fontId="10" fillId="0" borderId="0" applyNumberFormat="0" applyFill="0" applyBorder="0" applyAlignment="0" applyProtection="0"/>
    <xf numFmtId="0" fontId="6" fillId="12" borderId="12" applyNumberFormat="0" applyFont="0" applyAlignment="0" applyProtection="0"/>
    <xf numFmtId="0" fontId="28" fillId="0" borderId="0" applyNumberFormat="0" applyFill="0" applyBorder="0" applyAlignment="0" applyProtection="0"/>
    <xf numFmtId="0" fontId="8" fillId="0" borderId="13" applyNumberFormat="0" applyFill="0" applyAlignment="0" applyProtection="0"/>
    <xf numFmtId="0" fontId="29"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9"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9"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9"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9"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9"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0" fillId="0" borderId="0"/>
    <xf numFmtId="0" fontId="31" fillId="0" borderId="18" applyNumberFormat="0" applyFont="0" applyProtection="0">
      <alignment wrapText="1"/>
    </xf>
    <xf numFmtId="0" fontId="34" fillId="0" borderId="0" applyNumberFormat="0" applyProtection="0">
      <alignment horizontal="left"/>
    </xf>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35" fillId="0" borderId="0" applyNumberFormat="0" applyFill="0" applyBorder="0" applyAlignment="0" applyProtection="0">
      <alignment vertical="top"/>
      <protection locked="0"/>
    </xf>
    <xf numFmtId="0" fontId="31" fillId="0" borderId="0" applyNumberFormat="0" applyFill="0" applyBorder="0" applyAlignment="0" applyProtection="0"/>
    <xf numFmtId="0" fontId="31" fillId="0" borderId="0" applyNumberFormat="0" applyProtection="0">
      <alignment vertical="top" wrapText="1"/>
    </xf>
    <xf numFmtId="0" fontId="31" fillId="0" borderId="19" applyNumberFormat="0" applyProtection="0">
      <alignment vertical="top" wrapText="1"/>
    </xf>
    <xf numFmtId="0" fontId="36" fillId="0" borderId="5" applyNumberFormat="0" applyProtection="0">
      <alignment wrapText="1"/>
    </xf>
    <xf numFmtId="0" fontId="36" fillId="0" borderId="20" applyNumberFormat="0" applyProtection="0">
      <alignment horizontal="left" wrapText="1"/>
    </xf>
    <xf numFmtId="0" fontId="37" fillId="0" borderId="0" applyNumberFormat="0" applyFill="0" applyBorder="0" applyAlignment="0" applyProtection="0">
      <alignment vertical="top"/>
      <protection locked="0"/>
    </xf>
    <xf numFmtId="0" fontId="38" fillId="8" borderId="0" applyNumberFormat="0" applyBorder="0" applyAlignment="0" applyProtection="0"/>
    <xf numFmtId="0" fontId="16" fillId="0" borderId="0"/>
    <xf numFmtId="0" fontId="36" fillId="0" borderId="21" applyNumberFormat="0" applyProtection="0">
      <alignment wrapText="1"/>
    </xf>
    <xf numFmtId="0" fontId="31" fillId="0" borderId="22" applyNumberFormat="0" applyFont="0" applyFill="0" applyProtection="0">
      <alignment wrapText="1"/>
    </xf>
    <xf numFmtId="0" fontId="36" fillId="0" borderId="23" applyNumberFormat="0" applyFill="0" applyProtection="0">
      <alignment wrapText="1"/>
    </xf>
    <xf numFmtId="0" fontId="39" fillId="0" borderId="0" applyNumberFormat="0" applyFill="0" applyBorder="0" applyAlignment="0" applyProtection="0"/>
    <xf numFmtId="0" fontId="43" fillId="0" borderId="0"/>
    <xf numFmtId="0" fontId="6" fillId="0" borderId="0"/>
    <xf numFmtId="0" fontId="6" fillId="0" borderId="0"/>
    <xf numFmtId="0" fontId="49" fillId="0" borderId="0"/>
    <xf numFmtId="0" fontId="50" fillId="0" borderId="0" applyNumberFormat="0" applyFill="0" applyBorder="0" applyAlignment="0" applyProtection="0">
      <alignment vertical="top"/>
      <protection locked="0"/>
    </xf>
    <xf numFmtId="170" fontId="6" fillId="0" borderId="0" applyFont="0" applyFill="0" applyBorder="0" applyAlignment="0" applyProtection="0"/>
    <xf numFmtId="0" fontId="51" fillId="0" borderId="0" applyNumberFormat="0" applyFill="0" applyBorder="0" applyAlignment="0" applyProtection="0">
      <alignment vertical="top"/>
      <protection locked="0"/>
    </xf>
    <xf numFmtId="0" fontId="47" fillId="0" borderId="0"/>
    <xf numFmtId="0" fontId="52"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203" fillId="0" borderId="0"/>
    <xf numFmtId="43" fontId="49" fillId="0" borderId="0" applyFont="0" applyFill="0" applyBorder="0" applyAlignment="0" applyProtection="0"/>
    <xf numFmtId="0" fontId="3" fillId="0" borderId="0"/>
    <xf numFmtId="0" fontId="199" fillId="0" borderId="0" applyNumberFormat="0" applyFill="0" applyBorder="0" applyAlignment="0" applyProtection="0"/>
  </cellStyleXfs>
  <cellXfs count="1602">
    <xf numFmtId="0" fontId="0" fillId="0" borderId="0" xfId="0"/>
    <xf numFmtId="0" fontId="0" fillId="0" borderId="0" xfId="0" applyAlignment="1">
      <alignment wrapText="1"/>
    </xf>
    <xf numFmtId="0" fontId="9" fillId="0" borderId="0" xfId="0" applyFont="1"/>
    <xf numFmtId="0" fontId="8" fillId="0" borderId="0" xfId="0" applyFont="1"/>
    <xf numFmtId="0" fontId="0" fillId="4" borderId="0" xfId="0" applyFill="1"/>
    <xf numFmtId="0" fontId="0" fillId="0" borderId="1" xfId="0" applyBorder="1"/>
    <xf numFmtId="0" fontId="0" fillId="4" borderId="0" xfId="0" applyFill="1" applyAlignment="1">
      <alignment vertical="center"/>
    </xf>
    <xf numFmtId="0" fontId="0" fillId="0" borderId="0" xfId="0" applyAlignment="1">
      <alignment horizontal="center"/>
    </xf>
    <xf numFmtId="0" fontId="13" fillId="0" borderId="0" xfId="2"/>
    <xf numFmtId="0" fontId="32" fillId="0" borderId="0" xfId="0" applyFo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left" vertical="center" wrapText="1"/>
    </xf>
    <xf numFmtId="3" fontId="0" fillId="0" borderId="0" xfId="0" applyNumberFormat="1" applyAlignment="1">
      <alignment horizontal="center"/>
    </xf>
    <xf numFmtId="0" fontId="9" fillId="4" borderId="0" xfId="0" applyFont="1" applyFill="1"/>
    <xf numFmtId="0" fontId="9" fillId="0" borderId="0" xfId="0" applyFont="1" applyAlignment="1">
      <alignment horizontal="left" wrapText="1"/>
    </xf>
    <xf numFmtId="0" fontId="32" fillId="0" borderId="0" xfId="0" applyFont="1" applyAlignment="1">
      <alignment vertical="center" wrapText="1"/>
    </xf>
    <xf numFmtId="0" fontId="32" fillId="43" borderId="0" xfId="0" applyFont="1" applyFill="1"/>
    <xf numFmtId="2" fontId="32" fillId="0" borderId="0" xfId="0" applyNumberFormat="1" applyFont="1"/>
    <xf numFmtId="0" fontId="57" fillId="0" borderId="0" xfId="0" applyFont="1" applyAlignment="1">
      <alignment horizontal="left" wrapText="1"/>
    </xf>
    <xf numFmtId="170" fontId="32" fillId="0" borderId="0" xfId="64" applyFont="1"/>
    <xf numFmtId="0" fontId="47" fillId="0" borderId="0" xfId="0" applyFont="1" applyAlignment="1">
      <alignment horizontal="center"/>
    </xf>
    <xf numFmtId="0" fontId="46" fillId="4" borderId="0" xfId="0" applyFont="1" applyFill="1" applyAlignment="1">
      <alignment vertical="center"/>
    </xf>
    <xf numFmtId="0" fontId="42" fillId="39" borderId="0" xfId="0" applyFont="1" applyFill="1" applyAlignment="1" applyProtection="1">
      <alignment vertical="center"/>
      <protection hidden="1"/>
    </xf>
    <xf numFmtId="0" fontId="29" fillId="39" borderId="0" xfId="0" applyFont="1" applyFill="1" applyProtection="1">
      <protection hidden="1"/>
    </xf>
    <xf numFmtId="0" fontId="72" fillId="39" borderId="0" xfId="0" applyFont="1" applyFill="1" applyAlignment="1" applyProtection="1">
      <alignment horizontal="center"/>
      <protection hidden="1"/>
    </xf>
    <xf numFmtId="0" fontId="72" fillId="39" borderId="0" xfId="0" applyFont="1" applyFill="1" applyProtection="1">
      <protection hidden="1"/>
    </xf>
    <xf numFmtId="0" fontId="29" fillId="39" borderId="0" xfId="0" applyFont="1" applyFill="1" applyAlignment="1" applyProtection="1">
      <alignment horizontal="center"/>
      <protection hidden="1"/>
    </xf>
    <xf numFmtId="0" fontId="29" fillId="39" borderId="0" xfId="0" applyFont="1" applyFill="1" applyAlignment="1" applyProtection="1">
      <alignment horizontal="center" wrapText="1"/>
      <protection hidden="1"/>
    </xf>
    <xf numFmtId="0" fontId="72" fillId="39" borderId="0" xfId="0" applyFont="1" applyFill="1" applyAlignment="1" applyProtection="1">
      <alignment horizontal="left"/>
      <protection hidden="1"/>
    </xf>
    <xf numFmtId="0" fontId="0" fillId="0" borderId="0" xfId="0" applyProtection="1">
      <protection hidden="1"/>
    </xf>
    <xf numFmtId="0" fontId="62" fillId="40" borderId="0" xfId="0" applyFont="1" applyFill="1" applyProtection="1">
      <protection hidden="1"/>
    </xf>
    <xf numFmtId="0" fontId="0" fillId="40" borderId="0" xfId="0" applyFill="1" applyProtection="1">
      <protection hidden="1"/>
    </xf>
    <xf numFmtId="0" fontId="47" fillId="40" borderId="0" xfId="0" applyFont="1" applyFill="1" applyAlignment="1" applyProtection="1">
      <alignment horizontal="center"/>
      <protection hidden="1"/>
    </xf>
    <xf numFmtId="0" fontId="47" fillId="40" borderId="0" xfId="0" applyFont="1" applyFill="1" applyProtection="1">
      <protection hidden="1"/>
    </xf>
    <xf numFmtId="0" fontId="0" fillId="40" borderId="0" xfId="0" applyFill="1" applyAlignment="1" applyProtection="1">
      <alignment horizontal="center"/>
      <protection hidden="1"/>
    </xf>
    <xf numFmtId="0" fontId="0" fillId="40" borderId="0" xfId="0" applyFill="1" applyAlignment="1" applyProtection="1">
      <alignment horizontal="center" wrapText="1"/>
      <protection hidden="1"/>
    </xf>
    <xf numFmtId="0" fontId="47" fillId="40" borderId="0" xfId="0" applyFont="1" applyFill="1" applyAlignment="1" applyProtection="1">
      <alignment horizontal="left"/>
      <protection hidden="1"/>
    </xf>
    <xf numFmtId="0" fontId="16" fillId="40" borderId="0" xfId="0" quotePrefix="1" applyFont="1" applyFill="1" applyAlignment="1" applyProtection="1">
      <alignment horizontal="left" indent="1"/>
      <protection hidden="1"/>
    </xf>
    <xf numFmtId="0" fontId="76" fillId="0" borderId="0" xfId="0" quotePrefix="1" applyFont="1" applyProtection="1">
      <protection hidden="1"/>
    </xf>
    <xf numFmtId="0" fontId="16" fillId="40" borderId="0" xfId="0" quotePrefix="1" applyFont="1" applyFill="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71" fillId="0" borderId="0" xfId="0" quotePrefix="1" applyFont="1" applyProtection="1">
      <protection hidden="1"/>
    </xf>
    <xf numFmtId="0" fontId="47" fillId="0" borderId="0" xfId="0" applyFont="1" applyAlignment="1" applyProtection="1">
      <alignment horizontal="center"/>
      <protection hidden="1"/>
    </xf>
    <xf numFmtId="0" fontId="47" fillId="0" borderId="0" xfId="0" applyFont="1" applyAlignment="1" applyProtection="1">
      <alignment wrapText="1"/>
      <protection hidden="1"/>
    </xf>
    <xf numFmtId="0" fontId="47" fillId="0" borderId="0" xfId="0" applyFont="1" applyAlignment="1" applyProtection="1">
      <alignment horizontal="left" wrapText="1"/>
      <protection hidden="1"/>
    </xf>
    <xf numFmtId="0" fontId="79" fillId="0" borderId="0" xfId="0" applyFont="1" applyAlignment="1" applyProtection="1">
      <alignment horizontal="center" vertical="center" wrapText="1"/>
      <protection hidden="1"/>
    </xf>
    <xf numFmtId="43" fontId="80" fillId="0" borderId="0" xfId="0" applyNumberFormat="1" applyFont="1" applyAlignment="1" applyProtection="1">
      <alignment horizontal="center" vertical="center" wrapText="1"/>
      <protection hidden="1"/>
    </xf>
    <xf numFmtId="0" fontId="71" fillId="0" borderId="0" xfId="0" applyFont="1" applyAlignment="1" applyProtection="1">
      <alignment horizontal="center" wrapText="1"/>
      <protection hidden="1"/>
    </xf>
    <xf numFmtId="9" fontId="0" fillId="0" borderId="0" xfId="1" applyFont="1" applyAlignment="1" applyProtection="1">
      <alignment horizontal="center"/>
      <protection hidden="1"/>
    </xf>
    <xf numFmtId="0" fontId="0" fillId="0" borderId="0" xfId="0" applyAlignment="1" applyProtection="1">
      <alignment horizontal="left"/>
      <protection hidden="1"/>
    </xf>
    <xf numFmtId="0" fontId="81" fillId="0" borderId="0" xfId="0" applyFont="1" applyAlignment="1" applyProtection="1">
      <alignment horizontal="center"/>
      <protection hidden="1"/>
    </xf>
    <xf numFmtId="0" fontId="9" fillId="0" borderId="0" xfId="0" applyFont="1" applyAlignment="1" applyProtection="1">
      <alignment horizontal="center"/>
      <protection hidden="1"/>
    </xf>
    <xf numFmtId="168" fontId="82" fillId="0" borderId="1" xfId="0" applyNumberFormat="1"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0" fillId="0" borderId="1" xfId="0" applyBorder="1" applyProtection="1">
      <protection hidden="1"/>
    </xf>
    <xf numFmtId="0" fontId="80" fillId="0" borderId="0" xfId="0" applyFont="1" applyAlignment="1" applyProtection="1">
      <alignment vertical="center" wrapText="1"/>
      <protection hidden="1"/>
    </xf>
    <xf numFmtId="0" fontId="83" fillId="51" borderId="0" xfId="0" applyFont="1" applyFill="1" applyAlignment="1" applyProtection="1">
      <alignment vertical="top"/>
      <protection hidden="1"/>
    </xf>
    <xf numFmtId="4" fontId="56" fillId="39" borderId="42" xfId="0" applyNumberFormat="1" applyFont="1" applyFill="1" applyBorder="1" applyAlignment="1" applyProtection="1">
      <alignment horizontal="center" vertical="top" wrapText="1"/>
      <protection hidden="1"/>
    </xf>
    <xf numFmtId="4" fontId="56" fillId="39" borderId="42" xfId="0" applyNumberFormat="1" applyFont="1" applyFill="1" applyBorder="1" applyAlignment="1">
      <alignment horizontal="center" vertical="top" wrapText="1"/>
    </xf>
    <xf numFmtId="4" fontId="56" fillId="39" borderId="43" xfId="0" applyNumberFormat="1" applyFont="1" applyFill="1" applyBorder="1" applyAlignment="1" applyProtection="1">
      <alignment horizontal="center" vertical="top" wrapText="1"/>
      <protection hidden="1"/>
    </xf>
    <xf numFmtId="0" fontId="56" fillId="51" borderId="32" xfId="0" applyFont="1" applyFill="1" applyBorder="1" applyAlignment="1" applyProtection="1">
      <alignment horizontal="center" vertical="top" wrapText="1"/>
      <protection hidden="1"/>
    </xf>
    <xf numFmtId="0" fontId="83" fillId="51" borderId="0" xfId="0" applyFont="1" applyFill="1" applyAlignment="1" applyProtection="1">
      <alignment horizontal="center" vertical="top" wrapText="1"/>
      <protection hidden="1"/>
    </xf>
    <xf numFmtId="0" fontId="83" fillId="51" borderId="0" xfId="0" applyFont="1" applyFill="1" applyAlignment="1" applyProtection="1">
      <alignment horizontal="left" vertical="top" wrapText="1"/>
      <protection hidden="1"/>
    </xf>
    <xf numFmtId="0" fontId="83" fillId="51" borderId="0" xfId="0" applyFont="1" applyFill="1" applyAlignment="1" applyProtection="1">
      <alignment vertical="top" wrapText="1"/>
      <protection hidden="1"/>
    </xf>
    <xf numFmtId="0" fontId="29" fillId="51" borderId="0" xfId="0" applyFont="1" applyFill="1" applyProtection="1">
      <protection hidden="1"/>
    </xf>
    <xf numFmtId="0" fontId="29" fillId="51" borderId="0" xfId="0" applyFont="1" applyFill="1" applyAlignment="1" applyProtection="1">
      <alignment wrapText="1"/>
      <protection hidden="1"/>
    </xf>
    <xf numFmtId="0" fontId="0" fillId="0" borderId="44"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175" fontId="0" fillId="0" borderId="0" xfId="68" applyNumberFormat="1" applyFont="1" applyAlignment="1" applyProtection="1">
      <alignment horizontal="left" vertical="center"/>
      <protection hidden="1"/>
    </xf>
    <xf numFmtId="0" fontId="47" fillId="0" borderId="0" xfId="0" applyFont="1" applyProtection="1">
      <protection hidden="1"/>
    </xf>
    <xf numFmtId="0" fontId="80" fillId="0" borderId="0" xfId="0" applyFont="1" applyAlignment="1">
      <alignment vertical="center" wrapText="1"/>
    </xf>
    <xf numFmtId="0" fontId="47" fillId="0" borderId="0" xfId="0" applyFont="1"/>
    <xf numFmtId="0" fontId="42" fillId="39" borderId="0" xfId="0" applyFont="1" applyFill="1" applyAlignment="1">
      <alignment vertical="center"/>
    </xf>
    <xf numFmtId="0" fontId="0" fillId="0" borderId="0" xfId="0" quotePrefix="1"/>
    <xf numFmtId="0" fontId="14" fillId="39" borderId="0" xfId="0" applyFont="1" applyFill="1" applyAlignment="1">
      <alignment vertical="center"/>
    </xf>
    <xf numFmtId="0" fontId="0" fillId="39" borderId="0" xfId="0" applyFill="1" applyAlignment="1">
      <alignment vertical="center"/>
    </xf>
    <xf numFmtId="0" fontId="88" fillId="39" borderId="0" xfId="0" applyFont="1" applyFill="1" applyAlignment="1">
      <alignment horizontal="left" vertical="center"/>
    </xf>
    <xf numFmtId="0" fontId="89" fillId="4" borderId="0" xfId="0" applyFont="1" applyFill="1" applyAlignment="1">
      <alignment vertical="center"/>
    </xf>
    <xf numFmtId="0" fontId="32" fillId="4" borderId="0" xfId="0" applyFont="1" applyFill="1"/>
    <xf numFmtId="0" fontId="33" fillId="4" borderId="0" xfId="0" applyFont="1" applyFill="1" applyAlignment="1">
      <alignment vertical="center"/>
    </xf>
    <xf numFmtId="0" fontId="0" fillId="4" borderId="0" xfId="0" applyFill="1" applyAlignment="1">
      <alignment vertical="top"/>
    </xf>
    <xf numFmtId="0" fontId="17" fillId="4" borderId="0" xfId="0" applyFont="1" applyFill="1" applyAlignment="1">
      <alignment vertical="center" wrapText="1"/>
    </xf>
    <xf numFmtId="0" fontId="59" fillId="4" borderId="0" xfId="0" applyFont="1" applyFill="1" applyAlignment="1">
      <alignment horizontal="left" vertical="center" indent="2"/>
    </xf>
    <xf numFmtId="0" fontId="15" fillId="4" borderId="0" xfId="0" applyFont="1" applyFill="1" applyAlignment="1">
      <alignment horizontal="left" vertical="center" indent="2"/>
    </xf>
    <xf numFmtId="0" fontId="32" fillId="0" borderId="49" xfId="0" applyFont="1" applyBorder="1" applyAlignment="1">
      <alignment vertical="center"/>
    </xf>
    <xf numFmtId="0" fontId="32" fillId="0" borderId="50" xfId="0" applyFont="1" applyBorder="1" applyAlignment="1">
      <alignment vertical="center" wrapText="1"/>
    </xf>
    <xf numFmtId="0" fontId="32" fillId="0" borderId="51" xfId="0" applyFont="1" applyBorder="1" applyAlignment="1">
      <alignment vertical="center" wrapText="1"/>
    </xf>
    <xf numFmtId="0" fontId="0" fillId="4" borderId="0" xfId="0" applyFill="1" applyAlignment="1">
      <alignment horizontal="left" vertical="center"/>
    </xf>
    <xf numFmtId="0" fontId="32" fillId="0" borderId="53" xfId="0" applyFont="1" applyBorder="1" applyAlignment="1">
      <alignment vertical="center"/>
    </xf>
    <xf numFmtId="0" fontId="32" fillId="0" borderId="54" xfId="0" applyFont="1" applyBorder="1" applyAlignment="1">
      <alignment vertical="center" wrapText="1"/>
    </xf>
    <xf numFmtId="0" fontId="32" fillId="0" borderId="55" xfId="0" applyFont="1" applyBorder="1" applyAlignment="1">
      <alignment vertical="center" wrapText="1"/>
    </xf>
    <xf numFmtId="0" fontId="32" fillId="0" borderId="53" xfId="0" applyFont="1" applyBorder="1" applyAlignment="1">
      <alignment vertical="center" wrapText="1"/>
    </xf>
    <xf numFmtId="0" fontId="32" fillId="0" borderId="56" xfId="0" applyFont="1" applyBorder="1" applyAlignment="1">
      <alignment vertical="center" wrapText="1"/>
    </xf>
    <xf numFmtId="0" fontId="92" fillId="0" borderId="53" xfId="0" applyFont="1" applyBorder="1" applyAlignment="1">
      <alignment vertical="center" wrapText="1"/>
    </xf>
    <xf numFmtId="0" fontId="92" fillId="0" borderId="56" xfId="0" applyFont="1" applyBorder="1" applyAlignment="1">
      <alignment vertical="center" wrapText="1"/>
    </xf>
    <xf numFmtId="0" fontId="32" fillId="4" borderId="52" xfId="0" applyFont="1" applyFill="1" applyBorder="1" applyAlignment="1">
      <alignment horizontal="left" vertical="center" wrapText="1"/>
    </xf>
    <xf numFmtId="0" fontId="32" fillId="0" borderId="60" xfId="0" applyFont="1" applyBorder="1" applyAlignment="1">
      <alignment vertical="center"/>
    </xf>
    <xf numFmtId="0" fontId="32" fillId="0" borderId="60" xfId="0" applyFont="1" applyBorder="1" applyAlignment="1">
      <alignment vertical="center" wrapText="1"/>
    </xf>
    <xf numFmtId="0" fontId="32" fillId="0" borderId="61" xfId="0" applyFont="1" applyBorder="1" applyAlignment="1">
      <alignment vertical="center" wrapText="1"/>
    </xf>
    <xf numFmtId="0" fontId="17" fillId="4" borderId="0" xfId="0" applyFont="1" applyFill="1" applyAlignment="1">
      <alignment vertical="top" wrapText="1"/>
    </xf>
    <xf numFmtId="0" fontId="13" fillId="0" borderId="0" xfId="2" applyAlignment="1">
      <alignment vertical="center"/>
    </xf>
    <xf numFmtId="4" fontId="0" fillId="0" borderId="0" xfId="0" applyNumberFormat="1" applyAlignment="1" applyProtection="1">
      <alignment horizontal="center"/>
      <protection hidden="1"/>
    </xf>
    <xf numFmtId="0" fontId="0" fillId="4" borderId="0" xfId="0" applyFill="1" applyProtection="1">
      <protection hidden="1"/>
    </xf>
    <xf numFmtId="0" fontId="32" fillId="4" borderId="0" xfId="0" applyFont="1" applyFill="1" applyProtection="1">
      <protection hidden="1"/>
    </xf>
    <xf numFmtId="0" fontId="40" fillId="0" borderId="0" xfId="0" applyFont="1" applyProtection="1">
      <protection hidden="1"/>
    </xf>
    <xf numFmtId="0" fontId="29" fillId="39" borderId="0" xfId="0" applyFont="1" applyFill="1"/>
    <xf numFmtId="4" fontId="29" fillId="39" borderId="0" xfId="0" applyNumberFormat="1" applyFont="1" applyFill="1"/>
    <xf numFmtId="0" fontId="62" fillId="40" borderId="0" xfId="0" applyFont="1" applyFill="1"/>
    <xf numFmtId="0" fontId="0" fillId="40" borderId="0" xfId="0" applyFill="1"/>
    <xf numFmtId="4" fontId="0" fillId="40" borderId="0" xfId="0" applyNumberFormat="1" applyFill="1"/>
    <xf numFmtId="0" fontId="16" fillId="40" borderId="0" xfId="0" quotePrefix="1" applyFont="1" applyFill="1" applyAlignment="1">
      <alignment horizontal="left" indent="1"/>
    </xf>
    <xf numFmtId="4" fontId="0" fillId="0" borderId="0" xfId="0" applyNumberFormat="1"/>
    <xf numFmtId="166" fontId="0" fillId="4" borderId="0" xfId="0" applyNumberFormat="1" applyFill="1"/>
    <xf numFmtId="4" fontId="10" fillId="0" borderId="0" xfId="0" applyNumberFormat="1" applyFont="1"/>
    <xf numFmtId="4" fontId="0" fillId="4" borderId="0" xfId="0" applyNumberFormat="1" applyFill="1"/>
    <xf numFmtId="0" fontId="0" fillId="0" borderId="0" xfId="0" applyProtection="1">
      <protection locked="0"/>
    </xf>
    <xf numFmtId="4" fontId="0" fillId="0" borderId="0" xfId="0" applyNumberFormat="1" applyProtection="1">
      <protection locked="0"/>
    </xf>
    <xf numFmtId="0" fontId="98" fillId="0" borderId="0" xfId="0" applyFont="1" applyProtection="1">
      <protection locked="0"/>
    </xf>
    <xf numFmtId="0" fontId="8" fillId="0" borderId="0" xfId="0" applyFont="1" applyProtection="1">
      <protection locked="0"/>
    </xf>
    <xf numFmtId="0" fontId="99" fillId="0" borderId="0" xfId="0" applyFont="1" applyProtection="1">
      <protection locked="0"/>
    </xf>
    <xf numFmtId="0" fontId="9" fillId="0" borderId="0" xfId="0" applyFont="1" applyProtection="1">
      <protection locked="0"/>
    </xf>
    <xf numFmtId="0" fontId="7" fillId="39" borderId="63" xfId="0" applyFont="1" applyFill="1" applyBorder="1" applyAlignment="1" applyProtection="1">
      <alignment horizontal="center"/>
      <protection locked="0"/>
    </xf>
    <xf numFmtId="0" fontId="7" fillId="39" borderId="64" xfId="0" applyFont="1" applyFill="1" applyBorder="1" applyProtection="1">
      <protection locked="0"/>
    </xf>
    <xf numFmtId="0" fontId="7" fillId="39" borderId="64" xfId="0" applyFont="1" applyFill="1" applyBorder="1" applyAlignment="1" applyProtection="1">
      <alignment wrapText="1"/>
      <protection locked="0"/>
    </xf>
    <xf numFmtId="4" fontId="7" fillId="39" borderId="42" xfId="0" applyNumberFormat="1" applyFont="1" applyFill="1" applyBorder="1" applyAlignment="1" applyProtection="1">
      <alignment horizontal="center" wrapText="1"/>
      <protection locked="0"/>
    </xf>
    <xf numFmtId="0" fontId="8" fillId="0" borderId="65" xfId="0" applyFont="1" applyBorder="1" applyAlignment="1" applyProtection="1">
      <alignment horizontal="center"/>
      <protection locked="0"/>
    </xf>
    <xf numFmtId="0" fontId="100" fillId="40" borderId="65" xfId="0" applyFont="1" applyFill="1" applyBorder="1" applyAlignment="1" applyProtection="1">
      <alignment horizontal="left" vertical="center"/>
      <protection locked="0"/>
    </xf>
    <xf numFmtId="0" fontId="100" fillId="40" borderId="65" xfId="0" applyFont="1" applyFill="1" applyBorder="1" applyAlignment="1" applyProtection="1">
      <alignment horizontal="left" vertical="center" wrapText="1"/>
      <protection locked="0"/>
    </xf>
    <xf numFmtId="176" fontId="100" fillId="40" borderId="65" xfId="0" applyNumberFormat="1" applyFont="1" applyFill="1" applyBorder="1" applyAlignment="1" applyProtection="1">
      <alignment horizontal="center" vertical="center"/>
      <protection locked="0"/>
    </xf>
    <xf numFmtId="164" fontId="100" fillId="40" borderId="65" xfId="0" applyNumberFormat="1" applyFont="1" applyFill="1" applyBorder="1" applyAlignment="1" applyProtection="1">
      <alignment horizontal="center" vertical="center" wrapText="1"/>
      <protection locked="0"/>
    </xf>
    <xf numFmtId="0" fontId="11" fillId="40" borderId="65" xfId="0" applyFont="1" applyFill="1" applyBorder="1" applyAlignment="1" applyProtection="1">
      <alignment horizontal="left" vertical="center"/>
      <protection locked="0"/>
    </xf>
    <xf numFmtId="0" fontId="11" fillId="40" borderId="65" xfId="0" applyFont="1" applyFill="1" applyBorder="1" applyAlignment="1" applyProtection="1">
      <alignment horizontal="left" vertical="center" wrapText="1"/>
      <protection locked="0"/>
    </xf>
    <xf numFmtId="176" fontId="11" fillId="40" borderId="65" xfId="0" applyNumberFormat="1" applyFont="1" applyFill="1" applyBorder="1" applyAlignment="1" applyProtection="1">
      <alignment horizontal="center" vertical="center"/>
      <protection locked="0"/>
    </xf>
    <xf numFmtId="164" fontId="11" fillId="40" borderId="65" xfId="0" applyNumberFormat="1" applyFont="1" applyFill="1" applyBorder="1" applyAlignment="1" applyProtection="1">
      <alignment horizontal="center" vertical="center" wrapText="1"/>
      <protection locked="0"/>
    </xf>
    <xf numFmtId="0" fontId="0" fillId="0" borderId="45" xfId="0" applyBorder="1" applyProtection="1">
      <protection locked="0"/>
    </xf>
    <xf numFmtId="0" fontId="0" fillId="0" borderId="45" xfId="0" applyBorder="1" applyAlignment="1" applyProtection="1">
      <alignment horizontal="right" vertical="center"/>
      <protection locked="0"/>
    </xf>
    <xf numFmtId="0" fontId="7" fillId="39" borderId="0" xfId="0" applyFont="1" applyFill="1" applyProtection="1">
      <protection locked="0"/>
    </xf>
    <xf numFmtId="4" fontId="11" fillId="40" borderId="65" xfId="0" applyNumberFormat="1" applyFont="1" applyFill="1" applyBorder="1" applyAlignment="1" applyProtection="1">
      <alignment horizontal="center" vertical="center"/>
      <protection locked="0"/>
    </xf>
    <xf numFmtId="0" fontId="15" fillId="0" borderId="0" xfId="0" applyFont="1" applyProtection="1">
      <protection locked="0"/>
    </xf>
    <xf numFmtId="0" fontId="0" fillId="0" borderId="0" xfId="0" applyAlignment="1" applyProtection="1">
      <alignment horizontal="right"/>
      <protection locked="0"/>
    </xf>
    <xf numFmtId="3" fontId="0" fillId="0" borderId="0" xfId="0" applyNumberFormat="1" applyAlignment="1" applyProtection="1">
      <alignment horizontal="center"/>
      <protection locked="0"/>
    </xf>
    <xf numFmtId="0" fontId="95" fillId="0" borderId="0" xfId="0" applyFont="1" applyProtection="1">
      <protection locked="0"/>
    </xf>
    <xf numFmtId="0" fontId="7" fillId="39" borderId="0" xfId="0" applyFont="1" applyFill="1" applyAlignment="1" applyProtection="1">
      <alignment horizontal="center"/>
      <protection locked="0"/>
    </xf>
    <xf numFmtId="0" fontId="7" fillId="39" borderId="0" xfId="0" applyFont="1" applyFill="1" applyAlignment="1" applyProtection="1">
      <alignment horizontal="center" wrapText="1"/>
      <protection locked="0"/>
    </xf>
    <xf numFmtId="0" fontId="8" fillId="0" borderId="44" xfId="0" applyFont="1" applyBorder="1" applyAlignment="1" applyProtection="1">
      <alignment horizontal="center"/>
      <protection locked="0"/>
    </xf>
    <xf numFmtId="0" fontId="100" fillId="40" borderId="44" xfId="0" applyFont="1" applyFill="1" applyBorder="1" applyProtection="1">
      <protection locked="0"/>
    </xf>
    <xf numFmtId="43" fontId="100" fillId="40" borderId="44" xfId="68" applyFont="1" applyFill="1" applyBorder="1" applyProtection="1">
      <protection locked="0"/>
    </xf>
    <xf numFmtId="43" fontId="100" fillId="40" borderId="44" xfId="68" applyFont="1" applyFill="1" applyBorder="1" applyAlignment="1" applyProtection="1">
      <alignment horizontal="left"/>
      <protection locked="0"/>
    </xf>
    <xf numFmtId="0" fontId="11" fillId="40" borderId="44" xfId="0" applyFont="1" applyFill="1" applyBorder="1" applyProtection="1">
      <protection locked="0"/>
    </xf>
    <xf numFmtId="43" fontId="11" fillId="40" borderId="44" xfId="68" applyFont="1" applyFill="1" applyBorder="1" applyProtection="1">
      <protection locked="0"/>
    </xf>
    <xf numFmtId="164" fontId="11" fillId="40" borderId="44" xfId="0" applyNumberFormat="1" applyFont="1" applyFill="1" applyBorder="1" applyAlignment="1" applyProtection="1">
      <alignment horizontal="center"/>
      <protection locked="0"/>
    </xf>
    <xf numFmtId="43" fontId="11" fillId="40" borderId="44" xfId="68" applyFont="1" applyFill="1" applyBorder="1" applyAlignment="1" applyProtection="1">
      <alignment horizontal="center"/>
      <protection locked="0"/>
    </xf>
    <xf numFmtId="176" fontId="11" fillId="40" borderId="44" xfId="0" applyNumberFormat="1" applyFont="1" applyFill="1" applyBorder="1" applyProtection="1">
      <protection locked="0"/>
    </xf>
    <xf numFmtId="0" fontId="11" fillId="0" borderId="70" xfId="0" applyFont="1" applyBorder="1" applyAlignment="1" applyProtection="1">
      <alignment horizontal="right"/>
      <protection locked="0"/>
    </xf>
    <xf numFmtId="0" fontId="7" fillId="39" borderId="0" xfId="0" applyFont="1" applyFill="1" applyAlignment="1" applyProtection="1">
      <alignment wrapText="1"/>
      <protection locked="0"/>
    </xf>
    <xf numFmtId="0" fontId="0" fillId="40" borderId="44" xfId="0" applyFill="1" applyBorder="1" applyProtection="1">
      <protection locked="0"/>
    </xf>
    <xf numFmtId="4" fontId="11" fillId="40" borderId="44" xfId="0" applyNumberFormat="1" applyFont="1" applyFill="1" applyBorder="1" applyAlignment="1" applyProtection="1">
      <alignment horizontal="center"/>
      <protection locked="0"/>
    </xf>
    <xf numFmtId="3" fontId="11" fillId="40" borderId="44" xfId="0" applyNumberFormat="1" applyFont="1" applyFill="1" applyBorder="1" applyAlignment="1" applyProtection="1">
      <alignment horizontal="center"/>
      <protection locked="0"/>
    </xf>
    <xf numFmtId="0" fontId="8" fillId="0" borderId="0" xfId="0" applyFont="1" applyAlignment="1" applyProtection="1">
      <alignment horizontal="center"/>
      <protection locked="0"/>
    </xf>
    <xf numFmtId="0" fontId="11" fillId="0" borderId="0" xfId="0" applyFont="1" applyProtection="1">
      <protection locked="0"/>
    </xf>
    <xf numFmtId="4" fontId="11" fillId="0" borderId="0" xfId="0" applyNumberFormat="1" applyFont="1" applyAlignment="1" applyProtection="1">
      <alignment horizontal="center"/>
      <protection locked="0"/>
    </xf>
    <xf numFmtId="3" fontId="11" fillId="0" borderId="0" xfId="0" applyNumberFormat="1" applyFont="1" applyAlignment="1" applyProtection="1">
      <alignment horizontal="center"/>
      <protection locked="0"/>
    </xf>
    <xf numFmtId="0" fontId="94" fillId="0" borderId="0" xfId="0" applyFont="1"/>
    <xf numFmtId="44" fontId="11" fillId="40" borderId="44" xfId="0" applyNumberFormat="1" applyFont="1" applyFill="1" applyBorder="1" applyProtection="1">
      <protection locked="0"/>
    </xf>
    <xf numFmtId="0" fontId="11" fillId="40" borderId="44" xfId="0" applyFont="1" applyFill="1" applyBorder="1" applyAlignment="1" applyProtection="1">
      <alignment horizontal="center"/>
      <protection locked="0"/>
    </xf>
    <xf numFmtId="3" fontId="0" fillId="40" borderId="44" xfId="0" applyNumberFormat="1" applyFill="1" applyBorder="1" applyAlignment="1" applyProtection="1">
      <alignment horizontal="center"/>
      <protection locked="0"/>
    </xf>
    <xf numFmtId="0" fontId="11" fillId="0" borderId="0" xfId="0" applyFont="1" applyAlignment="1" applyProtection="1">
      <alignment horizontal="right"/>
      <protection locked="0"/>
    </xf>
    <xf numFmtId="0" fontId="101" fillId="0" borderId="0" xfId="0" quotePrefix="1" applyFont="1" applyProtection="1">
      <protection locked="0"/>
    </xf>
    <xf numFmtId="0" fontId="81" fillId="0" borderId="0" xfId="0" applyFont="1" applyAlignment="1" applyProtection="1">
      <alignment horizontal="center"/>
      <protection locked="0"/>
    </xf>
    <xf numFmtId="39" fontId="100" fillId="0" borderId="44" xfId="0" applyNumberFormat="1" applyFont="1" applyBorder="1" applyAlignment="1" applyProtection="1">
      <alignment horizontal="center"/>
      <protection hidden="1"/>
    </xf>
    <xf numFmtId="39" fontId="11" fillId="0" borderId="44" xfId="0" applyNumberFormat="1" applyFont="1" applyBorder="1" applyAlignment="1" applyProtection="1">
      <alignment horizontal="center"/>
      <protection hidden="1"/>
    </xf>
    <xf numFmtId="0" fontId="0" fillId="0" borderId="74" xfId="0" applyBorder="1"/>
    <xf numFmtId="0" fontId="0" fillId="0" borderId="75" xfId="0" applyBorder="1" applyAlignment="1">
      <alignment wrapText="1"/>
    </xf>
    <xf numFmtId="0" fontId="0" fillId="0" borderId="76" xfId="0" applyBorder="1"/>
    <xf numFmtId="0" fontId="0" fillId="0" borderId="14" xfId="0" applyBorder="1" applyAlignment="1">
      <alignment horizontal="center" vertical="center"/>
    </xf>
    <xf numFmtId="0" fontId="0" fillId="0" borderId="15" xfId="0" applyBorder="1" applyAlignment="1">
      <alignment wrapText="1"/>
    </xf>
    <xf numFmtId="0" fontId="0" fillId="0" borderId="70" xfId="0" applyBorder="1" applyAlignment="1" applyProtection="1">
      <alignment horizontal="right"/>
      <protection locked="0"/>
    </xf>
    <xf numFmtId="3" fontId="0" fillId="0" borderId="71" xfId="0" applyNumberFormat="1" applyBorder="1" applyAlignment="1">
      <alignment horizontal="center"/>
    </xf>
    <xf numFmtId="0" fontId="8" fillId="0" borderId="0" xfId="0" applyFont="1" applyAlignment="1" applyProtection="1">
      <alignment horizontal="right"/>
      <protection locked="0"/>
    </xf>
    <xf numFmtId="0" fontId="102" fillId="0" borderId="0" xfId="0" applyFont="1"/>
    <xf numFmtId="0" fontId="103" fillId="0" borderId="0" xfId="0" applyFont="1"/>
    <xf numFmtId="0" fontId="104" fillId="0" borderId="0" xfId="0" applyFont="1"/>
    <xf numFmtId="0" fontId="106" fillId="0" borderId="0" xfId="0" applyFont="1"/>
    <xf numFmtId="0" fontId="108" fillId="0" borderId="0" xfId="0" applyFont="1" applyAlignment="1">
      <alignment vertical="center"/>
    </xf>
    <xf numFmtId="0" fontId="106" fillId="0" borderId="0" xfId="0" applyFont="1" applyAlignment="1">
      <alignment vertical="center"/>
    </xf>
    <xf numFmtId="0" fontId="109" fillId="0" borderId="0" xfId="0" applyFont="1" applyAlignment="1">
      <alignment horizontal="left" vertical="center"/>
    </xf>
    <xf numFmtId="0" fontId="103" fillId="0" borderId="0" xfId="0" applyFont="1" applyAlignment="1">
      <alignment horizontal="left" vertical="center"/>
    </xf>
    <xf numFmtId="0" fontId="105" fillId="0" borderId="0" xfId="0" applyFont="1"/>
    <xf numFmtId="0" fontId="104" fillId="0" borderId="0" xfId="0" applyFont="1" applyAlignment="1">
      <alignment vertical="center"/>
    </xf>
    <xf numFmtId="0" fontId="103" fillId="0" borderId="0" xfId="0" applyFont="1" applyAlignment="1">
      <alignment vertical="center"/>
    </xf>
    <xf numFmtId="0" fontId="110" fillId="0" borderId="0" xfId="0" applyFont="1" applyAlignment="1">
      <alignment horizontal="left" vertical="center"/>
    </xf>
    <xf numFmtId="0" fontId="112" fillId="0" borderId="0" xfId="0" applyFont="1" applyAlignment="1">
      <alignment horizontal="left" vertical="center"/>
    </xf>
    <xf numFmtId="0" fontId="103" fillId="0" borderId="0" xfId="0" applyFont="1" applyAlignment="1">
      <alignment horizontal="left" indent="1"/>
    </xf>
    <xf numFmtId="0" fontId="53" fillId="0" borderId="0" xfId="0" applyFont="1" applyAlignment="1">
      <alignment horizontal="left" vertical="center" indent="1"/>
    </xf>
    <xf numFmtId="0" fontId="53" fillId="0" borderId="0" xfId="0" applyFont="1" applyAlignment="1">
      <alignment vertical="center"/>
    </xf>
    <xf numFmtId="0" fontId="53" fillId="0" borderId="0" xfId="0" applyFont="1" applyAlignment="1">
      <alignment horizontal="left" vertical="center"/>
    </xf>
    <xf numFmtId="0" fontId="114" fillId="40" borderId="0" xfId="0" applyFont="1" applyFill="1"/>
    <xf numFmtId="0" fontId="16" fillId="40" borderId="0" xfId="0" quotePrefix="1" applyFont="1" applyFill="1" applyAlignment="1">
      <alignment horizontal="left" indent="2"/>
    </xf>
    <xf numFmtId="0" fontId="62" fillId="4" borderId="0" xfId="0" applyFont="1" applyFill="1"/>
    <xf numFmtId="0" fontId="16" fillId="4" borderId="0" xfId="0" quotePrefix="1" applyFont="1" applyFill="1" applyAlignment="1">
      <alignment horizontal="left" indent="1"/>
    </xf>
    <xf numFmtId="0" fontId="16" fillId="4" borderId="0" xfId="0" quotePrefix="1" applyFont="1" applyFill="1" applyAlignment="1">
      <alignment horizontal="left" indent="3"/>
    </xf>
    <xf numFmtId="0" fontId="98" fillId="0" borderId="0" xfId="0" applyFont="1"/>
    <xf numFmtId="0" fontId="99" fillId="0" borderId="0" xfId="0" applyFont="1"/>
    <xf numFmtId="0" fontId="7" fillId="39" borderId="0" xfId="0" applyFont="1" applyFill="1" applyAlignment="1">
      <alignment horizontal="center"/>
    </xf>
    <xf numFmtId="0" fontId="7" fillId="39" borderId="0" xfId="0" applyFont="1" applyFill="1"/>
    <xf numFmtId="0" fontId="8" fillId="0" borderId="44" xfId="0" applyFont="1" applyBorder="1" applyAlignment="1">
      <alignment horizontal="center"/>
    </xf>
    <xf numFmtId="3" fontId="100" fillId="40" borderId="44" xfId="0" applyNumberFormat="1" applyFont="1" applyFill="1" applyBorder="1" applyProtection="1">
      <protection locked="0"/>
    </xf>
    <xf numFmtId="164" fontId="100" fillId="0" borderId="44" xfId="0" applyNumberFormat="1" applyFont="1" applyBorder="1" applyAlignment="1" applyProtection="1">
      <alignment horizontal="center"/>
      <protection hidden="1"/>
    </xf>
    <xf numFmtId="4" fontId="100" fillId="0" borderId="44" xfId="0" applyNumberFormat="1" applyFont="1" applyBorder="1" applyAlignment="1" applyProtection="1">
      <alignment horizontal="center"/>
      <protection hidden="1"/>
    </xf>
    <xf numFmtId="3" fontId="11" fillId="40" borderId="44" xfId="0" applyNumberFormat="1" applyFont="1" applyFill="1" applyBorder="1" applyProtection="1">
      <protection locked="0"/>
    </xf>
    <xf numFmtId="164" fontId="11" fillId="0" borderId="44" xfId="0" applyNumberFormat="1" applyFont="1" applyBorder="1" applyAlignment="1" applyProtection="1">
      <alignment horizontal="center"/>
      <protection hidden="1"/>
    </xf>
    <xf numFmtId="4" fontId="11" fillId="0" borderId="44" xfId="0" applyNumberFormat="1" applyFont="1" applyBorder="1" applyAlignment="1" applyProtection="1">
      <alignment horizontal="center"/>
      <protection hidden="1"/>
    </xf>
    <xf numFmtId="0" fontId="8" fillId="0" borderId="70" xfId="0" applyFont="1" applyBorder="1" applyAlignment="1">
      <alignment horizontal="right"/>
    </xf>
    <xf numFmtId="0" fontId="7" fillId="39" borderId="0" xfId="0" applyFont="1" applyFill="1" applyAlignment="1">
      <alignment wrapText="1"/>
    </xf>
    <xf numFmtId="0" fontId="7" fillId="39" borderId="0" xfId="0" applyFont="1" applyFill="1" applyAlignment="1">
      <alignment horizontal="center" wrapText="1"/>
    </xf>
    <xf numFmtId="3" fontId="11" fillId="0" borderId="44" xfId="0" applyNumberFormat="1" applyFont="1" applyBorder="1" applyAlignment="1" applyProtection="1">
      <alignment horizontal="center"/>
      <protection hidden="1"/>
    </xf>
    <xf numFmtId="0" fontId="0" fillId="0" borderId="70" xfId="0" applyBorder="1" applyAlignment="1">
      <alignment horizontal="right"/>
    </xf>
    <xf numFmtId="0" fontId="0" fillId="40" borderId="0" xfId="0" applyFill="1" applyAlignment="1">
      <alignment horizontal="center"/>
    </xf>
    <xf numFmtId="0" fontId="74" fillId="40" borderId="0" xfId="0" quotePrefix="1" applyFont="1" applyFill="1" applyAlignment="1">
      <alignment horizontal="left" vertical="top" indent="1"/>
    </xf>
    <xf numFmtId="0" fontId="16" fillId="40" borderId="0" xfId="0" quotePrefix="1" applyFont="1" applyFill="1" applyAlignment="1">
      <alignment vertical="top" wrapText="1"/>
    </xf>
    <xf numFmtId="0" fontId="0" fillId="0" borderId="0" xfId="0" applyAlignment="1">
      <alignment horizontal="left"/>
    </xf>
    <xf numFmtId="0" fontId="79" fillId="0" borderId="0" xfId="0" applyFont="1" applyAlignment="1">
      <alignment horizontal="center" vertical="center" wrapText="1"/>
    </xf>
    <xf numFmtId="0" fontId="81" fillId="0" borderId="0" xfId="0" applyFont="1" applyAlignment="1">
      <alignment horizontal="center"/>
    </xf>
    <xf numFmtId="0" fontId="8" fillId="0" borderId="0" xfId="0" applyFont="1" applyAlignment="1">
      <alignment horizontal="center" vertical="center" wrapText="1"/>
    </xf>
    <xf numFmtId="0" fontId="56" fillId="51" borderId="32" xfId="0" applyFont="1" applyFill="1" applyBorder="1"/>
    <xf numFmtId="4" fontId="56" fillId="39" borderId="77" xfId="0" applyNumberFormat="1" applyFont="1" applyFill="1" applyBorder="1" applyAlignment="1">
      <alignment horizontal="center" wrapText="1"/>
    </xf>
    <xf numFmtId="4" fontId="56" fillId="39" borderId="63" xfId="0" applyNumberFormat="1" applyFont="1" applyFill="1" applyBorder="1" applyAlignment="1">
      <alignment horizontal="center" wrapText="1"/>
    </xf>
    <xf numFmtId="0" fontId="56" fillId="51" borderId="39" xfId="0" applyFont="1" applyFill="1" applyBorder="1" applyAlignment="1">
      <alignment horizontal="center" wrapText="1"/>
    </xf>
    <xf numFmtId="0" fontId="56" fillId="51" borderId="32" xfId="0" applyFont="1" applyFill="1" applyBorder="1" applyAlignment="1">
      <alignment wrapText="1"/>
    </xf>
    <xf numFmtId="0" fontId="0" fillId="0" borderId="44" xfId="0" applyBorder="1" applyAlignment="1" applyProtection="1">
      <alignment wrapText="1"/>
      <protection hidden="1"/>
    </xf>
    <xf numFmtId="0" fontId="29" fillId="39" borderId="0" xfId="0" applyFont="1" applyFill="1" applyAlignment="1">
      <alignment vertical="center"/>
    </xf>
    <xf numFmtId="39" fontId="0" fillId="0" borderId="0" xfId="0" applyNumberFormat="1"/>
    <xf numFmtId="0" fontId="41" fillId="0" borderId="0" xfId="0" quotePrefix="1" applyFont="1"/>
    <xf numFmtId="0" fontId="73" fillId="40" borderId="0" xfId="0" quotePrefix="1" applyFont="1" applyFill="1" applyAlignment="1">
      <alignment horizontal="left" indent="1"/>
    </xf>
    <xf numFmtId="0" fontId="95" fillId="0" borderId="0" xfId="0" applyFont="1"/>
    <xf numFmtId="0" fontId="115" fillId="0" borderId="0" xfId="0" applyFont="1" applyAlignment="1">
      <alignment horizontal="left" wrapText="1" indent="2"/>
    </xf>
    <xf numFmtId="0" fontId="100" fillId="40" borderId="44" xfId="0" applyFont="1" applyFill="1" applyBorder="1"/>
    <xf numFmtId="4" fontId="100" fillId="40" borderId="44" xfId="0" applyNumberFormat="1" applyFont="1" applyFill="1" applyBorder="1" applyAlignment="1" applyProtection="1">
      <alignment horizontal="center"/>
      <protection locked="0"/>
    </xf>
    <xf numFmtId="3" fontId="100" fillId="0" borderId="44" xfId="0" applyNumberFormat="1" applyFont="1" applyBorder="1" applyAlignment="1" applyProtection="1">
      <alignment horizontal="center"/>
      <protection hidden="1"/>
    </xf>
    <xf numFmtId="4" fontId="0" fillId="40" borderId="44" xfId="0" applyNumberFormat="1" applyFill="1" applyBorder="1" applyAlignment="1" applyProtection="1">
      <alignment horizontal="center"/>
      <protection locked="0"/>
    </xf>
    <xf numFmtId="167" fontId="0" fillId="0" borderId="71" xfId="0" applyNumberFormat="1" applyBorder="1" applyAlignment="1">
      <alignment horizontal="center"/>
    </xf>
    <xf numFmtId="39" fontId="0" fillId="40" borderId="0" xfId="0" applyNumberFormat="1" applyFill="1"/>
    <xf numFmtId="0" fontId="16" fillId="0" borderId="0" xfId="0" quotePrefix="1" applyFont="1" applyAlignment="1">
      <alignment horizontal="left" indent="1"/>
    </xf>
    <xf numFmtId="0" fontId="101" fillId="0" borderId="0" xfId="0" quotePrefix="1" applyFont="1"/>
    <xf numFmtId="0" fontId="0" fillId="0" borderId="0" xfId="0" applyAlignment="1">
      <alignment horizontal="right"/>
    </xf>
    <xf numFmtId="0" fontId="62" fillId="40" borderId="0" xfId="0" quotePrefix="1" applyFont="1" applyFill="1" applyAlignment="1">
      <alignment horizontal="left" indent="1"/>
    </xf>
    <xf numFmtId="0" fontId="62" fillId="40" borderId="0" xfId="0" quotePrefix="1" applyFont="1" applyFill="1" applyAlignment="1">
      <alignment horizontal="left" indent="2"/>
    </xf>
    <xf numFmtId="0" fontId="11" fillId="0" borderId="44" xfId="0" applyFont="1" applyBorder="1" applyAlignment="1" applyProtection="1">
      <alignment horizontal="center"/>
      <protection hidden="1"/>
    </xf>
    <xf numFmtId="0" fontId="100" fillId="0" borderId="44" xfId="0" applyFont="1" applyBorder="1" applyAlignment="1" applyProtection="1">
      <alignment horizontal="center"/>
      <protection hidden="1"/>
    </xf>
    <xf numFmtId="0" fontId="16" fillId="40" borderId="0" xfId="0" quotePrefix="1" applyFont="1" applyFill="1" applyAlignment="1">
      <alignment horizontal="left" indent="3"/>
    </xf>
    <xf numFmtId="0" fontId="73" fillId="40" borderId="0" xfId="0" quotePrefix="1" applyFont="1" applyFill="1" applyAlignment="1">
      <alignment horizontal="left" indent="3"/>
    </xf>
    <xf numFmtId="3" fontId="100" fillId="40" borderId="44" xfId="0" applyNumberFormat="1" applyFont="1" applyFill="1" applyBorder="1" applyAlignment="1" applyProtection="1">
      <alignment horizontal="center"/>
      <protection locked="0"/>
    </xf>
    <xf numFmtId="0" fontId="100" fillId="40" borderId="44" xfId="0" applyFont="1" applyFill="1" applyBorder="1" applyAlignment="1" applyProtection="1">
      <alignment horizontal="center"/>
      <protection locked="0"/>
    </xf>
    <xf numFmtId="0" fontId="0" fillId="40" borderId="44" xfId="0" applyFill="1" applyBorder="1" applyAlignment="1" applyProtection="1">
      <alignment horizontal="center"/>
      <protection locked="0"/>
    </xf>
    <xf numFmtId="0" fontId="10" fillId="0" borderId="70" xfId="0" applyFont="1" applyBorder="1" applyAlignment="1">
      <alignment horizontal="right"/>
    </xf>
    <xf numFmtId="3" fontId="10" fillId="0" borderId="71" xfId="0" applyNumberFormat="1" applyFont="1" applyBorder="1" applyAlignment="1" applyProtection="1">
      <alignment horizontal="center"/>
      <protection locked="0"/>
    </xf>
    <xf numFmtId="3" fontId="0" fillId="40" borderId="44" xfId="0" applyNumberFormat="1" applyFill="1" applyBorder="1" applyProtection="1">
      <protection locked="0"/>
    </xf>
    <xf numFmtId="0" fontId="10" fillId="0" borderId="0" xfId="0" applyFont="1"/>
    <xf numFmtId="177" fontId="0" fillId="0" borderId="0" xfId="68" applyNumberFormat="1" applyFont="1"/>
    <xf numFmtId="0" fontId="114" fillId="40" borderId="0" xfId="0" applyFont="1" applyFill="1" applyProtection="1">
      <protection hidden="1"/>
    </xf>
    <xf numFmtId="0" fontId="16" fillId="40" borderId="0" xfId="0" quotePrefix="1" applyFont="1" applyFill="1" applyAlignment="1" applyProtection="1">
      <alignment horizontal="left" indent="3"/>
      <protection hidden="1"/>
    </xf>
    <xf numFmtId="0" fontId="73" fillId="40" borderId="0" xfId="0" quotePrefix="1" applyFont="1" applyFill="1" applyAlignment="1" applyProtection="1">
      <alignment horizontal="left" indent="3"/>
      <protection hidden="1"/>
    </xf>
    <xf numFmtId="0" fontId="0" fillId="52" borderId="0" xfId="0" applyFill="1" applyProtection="1">
      <protection hidden="1"/>
    </xf>
    <xf numFmtId="0" fontId="95" fillId="0" borderId="0" xfId="0" applyFont="1" applyProtection="1">
      <protection hidden="1"/>
    </xf>
    <xf numFmtId="0" fontId="98" fillId="0" borderId="0" xfId="0" applyFont="1" applyProtection="1">
      <protection hidden="1"/>
    </xf>
    <xf numFmtId="0" fontId="99" fillId="0" borderId="0" xfId="0" applyFont="1" applyProtection="1">
      <protection hidden="1"/>
    </xf>
    <xf numFmtId="0" fontId="10" fillId="52" borderId="0" xfId="0" applyFont="1" applyFill="1" applyProtection="1">
      <protection hidden="1"/>
    </xf>
    <xf numFmtId="0" fontId="9" fillId="0" borderId="0" xfId="0" applyFont="1" applyProtection="1">
      <protection hidden="1"/>
    </xf>
    <xf numFmtId="0" fontId="7" fillId="39" borderId="0" xfId="0" applyFont="1" applyFill="1" applyAlignment="1" applyProtection="1">
      <alignment horizontal="center"/>
      <protection hidden="1"/>
    </xf>
    <xf numFmtId="0" fontId="7" fillId="39" borderId="0" xfId="0" applyFont="1" applyFill="1" applyProtection="1">
      <protection hidden="1"/>
    </xf>
    <xf numFmtId="0" fontId="8" fillId="0" borderId="44" xfId="0" applyFont="1" applyBorder="1" applyAlignment="1" applyProtection="1">
      <alignment horizontal="center"/>
      <protection hidden="1"/>
    </xf>
    <xf numFmtId="44" fontId="100" fillId="40" borderId="44" xfId="0" applyNumberFormat="1" applyFont="1" applyFill="1" applyBorder="1" applyProtection="1">
      <protection locked="0"/>
    </xf>
    <xf numFmtId="37" fontId="100" fillId="40" borderId="44" xfId="0" applyNumberFormat="1" applyFont="1" applyFill="1" applyBorder="1" applyAlignment="1" applyProtection="1">
      <alignment horizontal="center"/>
      <protection locked="0"/>
    </xf>
    <xf numFmtId="37" fontId="100" fillId="0" borderId="44" xfId="0" applyNumberFormat="1" applyFont="1" applyBorder="1" applyAlignment="1" applyProtection="1">
      <alignment horizontal="center"/>
      <protection hidden="1"/>
    </xf>
    <xf numFmtId="44" fontId="0" fillId="40" borderId="44" xfId="0" applyNumberFormat="1" applyFill="1" applyBorder="1" applyProtection="1">
      <protection locked="0"/>
    </xf>
    <xf numFmtId="37" fontId="0" fillId="40" borderId="44" xfId="0" applyNumberFormat="1" applyFill="1" applyBorder="1" applyAlignment="1" applyProtection="1">
      <alignment horizontal="center"/>
      <protection locked="0"/>
    </xf>
    <xf numFmtId="37" fontId="0" fillId="0" borderId="44" xfId="0" applyNumberFormat="1" applyBorder="1" applyAlignment="1" applyProtection="1">
      <alignment horizontal="center"/>
      <protection hidden="1"/>
    </xf>
    <xf numFmtId="0" fontId="0" fillId="0" borderId="70" xfId="0" applyBorder="1" applyAlignment="1" applyProtection="1">
      <alignment horizontal="right"/>
      <protection hidden="1"/>
    </xf>
    <xf numFmtId="0" fontId="0" fillId="0" borderId="0" xfId="0" applyAlignment="1" applyProtection="1">
      <alignment horizontal="right"/>
      <protection hidden="1"/>
    </xf>
    <xf numFmtId="3" fontId="0" fillId="0" borderId="0" xfId="0" applyNumberFormat="1" applyAlignment="1" applyProtection="1">
      <alignment horizontal="center"/>
      <protection hidden="1"/>
    </xf>
    <xf numFmtId="0" fontId="74" fillId="40" borderId="0" xfId="0" quotePrefix="1" applyFont="1" applyFill="1" applyAlignment="1">
      <alignment horizontal="left" indent="1"/>
    </xf>
    <xf numFmtId="3" fontId="100" fillId="0" borderId="44" xfId="0" applyNumberFormat="1" applyFont="1" applyBorder="1" applyAlignment="1">
      <alignment horizontal="center"/>
    </xf>
    <xf numFmtId="37" fontId="100" fillId="40" borderId="44" xfId="68" applyNumberFormat="1" applyFont="1" applyFill="1" applyBorder="1" applyAlignment="1" applyProtection="1">
      <alignment horizontal="center"/>
      <protection locked="0"/>
    </xf>
    <xf numFmtId="178" fontId="116" fillId="0" borderId="44" xfId="0" applyNumberFormat="1" applyFont="1" applyBorder="1" applyAlignment="1">
      <alignment horizontal="center"/>
    </xf>
    <xf numFmtId="0" fontId="0" fillId="49" borderId="0" xfId="0" applyFill="1"/>
    <xf numFmtId="0" fontId="74" fillId="40" borderId="0" xfId="0" quotePrefix="1" applyFont="1" applyFill="1" applyAlignment="1" applyProtection="1">
      <alignment horizontal="left" indent="3"/>
      <protection hidden="1"/>
    </xf>
    <xf numFmtId="0" fontId="7" fillId="39" borderId="0" xfId="0" applyFont="1" applyFill="1" applyAlignment="1" applyProtection="1">
      <alignment horizontal="center" wrapText="1"/>
      <protection hidden="1"/>
    </xf>
    <xf numFmtId="4" fontId="0" fillId="0" borderId="71" xfId="0" applyNumberFormat="1" applyBorder="1" applyAlignment="1">
      <alignment horizontal="center"/>
    </xf>
    <xf numFmtId="0" fontId="8" fillId="0" borderId="0" xfId="0" applyFont="1" applyAlignment="1">
      <alignment horizontal="center"/>
    </xf>
    <xf numFmtId="0" fontId="74" fillId="40" borderId="0" xfId="0" quotePrefix="1" applyFont="1" applyFill="1" applyAlignment="1" applyProtection="1">
      <alignment horizontal="left" indent="1"/>
      <protection hidden="1"/>
    </xf>
    <xf numFmtId="0" fontId="62" fillId="40" borderId="0" xfId="0" quotePrefix="1" applyFont="1" applyFill="1" applyAlignment="1" applyProtection="1">
      <alignment horizontal="left" indent="1"/>
      <protection hidden="1"/>
    </xf>
    <xf numFmtId="166" fontId="0" fillId="4" borderId="0" xfId="0" applyNumberFormat="1" applyFill="1" applyProtection="1">
      <protection hidden="1"/>
    </xf>
    <xf numFmtId="0" fontId="7" fillId="39" borderId="0" xfId="0" applyFont="1" applyFill="1" applyAlignment="1" applyProtection="1">
      <alignment wrapText="1"/>
      <protection hidden="1"/>
    </xf>
    <xf numFmtId="5" fontId="100" fillId="40" borderId="44" xfId="0" applyNumberFormat="1" applyFont="1" applyFill="1" applyBorder="1" applyProtection="1">
      <protection locked="0"/>
    </xf>
    <xf numFmtId="9" fontId="100" fillId="40" borderId="44" xfId="1" applyFont="1" applyFill="1" applyBorder="1" applyProtection="1">
      <protection locked="0"/>
    </xf>
    <xf numFmtId="0" fontId="13" fillId="0" borderId="0" xfId="2" applyAlignment="1" applyProtection="1">
      <alignment wrapText="1"/>
      <protection hidden="1"/>
    </xf>
    <xf numFmtId="5" fontId="11" fillId="40" borderId="44" xfId="0" applyNumberFormat="1" applyFont="1" applyFill="1" applyBorder="1" applyProtection="1">
      <protection locked="0"/>
    </xf>
    <xf numFmtId="9" fontId="11" fillId="40" borderId="44" xfId="1" applyFont="1" applyFill="1" applyBorder="1" applyProtection="1">
      <protection locked="0"/>
    </xf>
    <xf numFmtId="3" fontId="0" fillId="0" borderId="62" xfId="0" applyNumberFormat="1" applyBorder="1" applyAlignment="1">
      <alignment horizontal="center" vertical="center"/>
    </xf>
    <xf numFmtId="0" fontId="8" fillId="45" borderId="30" xfId="0" applyFont="1" applyFill="1" applyBorder="1" applyAlignment="1">
      <alignment horizontal="left" vertical="center" wrapText="1"/>
    </xf>
    <xf numFmtId="0" fontId="8" fillId="45" borderId="88" xfId="0" applyFont="1" applyFill="1" applyBorder="1" applyAlignment="1">
      <alignment horizontal="left" vertical="center"/>
    </xf>
    <xf numFmtId="0" fontId="8" fillId="45" borderId="1" xfId="0" applyFont="1" applyFill="1" applyBorder="1" applyAlignment="1">
      <alignment horizontal="left" vertical="center" wrapText="1"/>
    </xf>
    <xf numFmtId="0" fontId="32" fillId="0" borderId="1" xfId="0" applyFont="1" applyBorder="1" applyAlignment="1">
      <alignment wrapText="1"/>
    </xf>
    <xf numFmtId="0" fontId="32" fillId="0" borderId="0" xfId="0" applyFont="1" applyAlignment="1">
      <alignment wrapText="1"/>
    </xf>
    <xf numFmtId="0" fontId="139" fillId="39" borderId="0" xfId="0" applyFont="1" applyFill="1" applyAlignment="1">
      <alignment vertical="center"/>
    </xf>
    <xf numFmtId="0" fontId="140" fillId="39" borderId="0" xfId="0" applyFont="1" applyFill="1"/>
    <xf numFmtId="0" fontId="141" fillId="39" borderId="0" xfId="0" applyFont="1" applyFill="1"/>
    <xf numFmtId="0" fontId="141" fillId="0" borderId="0" xfId="0" applyFont="1"/>
    <xf numFmtId="0" fontId="142" fillId="0" borderId="0" xfId="0" applyFont="1"/>
    <xf numFmtId="0" fontId="115" fillId="0" borderId="0" xfId="0" applyFont="1"/>
    <xf numFmtId="0" fontId="144" fillId="0" borderId="0" xfId="2" applyFont="1" applyAlignment="1">
      <alignment horizontal="left" indent="1"/>
    </xf>
    <xf numFmtId="0" fontId="141" fillId="0" borderId="0" xfId="0" applyFont="1" applyAlignment="1">
      <alignment horizontal="left" indent="1"/>
    </xf>
    <xf numFmtId="0" fontId="141" fillId="0" borderId="0" xfId="0" quotePrefix="1" applyFont="1" applyAlignment="1">
      <alignment horizontal="left" indent="1"/>
    </xf>
    <xf numFmtId="0" fontId="144" fillId="0" borderId="0" xfId="2" applyFont="1"/>
    <xf numFmtId="0" fontId="0" fillId="0" borderId="74" xfId="0" applyBorder="1" applyAlignment="1">
      <alignment wrapText="1"/>
    </xf>
    <xf numFmtId="0" fontId="55" fillId="40" borderId="63" xfId="0" applyFont="1" applyFill="1" applyBorder="1" applyAlignment="1" applyProtection="1">
      <alignment horizontal="center" vertical="center"/>
      <protection locked="0"/>
    </xf>
    <xf numFmtId="0" fontId="55" fillId="40" borderId="67" xfId="0" applyFont="1" applyFill="1" applyBorder="1" applyAlignment="1" applyProtection="1">
      <alignment horizontal="center" vertical="center"/>
      <protection locked="0"/>
    </xf>
    <xf numFmtId="168" fontId="47" fillId="0" borderId="44" xfId="0" applyNumberFormat="1" applyFont="1" applyBorder="1" applyAlignment="1" applyProtection="1">
      <alignment horizontal="center" vertical="center"/>
      <protection hidden="1"/>
    </xf>
    <xf numFmtId="174" fontId="47" fillId="0" borderId="44" xfId="68" applyNumberFormat="1" applyFont="1" applyFill="1" applyBorder="1" applyAlignment="1" applyProtection="1">
      <alignment horizontal="left" vertical="center"/>
      <protection hidden="1"/>
    </xf>
    <xf numFmtId="0" fontId="47" fillId="0" borderId="44" xfId="0" applyFont="1" applyBorder="1" applyAlignment="1" applyProtection="1">
      <alignment horizontal="center" vertical="center" wrapText="1"/>
      <protection hidden="1"/>
    </xf>
    <xf numFmtId="0" fontId="55" fillId="40" borderId="44" xfId="0" applyFont="1" applyFill="1" applyBorder="1" applyAlignment="1" applyProtection="1">
      <alignment horizontal="center" vertical="center"/>
      <protection locked="0"/>
    </xf>
    <xf numFmtId="0" fontId="55" fillId="40" borderId="44" xfId="0" applyFont="1" applyFill="1" applyBorder="1" applyAlignment="1">
      <alignment horizontal="center" vertical="center" wrapText="1"/>
    </xf>
    <xf numFmtId="9" fontId="47" fillId="0" borderId="44" xfId="1" applyFont="1" applyBorder="1" applyAlignment="1" applyProtection="1">
      <alignment horizontal="center" vertical="center"/>
      <protection hidden="1"/>
    </xf>
    <xf numFmtId="0" fontId="55" fillId="40" borderId="44" xfId="0" applyFont="1" applyFill="1" applyBorder="1" applyAlignment="1" applyProtection="1">
      <alignment horizontal="center" vertical="center" wrapText="1"/>
      <protection locked="0"/>
    </xf>
    <xf numFmtId="0" fontId="76" fillId="0" borderId="0" xfId="0" applyFont="1"/>
    <xf numFmtId="0" fontId="100" fillId="40" borderId="44" xfId="68" applyNumberFormat="1" applyFont="1" applyFill="1" applyBorder="1" applyProtection="1">
      <protection locked="0"/>
    </xf>
    <xf numFmtId="0" fontId="11" fillId="40" borderId="44" xfId="68" applyNumberFormat="1" applyFont="1" applyFill="1" applyBorder="1" applyProtection="1">
      <protection locked="0"/>
    </xf>
    <xf numFmtId="0" fontId="7" fillId="45" borderId="0" xfId="0" applyFont="1" applyFill="1" applyProtection="1">
      <protection locked="0"/>
    </xf>
    <xf numFmtId="0" fontId="7" fillId="45" borderId="0" xfId="0" applyFont="1" applyFill="1" applyAlignment="1" applyProtection="1">
      <alignment horizontal="center" wrapText="1"/>
      <protection locked="0"/>
    </xf>
    <xf numFmtId="176" fontId="11" fillId="56" borderId="44" xfId="0" applyNumberFormat="1" applyFont="1" applyFill="1" applyBorder="1" applyProtection="1">
      <protection locked="0"/>
    </xf>
    <xf numFmtId="0" fontId="11" fillId="56" borderId="44" xfId="0" applyFont="1" applyFill="1" applyBorder="1" applyProtection="1">
      <protection locked="0"/>
    </xf>
    <xf numFmtId="164" fontId="11" fillId="56" borderId="44" xfId="0" applyNumberFormat="1" applyFont="1" applyFill="1" applyBorder="1" applyAlignment="1" applyProtection="1">
      <alignment horizontal="center"/>
      <protection locked="0"/>
    </xf>
    <xf numFmtId="0" fontId="58" fillId="45" borderId="0" xfId="0" applyFont="1" applyFill="1" applyAlignment="1" applyProtection="1">
      <alignment horizontal="left"/>
      <protection locked="0"/>
    </xf>
    <xf numFmtId="0" fontId="11" fillId="40" borderId="65" xfId="0" applyFont="1" applyFill="1" applyBorder="1" applyAlignment="1" applyProtection="1">
      <alignment horizontal="center" vertical="center" wrapText="1"/>
      <protection locked="0"/>
    </xf>
    <xf numFmtId="43" fontId="100" fillId="0" borderId="44" xfId="68" applyFont="1" applyFill="1" applyBorder="1" applyAlignment="1" applyProtection="1">
      <alignment horizontal="left"/>
    </xf>
    <xf numFmtId="43" fontId="11" fillId="0" borderId="44" xfId="68" applyFont="1" applyFill="1" applyBorder="1" applyAlignment="1" applyProtection="1">
      <alignment horizontal="center"/>
    </xf>
    <xf numFmtId="0" fontId="9" fillId="45" borderId="0" xfId="0" applyFont="1" applyFill="1" applyProtection="1">
      <protection locked="0"/>
    </xf>
    <xf numFmtId="0" fontId="54" fillId="45" borderId="0" xfId="0" applyFont="1" applyFill="1" applyAlignment="1" applyProtection="1">
      <alignment horizontal="center" wrapText="1"/>
      <protection locked="0"/>
    </xf>
    <xf numFmtId="43" fontId="11" fillId="40" borderId="44" xfId="68" applyFont="1" applyFill="1" applyBorder="1" applyAlignment="1" applyProtection="1">
      <alignment horizontal="left"/>
      <protection locked="0"/>
    </xf>
    <xf numFmtId="0" fontId="0" fillId="0" borderId="0" xfId="0" applyAlignment="1">
      <alignment horizontal="left" vertical="top" wrapText="1"/>
    </xf>
    <xf numFmtId="168" fontId="147" fillId="4" borderId="0" xfId="0" applyNumberFormat="1" applyFont="1" applyFill="1"/>
    <xf numFmtId="0" fontId="15" fillId="4" borderId="0" xfId="0" applyFont="1" applyFill="1"/>
    <xf numFmtId="0" fontId="0" fillId="4" borderId="0" xfId="0" applyFill="1" applyAlignment="1">
      <alignment horizontal="right" vertical="center"/>
    </xf>
    <xf numFmtId="0" fontId="0" fillId="0" borderId="0" xfId="0" applyAlignment="1">
      <alignment horizontal="left" vertical="top"/>
    </xf>
    <xf numFmtId="0" fontId="147" fillId="4" borderId="0" xfId="0" applyFont="1" applyFill="1" applyAlignment="1">
      <alignment horizontal="center"/>
    </xf>
    <xf numFmtId="168" fontId="0" fillId="4" borderId="0" xfId="0" applyNumberFormat="1" applyFill="1" applyAlignment="1">
      <alignment horizontal="center" vertical="center"/>
    </xf>
    <xf numFmtId="0" fontId="0" fillId="4" borderId="0" xfId="0" applyFill="1" applyAlignment="1">
      <alignment horizontal="center" vertical="center"/>
    </xf>
    <xf numFmtId="168" fontId="32" fillId="57" borderId="0" xfId="0" applyNumberFormat="1" applyFont="1" applyFill="1" applyAlignment="1">
      <alignment horizontal="center" vertical="center"/>
    </xf>
    <xf numFmtId="0" fontId="32" fillId="57" borderId="0" xfId="0" applyFont="1" applyFill="1" applyAlignment="1">
      <alignment vertical="center" wrapText="1"/>
    </xf>
    <xf numFmtId="0" fontId="32" fillId="57" borderId="0" xfId="0" applyFont="1" applyFill="1" applyAlignment="1">
      <alignment vertical="center"/>
    </xf>
    <xf numFmtId="0" fontId="32" fillId="57" borderId="0" xfId="0" applyFont="1" applyFill="1" applyAlignment="1">
      <alignment horizontal="center" vertical="center"/>
    </xf>
    <xf numFmtId="0" fontId="32" fillId="4" borderId="0" xfId="0" applyFont="1" applyFill="1" applyAlignment="1">
      <alignment vertical="center"/>
    </xf>
    <xf numFmtId="0" fontId="12" fillId="4" borderId="0" xfId="0" applyFont="1" applyFill="1" applyAlignment="1">
      <alignment vertical="center"/>
    </xf>
    <xf numFmtId="168" fontId="0" fillId="4" borderId="1" xfId="0" applyNumberFormat="1" applyFill="1" applyBorder="1" applyAlignment="1">
      <alignment horizontal="center" vertical="center"/>
    </xf>
    <xf numFmtId="0" fontId="0" fillId="4" borderId="1" xfId="0" applyFill="1" applyBorder="1" applyAlignment="1">
      <alignment vertical="center"/>
    </xf>
    <xf numFmtId="49" fontId="0" fillId="4" borderId="1" xfId="0" applyNumberFormat="1" applyFill="1" applyBorder="1" applyAlignment="1">
      <alignment horizontal="left" vertical="center"/>
    </xf>
    <xf numFmtId="0" fontId="0" fillId="4" borderId="1" xfId="0" applyFill="1" applyBorder="1" applyAlignment="1">
      <alignment vertical="center" wrapText="1"/>
    </xf>
    <xf numFmtId="17" fontId="0" fillId="4" borderId="1" xfId="0" applyNumberFormat="1" applyFill="1" applyBorder="1" applyAlignment="1">
      <alignment vertical="center"/>
    </xf>
    <xf numFmtId="49" fontId="0" fillId="4" borderId="0" xfId="0" applyNumberFormat="1" applyFill="1" applyAlignment="1">
      <alignment horizontal="left" vertical="center"/>
    </xf>
    <xf numFmtId="0" fontId="29" fillId="4" borderId="0" xfId="0" applyFont="1" applyFill="1" applyAlignment="1">
      <alignment vertical="center"/>
    </xf>
    <xf numFmtId="0" fontId="148" fillId="0" borderId="0" xfId="0" applyFont="1" applyAlignment="1">
      <alignment horizontal="center" vertical="center"/>
    </xf>
    <xf numFmtId="0" fontId="148" fillId="0" borderId="0" xfId="0" applyFont="1" applyAlignment="1">
      <alignment vertical="center"/>
    </xf>
    <xf numFmtId="0" fontId="148" fillId="0" borderId="0" xfId="0" applyFont="1"/>
    <xf numFmtId="0" fontId="9" fillId="4" borderId="0" xfId="0" applyFont="1" applyFill="1" applyAlignment="1">
      <alignment horizontal="left" vertical="center" wrapText="1"/>
    </xf>
    <xf numFmtId="0" fontId="149" fillId="4" borderId="0" xfId="0" applyFont="1" applyFill="1" applyAlignment="1">
      <alignment horizontal="center" vertical="center"/>
    </xf>
    <xf numFmtId="0" fontId="8" fillId="4" borderId="0" xfId="0" applyFont="1" applyFill="1" applyAlignment="1">
      <alignment horizontal="center" vertical="center"/>
    </xf>
    <xf numFmtId="0" fontId="46" fillId="0" borderId="0" xfId="0" applyFont="1" applyAlignment="1">
      <alignment vertical="top"/>
    </xf>
    <xf numFmtId="0" fontId="0" fillId="4" borderId="0" xfId="0" applyFill="1" applyAlignment="1">
      <alignment vertical="center" wrapText="1"/>
    </xf>
    <xf numFmtId="0" fontId="46" fillId="0" borderId="0" xfId="0" applyFont="1"/>
    <xf numFmtId="0" fontId="15" fillId="4" borderId="0" xfId="0" applyFont="1" applyFill="1" applyAlignment="1">
      <alignment horizontal="right"/>
    </xf>
    <xf numFmtId="0" fontId="24" fillId="58" borderId="8" xfId="10" applyFill="1" applyAlignment="1" applyProtection="1">
      <alignment horizontal="center"/>
      <protection locked="0"/>
    </xf>
    <xf numFmtId="0" fontId="0" fillId="0" borderId="0" xfId="0" applyAlignment="1">
      <alignment vertical="top" wrapText="1"/>
    </xf>
    <xf numFmtId="49" fontId="0" fillId="4" borderId="0" xfId="0" applyNumberFormat="1" applyFill="1"/>
    <xf numFmtId="0" fontId="24" fillId="58" borderId="1" xfId="10" applyFill="1" applyBorder="1"/>
    <xf numFmtId="0" fontId="0" fillId="59" borderId="1" xfId="0" applyFill="1" applyBorder="1"/>
    <xf numFmtId="0" fontId="151" fillId="4" borderId="0" xfId="0" applyFont="1" applyFill="1" applyAlignment="1">
      <alignment horizontal="right"/>
    </xf>
    <xf numFmtId="0" fontId="152" fillId="60" borderId="1" xfId="0" applyFont="1" applyFill="1" applyBorder="1" applyAlignment="1">
      <alignment horizontal="center"/>
    </xf>
    <xf numFmtId="0" fontId="152" fillId="61" borderId="1" xfId="0" applyFont="1" applyFill="1" applyBorder="1" applyAlignment="1">
      <alignment horizontal="center"/>
    </xf>
    <xf numFmtId="0" fontId="46" fillId="4" borderId="0" xfId="0" applyFont="1" applyFill="1" applyAlignment="1">
      <alignment wrapText="1"/>
    </xf>
    <xf numFmtId="0" fontId="153" fillId="4" borderId="0" xfId="2" applyFont="1" applyFill="1" applyAlignment="1">
      <alignment horizontal="left"/>
    </xf>
    <xf numFmtId="0" fontId="153" fillId="4" borderId="0" xfId="2" applyFont="1" applyFill="1"/>
    <xf numFmtId="0" fontId="154" fillId="4" borderId="0" xfId="0" applyFont="1" applyFill="1" applyAlignment="1">
      <alignment vertical="top"/>
    </xf>
    <xf numFmtId="0" fontId="0" fillId="0" borderId="95" xfId="0" applyBorder="1" applyAlignment="1">
      <alignment vertical="center"/>
    </xf>
    <xf numFmtId="0" fontId="24" fillId="58" borderId="96" xfId="10" applyFill="1" applyBorder="1" applyAlignment="1" applyProtection="1">
      <alignment horizontal="left"/>
      <protection locked="0"/>
    </xf>
    <xf numFmtId="0" fontId="8" fillId="4" borderId="97" xfId="0" applyFont="1" applyFill="1" applyBorder="1" applyAlignment="1">
      <alignment horizontal="left" vertical="center" wrapText="1"/>
    </xf>
    <xf numFmtId="0" fontId="0" fillId="0" borderId="98" xfId="0" applyBorder="1" applyAlignment="1">
      <alignment vertical="center"/>
    </xf>
    <xf numFmtId="0" fontId="24" fillId="58" borderId="99" xfId="10" applyFill="1" applyBorder="1" applyAlignment="1" applyProtection="1">
      <alignment horizontal="left"/>
      <protection locked="0"/>
    </xf>
    <xf numFmtId="0" fontId="0" fillId="0" borderId="98" xfId="0" applyBorder="1" applyAlignment="1">
      <alignment vertical="center" wrapText="1"/>
    </xf>
    <xf numFmtId="0" fontId="24" fillId="58" borderId="99" xfId="10" applyFill="1" applyBorder="1" applyAlignment="1" applyProtection="1">
      <alignment horizontal="left" wrapText="1"/>
      <protection locked="0"/>
    </xf>
    <xf numFmtId="0" fontId="24" fillId="58" borderId="99" xfId="10" applyFill="1" applyBorder="1" applyAlignment="1" applyProtection="1">
      <alignment horizontal="center"/>
      <protection locked="0"/>
    </xf>
    <xf numFmtId="0" fontId="45" fillId="0" borderId="0" xfId="10" applyFont="1" applyFill="1" applyBorder="1" applyAlignment="1" applyProtection="1">
      <alignment horizontal="left" vertical="center" wrapText="1" indent="1"/>
      <protection locked="0"/>
    </xf>
    <xf numFmtId="0" fontId="0" fillId="0" borderId="101" xfId="0" applyBorder="1" applyAlignment="1">
      <alignment vertical="center"/>
    </xf>
    <xf numFmtId="0" fontId="24" fillId="58" borderId="102" xfId="10" applyFill="1" applyBorder="1" applyAlignment="1" applyProtection="1">
      <alignment horizontal="center"/>
      <protection locked="0"/>
    </xf>
    <xf numFmtId="0" fontId="8" fillId="4" borderId="0" xfId="0" applyFont="1" applyFill="1" applyAlignment="1">
      <alignment horizontal="left" vertical="center" wrapText="1"/>
    </xf>
    <xf numFmtId="0" fontId="24" fillId="0" borderId="0" xfId="10" applyFill="1" applyBorder="1" applyAlignment="1" applyProtection="1">
      <alignment horizontal="center" vertical="center" wrapText="1"/>
      <protection locked="0"/>
    </xf>
    <xf numFmtId="0" fontId="24" fillId="0" borderId="0" xfId="10" applyFill="1" applyBorder="1" applyAlignment="1" applyProtection="1">
      <alignment horizontal="center" vertical="center"/>
      <protection locked="0"/>
    </xf>
    <xf numFmtId="0" fontId="0" fillId="4" borderId="0" xfId="0" applyFill="1" applyAlignment="1">
      <alignment horizontal="right"/>
    </xf>
    <xf numFmtId="0" fontId="51" fillId="4" borderId="0" xfId="65" applyFill="1" applyAlignment="1" applyProtection="1">
      <protection locked="0"/>
    </xf>
    <xf numFmtId="0" fontId="0" fillId="4" borderId="0" xfId="0" applyFill="1" applyAlignment="1">
      <alignment horizontal="right" wrapText="1"/>
    </xf>
    <xf numFmtId="0" fontId="51" fillId="4" borderId="0" xfId="65" applyFill="1" applyAlignment="1" applyProtection="1">
      <alignment vertical="center"/>
      <protection locked="0"/>
    </xf>
    <xf numFmtId="0" fontId="18" fillId="4" borderId="0" xfId="0" applyFont="1" applyFill="1" applyAlignment="1">
      <alignment horizontal="right" wrapText="1"/>
    </xf>
    <xf numFmtId="0" fontId="21" fillId="4" borderId="0" xfId="0" applyFont="1" applyFill="1" applyAlignment="1">
      <alignment vertical="top"/>
    </xf>
    <xf numFmtId="0" fontId="156" fillId="4" borderId="0" xfId="0" applyFont="1" applyFill="1" applyAlignment="1">
      <alignment vertical="top"/>
    </xf>
    <xf numFmtId="3" fontId="0" fillId="4" borderId="0" xfId="0" applyNumberFormat="1" applyFill="1"/>
    <xf numFmtId="0" fontId="46" fillId="4" borderId="0" xfId="0" applyFont="1" applyFill="1"/>
    <xf numFmtId="0" fontId="9" fillId="4" borderId="0" xfId="0" applyFont="1" applyFill="1" applyAlignment="1">
      <alignment horizontal="center"/>
    </xf>
    <xf numFmtId="0" fontId="8" fillId="2" borderId="0" xfId="0" applyFont="1" applyFill="1" applyAlignment="1">
      <alignment horizontal="center"/>
    </xf>
    <xf numFmtId="0" fontId="12" fillId="62" borderId="0" xfId="0" applyFont="1" applyFill="1"/>
    <xf numFmtId="0" fontId="0" fillId="62" borderId="0" xfId="0" applyFill="1"/>
    <xf numFmtId="0" fontId="12" fillId="0" borderId="0" xfId="0" applyFont="1"/>
    <xf numFmtId="0" fontId="9" fillId="0" borderId="0" xfId="0" applyFont="1" applyAlignment="1">
      <alignment wrapText="1"/>
    </xf>
    <xf numFmtId="0" fontId="157" fillId="63" borderId="103" xfId="0" applyFont="1" applyFill="1" applyBorder="1" applyAlignment="1">
      <alignment horizontal="right"/>
    </xf>
    <xf numFmtId="0" fontId="157" fillId="63" borderId="103" xfId="0" applyFont="1" applyFill="1" applyBorder="1"/>
    <xf numFmtId="0" fontId="0" fillId="63" borderId="103" xfId="0" applyFill="1" applyBorder="1"/>
    <xf numFmtId="0" fontId="32" fillId="0" borderId="0" xfId="0" applyFont="1" applyAlignment="1">
      <alignment horizontal="left" wrapText="1"/>
    </xf>
    <xf numFmtId="0" fontId="159" fillId="0" borderId="0" xfId="0" applyFont="1" applyAlignment="1">
      <alignment horizontal="center"/>
    </xf>
    <xf numFmtId="0" fontId="8" fillId="0" borderId="0" xfId="0" applyFont="1" applyAlignment="1">
      <alignment horizontal="right"/>
    </xf>
    <xf numFmtId="49" fontId="9" fillId="0" borderId="0" xfId="0" applyNumberFormat="1" applyFont="1" applyAlignment="1">
      <alignment horizontal="left" vertical="center" wrapText="1"/>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0" fillId="63" borderId="1" xfId="0" applyFill="1" applyBorder="1" applyAlignment="1">
      <alignment horizontal="center" vertical="center"/>
    </xf>
    <xf numFmtId="0" fontId="48" fillId="64" borderId="1" xfId="0" applyFont="1" applyFill="1" applyBorder="1" applyAlignment="1">
      <alignment horizontal="left" vertical="center" indent="1"/>
    </xf>
    <xf numFmtId="0" fontId="48" fillId="59" borderId="1" xfId="0" applyFont="1" applyFill="1" applyBorder="1" applyAlignment="1">
      <alignment horizontal="center"/>
    </xf>
    <xf numFmtId="167" fontId="48" fillId="64" borderId="1" xfId="0" applyNumberFormat="1" applyFont="1" applyFill="1" applyBorder="1" applyAlignment="1">
      <alignment horizontal="center" vertical="center"/>
    </xf>
    <xf numFmtId="0" fontId="0" fillId="65" borderId="16" xfId="0" applyFill="1" applyBorder="1"/>
    <xf numFmtId="0" fontId="0" fillId="65" borderId="17" xfId="0" applyFill="1" applyBorder="1"/>
    <xf numFmtId="0" fontId="0" fillId="0" borderId="1" xfId="0" applyBorder="1" applyAlignment="1">
      <alignment vertical="center" wrapText="1"/>
    </xf>
    <xf numFmtId="0" fontId="24" fillId="58" borderId="106" xfId="10" applyFill="1" applyBorder="1" applyAlignment="1" applyProtection="1">
      <alignment horizontal="center" vertical="center"/>
      <protection locked="0"/>
    </xf>
    <xf numFmtId="164" fontId="0" fillId="0" borderId="1" xfId="0" applyNumberFormat="1" applyBorder="1" applyAlignment="1">
      <alignment horizontal="center"/>
    </xf>
    <xf numFmtId="0" fontId="0" fillId="0" borderId="27" xfId="0" applyBorder="1" applyAlignment="1">
      <alignment horizontal="center" vertical="center"/>
    </xf>
    <xf numFmtId="0" fontId="24" fillId="58" borderId="107" xfId="10" applyFill="1" applyBorder="1" applyAlignment="1" applyProtection="1">
      <alignment horizontal="center" vertical="center"/>
      <protection locked="0"/>
    </xf>
    <xf numFmtId="0" fontId="24" fillId="58" borderId="108" xfId="10" applyFill="1" applyBorder="1" applyAlignment="1" applyProtection="1">
      <alignment horizontal="center" vertical="center"/>
      <protection locked="0"/>
    </xf>
    <xf numFmtId="0" fontId="32" fillId="63" borderId="103" xfId="0" applyFont="1" applyFill="1" applyBorder="1" applyAlignment="1">
      <alignment vertical="center" wrapText="1"/>
    </xf>
    <xf numFmtId="0" fontId="32" fillId="0" borderId="0" xfId="0" applyFont="1" applyAlignment="1">
      <alignment horizontal="left" vertical="center" wrapText="1"/>
    </xf>
    <xf numFmtId="0" fontId="15" fillId="0" borderId="0" xfId="0" applyFont="1" applyAlignment="1">
      <alignment horizontal="left" wrapText="1"/>
    </xf>
    <xf numFmtId="0" fontId="15" fillId="0" borderId="0" xfId="0" applyFont="1"/>
    <xf numFmtId="0" fontId="32" fillId="0" borderId="0" xfId="0" applyFont="1" applyAlignment="1">
      <alignment horizontal="center" vertical="center" wrapText="1"/>
    </xf>
    <xf numFmtId="0" fontId="24" fillId="0" borderId="0" xfId="10" applyNumberForma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49" fontId="9" fillId="0" borderId="0" xfId="0" applyNumberFormat="1" applyFont="1" applyAlignment="1">
      <alignment horizontal="center" vertical="center" wrapText="1"/>
    </xf>
    <xf numFmtId="0" fontId="0" fillId="63" borderId="1" xfId="0" applyFill="1" applyBorder="1" applyAlignment="1">
      <alignment horizontal="center" vertical="center" wrapText="1"/>
    </xf>
    <xf numFmtId="0" fontId="0" fillId="63" borderId="1" xfId="0" applyFill="1" applyBorder="1" applyAlignment="1">
      <alignment horizontal="right" vertical="center"/>
    </xf>
    <xf numFmtId="187" fontId="0" fillId="0" borderId="1" xfId="1" applyNumberFormat="1" applyFont="1" applyBorder="1" applyAlignment="1">
      <alignment horizontal="center" vertical="center"/>
    </xf>
    <xf numFmtId="187" fontId="24" fillId="58" borderId="1" xfId="1" applyNumberFormat="1" applyFont="1" applyFill="1" applyBorder="1" applyAlignment="1" applyProtection="1">
      <alignment horizontal="center"/>
      <protection locked="0"/>
    </xf>
    <xf numFmtId="0" fontId="48" fillId="64" borderId="1" xfId="0" applyFont="1" applyFill="1" applyBorder="1" applyAlignment="1">
      <alignment horizontal="right" vertical="center" indent="1"/>
    </xf>
    <xf numFmtId="0" fontId="48" fillId="59" borderId="4" xfId="0" applyFont="1" applyFill="1" applyBorder="1" applyAlignment="1">
      <alignment horizontal="center"/>
    </xf>
    <xf numFmtId="164" fontId="48" fillId="64" borderId="1" xfId="64" applyNumberFormat="1" applyFont="1" applyFill="1" applyBorder="1" applyAlignment="1">
      <alignment horizontal="center" vertical="center"/>
    </xf>
    <xf numFmtId="0" fontId="0" fillId="0" borderId="17" xfId="0" applyBorder="1" applyAlignment="1">
      <alignment horizontal="center"/>
    </xf>
    <xf numFmtId="2" fontId="0" fillId="0" borderId="1" xfId="0" applyNumberFormat="1" applyBorder="1" applyAlignment="1">
      <alignment horizontal="center"/>
    </xf>
    <xf numFmtId="166" fontId="0" fillId="0" borderId="1" xfId="0" applyNumberFormat="1" applyBorder="1" applyAlignment="1">
      <alignment horizontal="center"/>
    </xf>
    <xf numFmtId="0" fontId="163" fillId="63" borderId="103" xfId="0" applyFont="1" applyFill="1" applyBorder="1" applyAlignment="1">
      <alignment horizontal="right"/>
    </xf>
    <xf numFmtId="0" fontId="157" fillId="0" borderId="0" xfId="0" applyFont="1"/>
    <xf numFmtId="0" fontId="24" fillId="58" borderId="8" xfId="10" applyFill="1" applyAlignment="1" applyProtection="1">
      <alignment horizontal="center" vertical="center"/>
      <protection locked="0"/>
    </xf>
    <xf numFmtId="0" fontId="9" fillId="0" borderId="0" xfId="0" applyFont="1" applyAlignment="1">
      <alignment vertical="center" wrapText="1"/>
    </xf>
    <xf numFmtId="0" fontId="29" fillId="11" borderId="11" xfId="2" applyFont="1" applyFill="1" applyBorder="1" applyAlignment="1" applyProtection="1">
      <alignment horizontal="center" vertical="center" wrapText="1"/>
      <protection locked="0"/>
    </xf>
    <xf numFmtId="0" fontId="48" fillId="59" borderId="27" xfId="0" applyFont="1" applyFill="1" applyBorder="1" applyAlignment="1">
      <alignment horizontal="center"/>
    </xf>
    <xf numFmtId="3" fontId="48" fillId="64" borderId="1" xfId="0" applyNumberFormat="1" applyFont="1" applyFill="1" applyBorder="1" applyAlignment="1">
      <alignment horizontal="center" vertical="center"/>
    </xf>
    <xf numFmtId="3" fontId="11" fillId="0" borderId="1" xfId="0" applyNumberFormat="1" applyFont="1" applyBorder="1" applyAlignment="1">
      <alignment horizontal="center" vertical="center"/>
    </xf>
    <xf numFmtId="3" fontId="11" fillId="0" borderId="0" xfId="0" applyNumberFormat="1" applyFont="1" applyAlignment="1">
      <alignment horizontal="center" vertical="center"/>
    </xf>
    <xf numFmtId="9" fontId="48" fillId="64" borderId="1" xfId="1" applyFont="1" applyFill="1" applyBorder="1" applyAlignment="1">
      <alignment horizontal="center" vertical="center"/>
    </xf>
    <xf numFmtId="0" fontId="164" fillId="37" borderId="1" xfId="0" applyFont="1" applyFill="1" applyBorder="1" applyAlignment="1">
      <alignment horizontal="left" vertical="center" wrapText="1"/>
    </xf>
    <xf numFmtId="187" fontId="11" fillId="0" borderId="1" xfId="1" applyNumberFormat="1" applyFont="1" applyBorder="1" applyAlignment="1" applyProtection="1">
      <alignment horizontal="center" vertical="center"/>
    </xf>
    <xf numFmtId="0" fontId="163" fillId="63" borderId="103" xfId="0" applyFont="1" applyFill="1" applyBorder="1" applyAlignment="1">
      <alignment horizontal="left" indent="1"/>
    </xf>
    <xf numFmtId="0" fontId="7" fillId="11" borderId="11" xfId="14" applyAlignment="1" applyProtection="1">
      <alignment horizontal="center" vertical="center" wrapText="1"/>
      <protection locked="0"/>
    </xf>
    <xf numFmtId="49" fontId="9" fillId="0" borderId="0" xfId="0" applyNumberFormat="1" applyFont="1" applyAlignment="1">
      <alignment vertical="center" wrapText="1"/>
    </xf>
    <xf numFmtId="0" fontId="0" fillId="63" borderId="4" xfId="0" applyFill="1" applyBorder="1" applyAlignment="1">
      <alignment horizontal="center" vertical="center"/>
    </xf>
    <xf numFmtId="0" fontId="0" fillId="63" borderId="25" xfId="0" applyFill="1" applyBorder="1" applyAlignment="1">
      <alignment horizontal="center" vertical="center"/>
    </xf>
    <xf numFmtId="0" fontId="0" fillId="63" borderId="27" xfId="0" applyFill="1" applyBorder="1" applyAlignment="1">
      <alignment horizontal="center" vertical="center"/>
    </xf>
    <xf numFmtId="164" fontId="48" fillId="64" borderId="1" xfId="0" applyNumberFormat="1" applyFont="1" applyFill="1" applyBorder="1" applyAlignment="1">
      <alignment horizontal="center" vertical="center"/>
    </xf>
    <xf numFmtId="0" fontId="164" fillId="0" borderId="1" xfId="0" applyFont="1" applyBorder="1" applyAlignment="1">
      <alignment horizontal="left" vertical="center"/>
    </xf>
    <xf numFmtId="167" fontId="11" fillId="0" borderId="1" xfId="64" applyNumberFormat="1" applyFont="1" applyBorder="1" applyAlignment="1">
      <alignment horizontal="center" vertical="center"/>
    </xf>
    <xf numFmtId="0" fontId="12" fillId="5" borderId="0" xfId="0" applyFont="1" applyFill="1"/>
    <xf numFmtId="0" fontId="0" fillId="66" borderId="0" xfId="0" applyFill="1"/>
    <xf numFmtId="0" fontId="0" fillId="5" borderId="0" xfId="0" applyFill="1"/>
    <xf numFmtId="0" fontId="157" fillId="67" borderId="0" xfId="0" applyFont="1" applyFill="1" applyAlignment="1">
      <alignment horizontal="right"/>
    </xf>
    <xf numFmtId="0" fontId="157" fillId="67" borderId="0" xfId="0" applyFont="1" applyFill="1"/>
    <xf numFmtId="0" fontId="0" fillId="67" borderId="0" xfId="0" applyFill="1"/>
    <xf numFmtId="0" fontId="0" fillId="67" borderId="1" xfId="0" applyFill="1" applyBorder="1" applyAlignment="1">
      <alignment horizontal="center" vertical="center"/>
    </xf>
    <xf numFmtId="0" fontId="0" fillId="67" borderId="1" xfId="0" applyFill="1" applyBorder="1" applyAlignment="1">
      <alignment horizontal="center" vertical="center" wrapText="1"/>
    </xf>
    <xf numFmtId="0" fontId="24" fillId="58" borderId="1" xfId="10" applyFill="1" applyBorder="1" applyAlignment="1" applyProtection="1">
      <alignment horizontal="center"/>
      <protection locked="0"/>
    </xf>
    <xf numFmtId="0" fontId="9" fillId="0" borderId="0" xfId="0" applyFont="1" applyAlignment="1">
      <alignment horizontal="right" vertical="center" wrapText="1"/>
    </xf>
    <xf numFmtId="49" fontId="15" fillId="0" borderId="0" xfId="0" applyNumberFormat="1" applyFont="1" applyAlignment="1">
      <alignment horizontal="left" vertical="center" wrapText="1"/>
    </xf>
    <xf numFmtId="0" fontId="8" fillId="64" borderId="1" xfId="0" applyFont="1" applyFill="1" applyBorder="1" applyAlignment="1">
      <alignment horizontal="right" vertical="center"/>
    </xf>
    <xf numFmtId="0" fontId="0" fillId="59" borderId="1" xfId="0" applyFill="1" applyBorder="1" applyAlignment="1">
      <alignment horizontal="center" vertical="center"/>
    </xf>
    <xf numFmtId="0" fontId="0" fillId="68" borderId="1" xfId="0" applyFill="1" applyBorder="1" applyAlignment="1">
      <alignment horizontal="center" vertical="center"/>
    </xf>
    <xf numFmtId="164" fontId="53" fillId="64" borderId="110" xfId="0" applyNumberFormat="1" applyFont="1" applyFill="1" applyBorder="1" applyAlignment="1">
      <alignment horizontal="center"/>
    </xf>
    <xf numFmtId="0" fontId="165" fillId="0" borderId="0" xfId="0" applyFont="1" applyAlignment="1">
      <alignment horizontal="left"/>
    </xf>
    <xf numFmtId="0" fontId="0" fillId="0" borderId="1" xfId="0" applyBorder="1" applyAlignment="1">
      <alignment horizontal="left" vertical="center" wrapText="1"/>
    </xf>
    <xf numFmtId="0" fontId="53" fillId="58" borderId="110" xfId="0" applyFont="1" applyFill="1" applyBorder="1" applyAlignment="1" applyProtection="1">
      <alignment horizontal="center"/>
      <protection locked="0"/>
    </xf>
    <xf numFmtId="0" fontId="166" fillId="0" borderId="0" xfId="0" applyFont="1"/>
    <xf numFmtId="0" fontId="53" fillId="0" borderId="0" xfId="0" applyFont="1"/>
    <xf numFmtId="0" fontId="166" fillId="0" borderId="0" xfId="0" applyFont="1" applyAlignment="1">
      <alignment horizontal="center"/>
    </xf>
    <xf numFmtId="164" fontId="53" fillId="0" borderId="0" xfId="0" applyNumberFormat="1" applyFont="1" applyAlignment="1">
      <alignment horizontal="center"/>
    </xf>
    <xf numFmtId="0" fontId="167" fillId="0" borderId="0" xfId="0" applyFont="1"/>
    <xf numFmtId="0" fontId="0" fillId="0" borderId="111" xfId="0" applyBorder="1"/>
    <xf numFmtId="0" fontId="0" fillId="0" borderId="0" xfId="0" applyAlignment="1">
      <alignment horizontal="center" vertical="center" wrapText="1"/>
    </xf>
    <xf numFmtId="49" fontId="32" fillId="0" borderId="0" xfId="0" applyNumberFormat="1" applyFont="1" applyAlignment="1">
      <alignment vertical="center"/>
    </xf>
    <xf numFmtId="0" fontId="9" fillId="0" borderId="0" xfId="0" applyFont="1" applyAlignment="1">
      <alignment horizontal="right"/>
    </xf>
    <xf numFmtId="0" fontId="0" fillId="0" borderId="0" xfId="0" applyAlignment="1" applyProtection="1">
      <alignment horizontal="center"/>
      <protection locked="0"/>
    </xf>
    <xf numFmtId="0" fontId="32" fillId="38" borderId="25" xfId="0" applyFont="1" applyFill="1" applyBorder="1" applyAlignment="1">
      <alignment horizontal="center" vertical="center"/>
    </xf>
    <xf numFmtId="0" fontId="40" fillId="57" borderId="1" xfId="0" applyFont="1" applyFill="1" applyBorder="1" applyAlignment="1">
      <alignment horizontal="center" vertical="center" wrapText="1"/>
    </xf>
    <xf numFmtId="0" fontId="32" fillId="57" borderId="1" xfId="0" applyFont="1" applyFill="1" applyBorder="1" applyAlignment="1">
      <alignment horizontal="center" vertical="center"/>
    </xf>
    <xf numFmtId="0" fontId="32" fillId="38" borderId="26" xfId="0" applyFont="1" applyFill="1" applyBorder="1" applyAlignment="1">
      <alignment horizontal="center" vertical="center"/>
    </xf>
    <xf numFmtId="0" fontId="32" fillId="38" borderId="118" xfId="0" applyFont="1" applyFill="1" applyBorder="1" applyAlignment="1">
      <alignment horizontal="center" vertical="center"/>
    </xf>
    <xf numFmtId="0" fontId="32" fillId="57" borderId="4" xfId="0" applyFont="1" applyFill="1" applyBorder="1" applyAlignment="1">
      <alignment horizontal="center" vertical="center" wrapText="1"/>
    </xf>
    <xf numFmtId="49" fontId="169" fillId="57" borderId="4" xfId="0" applyNumberFormat="1" applyFont="1" applyFill="1" applyBorder="1" applyAlignment="1">
      <alignment horizontal="center" vertical="center" wrapText="1"/>
    </xf>
    <xf numFmtId="0" fontId="32" fillId="0" borderId="0" xfId="0" applyFont="1" applyAlignment="1">
      <alignment horizontal="center" vertical="center"/>
    </xf>
    <xf numFmtId="0" fontId="32" fillId="38" borderId="25" xfId="0" applyFont="1" applyFill="1" applyBorder="1" applyAlignment="1">
      <alignment horizontal="center" vertical="center" wrapText="1"/>
    </xf>
    <xf numFmtId="0" fontId="32" fillId="57" borderId="1" xfId="0" applyFont="1" applyFill="1" applyBorder="1" applyAlignment="1">
      <alignment horizontal="center" vertical="center" wrapText="1"/>
    </xf>
    <xf numFmtId="0" fontId="32" fillId="57" borderId="16" xfId="0" applyFont="1" applyFill="1" applyBorder="1" applyAlignment="1">
      <alignment horizontal="center" vertical="center"/>
    </xf>
    <xf numFmtId="0" fontId="32" fillId="38" borderId="26" xfId="0" applyFont="1" applyFill="1" applyBorder="1" applyAlignment="1">
      <alignment horizontal="center" vertical="center" wrapText="1"/>
    </xf>
    <xf numFmtId="0" fontId="32" fillId="57" borderId="14" xfId="0" applyFont="1" applyFill="1" applyBorder="1" applyAlignment="1">
      <alignment horizontal="center" vertical="center" wrapText="1"/>
    </xf>
    <xf numFmtId="0" fontId="32" fillId="57" borderId="15" xfId="0" applyFont="1" applyFill="1" applyBorder="1" applyAlignment="1">
      <alignment horizontal="center" vertical="center" wrapText="1"/>
    </xf>
    <xf numFmtId="0" fontId="32" fillId="38" borderId="118" xfId="0" applyFont="1" applyFill="1" applyBorder="1" applyAlignment="1">
      <alignment horizontal="center" vertical="center" wrapText="1"/>
    </xf>
    <xf numFmtId="49" fontId="169" fillId="57" borderId="25" xfId="0" applyNumberFormat="1" applyFont="1" applyFill="1" applyBorder="1" applyAlignment="1">
      <alignment horizontal="center" vertical="center" wrapText="1"/>
    </xf>
    <xf numFmtId="0" fontId="32" fillId="0" borderId="1" xfId="0" applyFont="1" applyBorder="1" applyAlignment="1">
      <alignment horizontal="center" vertical="center"/>
    </xf>
    <xf numFmtId="0" fontId="32" fillId="38" borderId="25" xfId="0" applyFont="1" applyFill="1" applyBorder="1" applyAlignment="1">
      <alignment vertical="center"/>
    </xf>
    <xf numFmtId="0" fontId="164" fillId="0" borderId="1" xfId="0" applyFont="1" applyBorder="1" applyAlignment="1">
      <alignment horizontal="center" vertical="center"/>
    </xf>
    <xf numFmtId="3" fontId="164" fillId="41" borderId="16" xfId="0" applyNumberFormat="1" applyFont="1" applyFill="1" applyBorder="1" applyAlignment="1">
      <alignment horizontal="center" vertical="center" wrapText="1"/>
    </xf>
    <xf numFmtId="49" fontId="169" fillId="64" borderId="16" xfId="0" applyNumberFormat="1" applyFont="1" applyFill="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0" fontId="32" fillId="0" borderId="1" xfId="0" applyFont="1" applyBorder="1" applyAlignment="1">
      <alignment horizontal="left" vertical="center"/>
    </xf>
    <xf numFmtId="1" fontId="32" fillId="0" borderId="1" xfId="0" applyNumberFormat="1" applyFont="1" applyBorder="1" applyAlignment="1">
      <alignment horizontal="center" vertical="center"/>
    </xf>
    <xf numFmtId="164" fontId="32" fillId="0" borderId="1" xfId="0" applyNumberFormat="1" applyFont="1" applyBorder="1" applyAlignment="1">
      <alignment horizontal="center" vertical="center"/>
    </xf>
    <xf numFmtId="49" fontId="40" fillId="64" borderId="1" xfId="0" applyNumberFormat="1" applyFont="1" applyFill="1" applyBorder="1" applyAlignment="1">
      <alignment horizontal="center" vertical="center"/>
    </xf>
    <xf numFmtId="0" fontId="32" fillId="0" borderId="1" xfId="0" applyFont="1" applyBorder="1" applyAlignment="1">
      <alignment vertical="center"/>
    </xf>
    <xf numFmtId="0" fontId="152" fillId="0" borderId="0" xfId="0" applyFont="1" applyAlignment="1">
      <alignment vertical="center"/>
    </xf>
    <xf numFmtId="49" fontId="32" fillId="0" borderId="1" xfId="0" applyNumberFormat="1" applyFont="1" applyBorder="1" applyAlignment="1">
      <alignment vertical="center"/>
    </xf>
    <xf numFmtId="49" fontId="32" fillId="0" borderId="1" xfId="0" applyNumberFormat="1" applyFont="1" applyBorder="1" applyAlignment="1">
      <alignment horizontal="center" vertical="center"/>
    </xf>
    <xf numFmtId="0" fontId="171" fillId="0" borderId="1" xfId="0" applyFont="1" applyBorder="1" applyAlignment="1">
      <alignment horizontal="center" vertical="center" wrapText="1"/>
    </xf>
    <xf numFmtId="4" fontId="171" fillId="0" borderId="1" xfId="0" applyNumberFormat="1" applyFont="1" applyBorder="1" applyAlignment="1">
      <alignment horizontal="center" vertical="center" wrapText="1"/>
    </xf>
    <xf numFmtId="49" fontId="40" fillId="64" borderId="1" xfId="0" applyNumberFormat="1" applyFont="1" applyFill="1" applyBorder="1" applyAlignment="1">
      <alignment horizontal="center" vertical="center" wrapText="1"/>
    </xf>
    <xf numFmtId="2" fontId="171"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4"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wrapText="1"/>
    </xf>
    <xf numFmtId="0" fontId="32" fillId="0" borderId="0" xfId="0" applyFont="1" applyAlignment="1">
      <alignment vertical="center"/>
    </xf>
    <xf numFmtId="189" fontId="32" fillId="0" borderId="0" xfId="0" applyNumberFormat="1" applyFont="1" applyAlignment="1">
      <alignment horizontal="center" vertical="center"/>
    </xf>
    <xf numFmtId="0" fontId="32" fillId="57" borderId="1" xfId="0" applyFont="1" applyFill="1" applyBorder="1" applyAlignment="1">
      <alignment horizontal="left" vertical="center" wrapText="1"/>
    </xf>
    <xf numFmtId="167" fontId="164" fillId="41" borderId="16" xfId="0" applyNumberFormat="1" applyFont="1" applyFill="1" applyBorder="1" applyAlignment="1">
      <alignment horizontal="center" vertical="center" wrapText="1"/>
    </xf>
    <xf numFmtId="190" fontId="32" fillId="0" borderId="0" xfId="64" applyNumberFormat="1" applyFont="1" applyAlignment="1">
      <alignment horizontal="center" vertical="center"/>
    </xf>
    <xf numFmtId="0" fontId="32" fillId="57" borderId="1" xfId="0" applyFont="1" applyFill="1" applyBorder="1" applyAlignment="1">
      <alignment vertical="center"/>
    </xf>
    <xf numFmtId="164" fontId="32" fillId="0" borderId="1" xfId="0" applyNumberFormat="1" applyFont="1" applyBorder="1" applyAlignment="1">
      <alignment horizontal="center" vertical="center" wrapText="1"/>
    </xf>
    <xf numFmtId="166" fontId="32" fillId="0" borderId="1" xfId="0" applyNumberFormat="1" applyFont="1" applyBorder="1" applyAlignment="1">
      <alignment horizontal="center" vertical="center"/>
    </xf>
    <xf numFmtId="170" fontId="32" fillId="0" borderId="0" xfId="0" applyNumberFormat="1" applyFont="1" applyAlignment="1">
      <alignment horizontal="center" vertical="center"/>
    </xf>
    <xf numFmtId="0" fontId="43" fillId="0" borderId="1" xfId="0" applyFont="1" applyBorder="1" applyAlignment="1">
      <alignment horizontal="center" vertical="center" wrapText="1"/>
    </xf>
    <xf numFmtId="191" fontId="32" fillId="0" borderId="0" xfId="0" applyNumberFormat="1" applyFont="1" applyAlignment="1">
      <alignment horizontal="center" vertical="center"/>
    </xf>
    <xf numFmtId="164" fontId="32" fillId="0" borderId="0" xfId="0" applyNumberFormat="1" applyFont="1" applyAlignment="1">
      <alignment horizontal="center" vertical="center"/>
    </xf>
    <xf numFmtId="2" fontId="43" fillId="0" borderId="1" xfId="0" applyNumberFormat="1" applyFont="1" applyBorder="1" applyAlignment="1">
      <alignment horizontal="center" vertical="center" wrapText="1"/>
    </xf>
    <xf numFmtId="0" fontId="40" fillId="64" borderId="1" xfId="0" applyFont="1" applyFill="1" applyBorder="1" applyAlignment="1">
      <alignment horizontal="right" vertical="center"/>
    </xf>
    <xf numFmtId="0" fontId="40" fillId="64" borderId="1" xfId="0" applyFont="1" applyFill="1" applyBorder="1" applyAlignment="1">
      <alignment horizontal="center" vertical="center" wrapText="1"/>
    </xf>
    <xf numFmtId="49" fontId="169" fillId="57" borderId="1" xfId="0" applyNumberFormat="1" applyFont="1" applyFill="1" applyBorder="1" applyAlignment="1">
      <alignment horizontal="center" vertical="center" wrapText="1"/>
    </xf>
    <xf numFmtId="0" fontId="32" fillId="0" borderId="0" xfId="0" applyFont="1" applyAlignment="1">
      <alignment horizontal="left" vertical="center"/>
    </xf>
    <xf numFmtId="166" fontId="32" fillId="0" borderId="1" xfId="0" applyNumberFormat="1" applyFont="1" applyBorder="1" applyAlignment="1">
      <alignment horizontal="center" vertical="center" wrapText="1"/>
    </xf>
    <xf numFmtId="171" fontId="32" fillId="0" borderId="1" xfId="0" applyNumberFormat="1" applyFont="1" applyBorder="1" applyAlignment="1">
      <alignment horizontal="center" vertical="center"/>
    </xf>
    <xf numFmtId="0" fontId="172" fillId="0" borderId="0" xfId="0" applyFont="1" applyAlignment="1">
      <alignment horizontal="left" vertical="center"/>
    </xf>
    <xf numFmtId="0" fontId="164" fillId="0" borderId="0" xfId="0" applyFont="1" applyAlignment="1">
      <alignment horizontal="left" vertical="center"/>
    </xf>
    <xf numFmtId="0" fontId="40" fillId="0" borderId="0" xfId="0" applyFont="1" applyAlignment="1">
      <alignment horizontal="center" vertical="center"/>
    </xf>
    <xf numFmtId="0" fontId="29" fillId="4" borderId="0" xfId="0" applyFont="1" applyFill="1"/>
    <xf numFmtId="0" fontId="42" fillId="70" borderId="0" xfId="0" applyFont="1" applyFill="1" applyAlignment="1">
      <alignment vertical="center"/>
    </xf>
    <xf numFmtId="0" fontId="29" fillId="70" borderId="0" xfId="0" applyFont="1" applyFill="1" applyAlignment="1">
      <alignment vertical="center"/>
    </xf>
    <xf numFmtId="0" fontId="29" fillId="0" borderId="0" xfId="0" applyFont="1"/>
    <xf numFmtId="0" fontId="174" fillId="0" borderId="0" xfId="0" applyFont="1"/>
    <xf numFmtId="188" fontId="17" fillId="71" borderId="103" xfId="0" applyNumberFormat="1" applyFont="1" applyFill="1" applyBorder="1" applyAlignment="1">
      <alignment vertical="center"/>
    </xf>
    <xf numFmtId="0" fontId="17" fillId="71" borderId="103" xfId="0" applyFont="1" applyFill="1" applyBorder="1" applyAlignment="1">
      <alignment horizontal="right" vertical="center"/>
    </xf>
    <xf numFmtId="37" fontId="17" fillId="71" borderId="103" xfId="64" applyNumberFormat="1" applyFont="1" applyFill="1" applyBorder="1" applyAlignment="1">
      <alignment vertical="center"/>
    </xf>
    <xf numFmtId="9" fontId="17" fillId="71" borderId="103" xfId="1" applyFont="1" applyFill="1" applyBorder="1" applyAlignment="1">
      <alignment vertical="center"/>
    </xf>
    <xf numFmtId="0" fontId="174" fillId="4" borderId="0" xfId="0" applyFont="1" applyFill="1"/>
    <xf numFmtId="0" fontId="46" fillId="62" borderId="112" xfId="0" applyFont="1" applyFill="1" applyBorder="1" applyAlignment="1">
      <alignment vertical="center"/>
    </xf>
    <xf numFmtId="188" fontId="47" fillId="62" borderId="112" xfId="64" applyNumberFormat="1" applyFont="1" applyFill="1" applyBorder="1" applyAlignment="1">
      <alignment vertical="center"/>
    </xf>
    <xf numFmtId="187" fontId="47" fillId="62" borderId="112" xfId="1" applyNumberFormat="1" applyFont="1" applyFill="1" applyBorder="1" applyAlignment="1">
      <alignment vertical="center"/>
    </xf>
    <xf numFmtId="0" fontId="47" fillId="63" borderId="112" xfId="0" applyFont="1" applyFill="1" applyBorder="1" applyAlignment="1">
      <alignment horizontal="left" vertical="center" wrapText="1"/>
    </xf>
    <xf numFmtId="188" fontId="47" fillId="63" borderId="112" xfId="64" applyNumberFormat="1" applyFont="1" applyFill="1" applyBorder="1" applyAlignment="1">
      <alignment vertical="center"/>
    </xf>
    <xf numFmtId="170" fontId="47" fillId="63" borderId="112" xfId="64" applyFont="1" applyFill="1" applyBorder="1" applyAlignment="1">
      <alignment horizontal="right" vertical="center"/>
    </xf>
    <xf numFmtId="187" fontId="47" fillId="63" borderId="112" xfId="1" applyNumberFormat="1" applyFont="1" applyFill="1" applyBorder="1" applyAlignment="1">
      <alignment vertical="center"/>
    </xf>
    <xf numFmtId="0" fontId="29" fillId="4" borderId="0" xfId="0" applyFont="1" applyFill="1" applyAlignment="1">
      <alignment wrapText="1"/>
    </xf>
    <xf numFmtId="188" fontId="175" fillId="63" borderId="112" xfId="64" applyNumberFormat="1" applyFont="1" applyFill="1" applyBorder="1" applyAlignment="1">
      <alignment vertical="center"/>
    </xf>
    <xf numFmtId="170" fontId="6" fillId="63" borderId="112" xfId="64" applyFont="1" applyFill="1" applyBorder="1" applyAlignment="1">
      <alignment horizontal="right" vertical="center"/>
    </xf>
    <xf numFmtId="187" fontId="6" fillId="63" borderId="112" xfId="1" applyNumberFormat="1" applyFont="1" applyFill="1" applyBorder="1" applyAlignment="1">
      <alignment vertical="center"/>
    </xf>
    <xf numFmtId="0" fontId="0" fillId="63" borderId="112" xfId="0" applyFill="1" applyBorder="1" applyAlignment="1">
      <alignment horizontal="left" vertical="center" wrapText="1" indent="1"/>
    </xf>
    <xf numFmtId="192" fontId="6" fillId="63" borderId="112" xfId="64" applyNumberFormat="1" applyFont="1" applyFill="1" applyBorder="1" applyAlignment="1">
      <alignment horizontal="right" vertical="center"/>
    </xf>
    <xf numFmtId="0" fontId="0" fillId="63" borderId="112" xfId="0" quotePrefix="1" applyFill="1" applyBorder="1" applyAlignment="1">
      <alignment horizontal="left" vertical="center" wrapText="1" indent="1"/>
    </xf>
    <xf numFmtId="0" fontId="32" fillId="63" borderId="0" xfId="0" applyFont="1" applyFill="1" applyAlignment="1">
      <alignment horizontal="left" vertical="center" wrapText="1" indent="2"/>
    </xf>
    <xf numFmtId="192" fontId="32" fillId="63" borderId="112" xfId="64" applyNumberFormat="1" applyFont="1" applyFill="1" applyBorder="1" applyAlignment="1">
      <alignment horizontal="right" vertical="center"/>
    </xf>
    <xf numFmtId="187" fontId="32" fillId="63" borderId="112" xfId="1" applyNumberFormat="1" applyFont="1" applyFill="1" applyBorder="1" applyAlignment="1">
      <alignment vertical="center"/>
    </xf>
    <xf numFmtId="0" fontId="32" fillId="63" borderId="112" xfId="0" applyFont="1" applyFill="1" applyBorder="1" applyAlignment="1">
      <alignment horizontal="left" vertical="center" wrapText="1" indent="2"/>
    </xf>
    <xf numFmtId="188" fontId="47" fillId="63" borderId="0" xfId="64" applyNumberFormat="1" applyFont="1" applyFill="1" applyBorder="1" applyAlignment="1">
      <alignment vertical="center"/>
    </xf>
    <xf numFmtId="192" fontId="32" fillId="63" borderId="0" xfId="64" applyNumberFormat="1" applyFont="1" applyFill="1" applyBorder="1" applyAlignment="1">
      <alignment horizontal="right" vertical="center"/>
    </xf>
    <xf numFmtId="0" fontId="46" fillId="66" borderId="112" xfId="0" applyFont="1" applyFill="1" applyBorder="1" applyAlignment="1">
      <alignment vertical="center" wrapText="1"/>
    </xf>
    <xf numFmtId="188" fontId="47" fillId="66" borderId="112" xfId="64" applyNumberFormat="1" applyFont="1" applyFill="1" applyBorder="1" applyAlignment="1">
      <alignment vertical="center"/>
    </xf>
    <xf numFmtId="187" fontId="47" fillId="66" borderId="112" xfId="1" applyNumberFormat="1" applyFont="1" applyFill="1" applyBorder="1" applyAlignment="1">
      <alignment vertical="center"/>
    </xf>
    <xf numFmtId="0" fontId="47" fillId="67" borderId="112" xfId="0" applyFont="1" applyFill="1" applyBorder="1" applyAlignment="1">
      <alignment horizontal="left" vertical="center" wrapText="1"/>
    </xf>
    <xf numFmtId="188" fontId="47" fillId="67" borderId="112" xfId="64" applyNumberFormat="1" applyFont="1" applyFill="1" applyBorder="1" applyAlignment="1">
      <alignment vertical="center"/>
    </xf>
    <xf numFmtId="187" fontId="47" fillId="67" borderId="112" xfId="1" applyNumberFormat="1" applyFont="1" applyFill="1" applyBorder="1" applyAlignment="1">
      <alignment vertical="center"/>
    </xf>
    <xf numFmtId="0" fontId="46" fillId="72" borderId="112" xfId="0" applyFont="1" applyFill="1" applyBorder="1" applyAlignment="1">
      <alignment vertical="center" wrapText="1"/>
    </xf>
    <xf numFmtId="188" fontId="47" fillId="72" borderId="112" xfId="64" applyNumberFormat="1" applyFont="1" applyFill="1" applyBorder="1" applyAlignment="1">
      <alignment vertical="center"/>
    </xf>
    <xf numFmtId="187" fontId="47" fillId="72" borderId="112" xfId="1" applyNumberFormat="1" applyFont="1" applyFill="1" applyBorder="1" applyAlignment="1">
      <alignment vertical="center"/>
    </xf>
    <xf numFmtId="0" fontId="47" fillId="73" borderId="112" xfId="0" applyFont="1" applyFill="1" applyBorder="1" applyAlignment="1">
      <alignment horizontal="left" vertical="center" wrapText="1"/>
    </xf>
    <xf numFmtId="188" fontId="47" fillId="73" borderId="112" xfId="64" applyNumberFormat="1" applyFont="1" applyFill="1" applyBorder="1" applyAlignment="1">
      <alignment vertical="center"/>
    </xf>
    <xf numFmtId="187" fontId="47" fillId="73" borderId="112" xfId="1" applyNumberFormat="1" applyFont="1" applyFill="1" applyBorder="1" applyAlignment="1">
      <alignment vertical="center"/>
    </xf>
    <xf numFmtId="188" fontId="47" fillId="73" borderId="0" xfId="64" applyNumberFormat="1" applyFont="1" applyFill="1" applyBorder="1" applyAlignment="1">
      <alignment vertical="center"/>
    </xf>
    <xf numFmtId="0" fontId="47" fillId="73" borderId="0" xfId="0" applyFont="1" applyFill="1" applyAlignment="1">
      <alignment horizontal="left" vertical="center" wrapText="1"/>
    </xf>
    <xf numFmtId="187" fontId="6" fillId="73" borderId="112" xfId="1" applyNumberFormat="1" applyFont="1" applyFill="1" applyBorder="1" applyAlignment="1">
      <alignment vertical="center"/>
    </xf>
    <xf numFmtId="187" fontId="32" fillId="73" borderId="112" xfId="1" applyNumberFormat="1" applyFont="1" applyFill="1" applyBorder="1" applyAlignment="1">
      <alignment vertical="center"/>
    </xf>
    <xf numFmtId="188" fontId="47" fillId="73" borderId="120" xfId="64" applyNumberFormat="1" applyFont="1" applyFill="1" applyBorder="1" applyAlignment="1">
      <alignment vertical="center"/>
    </xf>
    <xf numFmtId="0" fontId="0" fillId="4" borderId="0" xfId="0" applyFill="1" applyAlignment="1">
      <alignment horizontal="left" vertical="center" wrapText="1" indent="2"/>
    </xf>
    <xf numFmtId="188" fontId="47" fillId="4" borderId="0" xfId="64" applyNumberFormat="1" applyFont="1" applyFill="1" applyBorder="1" applyAlignment="1">
      <alignment vertical="center"/>
    </xf>
    <xf numFmtId="188" fontId="46" fillId="4" borderId="0" xfId="64" applyNumberFormat="1" applyFont="1" applyFill="1" applyBorder="1" applyAlignment="1">
      <alignment horizontal="right" vertical="center"/>
    </xf>
    <xf numFmtId="0" fontId="176" fillId="4" borderId="0" xfId="0" applyFont="1" applyFill="1" applyAlignment="1">
      <alignment horizontal="left" vertical="center" wrapText="1"/>
    </xf>
    <xf numFmtId="0" fontId="177" fillId="70" borderId="0" xfId="33" applyFont="1" applyFill="1" applyAlignment="1">
      <alignment horizontal="center" vertical="center"/>
    </xf>
    <xf numFmtId="0" fontId="14" fillId="70" borderId="0" xfId="33" applyFont="1" applyFill="1" applyAlignment="1">
      <alignment vertical="center"/>
    </xf>
    <xf numFmtId="0" fontId="177" fillId="70" borderId="0" xfId="0" applyFont="1" applyFill="1" applyAlignment="1">
      <alignment horizontal="center" vertical="center"/>
    </xf>
    <xf numFmtId="0" fontId="147" fillId="4" borderId="0" xfId="0" applyFont="1" applyFill="1" applyAlignment="1">
      <alignment vertical="center"/>
    </xf>
    <xf numFmtId="0" fontId="149" fillId="0" borderId="0" xfId="36" applyFont="1" applyFill="1" applyAlignment="1">
      <alignment horizontal="center" vertical="center" wrapText="1"/>
    </xf>
    <xf numFmtId="0" fontId="177" fillId="0" borderId="0" xfId="33" applyFont="1" applyFill="1" applyAlignment="1">
      <alignment horizontal="center" vertical="center"/>
    </xf>
    <xf numFmtId="0" fontId="177" fillId="0" borderId="0" xfId="0" applyFont="1" applyAlignment="1">
      <alignment horizontal="center" vertical="center"/>
    </xf>
    <xf numFmtId="0" fontId="178" fillId="0" borderId="0" xfId="44" applyFont="1" applyFill="1" applyAlignment="1">
      <alignment horizontal="center" vertical="center"/>
    </xf>
    <xf numFmtId="0" fontId="179" fillId="0" borderId="0" xfId="44" applyFont="1" applyFill="1" applyAlignment="1">
      <alignment horizontal="center" vertical="center"/>
    </xf>
    <xf numFmtId="0" fontId="17" fillId="4" borderId="28" xfId="0" applyFont="1" applyFill="1" applyBorder="1" applyAlignment="1">
      <alignment vertical="center"/>
    </xf>
    <xf numFmtId="0" fontId="0" fillId="4" borderId="28" xfId="0" applyFill="1" applyBorder="1"/>
    <xf numFmtId="0" fontId="8" fillId="4" borderId="28" xfId="0" applyFont="1" applyFill="1" applyBorder="1" applyAlignment="1">
      <alignment horizontal="center" vertical="center" wrapText="1"/>
    </xf>
    <xf numFmtId="0" fontId="8" fillId="4" borderId="28" xfId="0" applyFont="1" applyFill="1" applyBorder="1" applyAlignment="1">
      <alignment horizontal="center" vertical="center"/>
    </xf>
    <xf numFmtId="3" fontId="0" fillId="4" borderId="0" xfId="0" applyNumberFormat="1" applyFill="1" applyAlignment="1">
      <alignment horizontal="center" vertical="center"/>
    </xf>
    <xf numFmtId="9" fontId="0" fillId="4" borderId="0" xfId="1" applyFont="1" applyFill="1" applyAlignment="1" applyProtection="1">
      <alignment horizontal="center" vertical="center"/>
    </xf>
    <xf numFmtId="0" fontId="180" fillId="0" borderId="0" xfId="34" applyFont="1" applyFill="1" applyAlignment="1">
      <alignment horizontal="center" vertical="center" wrapText="1"/>
    </xf>
    <xf numFmtId="0" fontId="14" fillId="0" borderId="0" xfId="33" applyFont="1" applyFill="1" applyAlignment="1">
      <alignment horizontal="center" vertical="center"/>
    </xf>
    <xf numFmtId="0" fontId="42" fillId="0" borderId="0" xfId="0" applyFont="1" applyAlignment="1">
      <alignment horizontal="center" vertical="center"/>
    </xf>
    <xf numFmtId="0" fontId="47" fillId="0" borderId="0" xfId="66"/>
    <xf numFmtId="0" fontId="47" fillId="0" borderId="0" xfId="66" applyAlignment="1">
      <alignment horizontal="center" wrapText="1"/>
    </xf>
    <xf numFmtId="0" fontId="47" fillId="0" borderId="0" xfId="66" applyAlignment="1">
      <alignment horizontal="center"/>
    </xf>
    <xf numFmtId="0" fontId="181" fillId="0" borderId="0" xfId="66" applyFont="1" applyAlignment="1">
      <alignment horizontal="left" vertical="top"/>
    </xf>
    <xf numFmtId="0" fontId="47" fillId="0" borderId="0" xfId="66" applyAlignment="1">
      <alignment horizontal="center" vertical="top"/>
    </xf>
    <xf numFmtId="0" fontId="47" fillId="0" borderId="0" xfId="66" applyAlignment="1" applyProtection="1">
      <alignment horizontal="center"/>
      <protection hidden="1"/>
    </xf>
    <xf numFmtId="0" fontId="157" fillId="63" borderId="0" xfId="0" applyFont="1" applyFill="1" applyAlignment="1">
      <alignment horizontal="right"/>
    </xf>
    <xf numFmtId="0" fontId="157" fillId="63" borderId="0" xfId="0" applyFont="1" applyFill="1"/>
    <xf numFmtId="0" fontId="157" fillId="63" borderId="0" xfId="0" applyFont="1" applyFill="1" applyAlignment="1">
      <alignment wrapText="1"/>
    </xf>
    <xf numFmtId="0" fontId="157" fillId="63" borderId="0" xfId="0" applyFont="1" applyFill="1" applyProtection="1">
      <protection hidden="1"/>
    </xf>
    <xf numFmtId="0" fontId="157" fillId="63" borderId="0" xfId="66" applyFont="1" applyFill="1"/>
    <xf numFmtId="0" fontId="47" fillId="63" borderId="1" xfId="66" applyFill="1" applyBorder="1" applyAlignment="1">
      <alignment horizontal="center" vertical="center" wrapText="1"/>
    </xf>
    <xf numFmtId="0" fontId="46" fillId="0" borderId="0" xfId="66" applyFont="1" applyAlignment="1">
      <alignment horizontal="center" vertical="center" wrapText="1"/>
    </xf>
    <xf numFmtId="0" fontId="46" fillId="0" borderId="0" xfId="66" applyFont="1" applyAlignment="1" applyProtection="1">
      <alignment horizontal="center" vertical="center" wrapText="1"/>
      <protection hidden="1"/>
    </xf>
    <xf numFmtId="0" fontId="47" fillId="63" borderId="1" xfId="66" applyFill="1" applyBorder="1" applyAlignment="1">
      <alignment vertical="center" wrapText="1"/>
    </xf>
    <xf numFmtId="0" fontId="47" fillId="63" borderId="1" xfId="66" applyFill="1" applyBorder="1" applyAlignment="1" applyProtection="1">
      <alignment horizontal="center" vertical="center" wrapText="1"/>
      <protection hidden="1"/>
    </xf>
    <xf numFmtId="0" fontId="168" fillId="58" borderId="121" xfId="10" applyFont="1" applyFill="1" applyBorder="1" applyAlignment="1" applyProtection="1">
      <alignment horizontal="center" vertical="center"/>
      <protection locked="0"/>
    </xf>
    <xf numFmtId="0" fontId="168" fillId="58" borderId="121" xfId="10" applyFont="1" applyFill="1" applyBorder="1" applyAlignment="1" applyProtection="1">
      <alignment horizontal="center" vertical="center" wrapText="1"/>
      <protection locked="0"/>
    </xf>
    <xf numFmtId="14" fontId="168" fillId="58" borderId="121" xfId="10" applyNumberFormat="1" applyFont="1" applyFill="1" applyBorder="1" applyAlignment="1" applyProtection="1">
      <alignment horizontal="center" vertical="center"/>
      <protection locked="0"/>
    </xf>
    <xf numFmtId="0" fontId="168" fillId="58" borderId="122" xfId="10" applyFont="1" applyFill="1" applyBorder="1" applyAlignment="1" applyProtection="1">
      <alignment horizontal="center" vertical="center"/>
      <protection locked="0"/>
    </xf>
    <xf numFmtId="0" fontId="32" fillId="0" borderId="1" xfId="66" applyFont="1" applyBorder="1" applyAlignment="1">
      <alignment horizontal="center" vertical="center"/>
    </xf>
    <xf numFmtId="0" fontId="32" fillId="0" borderId="0" xfId="66" applyFont="1" applyAlignment="1">
      <alignment horizontal="center" vertical="center"/>
    </xf>
    <xf numFmtId="0" fontId="24" fillId="58" borderId="8" xfId="10" applyFill="1" applyAlignment="1" applyProtection="1">
      <alignment horizontal="center" vertical="center" wrapText="1"/>
      <protection locked="0"/>
    </xf>
    <xf numFmtId="0" fontId="24" fillId="58" borderId="121" xfId="10" applyFill="1" applyBorder="1" applyAlignment="1" applyProtection="1">
      <alignment horizontal="center" vertical="center"/>
      <protection locked="0"/>
    </xf>
    <xf numFmtId="14" fontId="24" fillId="58" borderId="8" xfId="10" applyNumberFormat="1" applyFill="1" applyAlignment="1" applyProtection="1">
      <alignment horizontal="center" vertical="center"/>
      <protection locked="0"/>
    </xf>
    <xf numFmtId="0" fontId="24" fillId="58" borderId="104" xfId="10" applyFill="1" applyBorder="1" applyAlignment="1" applyProtection="1">
      <alignment vertical="center" wrapText="1"/>
      <protection locked="0"/>
    </xf>
    <xf numFmtId="0" fontId="147" fillId="4" borderId="0" xfId="0" applyFont="1" applyFill="1"/>
    <xf numFmtId="0" fontId="156" fillId="0" borderId="0" xfId="0" applyFont="1" applyAlignment="1">
      <alignment horizontal="left" vertical="top"/>
    </xf>
    <xf numFmtId="0" fontId="32" fillId="57" borderId="123" xfId="0" applyFont="1" applyFill="1" applyBorder="1" applyAlignment="1">
      <alignment horizontal="center" vertical="center"/>
    </xf>
    <xf numFmtId="0" fontId="32" fillId="57" borderId="124" xfId="0" applyFont="1" applyFill="1" applyBorder="1" applyAlignment="1">
      <alignment vertical="center" wrapText="1"/>
    </xf>
    <xf numFmtId="0" fontId="32" fillId="57" borderId="124" xfId="0" applyFont="1" applyFill="1" applyBorder="1" applyAlignment="1">
      <alignment vertical="center"/>
    </xf>
    <xf numFmtId="0" fontId="32" fillId="57" borderId="124" xfId="0" applyFont="1" applyFill="1" applyBorder="1" applyAlignment="1">
      <alignment horizontal="center" vertical="center"/>
    </xf>
    <xf numFmtId="0" fontId="32" fillId="57" borderId="125" xfId="0" applyFont="1" applyFill="1" applyBorder="1" applyAlignment="1">
      <alignment vertical="center"/>
    </xf>
    <xf numFmtId="0" fontId="32" fillId="4" borderId="126" xfId="0" applyFont="1" applyFill="1" applyBorder="1" applyAlignment="1">
      <alignment horizontal="center" vertical="center"/>
    </xf>
    <xf numFmtId="0" fontId="32" fillId="4" borderId="98" xfId="0" applyFont="1" applyFill="1" applyBorder="1" applyAlignment="1">
      <alignment horizontal="left" vertical="center" wrapText="1"/>
    </xf>
    <xf numFmtId="0" fontId="32" fillId="4" borderId="98" xfId="0" applyFont="1" applyFill="1" applyBorder="1" applyAlignment="1">
      <alignment vertical="center"/>
    </xf>
    <xf numFmtId="0" fontId="32" fillId="4" borderId="98" xfId="0" applyFont="1" applyFill="1" applyBorder="1" applyAlignment="1">
      <alignment horizontal="center" vertical="center"/>
    </xf>
    <xf numFmtId="0" fontId="32" fillId="4" borderId="98" xfId="0" applyFont="1" applyFill="1" applyBorder="1" applyAlignment="1" applyProtection="1">
      <alignment vertical="center"/>
      <protection locked="0"/>
    </xf>
    <xf numFmtId="0" fontId="32" fillId="4" borderId="127" xfId="0" applyFont="1" applyFill="1" applyBorder="1" applyAlignment="1">
      <alignment vertical="center"/>
    </xf>
    <xf numFmtId="0" fontId="32" fillId="4" borderId="98" xfId="0" applyFont="1" applyFill="1" applyBorder="1" applyAlignment="1">
      <alignment vertical="center" wrapText="1"/>
    </xf>
    <xf numFmtId="0" fontId="184" fillId="4" borderId="98" xfId="65" applyFont="1" applyFill="1" applyBorder="1" applyAlignment="1" applyProtection="1">
      <alignment vertical="center"/>
      <protection locked="0"/>
    </xf>
    <xf numFmtId="0" fontId="164" fillId="0" borderId="127" xfId="0" applyFont="1" applyBorder="1" applyAlignment="1">
      <alignment horizontal="left" vertical="center"/>
    </xf>
    <xf numFmtId="15" fontId="32" fillId="4" borderId="98" xfId="0" applyNumberFormat="1" applyFont="1" applyFill="1" applyBorder="1" applyAlignment="1">
      <alignment horizontal="center" vertical="center"/>
    </xf>
    <xf numFmtId="17" fontId="32" fillId="4" borderId="98" xfId="0" applyNumberFormat="1" applyFont="1" applyFill="1" applyBorder="1" applyAlignment="1">
      <alignment horizontal="center" vertical="center"/>
    </xf>
    <xf numFmtId="0" fontId="32" fillId="4" borderId="127" xfId="0" applyFont="1" applyFill="1" applyBorder="1" applyAlignment="1">
      <alignment vertical="center" wrapText="1"/>
    </xf>
    <xf numFmtId="1" fontId="32" fillId="4" borderId="98" xfId="0" applyNumberFormat="1" applyFont="1" applyFill="1" applyBorder="1" applyAlignment="1">
      <alignment horizontal="center" vertical="center"/>
    </xf>
    <xf numFmtId="14" fontId="32" fillId="4" borderId="98" xfId="0" applyNumberFormat="1" applyFont="1" applyFill="1" applyBorder="1" applyAlignment="1">
      <alignment horizontal="center" vertical="center" wrapText="1"/>
    </xf>
    <xf numFmtId="0" fontId="32" fillId="4" borderId="98" xfId="0" applyFont="1" applyFill="1" applyBorder="1" applyAlignment="1" applyProtection="1">
      <alignment vertical="center" wrapText="1"/>
      <protection locked="0"/>
    </xf>
    <xf numFmtId="0" fontId="32" fillId="4" borderId="98" xfId="0" applyFont="1" applyFill="1" applyBorder="1" applyAlignment="1">
      <alignment horizontal="center" vertical="center" wrapText="1"/>
    </xf>
    <xf numFmtId="17" fontId="32" fillId="4" borderId="98" xfId="0" applyNumberFormat="1" applyFont="1" applyFill="1" applyBorder="1" applyAlignment="1">
      <alignment horizontal="center" vertical="center" wrapText="1"/>
    </xf>
    <xf numFmtId="0" fontId="32" fillId="4" borderId="126" xfId="0" applyFont="1" applyFill="1" applyBorder="1" applyAlignment="1">
      <alignment horizontal="center" vertical="center" wrapText="1"/>
    </xf>
    <xf numFmtId="14" fontId="32" fillId="4" borderId="98" xfId="0" applyNumberFormat="1" applyFont="1" applyFill="1" applyBorder="1" applyAlignment="1">
      <alignment horizontal="center" vertical="center"/>
    </xf>
    <xf numFmtId="0" fontId="184" fillId="4" borderId="98" xfId="65" applyFont="1" applyFill="1" applyBorder="1" applyAlignment="1" applyProtection="1">
      <alignment vertical="center" wrapText="1"/>
    </xf>
    <xf numFmtId="0" fontId="0" fillId="4" borderId="126" xfId="0" applyFill="1" applyBorder="1" applyAlignment="1">
      <alignment horizontal="center" vertical="center"/>
    </xf>
    <xf numFmtId="0" fontId="0" fillId="4" borderId="98" xfId="0" applyFill="1" applyBorder="1" applyAlignment="1">
      <alignment vertical="center"/>
    </xf>
    <xf numFmtId="0" fontId="0" fillId="4" borderId="98" xfId="0" applyFill="1" applyBorder="1" applyAlignment="1">
      <alignment vertical="center" wrapText="1"/>
    </xf>
    <xf numFmtId="0" fontId="0" fillId="4" borderId="98" xfId="0" applyFill="1" applyBorder="1" applyAlignment="1">
      <alignment horizontal="center" vertical="center"/>
    </xf>
    <xf numFmtId="0" fontId="13" fillId="0" borderId="98" xfId="2" applyBorder="1"/>
    <xf numFmtId="0" fontId="0" fillId="4" borderId="127" xfId="0" applyFill="1" applyBorder="1" applyAlignment="1">
      <alignment vertical="center"/>
    </xf>
    <xf numFmtId="0" fontId="0" fillId="4" borderId="128" xfId="0" applyFill="1" applyBorder="1" applyAlignment="1">
      <alignment horizontal="center" vertical="center"/>
    </xf>
    <xf numFmtId="0" fontId="0" fillId="4" borderId="129" xfId="0" applyFill="1" applyBorder="1" applyAlignment="1">
      <alignment vertical="center"/>
    </xf>
    <xf numFmtId="0" fontId="0" fillId="4" borderId="129" xfId="0" applyFill="1" applyBorder="1" applyAlignment="1">
      <alignment horizontal="center" vertical="center"/>
    </xf>
    <xf numFmtId="0" fontId="0" fillId="4" borderId="130" xfId="0" applyFill="1" applyBorder="1" applyAlignment="1">
      <alignment vertical="center"/>
    </xf>
    <xf numFmtId="0" fontId="52" fillId="0" borderId="0" xfId="67"/>
    <xf numFmtId="0" fontId="181" fillId="0" borderId="0" xfId="67" applyFont="1" applyAlignment="1">
      <alignment vertical="top"/>
    </xf>
    <xf numFmtId="0" fontId="157" fillId="75" borderId="0" xfId="0" applyFont="1" applyFill="1" applyAlignment="1">
      <alignment horizontal="right"/>
    </xf>
    <xf numFmtId="0" fontId="157" fillId="75" borderId="0" xfId="0" applyFont="1" applyFill="1"/>
    <xf numFmtId="0" fontId="157" fillId="0" borderId="0" xfId="66" applyFont="1"/>
    <xf numFmtId="0" fontId="47" fillId="0" borderId="0" xfId="67" applyFont="1"/>
    <xf numFmtId="0" fontId="46" fillId="76" borderId="1" xfId="67" applyFont="1" applyFill="1" applyBorder="1"/>
    <xf numFmtId="0" fontId="46" fillId="0" borderId="0" xfId="67" applyFont="1"/>
    <xf numFmtId="0" fontId="47" fillId="76" borderId="1" xfId="67" applyFont="1" applyFill="1" applyBorder="1"/>
    <xf numFmtId="0" fontId="157" fillId="75" borderId="1" xfId="0" applyFont="1" applyFill="1" applyBorder="1"/>
    <xf numFmtId="0" fontId="52" fillId="0" borderId="1" xfId="67" applyBorder="1"/>
    <xf numFmtId="0" fontId="157" fillId="0" borderId="0" xfId="67" applyFont="1"/>
    <xf numFmtId="0" fontId="157" fillId="42" borderId="1" xfId="0" applyFont="1" applyFill="1" applyBorder="1"/>
    <xf numFmtId="165" fontId="47" fillId="76" borderId="1" xfId="67" applyNumberFormat="1" applyFont="1" applyFill="1" applyBorder="1"/>
    <xf numFmtId="3" fontId="47" fillId="76" borderId="1" xfId="67" applyNumberFormat="1" applyFont="1" applyFill="1" applyBorder="1"/>
    <xf numFmtId="166" fontId="47" fillId="76" borderId="1" xfId="67" applyNumberFormat="1" applyFont="1" applyFill="1" applyBorder="1"/>
    <xf numFmtId="0" fontId="156" fillId="0" borderId="0" xfId="0" applyFont="1"/>
    <xf numFmtId="0" fontId="8" fillId="0" borderId="0" xfId="0" applyFont="1" applyAlignment="1">
      <alignment horizontal="left" vertical="center" wrapText="1"/>
    </xf>
    <xf numFmtId="0" fontId="33" fillId="57" borderId="1" xfId="0" applyFont="1" applyFill="1" applyBorder="1" applyAlignment="1">
      <alignment horizontal="center" vertical="center" wrapText="1"/>
    </xf>
    <xf numFmtId="0" fontId="8" fillId="4" borderId="0" xfId="0" applyFont="1" applyFill="1" applyAlignment="1">
      <alignment horizontal="center" vertical="center" wrapText="1"/>
    </xf>
    <xf numFmtId="0" fontId="32" fillId="4" borderId="1" xfId="0" applyFont="1" applyFill="1" applyBorder="1" applyAlignment="1" applyProtection="1">
      <alignment horizontal="center" vertical="center" wrapText="1"/>
      <protection locked="0"/>
    </xf>
    <xf numFmtId="0" fontId="32" fillId="4" borderId="1" xfId="0" applyFont="1" applyFill="1" applyBorder="1" applyAlignment="1" applyProtection="1">
      <alignment vertical="center" wrapText="1"/>
      <protection locked="0"/>
    </xf>
    <xf numFmtId="15" fontId="32" fillId="4" borderId="1" xfId="0" applyNumberFormat="1" applyFont="1" applyFill="1" applyBorder="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0" borderId="1" xfId="0" applyBorder="1" applyAlignment="1" applyProtection="1">
      <alignment wrapText="1"/>
      <protection locked="0"/>
    </xf>
    <xf numFmtId="0" fontId="0" fillId="0" borderId="0" xfId="0" applyAlignment="1" applyProtection="1">
      <alignment wrapText="1"/>
      <protection locked="0"/>
    </xf>
    <xf numFmtId="0" fontId="159" fillId="0" borderId="0" xfId="0" applyFont="1" applyAlignment="1">
      <alignment horizontal="center" wrapText="1"/>
    </xf>
    <xf numFmtId="3" fontId="47" fillId="73" borderId="112" xfId="0" applyNumberFormat="1" applyFont="1" applyFill="1" applyBorder="1" applyAlignment="1">
      <alignment horizontal="right" vertical="center" wrapText="1"/>
    </xf>
    <xf numFmtId="176" fontId="11" fillId="56" borderId="44" xfId="0" applyNumberFormat="1" applyFont="1" applyFill="1" applyBorder="1"/>
    <xf numFmtId="0" fontId="11" fillId="56" borderId="44" xfId="0" applyFont="1" applyFill="1" applyBorder="1"/>
    <xf numFmtId="164" fontId="11" fillId="56" borderId="44" xfId="0" applyNumberFormat="1" applyFont="1" applyFill="1" applyBorder="1" applyAlignment="1">
      <alignment horizontal="center"/>
    </xf>
    <xf numFmtId="43" fontId="100" fillId="40" borderId="44" xfId="68" applyFont="1" applyFill="1" applyBorder="1" applyAlignment="1" applyProtection="1">
      <alignment horizontal="left"/>
    </xf>
    <xf numFmtId="43" fontId="100" fillId="40" borderId="44" xfId="68" applyFont="1" applyFill="1" applyBorder="1" applyProtection="1"/>
    <xf numFmtId="0" fontId="100" fillId="40" borderId="44" xfId="0" applyFont="1" applyFill="1" applyBorder="1" applyAlignment="1">
      <alignment wrapText="1"/>
    </xf>
    <xf numFmtId="4" fontId="100" fillId="40" borderId="44" xfId="0" applyNumberFormat="1" applyFont="1" applyFill="1" applyBorder="1" applyAlignment="1">
      <alignment horizontal="center" wrapText="1"/>
    </xf>
    <xf numFmtId="168" fontId="32" fillId="0" borderId="1" xfId="0" applyNumberFormat="1" applyFont="1" applyBorder="1" applyAlignment="1">
      <alignment horizontal="center" vertical="center"/>
    </xf>
    <xf numFmtId="164" fontId="0" fillId="0" borderId="0" xfId="0" applyNumberFormat="1"/>
    <xf numFmtId="0" fontId="187" fillId="0" borderId="0" xfId="0" applyFont="1"/>
    <xf numFmtId="3" fontId="164" fillId="41" borderId="1" xfId="0" applyNumberFormat="1" applyFont="1" applyFill="1" applyBorder="1" applyAlignment="1">
      <alignment horizontal="right" vertical="center" wrapText="1"/>
    </xf>
    <xf numFmtId="0" fontId="13" fillId="4" borderId="98" xfId="2" applyFill="1" applyBorder="1" applyAlignment="1" applyProtection="1">
      <alignment vertical="center"/>
      <protection locked="0"/>
    </xf>
    <xf numFmtId="0" fontId="13" fillId="4" borderId="98" xfId="2" applyFill="1" applyBorder="1" applyAlignment="1" applyProtection="1">
      <alignment vertical="center" wrapText="1"/>
      <protection locked="0"/>
    </xf>
    <xf numFmtId="0" fontId="13" fillId="4" borderId="127" xfId="2" applyFill="1" applyBorder="1" applyAlignment="1">
      <alignment vertical="center"/>
    </xf>
    <xf numFmtId="43" fontId="32" fillId="0" borderId="0" xfId="0" applyNumberFormat="1" applyFont="1" applyAlignment="1">
      <alignment horizontal="center" vertical="center"/>
    </xf>
    <xf numFmtId="0" fontId="32" fillId="57" borderId="24" xfId="0" applyFont="1" applyFill="1" applyBorder="1" applyAlignment="1">
      <alignment vertical="center" wrapText="1"/>
    </xf>
    <xf numFmtId="168" fontId="32" fillId="0" borderId="0" xfId="0" applyNumberFormat="1" applyFont="1" applyAlignment="1">
      <alignment vertical="center" wrapText="1"/>
    </xf>
    <xf numFmtId="168" fontId="32" fillId="57" borderId="0" xfId="0" applyNumberFormat="1" applyFont="1" applyFill="1" applyAlignment="1">
      <alignment vertical="center" wrapText="1"/>
    </xf>
    <xf numFmtId="0" fontId="32" fillId="0" borderId="132" xfId="0" applyFont="1" applyBorder="1" applyAlignment="1">
      <alignment vertical="center"/>
    </xf>
    <xf numFmtId="0" fontId="32" fillId="0" borderId="134" xfId="0" applyFont="1" applyBorder="1"/>
    <xf numFmtId="0" fontId="32" fillId="77" borderId="134" xfId="0" applyFont="1" applyFill="1" applyBorder="1"/>
    <xf numFmtId="0" fontId="32" fillId="78" borderId="134" xfId="0" applyFont="1" applyFill="1" applyBorder="1"/>
    <xf numFmtId="0" fontId="32" fillId="79" borderId="134" xfId="0" applyFont="1" applyFill="1" applyBorder="1"/>
    <xf numFmtId="0" fontId="32" fillId="79" borderId="136" xfId="0" applyFont="1" applyFill="1" applyBorder="1"/>
    <xf numFmtId="0" fontId="32" fillId="0" borderId="132" xfId="0" applyFont="1" applyBorder="1" applyAlignment="1">
      <alignment horizontal="center" wrapText="1"/>
    </xf>
    <xf numFmtId="0" fontId="32" fillId="0" borderId="134" xfId="0" applyFont="1" applyBorder="1" applyAlignment="1">
      <alignment horizontal="center" wrapText="1"/>
    </xf>
    <xf numFmtId="183" fontId="32" fillId="80" borderId="134" xfId="0" applyNumberFormat="1" applyFont="1" applyFill="1" applyBorder="1" applyAlignment="1">
      <alignment horizontal="center" wrapText="1"/>
    </xf>
    <xf numFmtId="183" fontId="32" fillId="80" borderId="136" xfId="0" applyNumberFormat="1" applyFont="1" applyFill="1" applyBorder="1" applyAlignment="1">
      <alignment horizontal="center" wrapText="1"/>
    </xf>
    <xf numFmtId="0" fontId="29" fillId="4" borderId="0" xfId="0" applyFont="1" applyFill="1" applyAlignment="1">
      <alignment horizontal="center"/>
    </xf>
    <xf numFmtId="0" fontId="148" fillId="0" borderId="0" xfId="0" applyFont="1" applyAlignment="1">
      <alignment horizontal="center"/>
    </xf>
    <xf numFmtId="0" fontId="29" fillId="0" borderId="0" xfId="0" applyFont="1" applyAlignment="1">
      <alignment horizontal="center"/>
    </xf>
    <xf numFmtId="0" fontId="190" fillId="0" borderId="0" xfId="0" applyFont="1" applyAlignment="1">
      <alignment horizontal="center"/>
    </xf>
    <xf numFmtId="168" fontId="190" fillId="0" borderId="0" xfId="0" applyNumberFormat="1" applyFont="1" applyAlignment="1">
      <alignment horizontal="center"/>
    </xf>
    <xf numFmtId="0" fontId="32" fillId="0" borderId="132" xfId="0" applyFont="1" applyBorder="1" applyAlignment="1">
      <alignment horizontal="left" wrapText="1"/>
    </xf>
    <xf numFmtId="0" fontId="32" fillId="0" borderId="134" xfId="0" applyFont="1" applyBorder="1" applyAlignment="1">
      <alignment horizontal="left" wrapText="1"/>
    </xf>
    <xf numFmtId="183" fontId="32" fillId="80" borderId="134" xfId="0" applyNumberFormat="1" applyFont="1" applyFill="1" applyBorder="1" applyAlignment="1">
      <alignment horizontal="left" wrapText="1"/>
    </xf>
    <xf numFmtId="183" fontId="32" fillId="49" borderId="134" xfId="0" applyNumberFormat="1" applyFont="1" applyFill="1" applyBorder="1" applyAlignment="1">
      <alignment horizontal="left" wrapText="1"/>
    </xf>
    <xf numFmtId="183" fontId="32" fillId="80" borderId="136" xfId="0" applyNumberFormat="1" applyFont="1" applyFill="1" applyBorder="1" applyAlignment="1">
      <alignment horizontal="left" wrapText="1"/>
    </xf>
    <xf numFmtId="0" fontId="32" fillId="0" borderId="131" xfId="0" applyFont="1" applyBorder="1" applyAlignment="1">
      <alignment horizontal="right"/>
    </xf>
    <xf numFmtId="0" fontId="32" fillId="0" borderId="133" xfId="0" applyFont="1" applyBorder="1" applyAlignment="1">
      <alignment horizontal="right"/>
    </xf>
    <xf numFmtId="0" fontId="32" fillId="0" borderId="135" xfId="0" applyFont="1" applyBorder="1" applyAlignment="1">
      <alignment horizontal="right"/>
    </xf>
    <xf numFmtId="0" fontId="191" fillId="0" borderId="0" xfId="0" applyFont="1" applyAlignment="1">
      <alignment horizontal="center"/>
    </xf>
    <xf numFmtId="0" fontId="190" fillId="64" borderId="0" xfId="0" applyFont="1" applyFill="1" applyAlignment="1">
      <alignment horizontal="center"/>
    </xf>
    <xf numFmtId="170" fontId="164" fillId="4" borderId="0" xfId="64" applyFont="1" applyFill="1" applyBorder="1" applyAlignment="1">
      <alignment horizontal="right" vertical="center"/>
    </xf>
    <xf numFmtId="0" fontId="11" fillId="4" borderId="0" xfId="0" applyFont="1" applyFill="1" applyAlignment="1">
      <alignment horizontal="left" vertical="center" wrapText="1" indent="2"/>
    </xf>
    <xf numFmtId="188" fontId="55" fillId="4" borderId="0" xfId="64" applyNumberFormat="1" applyFont="1" applyFill="1" applyBorder="1" applyAlignment="1">
      <alignment vertical="center"/>
    </xf>
    <xf numFmtId="187" fontId="164" fillId="4" borderId="0" xfId="1" applyNumberFormat="1" applyFont="1" applyFill="1" applyBorder="1" applyAlignment="1">
      <alignment vertical="center"/>
    </xf>
    <xf numFmtId="0" fontId="11" fillId="4" borderId="0" xfId="0" applyFont="1" applyFill="1" applyAlignment="1">
      <alignment vertical="center"/>
    </xf>
    <xf numFmtId="9" fontId="0" fillId="0" borderId="0" xfId="1" applyFont="1"/>
    <xf numFmtId="4" fontId="164" fillId="41" borderId="16" xfId="0" applyNumberFormat="1" applyFont="1" applyFill="1" applyBorder="1" applyAlignment="1">
      <alignment horizontal="center" vertical="center" wrapText="1"/>
    </xf>
    <xf numFmtId="4" fontId="47" fillId="76" borderId="1" xfId="67" applyNumberFormat="1" applyFont="1" applyFill="1" applyBorder="1"/>
    <xf numFmtId="0" fontId="33" fillId="0" borderId="0" xfId="67" applyFont="1" applyAlignment="1">
      <alignment horizontal="center"/>
    </xf>
    <xf numFmtId="0" fontId="157" fillId="75" borderId="1" xfId="0" applyFont="1" applyFill="1" applyBorder="1" applyAlignment="1">
      <alignment horizontal="center"/>
    </xf>
    <xf numFmtId="0" fontId="52" fillId="0" borderId="0" xfId="67" applyAlignment="1">
      <alignment horizontal="center"/>
    </xf>
    <xf numFmtId="0" fontId="157" fillId="0" borderId="0" xfId="67" applyFont="1" applyAlignment="1">
      <alignment horizontal="center"/>
    </xf>
    <xf numFmtId="0" fontId="157" fillId="42" borderId="1" xfId="0" applyFont="1" applyFill="1" applyBorder="1" applyAlignment="1">
      <alignment horizontal="center"/>
    </xf>
    <xf numFmtId="0" fontId="24" fillId="58" borderId="1" xfId="10" applyFill="1" applyBorder="1" applyAlignment="1" applyProtection="1">
      <alignment horizontal="center" vertical="center"/>
      <protection locked="0"/>
    </xf>
    <xf numFmtId="0" fontId="187" fillId="0" borderId="0" xfId="0" applyFont="1" applyAlignment="1">
      <alignment horizontal="center" vertical="center"/>
    </xf>
    <xf numFmtId="2" fontId="0" fillId="0" borderId="1" xfId="0" applyNumberFormat="1" applyBorder="1" applyAlignment="1">
      <alignment horizontal="center" vertical="center"/>
    </xf>
    <xf numFmtId="0" fontId="193" fillId="58" borderId="1" xfId="10" applyFont="1" applyFill="1" applyBorder="1" applyAlignment="1" applyProtection="1">
      <alignment horizontal="center" vertical="center" wrapText="1"/>
      <protection locked="0"/>
    </xf>
    <xf numFmtId="0" fontId="7" fillId="11" borderId="11" xfId="2" applyFont="1" applyFill="1" applyBorder="1" applyAlignment="1" applyProtection="1">
      <alignment horizontal="center" vertical="center" wrapText="1"/>
      <protection locked="0"/>
    </xf>
    <xf numFmtId="0" fontId="194" fillId="0" borderId="0" xfId="0" applyFont="1"/>
    <xf numFmtId="194" fontId="55" fillId="40" borderId="44" xfId="0" applyNumberFormat="1" applyFont="1" applyFill="1" applyBorder="1" applyAlignment="1" applyProtection="1">
      <alignment horizontal="center" vertical="center"/>
      <protection locked="0"/>
    </xf>
    <xf numFmtId="168" fontId="55" fillId="0" borderId="44" xfId="0" applyNumberFormat="1" applyFont="1" applyBorder="1" applyAlignment="1" applyProtection="1">
      <alignment horizontal="center" vertical="center"/>
      <protection hidden="1"/>
    </xf>
    <xf numFmtId="175" fontId="0" fillId="0" borderId="0" xfId="68" applyNumberFormat="1" applyFont="1" applyBorder="1" applyAlignment="1" applyProtection="1">
      <alignment horizontal="left" vertical="center"/>
      <protection hidden="1"/>
    </xf>
    <xf numFmtId="0" fontId="55" fillId="40" borderId="138" xfId="0" applyFont="1" applyFill="1" applyBorder="1" applyAlignment="1" applyProtection="1">
      <alignment horizontal="center" vertical="center"/>
      <protection locked="0"/>
    </xf>
    <xf numFmtId="194" fontId="55" fillId="40" borderId="138" xfId="0" applyNumberFormat="1" applyFont="1" applyFill="1" applyBorder="1" applyAlignment="1" applyProtection="1">
      <alignment horizontal="center" vertical="center"/>
      <protection locked="0"/>
    </xf>
    <xf numFmtId="0" fontId="55" fillId="40" borderId="138" xfId="0" applyFont="1" applyFill="1" applyBorder="1" applyAlignment="1" applyProtection="1">
      <alignment horizontal="center" vertical="center" wrapText="1"/>
      <protection locked="0"/>
    </xf>
    <xf numFmtId="0" fontId="0" fillId="0" borderId="138" xfId="0" applyBorder="1" applyAlignment="1" applyProtection="1">
      <alignment horizontal="left" vertical="center" wrapText="1"/>
      <protection hidden="1"/>
    </xf>
    <xf numFmtId="174" fontId="47" fillId="0" borderId="44" xfId="68" applyNumberFormat="1" applyFont="1" applyFill="1" applyBorder="1" applyAlignment="1" applyProtection="1">
      <alignment horizontal="center" vertical="center"/>
      <protection hidden="1"/>
    </xf>
    <xf numFmtId="0" fontId="29" fillId="0" borderId="0" xfId="0" applyFont="1" applyAlignment="1" applyProtection="1">
      <alignment wrapText="1"/>
      <protection hidden="1"/>
    </xf>
    <xf numFmtId="168" fontId="47" fillId="0" borderId="138" xfId="0" applyNumberFormat="1" applyFont="1" applyBorder="1" applyAlignment="1" applyProtection="1">
      <alignment horizontal="center" vertical="center"/>
      <protection hidden="1"/>
    </xf>
    <xf numFmtId="174" fontId="47" fillId="0" borderId="44" xfId="68" applyNumberFormat="1" applyFont="1" applyBorder="1" applyAlignment="1" applyProtection="1">
      <alignment horizontal="center" vertical="center"/>
      <protection hidden="1"/>
    </xf>
    <xf numFmtId="0" fontId="47" fillId="0" borderId="138" xfId="0" applyFont="1" applyBorder="1" applyAlignment="1" applyProtection="1">
      <alignment horizontal="center" vertical="center" wrapText="1"/>
      <protection hidden="1"/>
    </xf>
    <xf numFmtId="174" fontId="0" fillId="0" borderId="0" xfId="68" applyNumberFormat="1" applyFont="1" applyAlignment="1" applyProtection="1">
      <alignment horizontal="center" vertical="center"/>
      <protection hidden="1"/>
    </xf>
    <xf numFmtId="175" fontId="0" fillId="0" borderId="0" xfId="68" quotePrefix="1" applyNumberFormat="1" applyFont="1" applyAlignment="1" applyProtection="1">
      <alignment horizontal="left" vertical="center"/>
      <protection hidden="1"/>
    </xf>
    <xf numFmtId="195" fontId="100" fillId="0" borderId="44" xfId="0" applyNumberFormat="1" applyFont="1" applyBorder="1" applyAlignment="1" applyProtection="1">
      <alignment horizontal="center"/>
      <protection hidden="1"/>
    </xf>
    <xf numFmtId="195" fontId="11" fillId="0" borderId="44" xfId="1" applyNumberFormat="1" applyFont="1" applyFill="1" applyBorder="1" applyAlignment="1" applyProtection="1">
      <alignment horizontal="center"/>
      <protection hidden="1"/>
    </xf>
    <xf numFmtId="194" fontId="55" fillId="40" borderId="63" xfId="0" applyNumberFormat="1" applyFont="1" applyFill="1" applyBorder="1" applyAlignment="1" applyProtection="1">
      <alignment horizontal="center" vertical="center"/>
      <protection locked="0"/>
    </xf>
    <xf numFmtId="194" fontId="55" fillId="40" borderId="67" xfId="0" applyNumberFormat="1" applyFont="1" applyFill="1" applyBorder="1" applyAlignment="1" applyProtection="1">
      <alignment horizontal="center" vertical="center"/>
      <protection locked="0"/>
    </xf>
    <xf numFmtId="171" fontId="54" fillId="0" borderId="44" xfId="0" applyNumberFormat="1" applyFont="1" applyBorder="1" applyAlignment="1" applyProtection="1">
      <alignment horizontal="center"/>
      <protection hidden="1"/>
    </xf>
    <xf numFmtId="178" fontId="100" fillId="0" borderId="44" xfId="0" applyNumberFormat="1" applyFont="1" applyBorder="1" applyAlignment="1" applyProtection="1">
      <alignment horizontal="center"/>
      <protection hidden="1"/>
    </xf>
    <xf numFmtId="178" fontId="11" fillId="0" borderId="44" xfId="0" applyNumberFormat="1" applyFont="1" applyBorder="1" applyAlignment="1" applyProtection="1">
      <alignment horizontal="center"/>
      <protection hidden="1"/>
    </xf>
    <xf numFmtId="193" fontId="47" fillId="0" borderId="32" xfId="68" applyNumberFormat="1" applyFont="1" applyFill="1" applyBorder="1" applyAlignment="1">
      <alignment horizontal="center" vertical="center"/>
    </xf>
    <xf numFmtId="193" fontId="47" fillId="0" borderId="44" xfId="68" applyNumberFormat="1" applyFont="1" applyFill="1" applyBorder="1" applyAlignment="1" applyProtection="1">
      <alignment horizontal="center" vertical="center"/>
      <protection hidden="1"/>
    </xf>
    <xf numFmtId="9" fontId="47" fillId="0" borderId="44" xfId="1" applyFont="1" applyFill="1" applyBorder="1" applyAlignment="1" applyProtection="1">
      <alignment horizontal="center" vertical="center"/>
      <protection hidden="1"/>
    </xf>
    <xf numFmtId="0" fontId="146" fillId="0" borderId="0" xfId="0" applyFont="1" applyAlignment="1">
      <alignment horizontal="center" wrapText="1"/>
    </xf>
    <xf numFmtId="0" fontId="217" fillId="49" borderId="44" xfId="0" applyFont="1" applyFill="1" applyBorder="1" applyAlignment="1" applyProtection="1">
      <alignment horizontal="left" vertical="center" wrapText="1"/>
      <protection locked="0"/>
    </xf>
    <xf numFmtId="179" fontId="11" fillId="0" borderId="44" xfId="0" applyNumberFormat="1" applyFont="1" applyBorder="1" applyAlignment="1" applyProtection="1">
      <alignment horizontal="center"/>
      <protection hidden="1"/>
    </xf>
    <xf numFmtId="179" fontId="11" fillId="0" borderId="44" xfId="0" applyNumberFormat="1" applyFont="1" applyBorder="1" applyAlignment="1">
      <alignment horizontal="center"/>
    </xf>
    <xf numFmtId="179" fontId="100" fillId="0" borderId="44" xfId="0" applyNumberFormat="1" applyFont="1" applyBorder="1" applyAlignment="1" applyProtection="1">
      <alignment horizontal="center"/>
      <protection hidden="1"/>
    </xf>
    <xf numFmtId="0" fontId="13" fillId="0" borderId="0" xfId="2" applyAlignment="1">
      <alignment horizontal="left" indent="1"/>
    </xf>
    <xf numFmtId="0" fontId="13" fillId="0" borderId="0" xfId="2" applyAlignment="1">
      <alignment horizontal="left" indent="2"/>
    </xf>
    <xf numFmtId="0" fontId="9" fillId="0" borderId="0" xfId="0" applyFont="1" applyAlignment="1">
      <alignment horizontal="center"/>
    </xf>
    <xf numFmtId="164" fontId="0" fillId="0" borderId="16" xfId="0" applyNumberFormat="1" applyBorder="1" applyAlignment="1">
      <alignment horizontal="center" vertical="center"/>
    </xf>
    <xf numFmtId="0" fontId="8" fillId="0" borderId="72" xfId="0" applyFont="1" applyBorder="1" applyAlignment="1">
      <alignment horizontal="left"/>
    </xf>
    <xf numFmtId="0" fontId="8" fillId="0" borderId="41" xfId="0" applyFont="1" applyBorder="1" applyAlignment="1">
      <alignment horizontal="left" wrapText="1"/>
    </xf>
    <xf numFmtId="0" fontId="8" fillId="0" borderId="115" xfId="0" applyFont="1" applyBorder="1" applyAlignment="1">
      <alignment horizontal="left" wrapText="1"/>
    </xf>
    <xf numFmtId="0" fontId="8" fillId="0" borderId="73" xfId="0" applyFont="1" applyBorder="1" applyAlignment="1">
      <alignment horizontal="left"/>
    </xf>
    <xf numFmtId="164" fontId="0" fillId="0" borderId="40" xfId="0" applyNumberFormat="1" applyBorder="1" applyAlignment="1">
      <alignment horizontal="center" vertical="center"/>
    </xf>
    <xf numFmtId="37" fontId="11" fillId="40" borderId="44" xfId="68" applyNumberFormat="1" applyFont="1" applyFill="1" applyBorder="1" applyAlignment="1" applyProtection="1">
      <alignment horizontal="center"/>
      <protection locked="0"/>
    </xf>
    <xf numFmtId="178" fontId="11" fillId="0" borderId="44" xfId="0" applyNumberFormat="1" applyFont="1" applyBorder="1" applyAlignment="1">
      <alignment horizontal="center"/>
    </xf>
    <xf numFmtId="1" fontId="11" fillId="40" borderId="44" xfId="0" applyNumberFormat="1" applyFont="1" applyFill="1" applyBorder="1" applyAlignment="1" applyProtection="1">
      <alignment horizontal="center"/>
      <protection locked="0"/>
    </xf>
    <xf numFmtId="37" fontId="11" fillId="0" borderId="44" xfId="0" applyNumberFormat="1" applyFont="1" applyBorder="1" applyAlignment="1" applyProtection="1">
      <alignment horizontal="center"/>
      <protection hidden="1"/>
    </xf>
    <xf numFmtId="0" fontId="220" fillId="0" borderId="0" xfId="0" applyFont="1" applyProtection="1">
      <protection hidden="1"/>
    </xf>
    <xf numFmtId="174" fontId="11" fillId="0" borderId="44" xfId="0" applyNumberFormat="1" applyFont="1" applyBorder="1" applyAlignment="1" applyProtection="1">
      <alignment horizontal="center"/>
      <protection hidden="1"/>
    </xf>
    <xf numFmtId="39" fontId="11" fillId="0" borderId="44" xfId="68" applyNumberFormat="1" applyFont="1" applyBorder="1" applyAlignment="1" applyProtection="1">
      <alignment horizontal="center"/>
      <protection hidden="1"/>
    </xf>
    <xf numFmtId="37" fontId="100" fillId="0" borderId="44" xfId="68" applyNumberFormat="1" applyFont="1" applyFill="1" applyBorder="1" applyAlignment="1" applyProtection="1">
      <alignment horizontal="center"/>
    </xf>
    <xf numFmtId="37" fontId="11" fillId="0" borderId="44" xfId="68" applyNumberFormat="1" applyFont="1" applyFill="1" applyBorder="1" applyAlignment="1" applyProtection="1">
      <alignment horizontal="center"/>
    </xf>
    <xf numFmtId="0" fontId="9" fillId="0" borderId="0" xfId="0" applyFont="1" applyAlignment="1" applyProtection="1">
      <alignment horizontal="center"/>
      <protection locked="0"/>
    </xf>
    <xf numFmtId="3" fontId="9" fillId="0" borderId="0" xfId="0" applyNumberFormat="1" applyFont="1" applyAlignment="1" applyProtection="1">
      <alignment horizontal="center"/>
      <protection locked="0"/>
    </xf>
    <xf numFmtId="0" fontId="115" fillId="0" borderId="0" xfId="0" applyFont="1" applyAlignment="1">
      <alignment horizontal="left" vertical="top" wrapText="1" indent="2"/>
    </xf>
    <xf numFmtId="164" fontId="0" fillId="0" borderId="1" xfId="0" applyNumberFormat="1" applyBorder="1" applyAlignment="1">
      <alignment horizontal="center" vertical="center"/>
    </xf>
    <xf numFmtId="164" fontId="0" fillId="0" borderId="14" xfId="0" applyNumberFormat="1" applyBorder="1" applyAlignment="1">
      <alignment horizontal="center" vertical="center"/>
    </xf>
    <xf numFmtId="0" fontId="94" fillId="0" borderId="0" xfId="0" applyFont="1" applyAlignment="1" applyProtection="1">
      <alignment horizontal="left" indent="1"/>
      <protection hidden="1"/>
    </xf>
    <xf numFmtId="4" fontId="94" fillId="0" borderId="0" xfId="0" applyNumberFormat="1" applyFont="1" applyAlignment="1" applyProtection="1">
      <alignment horizontal="left"/>
      <protection hidden="1"/>
    </xf>
    <xf numFmtId="0" fontId="13" fillId="0" borderId="0" xfId="2" applyBorder="1" applyAlignment="1">
      <alignment horizontal="left" indent="1"/>
    </xf>
    <xf numFmtId="0" fontId="13" fillId="0" borderId="0" xfId="2" applyBorder="1" applyAlignment="1"/>
    <xf numFmtId="194" fontId="100" fillId="40" borderId="44" xfId="0" applyNumberFormat="1" applyFont="1" applyFill="1" applyBorder="1" applyAlignment="1" applyProtection="1">
      <alignment horizontal="center"/>
      <protection locked="0"/>
    </xf>
    <xf numFmtId="194" fontId="11" fillId="40" borderId="44" xfId="0" applyNumberFormat="1" applyFont="1" applyFill="1" applyBorder="1" applyAlignment="1" applyProtection="1">
      <alignment horizontal="center"/>
      <protection locked="0"/>
    </xf>
    <xf numFmtId="4" fontId="11" fillId="0" borderId="0" xfId="0" applyNumberFormat="1" applyFont="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vertical="center"/>
      <protection hidden="1"/>
    </xf>
    <xf numFmtId="0" fontId="54" fillId="0" borderId="0" xfId="0" applyFont="1" applyAlignment="1" applyProtection="1">
      <alignment horizontal="left" vertical="center" wrapText="1" indent="1"/>
      <protection hidden="1"/>
    </xf>
    <xf numFmtId="0" fontId="0" fillId="4" borderId="0" xfId="0" applyFill="1" applyAlignment="1" applyProtection="1">
      <alignment vertical="top" wrapText="1"/>
      <protection hidden="1"/>
    </xf>
    <xf numFmtId="4" fontId="48" fillId="0" borderId="153" xfId="0" applyNumberFormat="1" applyFont="1" applyBorder="1" applyAlignment="1" applyProtection="1">
      <alignment horizontal="right" vertical="center" indent="1"/>
      <protection hidden="1"/>
    </xf>
    <xf numFmtId="0" fontId="11" fillId="0" borderId="153" xfId="0" applyFont="1" applyBorder="1" applyAlignment="1" applyProtection="1">
      <alignment horizontal="left" vertical="center" indent="1"/>
      <protection hidden="1"/>
    </xf>
    <xf numFmtId="0" fontId="11" fillId="0" borderId="153" xfId="0" applyFont="1" applyBorder="1" applyAlignment="1" applyProtection="1">
      <alignment horizontal="left" vertical="center" wrapText="1" indent="1"/>
      <protection hidden="1"/>
    </xf>
    <xf numFmtId="0" fontId="0" fillId="4" borderId="158" xfId="0" applyFill="1" applyBorder="1" applyAlignment="1" applyProtection="1">
      <alignment vertical="top" wrapText="1"/>
      <protection hidden="1"/>
    </xf>
    <xf numFmtId="0" fontId="0" fillId="4" borderId="0" xfId="0" applyFill="1" applyAlignment="1" applyProtection="1">
      <alignment horizontal="left" vertical="top" wrapText="1"/>
      <protection hidden="1"/>
    </xf>
    <xf numFmtId="4" fontId="0" fillId="0" borderId="158" xfId="0" applyNumberFormat="1" applyBorder="1" applyAlignment="1" applyProtection="1">
      <alignment horizontal="center"/>
      <protection hidden="1"/>
    </xf>
    <xf numFmtId="0" fontId="0" fillId="0" borderId="157" xfId="0" applyBorder="1" applyProtection="1">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2" fontId="41" fillId="49" borderId="153" xfId="0" applyNumberFormat="1" applyFont="1" applyFill="1" applyBorder="1" applyAlignment="1" applyProtection="1">
      <alignment horizontal="center" vertical="center"/>
      <protection locked="0"/>
    </xf>
    <xf numFmtId="0" fontId="41" fillId="0" borderId="0" xfId="0" applyFont="1" applyAlignment="1" applyProtection="1">
      <alignment horizontal="center"/>
      <protection locked="0"/>
    </xf>
    <xf numFmtId="0" fontId="11" fillId="0" borderId="158" xfId="0" applyFont="1" applyBorder="1" applyProtection="1">
      <protection hidden="1"/>
    </xf>
    <xf numFmtId="4" fontId="48" fillId="0" borderId="157" xfId="0" applyNumberFormat="1" applyFont="1" applyBorder="1" applyAlignment="1" applyProtection="1">
      <alignment horizontal="right" vertical="center" indent="1"/>
      <protection hidden="1"/>
    </xf>
    <xf numFmtId="0" fontId="13" fillId="4" borderId="161" xfId="2" applyFill="1" applyBorder="1" applyAlignment="1" applyProtection="1">
      <alignment horizontal="left" vertical="top" indent="1"/>
      <protection hidden="1"/>
    </xf>
    <xf numFmtId="4" fontId="11" fillId="0" borderId="159" xfId="0" applyNumberFormat="1" applyFont="1" applyBorder="1" applyAlignment="1" applyProtection="1">
      <alignment horizontal="center"/>
      <protection hidden="1"/>
    </xf>
    <xf numFmtId="0" fontId="11" fillId="0" borderId="163" xfId="0" applyFont="1" applyBorder="1" applyAlignment="1" applyProtection="1">
      <alignment horizontal="left" vertical="center" indent="4"/>
      <protection hidden="1"/>
    </xf>
    <xf numFmtId="0" fontId="0" fillId="0" borderId="0" xfId="0" applyAlignment="1">
      <alignment horizontal="left" indent="4"/>
    </xf>
    <xf numFmtId="0" fontId="0" fillId="0" borderId="0" xfId="0" applyAlignment="1" applyProtection="1">
      <alignment horizontal="left" indent="4"/>
      <protection hidden="1"/>
    </xf>
    <xf numFmtId="0" fontId="11" fillId="0" borderId="0" xfId="0" applyFont="1" applyAlignment="1">
      <alignment horizontal="left" vertical="top" indent="4"/>
    </xf>
    <xf numFmtId="0" fontId="11" fillId="4" borderId="157" xfId="0" applyFont="1" applyFill="1" applyBorder="1" applyAlignment="1" applyProtection="1">
      <alignment horizontal="left" vertical="top" indent="1"/>
      <protection hidden="1"/>
    </xf>
    <xf numFmtId="0" fontId="93" fillId="0" borderId="157" xfId="0" applyFont="1" applyBorder="1" applyAlignment="1" applyProtection="1">
      <alignment horizontal="left" vertical="center"/>
      <protection hidden="1"/>
    </xf>
    <xf numFmtId="0" fontId="93" fillId="0" borderId="0" xfId="0" applyFont="1" applyAlignment="1" applyProtection="1">
      <alignment horizontal="left" vertical="center"/>
      <protection hidden="1"/>
    </xf>
    <xf numFmtId="0" fontId="93" fillId="0" borderId="158" xfId="0" applyFont="1" applyBorder="1" applyAlignment="1" applyProtection="1">
      <alignment horizontal="left" vertical="center"/>
      <protection hidden="1"/>
    </xf>
    <xf numFmtId="0" fontId="46" fillId="0" borderId="44" xfId="0" applyFont="1" applyBorder="1" applyAlignment="1" applyProtection="1">
      <alignment horizontal="left" vertical="center" wrapText="1"/>
      <protection hidden="1"/>
    </xf>
    <xf numFmtId="0" fontId="7" fillId="50" borderId="78" xfId="0" applyFont="1" applyFill="1" applyBorder="1" applyAlignment="1">
      <alignment horizontal="center" wrapText="1"/>
    </xf>
    <xf numFmtId="0" fontId="97" fillId="0" borderId="78" xfId="2" applyNumberFormat="1" applyFont="1" applyFill="1" applyBorder="1" applyAlignment="1" applyProtection="1">
      <alignment horizontal="center" vertical="center"/>
      <protection locked="0"/>
    </xf>
    <xf numFmtId="3" fontId="0" fillId="0" borderId="78" xfId="0" applyNumberFormat="1" applyBorder="1" applyAlignment="1" applyProtection="1">
      <alignment horizontal="center"/>
      <protection hidden="1"/>
    </xf>
    <xf numFmtId="0" fontId="97" fillId="0" borderId="78" xfId="2" applyFont="1" applyFill="1" applyBorder="1" applyAlignment="1">
      <alignment horizontal="center" vertical="center"/>
    </xf>
    <xf numFmtId="0" fontId="0" fillId="0" borderId="78" xfId="0" applyBorder="1" applyAlignment="1" applyProtection="1">
      <alignment vertical="center" wrapText="1"/>
      <protection hidden="1"/>
    </xf>
    <xf numFmtId="3" fontId="0" fillId="0" borderId="78" xfId="0" applyNumberFormat="1" applyBorder="1" applyAlignment="1" applyProtection="1">
      <alignment horizontal="center" vertical="center"/>
      <protection hidden="1"/>
    </xf>
    <xf numFmtId="0" fontId="7" fillId="50" borderId="78" xfId="0" applyFont="1" applyFill="1" applyBorder="1" applyAlignment="1">
      <alignment horizontal="right" indent="1"/>
    </xf>
    <xf numFmtId="3" fontId="7" fillId="50" borderId="78" xfId="0" applyNumberFormat="1" applyFont="1" applyFill="1" applyBorder="1" applyAlignment="1">
      <alignment horizontal="center"/>
    </xf>
    <xf numFmtId="9" fontId="7" fillId="50" borderId="78" xfId="1" applyFont="1" applyFill="1" applyBorder="1" applyAlignment="1">
      <alignment horizontal="center"/>
    </xf>
    <xf numFmtId="0" fontId="0" fillId="0" borderId="78" xfId="0" applyBorder="1" applyAlignment="1" applyProtection="1">
      <alignment horizontal="center"/>
      <protection hidden="1"/>
    </xf>
    <xf numFmtId="3" fontId="0" fillId="2" borderId="78" xfId="0" applyNumberFormat="1" applyFill="1" applyBorder="1" applyAlignment="1" applyProtection="1">
      <alignment horizontal="center"/>
      <protection locked="0"/>
    </xf>
    <xf numFmtId="0" fontId="8" fillId="0" borderId="78" xfId="0" applyFont="1" applyBorder="1" applyAlignment="1" applyProtection="1">
      <alignment horizontal="right"/>
      <protection hidden="1"/>
    </xf>
    <xf numFmtId="3" fontId="8" fillId="0" borderId="78" xfId="0" applyNumberFormat="1" applyFont="1" applyBorder="1" applyAlignment="1" applyProtection="1">
      <alignment horizontal="center"/>
      <protection hidden="1"/>
    </xf>
    <xf numFmtId="0" fontId="0" fillId="0" borderId="166" xfId="0" applyBorder="1" applyProtection="1">
      <protection hidden="1"/>
    </xf>
    <xf numFmtId="0" fontId="0" fillId="0" borderId="165" xfId="0" applyBorder="1" applyProtection="1">
      <protection hidden="1"/>
    </xf>
    <xf numFmtId="0" fontId="227" fillId="85" borderId="48" xfId="2" applyNumberFormat="1" applyFont="1" applyFill="1" applyBorder="1" applyAlignment="1" applyProtection="1">
      <alignment horizontal="left" vertical="center" indent="1"/>
      <protection locked="0"/>
    </xf>
    <xf numFmtId="0" fontId="227" fillId="85" borderId="52" xfId="2" applyNumberFormat="1" applyFont="1" applyFill="1" applyBorder="1" applyAlignment="1" applyProtection="1">
      <alignment horizontal="left" vertical="center" indent="1"/>
      <protection locked="0"/>
    </xf>
    <xf numFmtId="0" fontId="227" fillId="85" borderId="52" xfId="2" applyFont="1" applyFill="1" applyBorder="1" applyAlignment="1">
      <alignment horizontal="left" vertical="center" indent="1"/>
    </xf>
    <xf numFmtId="0" fontId="227" fillId="85" borderId="57" xfId="2" applyFont="1" applyFill="1" applyBorder="1" applyAlignment="1">
      <alignment horizontal="left" vertical="center" indent="1"/>
    </xf>
    <xf numFmtId="0" fontId="227" fillId="85" borderId="58" xfId="2" applyFont="1" applyFill="1" applyBorder="1" applyAlignment="1">
      <alignment horizontal="left" vertical="center" wrapText="1" indent="1"/>
    </xf>
    <xf numFmtId="0" fontId="97" fillId="85" borderId="59" xfId="2" applyFont="1" applyFill="1" applyBorder="1" applyAlignment="1">
      <alignment horizontal="left" vertical="center" indent="1"/>
    </xf>
    <xf numFmtId="0" fontId="7" fillId="39" borderId="0" xfId="0" applyFont="1" applyFill="1" applyAlignment="1">
      <alignment horizontal="left"/>
    </xf>
    <xf numFmtId="37" fontId="11" fillId="0" borderId="44" xfId="68" applyNumberFormat="1" applyFont="1" applyBorder="1" applyAlignment="1" applyProtection="1">
      <alignment horizontal="center"/>
      <protection hidden="1"/>
    </xf>
    <xf numFmtId="37" fontId="11" fillId="0" borderId="44" xfId="68" applyNumberFormat="1" applyFont="1" applyBorder="1" applyAlignment="1" applyProtection="1">
      <alignment horizontal="left"/>
      <protection hidden="1"/>
    </xf>
    <xf numFmtId="0" fontId="228" fillId="39" borderId="0" xfId="0" applyFont="1" applyFill="1" applyAlignment="1">
      <alignment horizontal="left"/>
    </xf>
    <xf numFmtId="0" fontId="234" fillId="0" borderId="0" xfId="0" applyFont="1" applyAlignment="1">
      <alignment vertical="top"/>
    </xf>
    <xf numFmtId="167" fontId="11" fillId="0" borderId="44" xfId="0" applyNumberFormat="1" applyFont="1" applyBorder="1" applyAlignment="1" applyProtection="1">
      <alignment horizontal="center"/>
      <protection hidden="1"/>
    </xf>
    <xf numFmtId="0" fontId="11" fillId="0" borderId="44" xfId="0" applyFont="1" applyBorder="1" applyProtection="1">
      <protection hidden="1"/>
    </xf>
    <xf numFmtId="3" fontId="11" fillId="0" borderId="44" xfId="0" applyNumberFormat="1" applyFont="1" applyBorder="1" applyAlignment="1" applyProtection="1">
      <alignment horizontal="left"/>
      <protection hidden="1"/>
    </xf>
    <xf numFmtId="4" fontId="100" fillId="0" borderId="44" xfId="0" quotePrefix="1" applyNumberFormat="1" applyFont="1" applyBorder="1" applyAlignment="1" applyProtection="1">
      <alignment horizontal="center"/>
      <protection hidden="1"/>
    </xf>
    <xf numFmtId="4" fontId="0" fillId="0" borderId="44" xfId="0" applyNumberFormat="1" applyBorder="1" applyAlignment="1">
      <alignment horizontal="center" vertical="center" wrapText="1"/>
    </xf>
    <xf numFmtId="0" fontId="11" fillId="40" borderId="63" xfId="0" applyFont="1" applyFill="1" applyBorder="1" applyAlignment="1" applyProtection="1">
      <alignment horizontal="left" vertical="center"/>
      <protection locked="0"/>
    </xf>
    <xf numFmtId="0" fontId="100" fillId="40" borderId="44" xfId="0" applyFont="1" applyFill="1" applyBorder="1" applyAlignment="1" applyProtection="1">
      <alignment horizontal="left"/>
      <protection locked="0"/>
    </xf>
    <xf numFmtId="0" fontId="0" fillId="40" borderId="44" xfId="0" applyFill="1" applyBorder="1" applyAlignment="1" applyProtection="1">
      <alignment horizontal="left"/>
      <protection locked="0"/>
    </xf>
    <xf numFmtId="4" fontId="0" fillId="0" borderId="71" xfId="0" applyNumberFormat="1" applyBorder="1" applyAlignment="1">
      <alignment horizontal="center" vertical="center"/>
    </xf>
    <xf numFmtId="4" fontId="11" fillId="0" borderId="71" xfId="0" applyNumberFormat="1" applyFont="1" applyBorder="1" applyAlignment="1" applyProtection="1">
      <alignment horizontal="center"/>
      <protection hidden="1"/>
    </xf>
    <xf numFmtId="4" fontId="11" fillId="0" borderId="71" xfId="0" applyNumberFormat="1" applyFont="1" applyBorder="1" applyAlignment="1">
      <alignment horizontal="center"/>
    </xf>
    <xf numFmtId="0" fontId="95" fillId="0" borderId="0" xfId="0" applyFont="1" applyAlignment="1" applyProtection="1">
      <alignment horizontal="left"/>
      <protection hidden="1"/>
    </xf>
    <xf numFmtId="0" fontId="95" fillId="0" borderId="0" xfId="0" applyFont="1" applyAlignment="1" applyProtection="1">
      <alignment horizontal="left" vertical="center"/>
      <protection hidden="1"/>
    </xf>
    <xf numFmtId="0" fontId="41" fillId="49" borderId="153" xfId="0" applyFont="1" applyFill="1" applyBorder="1" applyAlignment="1" applyProtection="1">
      <alignment horizontal="center" vertical="center"/>
      <protection locked="0"/>
    </xf>
    <xf numFmtId="4" fontId="94" fillId="0" borderId="0" xfId="0" applyNumberFormat="1" applyFont="1" applyAlignment="1" applyProtection="1">
      <alignment horizontal="right" vertical="center" indent="3"/>
      <protection hidden="1"/>
    </xf>
    <xf numFmtId="0" fontId="0" fillId="0" borderId="0" xfId="0" applyAlignment="1" applyProtection="1">
      <alignment horizontal="right" indent="3"/>
      <protection hidden="1"/>
    </xf>
    <xf numFmtId="0" fontId="11" fillId="4" borderId="0" xfId="0" applyFont="1" applyFill="1" applyAlignment="1" applyProtection="1">
      <alignment vertical="top"/>
      <protection hidden="1"/>
    </xf>
    <xf numFmtId="0" fontId="11" fillId="4" borderId="157" xfId="0" applyFont="1" applyFill="1" applyBorder="1" applyAlignment="1" applyProtection="1">
      <alignment horizontal="left" indent="3"/>
      <protection hidden="1"/>
    </xf>
    <xf numFmtId="0" fontId="155" fillId="0" borderId="159" xfId="2" applyFont="1" applyBorder="1" applyAlignment="1" applyProtection="1">
      <alignment horizontal="left" vertical="top"/>
      <protection hidden="1"/>
    </xf>
    <xf numFmtId="0" fontId="0" fillId="0" borderId="0" xfId="0" applyAlignment="1">
      <alignment vertical="top"/>
    </xf>
    <xf numFmtId="0" fontId="0" fillId="0" borderId="0" xfId="0" applyAlignment="1" applyProtection="1">
      <alignment vertical="top"/>
      <protection hidden="1"/>
    </xf>
    <xf numFmtId="0" fontId="155" fillId="0" borderId="0" xfId="2" applyFont="1" applyBorder="1" applyAlignment="1" applyProtection="1">
      <alignment horizontal="left" vertical="top"/>
      <protection hidden="1"/>
    </xf>
    <xf numFmtId="4" fontId="11" fillId="0" borderId="0" xfId="0" applyNumberFormat="1" applyFont="1" applyAlignment="1" applyProtection="1">
      <alignment horizontal="center" vertical="top"/>
      <protection hidden="1"/>
    </xf>
    <xf numFmtId="0" fontId="0" fillId="0" borderId="158" xfId="0" applyBorder="1" applyAlignment="1" applyProtection="1">
      <alignment vertical="top"/>
      <protection hidden="1"/>
    </xf>
    <xf numFmtId="0" fontId="0" fillId="0" borderId="0" xfId="0" applyAlignment="1" applyProtection="1">
      <alignment vertical="top" wrapText="1"/>
      <protection hidden="1"/>
    </xf>
    <xf numFmtId="0" fontId="153" fillId="0" borderId="161" xfId="2" applyFont="1" applyBorder="1" applyAlignment="1" applyProtection="1">
      <alignment horizontal="left" vertical="top" indent="3"/>
      <protection hidden="1"/>
    </xf>
    <xf numFmtId="164" fontId="0" fillId="0" borderId="0" xfId="0" applyNumberFormat="1" applyAlignment="1" applyProtection="1">
      <alignment horizontal="center"/>
      <protection hidden="1"/>
    </xf>
    <xf numFmtId="3" fontId="100" fillId="40" borderId="44" xfId="68" applyNumberFormat="1" applyFont="1" applyFill="1" applyBorder="1" applyAlignment="1" applyProtection="1">
      <alignment horizontal="center"/>
      <protection locked="0"/>
    </xf>
    <xf numFmtId="193" fontId="100" fillId="0" borderId="44" xfId="68" applyNumberFormat="1" applyFont="1" applyBorder="1" applyAlignment="1" applyProtection="1">
      <alignment horizontal="center"/>
      <protection hidden="1"/>
    </xf>
    <xf numFmtId="193" fontId="116" fillId="0" borderId="44" xfId="68" applyNumberFormat="1" applyFont="1" applyBorder="1" applyAlignment="1" applyProtection="1">
      <alignment horizontal="center"/>
      <protection hidden="1"/>
    </xf>
    <xf numFmtId="0" fontId="10" fillId="0" borderId="0" xfId="0" applyFont="1" applyAlignment="1">
      <alignment horizontal="right"/>
    </xf>
    <xf numFmtId="3" fontId="10" fillId="0" borderId="0" xfId="0" applyNumberFormat="1" applyFont="1" applyAlignment="1" applyProtection="1">
      <alignment horizontal="center"/>
      <protection locked="0"/>
    </xf>
    <xf numFmtId="0" fontId="98" fillId="0" borderId="0" xfId="0" applyFont="1" applyAlignment="1">
      <alignment horizontal="left" indent="3"/>
    </xf>
    <xf numFmtId="0" fontId="99" fillId="0" borderId="0" xfId="0" applyFont="1" applyAlignment="1">
      <alignment horizontal="left" indent="3"/>
    </xf>
    <xf numFmtId="0" fontId="85" fillId="0" borderId="0" xfId="0" applyFont="1" applyAlignment="1">
      <alignment horizontal="left"/>
    </xf>
    <xf numFmtId="0" fontId="100" fillId="40" borderId="44" xfId="0" applyFont="1" applyFill="1" applyBorder="1" applyAlignment="1" applyProtection="1">
      <alignment horizontal="left" wrapText="1"/>
      <protection locked="0"/>
    </xf>
    <xf numFmtId="0" fontId="7" fillId="39" borderId="0" xfId="0" applyFont="1" applyFill="1" applyAlignment="1">
      <alignment horizontal="left" wrapText="1"/>
    </xf>
    <xf numFmtId="4" fontId="11" fillId="0" borderId="44" xfId="0" applyNumberFormat="1" applyFont="1" applyBorder="1" applyAlignment="1">
      <alignment horizontal="center" vertical="center" wrapText="1"/>
    </xf>
    <xf numFmtId="171" fontId="11" fillId="0" borderId="44" xfId="0" applyNumberFormat="1" applyFont="1" applyBorder="1" applyAlignment="1" applyProtection="1">
      <alignment horizontal="center"/>
      <protection hidden="1"/>
    </xf>
    <xf numFmtId="0" fontId="0" fillId="0" borderId="0" xfId="0" applyAlignment="1">
      <alignment horizontal="left" indent="3"/>
    </xf>
    <xf numFmtId="0" fontId="0" fillId="0" borderId="78" xfId="0" applyBorder="1" applyAlignment="1" applyProtection="1">
      <alignment vertical="center"/>
      <protection hidden="1"/>
    </xf>
    <xf numFmtId="187" fontId="0" fillId="0" borderId="78" xfId="1" applyNumberFormat="1" applyFont="1" applyFill="1" applyBorder="1" applyAlignment="1">
      <alignment horizontal="center" vertical="center"/>
    </xf>
    <xf numFmtId="3" fontId="0" fillId="0" borderId="0" xfId="0" quotePrefix="1" applyNumberFormat="1" applyAlignment="1">
      <alignment horizontal="center" vertical="center"/>
    </xf>
    <xf numFmtId="4" fontId="100" fillId="0" borderId="65" xfId="0" applyNumberFormat="1" applyFont="1" applyBorder="1" applyAlignment="1" applyProtection="1">
      <alignment horizontal="center" vertical="center"/>
      <protection hidden="1"/>
    </xf>
    <xf numFmtId="3" fontId="11" fillId="0" borderId="65" xfId="0" applyNumberFormat="1" applyFont="1" applyBorder="1" applyAlignment="1" applyProtection="1">
      <alignment horizontal="center" vertical="center"/>
      <protection hidden="1"/>
    </xf>
    <xf numFmtId="4" fontId="0" fillId="0" borderId="47" xfId="0" applyNumberFormat="1" applyBorder="1" applyAlignment="1" applyProtection="1">
      <alignment horizontal="center" vertical="center"/>
      <protection hidden="1"/>
    </xf>
    <xf numFmtId="167" fontId="0" fillId="0" borderId="71" xfId="0" applyNumberFormat="1" applyBorder="1" applyAlignment="1" applyProtection="1">
      <alignment horizontal="center"/>
      <protection hidden="1"/>
    </xf>
    <xf numFmtId="0" fontId="11" fillId="40" borderId="0" xfId="0" applyFont="1" applyFill="1"/>
    <xf numFmtId="0" fontId="253" fillId="40" borderId="0" xfId="0" applyFont="1" applyFill="1" applyAlignment="1">
      <alignment horizontal="left" vertical="top" indent="1"/>
    </xf>
    <xf numFmtId="0" fontId="254" fillId="40" borderId="0" xfId="0" applyFont="1" applyFill="1" applyAlignment="1">
      <alignment horizontal="left" vertical="top" wrapText="1"/>
    </xf>
    <xf numFmtId="3" fontId="11" fillId="40" borderId="63" xfId="0" applyNumberFormat="1" applyFont="1" applyFill="1" applyBorder="1" applyAlignment="1" applyProtection="1">
      <alignment horizontal="center" vertical="center"/>
      <protection locked="0"/>
    </xf>
    <xf numFmtId="167" fontId="100" fillId="0" borderId="44" xfId="0" applyNumberFormat="1" applyFont="1" applyBorder="1" applyAlignment="1" applyProtection="1">
      <alignment horizontal="center"/>
      <protection hidden="1"/>
    </xf>
    <xf numFmtId="0" fontId="13" fillId="0" borderId="0" xfId="2" applyAlignment="1">
      <alignment horizontal="left"/>
    </xf>
    <xf numFmtId="0" fontId="144" fillId="0" borderId="0" xfId="2" applyFont="1" applyFill="1" applyAlignment="1">
      <alignment horizontal="left" indent="1"/>
    </xf>
    <xf numFmtId="0" fontId="13" fillId="0" borderId="0" xfId="2" applyFill="1"/>
    <xf numFmtId="0" fontId="47" fillId="46" borderId="44" xfId="0" applyFont="1" applyFill="1" applyBorder="1" applyAlignment="1" applyProtection="1">
      <alignment horizontal="center" vertical="center" wrapText="1"/>
      <protection hidden="1"/>
    </xf>
    <xf numFmtId="0" fontId="8" fillId="40" borderId="0" xfId="0" applyFont="1" applyFill="1" applyAlignment="1" applyProtection="1">
      <alignment horizontal="center" vertical="center" textRotation="90"/>
      <protection hidden="1"/>
    </xf>
    <xf numFmtId="0" fontId="7" fillId="44" borderId="31" xfId="0" applyFont="1" applyFill="1" applyBorder="1" applyProtection="1">
      <protection hidden="1"/>
    </xf>
    <xf numFmtId="0" fontId="7" fillId="44" borderId="32" xfId="0" applyFont="1" applyFill="1" applyBorder="1" applyProtection="1">
      <protection hidden="1"/>
    </xf>
    <xf numFmtId="0" fontId="7" fillId="44" borderId="33" xfId="0" applyFont="1" applyFill="1" applyBorder="1" applyProtection="1">
      <protection hidden="1"/>
    </xf>
    <xf numFmtId="0" fontId="7" fillId="0" borderId="0" xfId="0" applyFont="1" applyProtection="1">
      <protection hidden="1"/>
    </xf>
    <xf numFmtId="0" fontId="8" fillId="40" borderId="0" xfId="0" applyFont="1" applyFill="1" applyProtection="1">
      <protection hidden="1"/>
    </xf>
    <xf numFmtId="0" fontId="11" fillId="0" borderId="1" xfId="8" applyFont="1" applyFill="1" applyBorder="1" applyAlignment="1" applyProtection="1">
      <alignment horizontal="left"/>
      <protection hidden="1"/>
    </xf>
    <xf numFmtId="0" fontId="11" fillId="0" borderId="27" xfId="8" applyFont="1" applyFill="1" applyBorder="1" applyAlignment="1" applyProtection="1">
      <alignment horizontal="left"/>
      <protection hidden="1"/>
    </xf>
    <xf numFmtId="172" fontId="11" fillId="0" borderId="27" xfId="8" applyNumberFormat="1" applyFont="1" applyFill="1" applyBorder="1" applyAlignment="1" applyProtection="1">
      <alignment horizontal="left"/>
      <protection hidden="1"/>
    </xf>
    <xf numFmtId="0" fontId="11" fillId="0" borderId="1" xfId="8" applyFont="1" applyFill="1" applyBorder="1" applyProtection="1">
      <protection hidden="1"/>
    </xf>
    <xf numFmtId="0" fontId="11" fillId="0" borderId="27" xfId="8" applyFont="1" applyFill="1" applyBorder="1" applyAlignment="1" applyProtection="1">
      <alignment wrapText="1"/>
      <protection hidden="1"/>
    </xf>
    <xf numFmtId="0" fontId="8" fillId="0" borderId="0" xfId="0" applyFont="1" applyAlignment="1" applyProtection="1">
      <alignment horizontal="left" vertical="center"/>
      <protection hidden="1"/>
    </xf>
    <xf numFmtId="0" fontId="13" fillId="0" borderId="0" xfId="2" applyAlignment="1" applyProtection="1">
      <alignment horizontal="left" vertical="center" indent="1"/>
      <protection hidden="1"/>
    </xf>
    <xf numFmtId="0" fontId="18" fillId="0" borderId="0" xfId="0" applyFont="1" applyAlignment="1" applyProtection="1">
      <alignment vertical="center"/>
      <protection hidden="1"/>
    </xf>
    <xf numFmtId="0" fontId="48" fillId="0" borderId="0" xfId="0" applyFont="1" applyAlignment="1" applyProtection="1">
      <alignment vertical="center" wrapText="1"/>
      <protection hidden="1"/>
    </xf>
    <xf numFmtId="0" fontId="8" fillId="0" borderId="0" xfId="0" applyFont="1" applyAlignment="1" applyProtection="1">
      <alignment vertical="center"/>
      <protection hidden="1"/>
    </xf>
    <xf numFmtId="2" fontId="16" fillId="37" borderId="0" xfId="37" applyNumberFormat="1" applyFont="1" applyFill="1" applyAlignment="1" applyProtection="1">
      <alignment vertical="center"/>
      <protection hidden="1"/>
    </xf>
    <xf numFmtId="0" fontId="48" fillId="0" borderId="1" xfId="0" applyFont="1" applyBorder="1" applyAlignment="1" applyProtection="1">
      <alignment horizontal="center" vertical="center"/>
      <protection hidden="1"/>
    </xf>
    <xf numFmtId="0" fontId="48" fillId="0" borderId="1" xfId="0" applyFont="1" applyBorder="1" applyAlignment="1" applyProtection="1">
      <alignment horizontal="center" vertical="center" wrapText="1"/>
      <protection hidden="1"/>
    </xf>
    <xf numFmtId="0" fontId="0" fillId="46" borderId="78" xfId="0" applyFill="1" applyBorder="1" applyAlignment="1" applyProtection="1">
      <alignment vertical="center" wrapText="1"/>
      <protection hidden="1"/>
    </xf>
    <xf numFmtId="0" fontId="64" fillId="47" borderId="152" xfId="0" applyFont="1" applyFill="1" applyBorder="1" applyAlignment="1" applyProtection="1">
      <alignment horizontal="left" vertical="center"/>
      <protection hidden="1"/>
    </xf>
    <xf numFmtId="0" fontId="64" fillId="47" borderId="62" xfId="0" applyFont="1" applyFill="1" applyBorder="1" applyAlignment="1" applyProtection="1">
      <alignment horizontal="left" vertical="center"/>
      <protection hidden="1"/>
    </xf>
    <xf numFmtId="0" fontId="219" fillId="0" borderId="0" xfId="0" applyFont="1" applyAlignment="1" applyProtection="1">
      <alignment vertical="center"/>
      <protection hidden="1"/>
    </xf>
    <xf numFmtId="2" fontId="62" fillId="45" borderId="4" xfId="37" applyNumberFormat="1" applyFont="1" applyFill="1" applyBorder="1" applyAlignment="1" applyProtection="1">
      <alignment horizontal="center" vertical="center" wrapText="1"/>
      <protection hidden="1"/>
    </xf>
    <xf numFmtId="0" fontId="8" fillId="54" borderId="1" xfId="0" applyFont="1" applyFill="1" applyBorder="1" applyAlignment="1" applyProtection="1">
      <alignment horizontal="right" vertical="center"/>
      <protection hidden="1"/>
    </xf>
    <xf numFmtId="0" fontId="0" fillId="0" borderId="1" xfId="68" applyNumberFormat="1" applyFont="1" applyFill="1" applyBorder="1" applyAlignment="1" applyProtection="1">
      <alignment horizontal="center" vertical="center"/>
      <protection hidden="1"/>
    </xf>
    <xf numFmtId="193" fontId="47" fillId="46" borderId="39" xfId="68" applyNumberFormat="1" applyFont="1" applyFill="1" applyBorder="1" applyAlignment="1" applyProtection="1">
      <alignment horizontal="center" vertical="center"/>
      <protection hidden="1"/>
    </xf>
    <xf numFmtId="193" fontId="47" fillId="46" borderId="44" xfId="68" applyNumberFormat="1" applyFont="1" applyFill="1" applyBorder="1" applyAlignment="1" applyProtection="1">
      <alignment horizontal="center" vertical="center"/>
      <protection hidden="1"/>
    </xf>
    <xf numFmtId="173" fontId="16" fillId="0" borderId="137" xfId="0" applyNumberFormat="1" applyFont="1" applyBorder="1" applyProtection="1">
      <protection hidden="1"/>
    </xf>
    <xf numFmtId="43" fontId="16" fillId="0" borderId="137" xfId="68" applyFont="1" applyBorder="1" applyAlignment="1" applyProtection="1">
      <alignment horizontal="right"/>
      <protection hidden="1"/>
    </xf>
    <xf numFmtId="2" fontId="16" fillId="0" borderId="137" xfId="0" applyNumberFormat="1" applyFont="1" applyBorder="1" applyAlignment="1" applyProtection="1">
      <alignment horizontal="right"/>
      <protection hidden="1"/>
    </xf>
    <xf numFmtId="0" fontId="8" fillId="45" borderId="1" xfId="0" applyFont="1" applyFill="1" applyBorder="1" applyAlignment="1" applyProtection="1">
      <alignment horizontal="right" vertical="center"/>
      <protection hidden="1"/>
    </xf>
    <xf numFmtId="2" fontId="0" fillId="0" borderId="1" xfId="0" applyNumberFormat="1" applyBorder="1" applyAlignment="1" applyProtection="1">
      <alignment horizontal="center" vertical="center"/>
      <protection hidden="1"/>
    </xf>
    <xf numFmtId="43" fontId="63" fillId="0" borderId="137" xfId="68" applyFont="1" applyFill="1" applyBorder="1" applyAlignment="1" applyProtection="1">
      <alignment horizontal="right"/>
      <protection hidden="1"/>
    </xf>
    <xf numFmtId="173" fontId="16" fillId="0" borderId="74" xfId="0" applyNumberFormat="1" applyFont="1" applyBorder="1" applyProtection="1">
      <protection hidden="1"/>
    </xf>
    <xf numFmtId="0" fontId="0" fillId="0" borderId="1" xfId="68" applyNumberFormat="1" applyFont="1" applyBorder="1" applyAlignment="1" applyProtection="1">
      <alignment horizontal="center" vertical="center"/>
      <protection hidden="1"/>
    </xf>
    <xf numFmtId="0" fontId="0" fillId="0" borderId="85" xfId="0" applyBorder="1" applyProtection="1">
      <protection hidden="1"/>
    </xf>
    <xf numFmtId="0" fontId="67" fillId="3" borderId="41" xfId="0" applyFont="1" applyFill="1" applyBorder="1" applyAlignment="1" applyProtection="1">
      <alignment horizontal="center"/>
      <protection hidden="1"/>
    </xf>
    <xf numFmtId="0" fontId="67" fillId="3" borderId="73" xfId="0" applyFont="1" applyFill="1" applyBorder="1" applyAlignment="1" applyProtection="1">
      <alignment horizontal="center"/>
      <protection hidden="1"/>
    </xf>
    <xf numFmtId="0" fontId="67" fillId="3" borderId="72" xfId="0" applyFont="1" applyFill="1" applyBorder="1" applyAlignment="1" applyProtection="1">
      <alignment horizontal="center"/>
      <protection hidden="1"/>
    </xf>
    <xf numFmtId="0" fontId="66" fillId="0" borderId="0" xfId="0" applyFont="1" applyProtection="1">
      <protection hidden="1"/>
    </xf>
    <xf numFmtId="0" fontId="7" fillId="44" borderId="173" xfId="0" applyFont="1" applyFill="1" applyBorder="1" applyProtection="1">
      <protection hidden="1"/>
    </xf>
    <xf numFmtId="0" fontId="7" fillId="44" borderId="0" xfId="0" applyFont="1" applyFill="1" applyProtection="1">
      <protection hidden="1"/>
    </xf>
    <xf numFmtId="0" fontId="7" fillId="44" borderId="0" xfId="0" applyFont="1" applyFill="1" applyAlignment="1" applyProtection="1">
      <alignment wrapText="1"/>
      <protection hidden="1"/>
    </xf>
    <xf numFmtId="0" fontId="7" fillId="44" borderId="174" xfId="0" applyFont="1" applyFill="1" applyBorder="1" applyProtection="1">
      <protection hidden="1"/>
    </xf>
    <xf numFmtId="0" fontId="7" fillId="44" borderId="175" xfId="0" applyFont="1" applyFill="1" applyBorder="1" applyProtection="1">
      <protection hidden="1"/>
    </xf>
    <xf numFmtId="0" fontId="0" fillId="88" borderId="74" xfId="0" applyFill="1" applyBorder="1" applyAlignment="1" applyProtection="1">
      <alignment vertical="center"/>
      <protection hidden="1"/>
    </xf>
    <xf numFmtId="0" fontId="68" fillId="88" borderId="1" xfId="62" applyFont="1" applyFill="1" applyBorder="1" applyAlignment="1" applyProtection="1">
      <alignment vertical="center" wrapText="1"/>
      <protection hidden="1"/>
    </xf>
    <xf numFmtId="0" fontId="0" fillId="88" borderId="1" xfId="0" applyFill="1" applyBorder="1" applyAlignment="1" applyProtection="1">
      <alignment vertical="center"/>
      <protection hidden="1"/>
    </xf>
    <xf numFmtId="166" fontId="0" fillId="88" borderId="75" xfId="0" applyNumberFormat="1" applyFill="1" applyBorder="1" applyAlignment="1" applyProtection="1">
      <alignment vertical="center"/>
      <protection hidden="1"/>
    </xf>
    <xf numFmtId="0" fontId="0" fillId="88" borderId="75" xfId="0" applyFill="1" applyBorder="1" applyAlignment="1" applyProtection="1">
      <alignment vertical="center"/>
      <protection hidden="1"/>
    </xf>
    <xf numFmtId="43" fontId="63" fillId="0" borderId="137" xfId="68" applyFont="1" applyBorder="1" applyAlignment="1" applyProtection="1">
      <alignment horizontal="right"/>
      <protection hidden="1"/>
    </xf>
    <xf numFmtId="0" fontId="0" fillId="87" borderId="74" xfId="0" applyFill="1" applyBorder="1" applyAlignment="1" applyProtection="1">
      <alignment vertical="center"/>
      <protection hidden="1"/>
    </xf>
    <xf numFmtId="0" fontId="68" fillId="87" borderId="1" xfId="62" applyFont="1" applyFill="1" applyBorder="1" applyAlignment="1" applyProtection="1">
      <alignment vertical="center" wrapText="1"/>
      <protection hidden="1"/>
    </xf>
    <xf numFmtId="0" fontId="0" fillId="87" borderId="1" xfId="0" applyFill="1" applyBorder="1" applyAlignment="1" applyProtection="1">
      <alignment vertical="center"/>
      <protection hidden="1"/>
    </xf>
    <xf numFmtId="166" fontId="0" fillId="87" borderId="75" xfId="0" applyNumberFormat="1" applyFill="1" applyBorder="1" applyAlignment="1" applyProtection="1">
      <alignment vertical="center"/>
      <protection hidden="1"/>
    </xf>
    <xf numFmtId="0" fontId="0" fillId="87" borderId="75" xfId="0" applyFill="1" applyBorder="1" applyAlignment="1" applyProtection="1">
      <alignment vertical="center"/>
      <protection hidden="1"/>
    </xf>
    <xf numFmtId="43" fontId="66" fillId="0" borderId="0" xfId="0" applyNumberFormat="1" applyFont="1" applyProtection="1">
      <protection hidden="1"/>
    </xf>
    <xf numFmtId="0" fontId="16" fillId="0" borderId="137" xfId="0" applyFont="1" applyBorder="1" applyAlignment="1" applyProtection="1">
      <alignment horizontal="right"/>
      <protection hidden="1"/>
    </xf>
    <xf numFmtId="173" fontId="62" fillId="44" borderId="35" xfId="0" applyNumberFormat="1" applyFont="1" applyFill="1" applyBorder="1" applyProtection="1">
      <protection hidden="1"/>
    </xf>
    <xf numFmtId="0" fontId="68" fillId="87" borderId="1" xfId="0" applyFont="1" applyFill="1" applyBorder="1" applyAlignment="1" applyProtection="1">
      <alignment vertical="center" wrapText="1"/>
      <protection hidden="1"/>
    </xf>
    <xf numFmtId="0" fontId="0" fillId="46" borderId="36" xfId="0" applyFill="1" applyBorder="1" applyProtection="1">
      <protection hidden="1"/>
    </xf>
    <xf numFmtId="0" fontId="0" fillId="69" borderId="74" xfId="0" applyFill="1" applyBorder="1" applyAlignment="1" applyProtection="1">
      <alignment vertical="center"/>
      <protection hidden="1"/>
    </xf>
    <xf numFmtId="0" fontId="68" fillId="69" borderId="1" xfId="62" applyFont="1" applyFill="1" applyBorder="1" applyAlignment="1" applyProtection="1">
      <alignment vertical="center" wrapText="1"/>
      <protection hidden="1"/>
    </xf>
    <xf numFmtId="0" fontId="0" fillId="69" borderId="1" xfId="0" applyFill="1" applyBorder="1" applyAlignment="1" applyProtection="1">
      <alignment vertical="center"/>
      <protection hidden="1"/>
    </xf>
    <xf numFmtId="172" fontId="0" fillId="69" borderId="75" xfId="0" applyNumberFormat="1" applyFill="1" applyBorder="1" applyAlignment="1" applyProtection="1">
      <alignment vertical="center"/>
      <protection hidden="1"/>
    </xf>
    <xf numFmtId="0" fontId="0" fillId="69" borderId="75" xfId="0" applyFill="1" applyBorder="1" applyAlignment="1" applyProtection="1">
      <alignment vertical="center"/>
      <protection hidden="1"/>
    </xf>
    <xf numFmtId="0" fontId="96" fillId="0" borderId="0" xfId="0" applyFont="1" applyProtection="1">
      <protection hidden="1"/>
    </xf>
    <xf numFmtId="0" fontId="0" fillId="0" borderId="37" xfId="0" applyBorder="1" applyProtection="1">
      <protection hidden="1"/>
    </xf>
    <xf numFmtId="0" fontId="96" fillId="0" borderId="0" xfId="0" applyFont="1" applyAlignment="1" applyProtection="1">
      <alignment wrapText="1"/>
      <protection hidden="1"/>
    </xf>
    <xf numFmtId="0" fontId="0" fillId="46" borderId="37" xfId="0" applyFill="1" applyBorder="1" applyProtection="1">
      <protection hidden="1"/>
    </xf>
    <xf numFmtId="0" fontId="0" fillId="0" borderId="74" xfId="0" applyBorder="1" applyAlignment="1" applyProtection="1">
      <alignment vertical="center"/>
      <protection hidden="1"/>
    </xf>
    <xf numFmtId="0" fontId="0" fillId="0" borderId="1" xfId="0" applyBorder="1" applyAlignment="1" applyProtection="1">
      <alignment vertical="center"/>
      <protection hidden="1"/>
    </xf>
    <xf numFmtId="166" fontId="0" fillId="0" borderId="75" xfId="0" applyNumberFormat="1" applyBorder="1" applyAlignment="1" applyProtection="1">
      <alignment vertical="center"/>
      <protection hidden="1"/>
    </xf>
    <xf numFmtId="0" fontId="0" fillId="0" borderId="75" xfId="0" applyBorder="1" applyAlignment="1" applyProtection="1">
      <alignment vertical="center"/>
      <protection hidden="1"/>
    </xf>
    <xf numFmtId="0" fontId="68" fillId="0" borderId="38" xfId="0" applyFont="1" applyBorder="1" applyAlignment="1" applyProtection="1">
      <alignment horizontal="left" wrapText="1"/>
      <protection hidden="1"/>
    </xf>
    <xf numFmtId="0" fontId="68" fillId="48" borderId="38" xfId="0" applyFont="1" applyFill="1" applyBorder="1" applyAlignment="1" applyProtection="1">
      <alignment horizontal="left" wrapText="1"/>
      <protection hidden="1"/>
    </xf>
    <xf numFmtId="0" fontId="0" fillId="86" borderId="74" xfId="0" applyFill="1" applyBorder="1" applyAlignment="1" applyProtection="1">
      <alignment vertical="center"/>
      <protection hidden="1"/>
    </xf>
    <xf numFmtId="0" fontId="0" fillId="86" borderId="1" xfId="0" applyFill="1" applyBorder="1" applyAlignment="1" applyProtection="1">
      <alignment vertical="center"/>
      <protection hidden="1"/>
    </xf>
    <xf numFmtId="0" fontId="0" fillId="86" borderId="75" xfId="0" applyFill="1" applyBorder="1" applyAlignment="1" applyProtection="1">
      <alignment vertical="center"/>
      <protection hidden="1"/>
    </xf>
    <xf numFmtId="172" fontId="68" fillId="4" borderId="38" xfId="0" applyNumberFormat="1" applyFont="1" applyFill="1" applyBorder="1" applyAlignment="1" applyProtection="1">
      <alignment horizontal="center" wrapText="1"/>
      <protection hidden="1"/>
    </xf>
    <xf numFmtId="0" fontId="68" fillId="86" borderId="1" xfId="0" applyFont="1" applyFill="1" applyBorder="1" applyAlignment="1" applyProtection="1">
      <alignment vertical="center" wrapText="1"/>
      <protection hidden="1"/>
    </xf>
    <xf numFmtId="0" fontId="0" fillId="86" borderId="0" xfId="0" applyFill="1" applyAlignment="1" applyProtection="1">
      <alignment vertical="center"/>
      <protection hidden="1"/>
    </xf>
    <xf numFmtId="0" fontId="11" fillId="86" borderId="176" xfId="0" applyFont="1" applyFill="1" applyBorder="1" applyAlignment="1" applyProtection="1">
      <alignment vertical="center"/>
      <protection hidden="1"/>
    </xf>
    <xf numFmtId="0" fontId="0" fillId="0" borderId="175" xfId="0" applyBorder="1" applyAlignment="1" applyProtection="1">
      <alignment vertical="center"/>
      <protection hidden="1"/>
    </xf>
    <xf numFmtId="0" fontId="68" fillId="0" borderId="0" xfId="62" applyFont="1" applyAlignment="1" applyProtection="1">
      <alignment vertical="center" wrapText="1"/>
      <protection hidden="1"/>
    </xf>
    <xf numFmtId="0" fontId="0" fillId="0" borderId="0" xfId="0" applyAlignment="1" applyProtection="1">
      <alignment vertical="center"/>
      <protection hidden="1"/>
    </xf>
    <xf numFmtId="0" fontId="0" fillId="0" borderId="35" xfId="0" applyBorder="1" applyAlignment="1" applyProtection="1">
      <alignment vertical="center"/>
      <protection hidden="1"/>
    </xf>
    <xf numFmtId="0" fontId="0" fillId="0" borderId="25" xfId="0" applyBorder="1" applyAlignment="1" applyProtection="1">
      <alignment vertical="center"/>
      <protection hidden="1"/>
    </xf>
    <xf numFmtId="0" fontId="76" fillId="0" borderId="0" xfId="0" applyFont="1" applyProtection="1">
      <protection hidden="1"/>
    </xf>
    <xf numFmtId="0" fontId="68" fillId="0" borderId="1" xfId="62" applyFont="1" applyBorder="1" applyAlignment="1" applyProtection="1">
      <alignment vertical="center" wrapText="1"/>
      <protection hidden="1"/>
    </xf>
    <xf numFmtId="181" fontId="68" fillId="4" borderId="38" xfId="0" applyNumberFormat="1" applyFont="1" applyFill="1" applyBorder="1" applyAlignment="1" applyProtection="1">
      <alignment horizontal="center" wrapText="1"/>
      <protection hidden="1"/>
    </xf>
    <xf numFmtId="0" fontId="0" fillId="0" borderId="76" xfId="0" applyBorder="1" applyAlignment="1" applyProtection="1">
      <alignment vertical="center"/>
      <protection hidden="1"/>
    </xf>
    <xf numFmtId="0" fontId="68" fillId="0" borderId="14" xfId="62" applyFont="1" applyBorder="1" applyAlignment="1" applyProtection="1">
      <alignment vertical="center" wrapText="1"/>
      <protection hidden="1"/>
    </xf>
    <xf numFmtId="0" fontId="0" fillId="0" borderId="14" xfId="0" applyBorder="1" applyAlignment="1" applyProtection="1">
      <alignment vertical="center"/>
      <protection hidden="1"/>
    </xf>
    <xf numFmtId="166" fontId="0" fillId="0" borderId="15" xfId="0" applyNumberFormat="1" applyBorder="1" applyAlignment="1" applyProtection="1">
      <alignment vertical="center"/>
      <protection hidden="1"/>
    </xf>
    <xf numFmtId="0" fontId="0" fillId="0" borderId="15" xfId="0" applyBorder="1" applyAlignment="1" applyProtection="1">
      <alignment vertical="center"/>
      <protection hidden="1"/>
    </xf>
    <xf numFmtId="0" fontId="0" fillId="46" borderId="1" xfId="0" applyFill="1" applyBorder="1" applyAlignment="1" applyProtection="1">
      <alignment vertical="center" wrapText="1"/>
      <protection hidden="1"/>
    </xf>
    <xf numFmtId="193" fontId="0" fillId="46" borderId="1" xfId="68" applyNumberFormat="1" applyFont="1" applyFill="1" applyBorder="1" applyAlignment="1" applyProtection="1">
      <alignment horizontal="center" vertical="center"/>
      <protection hidden="1"/>
    </xf>
    <xf numFmtId="0" fontId="196" fillId="0" borderId="0" xfId="0" applyFont="1" applyAlignment="1" applyProtection="1">
      <alignment wrapText="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43" fontId="0" fillId="0" borderId="32" xfId="68" applyFont="1" applyFill="1" applyBorder="1" applyProtection="1">
      <protection hidden="1"/>
    </xf>
    <xf numFmtId="0" fontId="41" fillId="0" borderId="0" xfId="0" applyFont="1" applyAlignment="1" applyProtection="1">
      <alignment wrapText="1"/>
      <protection hidden="1"/>
    </xf>
    <xf numFmtId="0" fontId="0" fillId="0" borderId="1" xfId="0" applyBorder="1" applyAlignment="1" applyProtection="1">
      <alignment horizontal="center" vertical="center"/>
      <protection hidden="1"/>
    </xf>
    <xf numFmtId="172" fontId="0" fillId="0" borderId="0" xfId="0" applyNumberFormat="1" applyProtection="1">
      <protection hidden="1"/>
    </xf>
    <xf numFmtId="0" fontId="15" fillId="0" borderId="0" xfId="0" applyFont="1" applyProtection="1">
      <protection hidden="1"/>
    </xf>
    <xf numFmtId="10" fontId="8" fillId="0" borderId="0" xfId="1" applyNumberFormat="1" applyFont="1" applyProtection="1">
      <protection hidden="1"/>
    </xf>
    <xf numFmtId="0" fontId="8" fillId="0" borderId="1" xfId="0" applyFont="1" applyBorder="1" applyAlignment="1" applyProtection="1">
      <alignment wrapText="1"/>
      <protection hidden="1"/>
    </xf>
    <xf numFmtId="196" fontId="0" fillId="0" borderId="0" xfId="0" applyNumberFormat="1" applyProtection="1">
      <protection hidden="1"/>
    </xf>
    <xf numFmtId="0" fontId="221" fillId="41" borderId="0" xfId="70" applyFont="1" applyFill="1" applyAlignment="1" applyProtection="1">
      <alignment vertical="center"/>
      <protection hidden="1"/>
    </xf>
    <xf numFmtId="0" fontId="6" fillId="0" borderId="0" xfId="70" applyProtection="1">
      <protection hidden="1"/>
    </xf>
    <xf numFmtId="0" fontId="67" fillId="3" borderId="16" xfId="70" applyFont="1" applyFill="1" applyBorder="1" applyAlignment="1" applyProtection="1">
      <alignment horizontal="center"/>
      <protection hidden="1"/>
    </xf>
    <xf numFmtId="0" fontId="67" fillId="3" borderId="17" xfId="70" applyFont="1" applyFill="1" applyBorder="1" applyAlignment="1" applyProtection="1">
      <alignment horizontal="center"/>
      <protection hidden="1"/>
    </xf>
    <xf numFmtId="0" fontId="67" fillId="3" borderId="1" xfId="70" applyFont="1" applyFill="1" applyBorder="1" applyAlignment="1" applyProtection="1">
      <alignment horizontal="center"/>
      <protection hidden="1"/>
    </xf>
    <xf numFmtId="172" fontId="68" fillId="0" borderId="38" xfId="0" applyNumberFormat="1" applyFont="1" applyBorder="1" applyAlignment="1" applyProtection="1">
      <alignment horizontal="center"/>
      <protection hidden="1"/>
    </xf>
    <xf numFmtId="0" fontId="0" fillId="0" borderId="0" xfId="70" applyFont="1" applyProtection="1">
      <protection hidden="1"/>
    </xf>
    <xf numFmtId="0" fontId="0" fillId="0" borderId="1" xfId="0" applyBorder="1" applyAlignment="1" applyProtection="1">
      <alignment wrapText="1"/>
      <protection hidden="1"/>
    </xf>
    <xf numFmtId="172" fontId="68" fillId="0" borderId="38" xfId="0" applyNumberFormat="1" applyFont="1" applyBorder="1" applyAlignment="1" applyProtection="1">
      <alignment horizontal="center" vertical="center"/>
      <protection hidden="1"/>
    </xf>
    <xf numFmtId="0" fontId="6" fillId="0" borderId="0" xfId="0" applyFont="1" applyProtection="1">
      <protection hidden="1"/>
    </xf>
    <xf numFmtId="0" fontId="0" fillId="0" borderId="45" xfId="0" applyBorder="1" applyProtection="1">
      <protection hidden="1"/>
    </xf>
    <xf numFmtId="0" fontId="0" fillId="0" borderId="46" xfId="0" applyBorder="1" applyProtection="1">
      <protection hidden="1"/>
    </xf>
    <xf numFmtId="0" fontId="0" fillId="0" borderId="47" xfId="0" applyBorder="1" applyProtection="1">
      <protection hidden="1"/>
    </xf>
    <xf numFmtId="0" fontId="13" fillId="0" borderId="0" xfId="2" applyProtection="1">
      <protection hidden="1"/>
    </xf>
    <xf numFmtId="0" fontId="8" fillId="0" borderId="3" xfId="0" applyFont="1" applyBorder="1" applyAlignment="1" applyProtection="1">
      <alignment vertical="center"/>
      <protection hidden="1"/>
    </xf>
    <xf numFmtId="0" fontId="8" fillId="0" borderId="3" xfId="0" applyFont="1" applyBorder="1" applyAlignment="1" applyProtection="1">
      <alignment horizontal="center" vertical="center" wrapText="1"/>
      <protection hidden="1"/>
    </xf>
    <xf numFmtId="0" fontId="8" fillId="0" borderId="3" xfId="0" applyFont="1" applyBorder="1" applyProtection="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125" fillId="0" borderId="1" xfId="54" applyFont="1" applyBorder="1" applyAlignment="1" applyProtection="1">
      <alignment horizontal="left" vertical="center"/>
      <protection hidden="1"/>
    </xf>
    <xf numFmtId="164" fontId="125" fillId="0" borderId="1" xfId="54" applyNumberFormat="1" applyFont="1" applyBorder="1" applyAlignment="1" applyProtection="1">
      <alignment horizontal="center" vertical="center"/>
      <protection hidden="1"/>
    </xf>
    <xf numFmtId="0" fontId="65" fillId="0" borderId="1" xfId="54" applyFont="1" applyBorder="1" applyAlignment="1" applyProtection="1">
      <alignment horizontal="left" vertical="center" wrapText="1"/>
      <protection hidden="1"/>
    </xf>
    <xf numFmtId="0" fontId="123" fillId="0" borderId="0" xfId="2" applyFont="1" applyAlignment="1" applyProtection="1">
      <protection hidden="1"/>
    </xf>
    <xf numFmtId="0" fontId="124" fillId="0" borderId="0" xfId="3" applyFont="1" applyProtection="1">
      <protection hidden="1"/>
    </xf>
    <xf numFmtId="0" fontId="8" fillId="0" borderId="0" xfId="0" applyFont="1" applyProtection="1">
      <protection hidden="1"/>
    </xf>
    <xf numFmtId="0" fontId="8" fillId="0" borderId="1" xfId="0" applyFont="1" applyBorder="1" applyProtection="1">
      <protection hidden="1"/>
    </xf>
    <xf numFmtId="0" fontId="8" fillId="49" borderId="1" xfId="0" applyFont="1" applyFill="1" applyBorder="1" applyAlignment="1" applyProtection="1">
      <alignment horizontal="center" vertical="center" wrapText="1"/>
      <protection hidden="1"/>
    </xf>
    <xf numFmtId="0" fontId="8" fillId="0" borderId="78" xfId="0" applyFont="1" applyBorder="1" applyAlignment="1" applyProtection="1">
      <alignment vertical="center"/>
      <protection hidden="1"/>
    </xf>
    <xf numFmtId="0" fontId="8" fillId="0" borderId="78" xfId="0" applyFont="1" applyBorder="1" applyAlignment="1" applyProtection="1">
      <alignment vertical="center" wrapText="1"/>
      <protection hidden="1"/>
    </xf>
    <xf numFmtId="0" fontId="8" fillId="0" borderId="78" xfId="3" applyFont="1" applyBorder="1" applyAlignment="1" applyProtection="1">
      <alignment vertical="center" wrapText="1"/>
      <protection hidden="1"/>
    </xf>
    <xf numFmtId="0" fontId="8" fillId="49" borderId="78" xfId="0" applyFont="1" applyFill="1" applyBorder="1" applyAlignment="1" applyProtection="1">
      <alignment horizontal="center" vertical="center" wrapText="1"/>
      <protection hidden="1"/>
    </xf>
    <xf numFmtId="0" fontId="125" fillId="0" borderId="0" xfId="54" applyFont="1" applyAlignment="1" applyProtection="1">
      <alignment vertical="top"/>
      <protection hidden="1"/>
    </xf>
    <xf numFmtId="0" fontId="125" fillId="0" borderId="0" xfId="54" applyFont="1" applyAlignment="1" applyProtection="1">
      <alignment horizontal="center" vertical="top"/>
      <protection hidden="1"/>
    </xf>
    <xf numFmtId="0" fontId="65" fillId="0" borderId="0" xfId="0" applyFont="1" applyAlignment="1" applyProtection="1">
      <alignment wrapText="1"/>
      <protection hidden="1"/>
    </xf>
    <xf numFmtId="0" fontId="125" fillId="0" borderId="1" xfId="54" applyFont="1" applyBorder="1" applyAlignment="1" applyProtection="1">
      <alignment vertical="top"/>
      <protection hidden="1"/>
    </xf>
    <xf numFmtId="0" fontId="125" fillId="0" borderId="1" xfId="54" applyFont="1" applyBorder="1" applyAlignment="1" applyProtection="1">
      <alignment horizontal="left" vertical="top"/>
      <protection hidden="1"/>
    </xf>
    <xf numFmtId="10" fontId="126" fillId="0" borderId="1" xfId="54" applyNumberFormat="1" applyFont="1" applyBorder="1" applyAlignment="1" applyProtection="1">
      <alignment horizontal="center" vertical="center"/>
      <protection hidden="1"/>
    </xf>
    <xf numFmtId="2" fontId="11" fillId="53" borderId="1" xfId="69" applyNumberFormat="1" applyFont="1" applyFill="1" applyBorder="1" applyAlignment="1" applyProtection="1">
      <alignment horizontal="center" vertical="center"/>
      <protection hidden="1"/>
    </xf>
    <xf numFmtId="0" fontId="0" fillId="0" borderId="78" xfId="0" applyBorder="1" applyProtection="1">
      <protection hidden="1"/>
    </xf>
    <xf numFmtId="2" fontId="11" fillId="53" borderId="78" xfId="69" applyNumberFormat="1" applyFont="1" applyFill="1" applyBorder="1" applyAlignment="1" applyProtection="1">
      <alignment horizontal="center" vertical="center"/>
      <protection hidden="1"/>
    </xf>
    <xf numFmtId="0" fontId="9" fillId="0" borderId="0" xfId="0" applyFont="1" applyAlignment="1" applyProtection="1">
      <alignment horizontal="left" wrapText="1"/>
      <protection hidden="1"/>
    </xf>
    <xf numFmtId="0" fontId="76" fillId="0" borderId="78" xfId="0" applyFont="1" applyBorder="1" applyProtection="1">
      <protection hidden="1"/>
    </xf>
    <xf numFmtId="168" fontId="76" fillId="0" borderId="78" xfId="0" applyNumberFormat="1" applyFont="1" applyBorder="1" applyProtection="1">
      <protection hidden="1"/>
    </xf>
    <xf numFmtId="0" fontId="9" fillId="0" borderId="0" xfId="0" applyFont="1" applyAlignment="1" applyProtection="1">
      <alignment wrapText="1"/>
      <protection hidden="1"/>
    </xf>
    <xf numFmtId="0" fontId="128" fillId="0" borderId="0" xfId="3" applyFont="1" applyProtection="1">
      <protection hidden="1"/>
    </xf>
    <xf numFmtId="0" fontId="127" fillId="0" borderId="0" xfId="0" applyFont="1" applyAlignment="1" applyProtection="1">
      <alignment vertical="top" wrapText="1"/>
      <protection hidden="1"/>
    </xf>
    <xf numFmtId="0" fontId="0" fillId="0" borderId="141" xfId="0" applyBorder="1" applyProtection="1">
      <protection hidden="1"/>
    </xf>
    <xf numFmtId="0" fontId="125" fillId="0" borderId="137" xfId="54" applyFont="1" applyBorder="1" applyAlignment="1" applyProtection="1">
      <alignment vertical="top"/>
      <protection hidden="1"/>
    </xf>
    <xf numFmtId="168" fontId="0" fillId="0" borderId="140" xfId="0" applyNumberFormat="1" applyBorder="1" applyProtection="1">
      <protection hidden="1"/>
    </xf>
    <xf numFmtId="168" fontId="0" fillId="0" borderId="78" xfId="0" applyNumberFormat="1" applyBorder="1" applyProtection="1">
      <protection hidden="1"/>
    </xf>
    <xf numFmtId="0" fontId="198" fillId="0" borderId="16" xfId="54" applyFont="1" applyBorder="1" applyAlignment="1" applyProtection="1">
      <alignment horizontal="center" vertical="center" wrapText="1"/>
      <protection hidden="1"/>
    </xf>
    <xf numFmtId="0" fontId="257" fillId="0" borderId="137" xfId="0" applyFont="1" applyBorder="1" applyAlignment="1" applyProtection="1">
      <alignment horizontal="left" wrapText="1"/>
      <protection hidden="1"/>
    </xf>
    <xf numFmtId="0" fontId="5" fillId="0" borderId="0" xfId="0" applyFont="1" applyProtection="1">
      <protection hidden="1"/>
    </xf>
    <xf numFmtId="0" fontId="197" fillId="0" borderId="0" xfId="0" applyFont="1" applyAlignment="1" applyProtection="1">
      <alignment vertical="center"/>
      <protection hidden="1"/>
    </xf>
    <xf numFmtId="0" fontId="244" fillId="10" borderId="110" xfId="0" applyFont="1" applyFill="1" applyBorder="1" applyAlignment="1" applyProtection="1">
      <alignment horizontal="center" vertical="center" wrapText="1"/>
      <protection hidden="1"/>
    </xf>
    <xf numFmtId="0" fontId="244" fillId="82" borderId="110" xfId="0" applyFont="1" applyFill="1" applyBorder="1" applyAlignment="1" applyProtection="1">
      <alignment horizontal="center" vertical="center" wrapText="1"/>
      <protection hidden="1"/>
    </xf>
    <xf numFmtId="0" fontId="243" fillId="0" borderId="0" xfId="0" applyFont="1" applyAlignment="1" applyProtection="1">
      <alignment horizontal="center" wrapText="1"/>
      <protection hidden="1"/>
    </xf>
    <xf numFmtId="0" fontId="4" fillId="0" borderId="0" xfId="0" applyFont="1" applyProtection="1">
      <protection hidden="1"/>
    </xf>
    <xf numFmtId="0" fontId="244" fillId="10" borderId="110" xfId="0" applyFont="1" applyFill="1" applyBorder="1" applyAlignment="1" applyProtection="1">
      <alignment wrapText="1"/>
      <protection hidden="1"/>
    </xf>
    <xf numFmtId="0" fontId="244" fillId="82" borderId="110" xfId="0" applyFont="1" applyFill="1" applyBorder="1" applyAlignment="1" applyProtection="1">
      <alignment wrapText="1"/>
      <protection hidden="1"/>
    </xf>
    <xf numFmtId="0" fontId="131" fillId="0" borderId="0" xfId="0" applyFont="1" applyAlignment="1" applyProtection="1">
      <alignment horizontal="center"/>
      <protection hidden="1"/>
    </xf>
    <xf numFmtId="0" fontId="197" fillId="83" borderId="62" xfId="0" applyFont="1" applyFill="1" applyBorder="1" applyAlignment="1" applyProtection="1">
      <alignment horizontal="center"/>
      <protection hidden="1"/>
    </xf>
    <xf numFmtId="0" fontId="197" fillId="83" borderId="0" xfId="0" applyFont="1" applyFill="1" applyProtection="1">
      <protection hidden="1"/>
    </xf>
    <xf numFmtId="0" fontId="245" fillId="0" borderId="0" xfId="0" applyFont="1" applyProtection="1">
      <protection hidden="1"/>
    </xf>
    <xf numFmtId="167" fontId="245" fillId="0" borderId="0" xfId="0" applyNumberFormat="1" applyFont="1" applyProtection="1">
      <protection hidden="1"/>
    </xf>
    <xf numFmtId="168" fontId="131" fillId="0" borderId="0" xfId="0" quotePrefix="1" applyNumberFormat="1" applyFont="1" applyAlignment="1" applyProtection="1">
      <alignment horizontal="center"/>
      <protection hidden="1"/>
    </xf>
    <xf numFmtId="165" fontId="131" fillId="0" borderId="0" xfId="0" quotePrefix="1" applyNumberFormat="1" applyFont="1" applyAlignment="1" applyProtection="1">
      <alignment horizontal="center"/>
      <protection hidden="1"/>
    </xf>
    <xf numFmtId="0" fontId="2" fillId="0" borderId="0" xfId="0" applyFont="1" applyProtection="1">
      <protection hidden="1"/>
    </xf>
    <xf numFmtId="0" fontId="199" fillId="0" borderId="0" xfId="2" applyFont="1" applyProtection="1">
      <protection hidden="1"/>
    </xf>
    <xf numFmtId="0" fontId="226" fillId="0" borderId="0" xfId="2" applyFont="1" applyProtection="1">
      <protection hidden="1"/>
    </xf>
    <xf numFmtId="0" fontId="97" fillId="0" borderId="0" xfId="39" applyFont="1" applyAlignment="1" applyProtection="1">
      <protection hidden="1"/>
    </xf>
    <xf numFmtId="0" fontId="223" fillId="0" borderId="0" xfId="2" applyFont="1" applyProtection="1">
      <protection hidden="1"/>
    </xf>
    <xf numFmtId="3" fontId="33" fillId="0" borderId="83" xfId="0" applyNumberFormat="1" applyFont="1" applyBorder="1" applyProtection="1">
      <protection hidden="1"/>
    </xf>
    <xf numFmtId="0" fontId="13" fillId="0" borderId="0" xfId="2" applyBorder="1" applyProtection="1">
      <protection hidden="1"/>
    </xf>
    <xf numFmtId="3" fontId="46" fillId="0" borderId="0" xfId="0" applyNumberFormat="1" applyFont="1" applyProtection="1">
      <protection hidden="1"/>
    </xf>
    <xf numFmtId="3" fontId="46" fillId="0" borderId="83" xfId="0" applyNumberFormat="1" applyFont="1" applyBorder="1" applyProtection="1">
      <protection hidden="1"/>
    </xf>
    <xf numFmtId="3" fontId="33" fillId="0" borderId="0" xfId="0" applyNumberFormat="1" applyFont="1" applyAlignment="1" applyProtection="1">
      <alignment horizontal="left"/>
      <protection hidden="1"/>
    </xf>
    <xf numFmtId="3" fontId="46" fillId="0" borderId="0" xfId="0" applyNumberFormat="1" applyFont="1" applyAlignment="1" applyProtection="1">
      <alignment horizontal="left" wrapText="1"/>
      <protection hidden="1"/>
    </xf>
    <xf numFmtId="3" fontId="46" fillId="0" borderId="1" xfId="0" applyNumberFormat="1" applyFont="1" applyBorder="1" applyAlignment="1" applyProtection="1">
      <alignment horizontal="center" vertical="center" wrapText="1"/>
      <protection hidden="1"/>
    </xf>
    <xf numFmtId="3" fontId="46" fillId="0" borderId="0" xfId="0" applyNumberFormat="1" applyFont="1" applyAlignment="1" applyProtection="1">
      <alignment horizontal="left"/>
      <protection hidden="1"/>
    </xf>
    <xf numFmtId="0" fontId="222" fillId="0" borderId="0" xfId="0" applyFont="1" applyProtection="1">
      <protection hidden="1"/>
    </xf>
    <xf numFmtId="0" fontId="68" fillId="48" borderId="153" xfId="0" applyFont="1" applyFill="1" applyBorder="1" applyProtection="1">
      <protection hidden="1"/>
    </xf>
    <xf numFmtId="0" fontId="68" fillId="48" borderId="153" xfId="0" applyFont="1" applyFill="1" applyBorder="1" applyAlignment="1" applyProtection="1">
      <alignment wrapText="1"/>
      <protection hidden="1"/>
    </xf>
    <xf numFmtId="0" fontId="68" fillId="48" borderId="153" xfId="0" applyFont="1" applyFill="1" applyBorder="1" applyAlignment="1" applyProtection="1">
      <alignment horizontal="left" wrapText="1"/>
      <protection hidden="1"/>
    </xf>
    <xf numFmtId="0" fontId="46" fillId="45" borderId="1" xfId="38" applyFont="1" applyFill="1" applyBorder="1" applyProtection="1">
      <alignment wrapText="1"/>
      <protection hidden="1"/>
    </xf>
    <xf numFmtId="179" fontId="47" fillId="0" borderId="1" xfId="38" applyNumberFormat="1" applyFont="1" applyBorder="1" applyAlignment="1" applyProtection="1">
      <alignment horizontal="center" wrapText="1"/>
      <protection hidden="1"/>
    </xf>
    <xf numFmtId="180" fontId="68" fillId="0" borderId="153" xfId="0" applyNumberFormat="1" applyFont="1" applyBorder="1" applyAlignment="1" applyProtection="1">
      <alignment horizontal="center"/>
      <protection hidden="1"/>
    </xf>
    <xf numFmtId="0" fontId="46" fillId="45" borderId="1" xfId="38" applyFont="1" applyFill="1" applyBorder="1" applyAlignment="1" applyProtection="1">
      <alignment horizontal="left" wrapText="1" indent="1"/>
      <protection hidden="1"/>
    </xf>
    <xf numFmtId="181" fontId="68" fillId="54" borderId="153" xfId="0" applyNumberFormat="1" applyFont="1" applyFill="1" applyBorder="1" applyAlignment="1" applyProtection="1">
      <alignment horizontal="center"/>
      <protection hidden="1"/>
    </xf>
    <xf numFmtId="181" fontId="68" fillId="0" borderId="153" xfId="0" applyNumberFormat="1" applyFont="1" applyBorder="1" applyAlignment="1" applyProtection="1">
      <alignment horizontal="center"/>
      <protection hidden="1"/>
    </xf>
    <xf numFmtId="0" fontId="46" fillId="45" borderId="1" xfId="38" applyFont="1" applyFill="1" applyBorder="1" applyAlignment="1" applyProtection="1">
      <alignment horizontal="left" wrapText="1" indent="2"/>
      <protection hidden="1"/>
    </xf>
    <xf numFmtId="3" fontId="46" fillId="0" borderId="84" xfId="0" applyNumberFormat="1" applyFont="1" applyBorder="1" applyProtection="1">
      <protection hidden="1"/>
    </xf>
    <xf numFmtId="0" fontId="0" fillId="0" borderId="155" xfId="0" applyBorder="1" applyProtection="1">
      <protection hidden="1"/>
    </xf>
    <xf numFmtId="180" fontId="68" fillId="0" borderId="0" xfId="0" applyNumberFormat="1" applyFont="1" applyAlignment="1" applyProtection="1">
      <alignment horizontal="center"/>
      <protection hidden="1"/>
    </xf>
    <xf numFmtId="181" fontId="68" fillId="0" borderId="0" xfId="0" applyNumberFormat="1" applyFont="1" applyAlignment="1" applyProtection="1">
      <alignment horizontal="center"/>
      <protection hidden="1"/>
    </xf>
    <xf numFmtId="181" fontId="68" fillId="0" borderId="158" xfId="0" applyNumberFormat="1" applyFont="1" applyBorder="1" applyAlignment="1" applyProtection="1">
      <alignment horizontal="center"/>
      <protection hidden="1"/>
    </xf>
    <xf numFmtId="3" fontId="46" fillId="0" borderId="4" xfId="0" applyNumberFormat="1" applyFont="1" applyBorder="1" applyAlignment="1" applyProtection="1">
      <alignment horizontal="center" vertical="center" wrapText="1"/>
      <protection hidden="1"/>
    </xf>
    <xf numFmtId="0" fontId="47" fillId="0" borderId="1" xfId="0" applyFont="1" applyBorder="1" applyAlignment="1" applyProtection="1">
      <alignment horizontal="center"/>
      <protection hidden="1"/>
    </xf>
    <xf numFmtId="164" fontId="47" fillId="0" borderId="1" xfId="0" applyNumberFormat="1" applyFont="1" applyBorder="1" applyAlignment="1" applyProtection="1">
      <alignment horizontal="center"/>
      <protection hidden="1"/>
    </xf>
    <xf numFmtId="0" fontId="224" fillId="0" borderId="0" xfId="0" applyFont="1" applyProtection="1">
      <protection hidden="1"/>
    </xf>
    <xf numFmtId="180" fontId="68" fillId="54" borderId="153" xfId="0" applyNumberFormat="1" applyFont="1" applyFill="1" applyBorder="1" applyAlignment="1" applyProtection="1">
      <alignment horizontal="center"/>
      <protection hidden="1"/>
    </xf>
    <xf numFmtId="0" fontId="47" fillId="0" borderId="0" xfId="0" applyFont="1" applyAlignment="1" applyProtection="1">
      <alignment horizontal="left"/>
      <protection hidden="1"/>
    </xf>
    <xf numFmtId="180" fontId="68" fillId="43" borderId="153" xfId="0" applyNumberFormat="1" applyFont="1" applyFill="1" applyBorder="1" applyAlignment="1" applyProtection="1">
      <alignment horizontal="center"/>
      <protection hidden="1"/>
    </xf>
    <xf numFmtId="172" fontId="68" fillId="4" borderId="153" xfId="0" applyNumberFormat="1" applyFont="1" applyFill="1" applyBorder="1" applyAlignment="1" applyProtection="1">
      <alignment horizontal="center" vertical="center" wrapText="1"/>
      <protection hidden="1"/>
    </xf>
    <xf numFmtId="172" fontId="68" fillId="54" borderId="153" xfId="0" applyNumberFormat="1" applyFont="1" applyFill="1" applyBorder="1" applyAlignment="1" applyProtection="1">
      <alignment horizontal="center" vertical="center" wrapText="1"/>
      <protection hidden="1"/>
    </xf>
    <xf numFmtId="181" fontId="68" fillId="43" borderId="153" xfId="0" applyNumberFormat="1" applyFont="1" applyFill="1" applyBorder="1" applyAlignment="1" applyProtection="1">
      <alignment horizontal="center"/>
      <protection hidden="1"/>
    </xf>
    <xf numFmtId="0" fontId="225" fillId="0" borderId="0" xfId="0" applyFont="1" applyProtection="1">
      <protection hidden="1"/>
    </xf>
    <xf numFmtId="0" fontId="47" fillId="0" borderId="1" xfId="0" applyFont="1" applyBorder="1" applyAlignment="1" applyProtection="1">
      <alignment wrapText="1"/>
      <protection hidden="1"/>
    </xf>
    <xf numFmtId="0" fontId="59" fillId="0" borderId="0" xfId="0" applyFont="1" applyProtection="1">
      <protection hidden="1"/>
    </xf>
    <xf numFmtId="0" fontId="47" fillId="0" borderId="1" xfId="0" applyFont="1" applyBorder="1" applyProtection="1">
      <protection hidden="1"/>
    </xf>
    <xf numFmtId="0" fontId="46" fillId="0" borderId="1" xfId="0" applyFont="1" applyBorder="1" applyAlignment="1" applyProtection="1">
      <alignment wrapText="1"/>
      <protection hidden="1"/>
    </xf>
    <xf numFmtId="169" fontId="101" fillId="0" borderId="1" xfId="68" applyNumberFormat="1" applyFont="1" applyFill="1" applyBorder="1" applyProtection="1">
      <protection hidden="1"/>
    </xf>
    <xf numFmtId="0" fontId="47" fillId="0" borderId="0" xfId="0" applyFont="1" applyAlignment="1" applyProtection="1">
      <alignment horizontal="right"/>
      <protection hidden="1"/>
    </xf>
    <xf numFmtId="0" fontId="125" fillId="0" borderId="0" xfId="62" applyFont="1" applyProtection="1">
      <protection hidden="1"/>
    </xf>
    <xf numFmtId="0" fontId="203" fillId="0" borderId="0" xfId="71" applyProtection="1">
      <protection hidden="1"/>
    </xf>
    <xf numFmtId="0" fontId="200" fillId="49" borderId="62" xfId="0" applyFont="1" applyFill="1" applyBorder="1" applyProtection="1">
      <protection hidden="1"/>
    </xf>
    <xf numFmtId="0" fontId="201" fillId="0" borderId="62" xfId="70" applyFont="1" applyBorder="1" applyAlignment="1" applyProtection="1">
      <alignment wrapText="1"/>
      <protection hidden="1"/>
    </xf>
    <xf numFmtId="0" fontId="43" fillId="0" borderId="0" xfId="59" applyProtection="1">
      <protection hidden="1"/>
    </xf>
    <xf numFmtId="0" fontId="8" fillId="45" borderId="0" xfId="0" applyFont="1" applyFill="1" applyAlignment="1" applyProtection="1">
      <alignment wrapText="1"/>
      <protection hidden="1"/>
    </xf>
    <xf numFmtId="0" fontId="202" fillId="83" borderId="4" xfId="0" applyFont="1" applyFill="1" applyBorder="1" applyAlignment="1" applyProtection="1">
      <alignment horizontal="center" vertical="top" wrapText="1"/>
      <protection hidden="1"/>
    </xf>
    <xf numFmtId="0" fontId="206" fillId="45" borderId="0" xfId="62" applyFont="1" applyFill="1" applyProtection="1">
      <protection hidden="1"/>
    </xf>
    <xf numFmtId="0" fontId="207" fillId="0" borderId="1" xfId="59" applyFont="1" applyBorder="1" applyAlignment="1" applyProtection="1">
      <alignment horizontal="center" vertical="center" wrapText="1"/>
      <protection hidden="1"/>
    </xf>
    <xf numFmtId="0" fontId="204" fillId="84" borderId="142" xfId="71" applyFont="1" applyFill="1" applyBorder="1" applyAlignment="1" applyProtection="1">
      <alignment horizontal="left" wrapText="1"/>
      <protection hidden="1"/>
    </xf>
    <xf numFmtId="0" fontId="205" fillId="0" borderId="1" xfId="71" applyFont="1" applyBorder="1" applyAlignment="1" applyProtection="1">
      <alignment horizontal="center" vertical="center"/>
      <protection hidden="1"/>
    </xf>
    <xf numFmtId="166" fontId="0" fillId="0" borderId="1" xfId="0" applyNumberFormat="1" applyBorder="1" applyAlignment="1" applyProtection="1">
      <alignment horizontal="center" vertical="center"/>
      <protection hidden="1"/>
    </xf>
    <xf numFmtId="0" fontId="49" fillId="0" borderId="0" xfId="62" applyProtection="1">
      <protection hidden="1"/>
    </xf>
    <xf numFmtId="10" fontId="49" fillId="0" borderId="1" xfId="62" applyNumberFormat="1" applyBorder="1" applyAlignment="1" applyProtection="1">
      <alignment horizontal="center"/>
      <protection hidden="1"/>
    </xf>
    <xf numFmtId="0" fontId="204" fillId="84" borderId="142" xfId="71" applyFont="1" applyFill="1" applyBorder="1" applyAlignment="1" applyProtection="1">
      <alignment horizontal="left"/>
      <protection hidden="1"/>
    </xf>
    <xf numFmtId="3" fontId="43" fillId="0" borderId="1" xfId="59" applyNumberFormat="1" applyBorder="1" applyAlignment="1" applyProtection="1">
      <alignment horizontal="center"/>
      <protection hidden="1"/>
    </xf>
    <xf numFmtId="3" fontId="238" fillId="0" borderId="1" xfId="71" applyNumberFormat="1" applyFont="1" applyBorder="1" applyAlignment="1" applyProtection="1">
      <alignment horizontal="center" vertical="center"/>
      <protection hidden="1"/>
    </xf>
    <xf numFmtId="0" fontId="29" fillId="50" borderId="1" xfId="0" applyFont="1" applyFill="1" applyBorder="1" applyProtection="1">
      <protection hidden="1"/>
    </xf>
    <xf numFmtId="0" fontId="240" fillId="84" borderId="142" xfId="71" applyFont="1" applyFill="1" applyBorder="1" applyAlignment="1" applyProtection="1">
      <alignment horizontal="left"/>
      <protection hidden="1"/>
    </xf>
    <xf numFmtId="3" fontId="241" fillId="0" borderId="1" xfId="59" applyNumberFormat="1" applyFont="1" applyBorder="1" applyAlignment="1" applyProtection="1">
      <alignment horizontal="center"/>
      <protection hidden="1"/>
    </xf>
    <xf numFmtId="3" fontId="239" fillId="0" borderId="1" xfId="71" applyNumberFormat="1" applyFont="1" applyBorder="1" applyAlignment="1" applyProtection="1">
      <alignment horizontal="center" vertical="center"/>
      <protection hidden="1"/>
    </xf>
    <xf numFmtId="10" fontId="49" fillId="0" borderId="0" xfId="62" applyNumberFormat="1" applyAlignment="1" applyProtection="1">
      <alignment horizontal="center"/>
      <protection hidden="1"/>
    </xf>
    <xf numFmtId="0" fontId="0" fillId="0" borderId="4" xfId="0" applyBorder="1" applyAlignment="1" applyProtection="1">
      <alignment wrapText="1"/>
      <protection hidden="1"/>
    </xf>
    <xf numFmtId="0" fontId="0" fillId="0" borderId="3" xfId="0" applyBorder="1" applyProtection="1">
      <protection hidden="1"/>
    </xf>
    <xf numFmtId="0" fontId="0" fillId="0" borderId="29" xfId="0" applyBorder="1" applyProtection="1">
      <protection hidden="1"/>
    </xf>
    <xf numFmtId="0" fontId="0" fillId="69" borderId="0" xfId="0" applyFill="1" applyProtection="1">
      <protection hidden="1"/>
    </xf>
    <xf numFmtId="166" fontId="0" fillId="69" borderId="1" xfId="0" applyNumberFormat="1" applyFill="1" applyBorder="1" applyAlignment="1" applyProtection="1">
      <alignment horizontal="center" vertical="center"/>
      <protection hidden="1"/>
    </xf>
    <xf numFmtId="10" fontId="208" fillId="0" borderId="0" xfId="59" applyNumberFormat="1" applyFont="1" applyProtection="1">
      <protection hidden="1"/>
    </xf>
    <xf numFmtId="0" fontId="0" fillId="0" borderId="28" xfId="0" applyBorder="1" applyProtection="1">
      <protection hidden="1"/>
    </xf>
    <xf numFmtId="0" fontId="0" fillId="76" borderId="0" xfId="0" applyFill="1" applyProtection="1">
      <protection hidden="1"/>
    </xf>
    <xf numFmtId="166" fontId="0" fillId="76" borderId="1" xfId="0" applyNumberFormat="1" applyFill="1" applyBorder="1" applyAlignment="1" applyProtection="1">
      <alignment horizontal="center" vertical="center"/>
      <protection hidden="1"/>
    </xf>
    <xf numFmtId="0" fontId="0" fillId="46" borderId="28" xfId="0" applyFill="1" applyBorder="1" applyProtection="1">
      <protection hidden="1"/>
    </xf>
    <xf numFmtId="0" fontId="0" fillId="46" borderId="32" xfId="0" applyFill="1" applyBorder="1" applyProtection="1">
      <protection hidden="1"/>
    </xf>
    <xf numFmtId="0" fontId="8" fillId="45" borderId="1" xfId="0" applyFont="1" applyFill="1" applyBorder="1" applyAlignment="1" applyProtection="1">
      <alignment horizontal="center"/>
      <protection hidden="1"/>
    </xf>
    <xf numFmtId="0" fontId="8" fillId="45" borderId="1" xfId="0" applyFont="1" applyFill="1" applyBorder="1" applyProtection="1">
      <protection hidden="1"/>
    </xf>
    <xf numFmtId="164" fontId="0" fillId="0" borderId="1" xfId="0" applyNumberFormat="1" applyBorder="1" applyAlignment="1" applyProtection="1">
      <alignment horizontal="center"/>
      <protection hidden="1"/>
    </xf>
    <xf numFmtId="172" fontId="0" fillId="0" borderId="0" xfId="0" quotePrefix="1" applyNumberFormat="1" applyAlignment="1" applyProtection="1">
      <alignment horizontal="center"/>
      <protection hidden="1"/>
    </xf>
    <xf numFmtId="0" fontId="0" fillId="0" borderId="0" xfId="0" quotePrefix="1" applyProtection="1">
      <protection hidden="1"/>
    </xf>
    <xf numFmtId="0" fontId="8" fillId="0" borderId="1" xfId="0" applyFont="1" applyBorder="1" applyAlignment="1" applyProtection="1">
      <alignment horizontal="right"/>
      <protection hidden="1"/>
    </xf>
    <xf numFmtId="0" fontId="10" fillId="0" borderId="0" xfId="0" applyFont="1" applyProtection="1">
      <protection hidden="1"/>
    </xf>
    <xf numFmtId="164" fontId="10" fillId="0" borderId="0" xfId="0" applyNumberFormat="1" applyFont="1" applyAlignment="1" applyProtection="1">
      <alignment horizontal="center"/>
      <protection hidden="1"/>
    </xf>
    <xf numFmtId="164" fontId="76" fillId="0" borderId="0" xfId="0" applyNumberFormat="1" applyFont="1" applyAlignment="1" applyProtection="1">
      <alignment horizontal="center"/>
      <protection hidden="1"/>
    </xf>
    <xf numFmtId="0" fontId="202" fillId="83" borderId="1" xfId="0" applyFont="1" applyFill="1" applyBorder="1" applyAlignment="1" applyProtection="1">
      <alignment horizontal="center" vertical="top" wrapText="1"/>
      <protection hidden="1"/>
    </xf>
    <xf numFmtId="0" fontId="209" fillId="64" borderId="3" xfId="0" applyFont="1" applyFill="1" applyBorder="1" applyProtection="1">
      <protection hidden="1"/>
    </xf>
    <xf numFmtId="0" fontId="210" fillId="4" borderId="28" xfId="0" applyFont="1" applyFill="1" applyBorder="1" applyProtection="1">
      <protection hidden="1"/>
    </xf>
    <xf numFmtId="0" fontId="132" fillId="4" borderId="0" xfId="0" applyFont="1" applyFill="1" applyProtection="1">
      <protection hidden="1"/>
    </xf>
    <xf numFmtId="0" fontId="211" fillId="0" borderId="0" xfId="63" applyFont="1" applyAlignment="1" applyProtection="1">
      <protection hidden="1"/>
    </xf>
    <xf numFmtId="0" fontId="212" fillId="4" borderId="0" xfId="0" applyFont="1" applyFill="1" applyProtection="1">
      <protection hidden="1"/>
    </xf>
    <xf numFmtId="0" fontId="133" fillId="45" borderId="79" xfId="0" applyFont="1" applyFill="1" applyBorder="1" applyAlignment="1" applyProtection="1">
      <alignment horizontal="left" vertical="center" wrapText="1"/>
      <protection hidden="1"/>
    </xf>
    <xf numFmtId="0" fontId="213" fillId="4" borderId="90" xfId="0" applyFont="1" applyFill="1" applyBorder="1" applyAlignment="1" applyProtection="1">
      <alignment horizontal="left" vertical="center" wrapText="1"/>
      <protection hidden="1"/>
    </xf>
    <xf numFmtId="0" fontId="214" fillId="45" borderId="79" xfId="0" applyFont="1" applyFill="1" applyBorder="1" applyAlignment="1" applyProtection="1">
      <alignment horizontal="left" vertical="center" wrapText="1"/>
      <protection hidden="1"/>
    </xf>
    <xf numFmtId="14" fontId="213" fillId="4" borderId="80" xfId="0" applyNumberFormat="1" applyFont="1" applyFill="1" applyBorder="1" applyAlignment="1" applyProtection="1">
      <alignment horizontal="left" vertical="center"/>
      <protection hidden="1"/>
    </xf>
    <xf numFmtId="0" fontId="214" fillId="45" borderId="79" xfId="0" applyFont="1" applyFill="1" applyBorder="1" applyAlignment="1" applyProtection="1">
      <alignment horizontal="left" vertical="center"/>
      <protection hidden="1"/>
    </xf>
    <xf numFmtId="0" fontId="133" fillId="45" borderId="81" xfId="0" applyFont="1" applyFill="1" applyBorder="1" applyAlignment="1" applyProtection="1">
      <alignment horizontal="left" vertical="center" wrapText="1"/>
      <protection hidden="1"/>
    </xf>
    <xf numFmtId="0" fontId="132" fillId="4" borderId="93" xfId="0" applyFont="1" applyFill="1" applyBorder="1" applyAlignment="1" applyProtection="1">
      <alignment horizontal="left" vertical="center" wrapText="1"/>
      <protection hidden="1"/>
    </xf>
    <xf numFmtId="0" fontId="133" fillId="45" borderId="93" xfId="0" applyFont="1" applyFill="1" applyBorder="1" applyAlignment="1" applyProtection="1">
      <alignment horizontal="left" vertical="center"/>
      <protection hidden="1"/>
    </xf>
    <xf numFmtId="168" fontId="213" fillId="4" borderId="82" xfId="0" applyNumberFormat="1" applyFont="1" applyFill="1" applyBorder="1" applyAlignment="1" applyProtection="1">
      <alignment horizontal="left" vertical="center"/>
      <protection hidden="1"/>
    </xf>
    <xf numFmtId="0" fontId="214" fillId="45" borderId="81" xfId="0" applyFont="1" applyFill="1" applyBorder="1" applyAlignment="1" applyProtection="1">
      <alignment horizontal="left" vertical="center"/>
      <protection hidden="1"/>
    </xf>
    <xf numFmtId="1" fontId="213" fillId="4" borderId="82" xfId="0" applyNumberFormat="1" applyFont="1" applyFill="1" applyBorder="1" applyAlignment="1" applyProtection="1">
      <alignment horizontal="left"/>
      <protection hidden="1"/>
    </xf>
    <xf numFmtId="0" fontId="132" fillId="48" borderId="89" xfId="0" applyFont="1" applyFill="1" applyBorder="1" applyAlignment="1" applyProtection="1">
      <alignment horizontal="center"/>
      <protection hidden="1"/>
    </xf>
    <xf numFmtId="0" fontId="132" fillId="48" borderId="89" xfId="0" applyFont="1" applyFill="1" applyBorder="1" applyProtection="1">
      <protection hidden="1"/>
    </xf>
    <xf numFmtId="0" fontId="132" fillId="4" borderId="147" xfId="0" applyFont="1" applyFill="1" applyBorder="1" applyProtection="1">
      <protection hidden="1"/>
    </xf>
    <xf numFmtId="188" fontId="132" fillId="4" borderId="147" xfId="68" applyNumberFormat="1" applyFont="1" applyFill="1" applyBorder="1" applyProtection="1">
      <protection hidden="1"/>
    </xf>
    <xf numFmtId="0" fontId="132" fillId="4" borderId="149" xfId="0" applyFont="1" applyFill="1" applyBorder="1" applyProtection="1">
      <protection hidden="1"/>
    </xf>
    <xf numFmtId="188" fontId="132" fillId="4" borderId="149" xfId="68" applyNumberFormat="1" applyFont="1" applyFill="1" applyBorder="1" applyProtection="1">
      <protection hidden="1"/>
    </xf>
    <xf numFmtId="0" fontId="132" fillId="4" borderId="151" xfId="0" applyFont="1" applyFill="1" applyBorder="1" applyProtection="1">
      <protection hidden="1"/>
    </xf>
    <xf numFmtId="188" fontId="132" fillId="4" borderId="151" xfId="68" applyNumberFormat="1" applyFont="1" applyFill="1" applyBorder="1" applyProtection="1">
      <protection hidden="1"/>
    </xf>
    <xf numFmtId="0" fontId="132" fillId="4" borderId="0" xfId="0" applyFont="1" applyFill="1" applyAlignment="1" applyProtection="1">
      <alignment horizontal="center" textRotation="90" wrapText="1"/>
      <protection hidden="1"/>
    </xf>
    <xf numFmtId="0" fontId="134" fillId="4" borderId="2" xfId="0" applyFont="1" applyFill="1" applyBorder="1" applyProtection="1">
      <protection hidden="1"/>
    </xf>
    <xf numFmtId="166" fontId="132" fillId="55" borderId="79" xfId="0" applyNumberFormat="1" applyFont="1" applyFill="1" applyBorder="1" applyAlignment="1" applyProtection="1">
      <alignment vertical="center"/>
      <protection hidden="1"/>
    </xf>
    <xf numFmtId="4" fontId="132" fillId="4" borderId="90" xfId="0" applyNumberFormat="1" applyFont="1" applyFill="1" applyBorder="1" applyAlignment="1" applyProtection="1">
      <alignment horizontal="center"/>
      <protection hidden="1"/>
    </xf>
    <xf numFmtId="184" fontId="132" fillId="4" borderId="90" xfId="0" applyNumberFormat="1" applyFont="1" applyFill="1" applyBorder="1" applyAlignment="1" applyProtection="1">
      <alignment horizontal="center"/>
      <protection hidden="1"/>
    </xf>
    <xf numFmtId="3" fontId="132" fillId="4" borderId="80" xfId="0" applyNumberFormat="1" applyFont="1" applyFill="1" applyBorder="1" applyAlignment="1" applyProtection="1">
      <alignment horizontal="center"/>
      <protection hidden="1"/>
    </xf>
    <xf numFmtId="178" fontId="132" fillId="4" borderId="91" xfId="0" applyNumberFormat="1" applyFont="1" applyFill="1" applyBorder="1" applyAlignment="1" applyProtection="1">
      <alignment horizontal="center"/>
      <protection hidden="1"/>
    </xf>
    <xf numFmtId="166" fontId="132" fillId="55" borderId="38" xfId="0" applyNumberFormat="1" applyFont="1" applyFill="1" applyBorder="1" applyAlignment="1" applyProtection="1">
      <alignment vertical="center"/>
      <protection hidden="1"/>
    </xf>
    <xf numFmtId="184" fontId="132" fillId="4" borderId="38" xfId="0" applyNumberFormat="1" applyFont="1" applyFill="1" applyBorder="1" applyAlignment="1" applyProtection="1">
      <alignment horizontal="center"/>
      <protection hidden="1"/>
    </xf>
    <xf numFmtId="4" fontId="132" fillId="4" borderId="92" xfId="0" applyNumberFormat="1" applyFont="1" applyFill="1" applyBorder="1" applyAlignment="1" applyProtection="1">
      <alignment horizontal="center"/>
      <protection hidden="1"/>
    </xf>
    <xf numFmtId="184" fontId="132" fillId="4" borderId="91" xfId="0" applyNumberFormat="1" applyFont="1" applyFill="1" applyBorder="1" applyAlignment="1" applyProtection="1">
      <alignment horizontal="center"/>
      <protection hidden="1"/>
    </xf>
    <xf numFmtId="167" fontId="132" fillId="43" borderId="38" xfId="0" applyNumberFormat="1" applyFont="1" applyFill="1" applyBorder="1" applyAlignment="1" applyProtection="1">
      <alignment horizontal="center"/>
      <protection hidden="1"/>
    </xf>
    <xf numFmtId="3" fontId="132" fillId="4" borderId="92" xfId="0" applyNumberFormat="1" applyFont="1" applyFill="1" applyBorder="1" applyAlignment="1" applyProtection="1">
      <alignment horizontal="center"/>
      <protection hidden="1"/>
    </xf>
    <xf numFmtId="167" fontId="132" fillId="4" borderId="91" xfId="0" applyNumberFormat="1" applyFont="1" applyFill="1" applyBorder="1" applyAlignment="1" applyProtection="1">
      <alignment horizontal="center"/>
      <protection hidden="1"/>
    </xf>
    <xf numFmtId="3" fontId="132" fillId="4" borderId="38" xfId="0" applyNumberFormat="1" applyFont="1" applyFill="1" applyBorder="1" applyAlignment="1" applyProtection="1">
      <alignment horizontal="center"/>
      <protection hidden="1"/>
    </xf>
    <xf numFmtId="4" fontId="132" fillId="4" borderId="38" xfId="0" applyNumberFormat="1" applyFont="1" applyFill="1" applyBorder="1" applyAlignment="1" applyProtection="1">
      <alignment horizontal="center"/>
      <protection hidden="1"/>
    </xf>
    <xf numFmtId="185" fontId="132" fillId="4" borderId="81" xfId="0" applyNumberFormat="1" applyFont="1" applyFill="1" applyBorder="1" applyAlignment="1" applyProtection="1">
      <alignment horizontal="center"/>
      <protection hidden="1"/>
    </xf>
    <xf numFmtId="186" fontId="132" fillId="4" borderId="93" xfId="0" applyNumberFormat="1" applyFont="1" applyFill="1" applyBorder="1" applyAlignment="1" applyProtection="1">
      <alignment horizontal="center"/>
      <protection hidden="1"/>
    </xf>
    <xf numFmtId="185" fontId="132" fillId="4" borderId="93" xfId="0" applyNumberFormat="1" applyFont="1" applyFill="1" applyBorder="1" applyAlignment="1" applyProtection="1">
      <alignment horizontal="center"/>
      <protection hidden="1"/>
    </xf>
    <xf numFmtId="166" fontId="132" fillId="55" borderId="82" xfId="0" applyNumberFormat="1" applyFont="1" applyFill="1" applyBorder="1" applyAlignment="1" applyProtection="1">
      <alignment vertical="center"/>
      <protection hidden="1"/>
    </xf>
    <xf numFmtId="164" fontId="132" fillId="4" borderId="90" xfId="0" applyNumberFormat="1" applyFont="1" applyFill="1" applyBorder="1" applyAlignment="1" applyProtection="1">
      <alignment horizontal="center"/>
      <protection hidden="1"/>
    </xf>
    <xf numFmtId="172" fontId="132" fillId="4" borderId="90" xfId="0" applyNumberFormat="1" applyFont="1" applyFill="1" applyBorder="1" applyAlignment="1" applyProtection="1">
      <alignment horizontal="center"/>
      <protection hidden="1"/>
    </xf>
    <xf numFmtId="183" fontId="132" fillId="4" borderId="80" xfId="0" applyNumberFormat="1" applyFont="1" applyFill="1" applyBorder="1" applyAlignment="1" applyProtection="1">
      <alignment horizontal="center"/>
      <protection hidden="1"/>
    </xf>
    <xf numFmtId="1" fontId="132" fillId="4" borderId="91" xfId="0" applyNumberFormat="1" applyFont="1" applyFill="1" applyBorder="1" applyAlignment="1" applyProtection="1">
      <alignment horizontal="center"/>
      <protection hidden="1"/>
    </xf>
    <xf numFmtId="164" fontId="132" fillId="4" borderId="38" xfId="0" applyNumberFormat="1" applyFont="1" applyFill="1" applyBorder="1" applyAlignment="1" applyProtection="1">
      <alignment horizontal="center"/>
      <protection hidden="1"/>
    </xf>
    <xf numFmtId="2" fontId="132" fillId="4" borderId="38" xfId="0" applyNumberFormat="1" applyFont="1" applyFill="1" applyBorder="1" applyAlignment="1" applyProtection="1">
      <alignment horizontal="center"/>
      <protection hidden="1"/>
    </xf>
    <xf numFmtId="166" fontId="132" fillId="4" borderId="92" xfId="0" applyNumberFormat="1" applyFont="1" applyFill="1" applyBorder="1" applyAlignment="1" applyProtection="1">
      <alignment horizontal="center"/>
      <protection hidden="1"/>
    </xf>
    <xf numFmtId="164" fontId="132" fillId="4" borderId="91" xfId="0" applyNumberFormat="1" applyFont="1" applyFill="1" applyBorder="1" applyAlignment="1" applyProtection="1">
      <alignment horizontal="center"/>
      <protection hidden="1"/>
    </xf>
    <xf numFmtId="172" fontId="132" fillId="4" borderId="38" xfId="0" applyNumberFormat="1" applyFont="1" applyFill="1" applyBorder="1" applyAlignment="1" applyProtection="1">
      <alignment horizontal="center"/>
      <protection hidden="1"/>
    </xf>
    <xf numFmtId="166" fontId="132" fillId="4" borderId="38" xfId="0" applyNumberFormat="1" applyFont="1" applyFill="1" applyBorder="1" applyAlignment="1" applyProtection="1">
      <alignment horizontal="center"/>
      <protection hidden="1"/>
    </xf>
    <xf numFmtId="172" fontId="132" fillId="4" borderId="92" xfId="0" applyNumberFormat="1" applyFont="1" applyFill="1" applyBorder="1" applyAlignment="1" applyProtection="1">
      <alignment horizontal="center"/>
      <protection hidden="1"/>
    </xf>
    <xf numFmtId="166" fontId="132" fillId="4" borderId="91" xfId="0" applyNumberFormat="1" applyFont="1" applyFill="1" applyBorder="1" applyAlignment="1" applyProtection="1">
      <alignment horizontal="center"/>
      <protection hidden="1"/>
    </xf>
    <xf numFmtId="165" fontId="132" fillId="4" borderId="92" xfId="0" applyNumberFormat="1" applyFont="1" applyFill="1" applyBorder="1" applyAlignment="1" applyProtection="1">
      <alignment horizontal="center"/>
      <protection hidden="1"/>
    </xf>
    <xf numFmtId="166" fontId="132" fillId="43" borderId="91" xfId="0" applyNumberFormat="1" applyFont="1" applyFill="1" applyBorder="1" applyAlignment="1" applyProtection="1">
      <alignment horizontal="center"/>
      <protection hidden="1"/>
    </xf>
    <xf numFmtId="183" fontId="132" fillId="4" borderId="38" xfId="0" applyNumberFormat="1" applyFont="1" applyFill="1" applyBorder="1" applyAlignment="1" applyProtection="1">
      <alignment horizontal="center"/>
      <protection hidden="1"/>
    </xf>
    <xf numFmtId="2" fontId="132" fillId="4" borderId="81" xfId="0" applyNumberFormat="1" applyFont="1" applyFill="1" applyBorder="1" applyAlignment="1" applyProtection="1">
      <alignment horizontal="center"/>
      <protection hidden="1"/>
    </xf>
    <xf numFmtId="172" fontId="132" fillId="4" borderId="93" xfId="0" applyNumberFormat="1" applyFont="1" applyFill="1" applyBorder="1" applyAlignment="1" applyProtection="1">
      <alignment horizontal="center"/>
      <protection hidden="1"/>
    </xf>
    <xf numFmtId="166" fontId="132" fillId="4" borderId="93" xfId="0" applyNumberFormat="1" applyFont="1" applyFill="1" applyBorder="1" applyAlignment="1" applyProtection="1">
      <alignment horizontal="center"/>
      <protection hidden="1"/>
    </xf>
    <xf numFmtId="164" fontId="132" fillId="4" borderId="93" xfId="0" applyNumberFormat="1" applyFont="1" applyFill="1" applyBorder="1" applyAlignment="1" applyProtection="1">
      <alignment horizontal="center"/>
      <protection hidden="1"/>
    </xf>
    <xf numFmtId="1" fontId="132" fillId="4" borderId="93" xfId="0" applyNumberFormat="1" applyFont="1" applyFill="1" applyBorder="1" applyAlignment="1" applyProtection="1">
      <alignment horizontal="center"/>
      <protection hidden="1"/>
    </xf>
    <xf numFmtId="0" fontId="133" fillId="4" borderId="2" xfId="0" applyFont="1" applyFill="1" applyBorder="1" applyAlignment="1" applyProtection="1">
      <alignment horizontal="center"/>
      <protection hidden="1"/>
    </xf>
    <xf numFmtId="172" fontId="132" fillId="4" borderId="80" xfId="0" applyNumberFormat="1" applyFont="1" applyFill="1" applyBorder="1" applyAlignment="1" applyProtection="1">
      <alignment horizontal="center"/>
      <protection hidden="1"/>
    </xf>
    <xf numFmtId="172" fontId="132" fillId="4" borderId="91" xfId="0" applyNumberFormat="1" applyFont="1" applyFill="1" applyBorder="1" applyAlignment="1" applyProtection="1">
      <alignment horizontal="center"/>
      <protection hidden="1"/>
    </xf>
    <xf numFmtId="1" fontId="132" fillId="4" borderId="92" xfId="0" applyNumberFormat="1" applyFont="1" applyFill="1" applyBorder="1" applyAlignment="1" applyProtection="1">
      <alignment horizontal="center"/>
      <protection hidden="1"/>
    </xf>
    <xf numFmtId="2" fontId="132" fillId="4" borderId="91" xfId="0" applyNumberFormat="1" applyFont="1" applyFill="1" applyBorder="1" applyAlignment="1" applyProtection="1">
      <alignment horizontal="center"/>
      <protection hidden="1"/>
    </xf>
    <xf numFmtId="172" fontId="132" fillId="4" borderId="81" xfId="0" applyNumberFormat="1" applyFont="1" applyFill="1" applyBorder="1" applyAlignment="1" applyProtection="1">
      <alignment horizontal="center"/>
      <protection hidden="1"/>
    </xf>
    <xf numFmtId="182" fontId="132" fillId="4" borderId="93" xfId="0" applyNumberFormat="1" applyFont="1" applyFill="1" applyBorder="1" applyAlignment="1" applyProtection="1">
      <alignment horizontal="center"/>
      <protection hidden="1"/>
    </xf>
    <xf numFmtId="166" fontId="132" fillId="4" borderId="90" xfId="0" applyNumberFormat="1" applyFont="1" applyFill="1" applyBorder="1" applyAlignment="1" applyProtection="1">
      <alignment horizontal="center"/>
      <protection hidden="1"/>
    </xf>
    <xf numFmtId="182" fontId="132" fillId="4" borderId="90" xfId="0" applyNumberFormat="1" applyFont="1" applyFill="1" applyBorder="1" applyAlignment="1" applyProtection="1">
      <alignment horizontal="center"/>
      <protection hidden="1"/>
    </xf>
    <xf numFmtId="0" fontId="132" fillId="4" borderId="90" xfId="0" applyFont="1" applyFill="1" applyBorder="1" applyAlignment="1" applyProtection="1">
      <alignment horizontal="center"/>
      <protection hidden="1"/>
    </xf>
    <xf numFmtId="182" fontId="132" fillId="4" borderId="80" xfId="0" applyNumberFormat="1" applyFont="1" applyFill="1" applyBorder="1" applyAlignment="1" applyProtection="1">
      <alignment horizontal="center"/>
      <protection hidden="1"/>
    </xf>
    <xf numFmtId="182" fontId="132" fillId="4" borderId="92" xfId="0" applyNumberFormat="1" applyFont="1" applyFill="1" applyBorder="1" applyAlignment="1" applyProtection="1">
      <alignment horizontal="center"/>
      <protection hidden="1"/>
    </xf>
    <xf numFmtId="1" fontId="132" fillId="4" borderId="38" xfId="0" applyNumberFormat="1" applyFont="1" applyFill="1" applyBorder="1" applyAlignment="1" applyProtection="1">
      <alignment horizontal="center"/>
      <protection hidden="1"/>
    </xf>
    <xf numFmtId="172" fontId="132" fillId="43" borderId="38" xfId="0" applyNumberFormat="1" applyFont="1" applyFill="1" applyBorder="1" applyAlignment="1" applyProtection="1">
      <alignment horizontal="center"/>
      <protection hidden="1"/>
    </xf>
    <xf numFmtId="168" fontId="132" fillId="4" borderId="38" xfId="0" applyNumberFormat="1" applyFont="1" applyFill="1" applyBorder="1" applyAlignment="1" applyProtection="1">
      <alignment horizontal="center"/>
      <protection hidden="1"/>
    </xf>
    <xf numFmtId="1" fontId="132" fillId="4" borderId="81" xfId="0" applyNumberFormat="1" applyFont="1" applyFill="1" applyBorder="1" applyAlignment="1" applyProtection="1">
      <alignment horizontal="center"/>
      <protection hidden="1"/>
    </xf>
    <xf numFmtId="168" fontId="132" fillId="4" borderId="93" xfId="0" applyNumberFormat="1" applyFont="1" applyFill="1" applyBorder="1" applyAlignment="1" applyProtection="1">
      <alignment horizontal="center"/>
      <protection hidden="1"/>
    </xf>
    <xf numFmtId="0" fontId="132" fillId="4" borderId="0" xfId="0" applyFont="1" applyFill="1" applyAlignment="1" applyProtection="1">
      <alignment horizontal="center"/>
      <protection hidden="1"/>
    </xf>
    <xf numFmtId="1" fontId="132" fillId="4" borderId="90" xfId="0" applyNumberFormat="1" applyFont="1" applyFill="1" applyBorder="1" applyAlignment="1" applyProtection="1">
      <alignment horizontal="center"/>
      <protection hidden="1"/>
    </xf>
    <xf numFmtId="0" fontId="209" fillId="64" borderId="3" xfId="62" applyFont="1" applyFill="1" applyBorder="1" applyProtection="1">
      <protection hidden="1"/>
    </xf>
    <xf numFmtId="0" fontId="210" fillId="4" borderId="28" xfId="62" applyFont="1" applyFill="1" applyBorder="1" applyProtection="1">
      <protection hidden="1"/>
    </xf>
    <xf numFmtId="0" fontId="132" fillId="4" borderId="0" xfId="62" applyFont="1" applyFill="1" applyProtection="1">
      <protection hidden="1"/>
    </xf>
    <xf numFmtId="0" fontId="132" fillId="4" borderId="0" xfId="62" applyFont="1" applyFill="1" applyAlignment="1" applyProtection="1">
      <alignment horizontal="left"/>
      <protection hidden="1"/>
    </xf>
    <xf numFmtId="0" fontId="199" fillId="0" borderId="0" xfId="63" applyFont="1" applyAlignment="1" applyProtection="1">
      <protection hidden="1"/>
    </xf>
    <xf numFmtId="0" fontId="212" fillId="4" borderId="0" xfId="62" applyFont="1" applyFill="1" applyProtection="1">
      <protection hidden="1"/>
    </xf>
    <xf numFmtId="0" fontId="212" fillId="4" borderId="0" xfId="62" applyFont="1" applyFill="1" applyAlignment="1" applyProtection="1">
      <alignment horizontal="left"/>
      <protection hidden="1"/>
    </xf>
    <xf numFmtId="0" fontId="133" fillId="45" borderId="79" xfId="62" applyFont="1" applyFill="1" applyBorder="1" applyAlignment="1" applyProtection="1">
      <alignment horizontal="left" vertical="center" wrapText="1"/>
      <protection hidden="1"/>
    </xf>
    <xf numFmtId="0" fontId="132" fillId="4" borderId="169" xfId="62" applyFont="1" applyFill="1" applyBorder="1" applyAlignment="1" applyProtection="1">
      <alignment horizontal="left" vertical="center" wrapText="1"/>
      <protection hidden="1"/>
    </xf>
    <xf numFmtId="0" fontId="133" fillId="45" borderId="79" xfId="62" applyFont="1" applyFill="1" applyBorder="1" applyAlignment="1" applyProtection="1">
      <alignment horizontal="left" vertical="center"/>
      <protection hidden="1"/>
    </xf>
    <xf numFmtId="14" fontId="132" fillId="0" borderId="80" xfId="62" applyNumberFormat="1" applyFont="1" applyBorder="1" applyAlignment="1" applyProtection="1">
      <alignment horizontal="left" vertical="center"/>
      <protection hidden="1"/>
    </xf>
    <xf numFmtId="14" fontId="132" fillId="4" borderId="80" xfId="62" applyNumberFormat="1" applyFont="1" applyFill="1" applyBorder="1" applyAlignment="1" applyProtection="1">
      <alignment horizontal="left" vertical="center"/>
      <protection hidden="1"/>
    </xf>
    <xf numFmtId="0" fontId="133" fillId="45" borderId="81" xfId="62" applyFont="1" applyFill="1" applyBorder="1" applyAlignment="1" applyProtection="1">
      <alignment horizontal="left" vertical="center" wrapText="1"/>
      <protection hidden="1"/>
    </xf>
    <xf numFmtId="0" fontId="132" fillId="4" borderId="170" xfId="62" applyFont="1" applyFill="1" applyBorder="1" applyAlignment="1" applyProtection="1">
      <alignment horizontal="left" vertical="center" wrapText="1"/>
      <protection hidden="1"/>
    </xf>
    <xf numFmtId="0" fontId="133" fillId="45" borderId="81" xfId="62" applyFont="1" applyFill="1" applyBorder="1" applyAlignment="1" applyProtection="1">
      <alignment horizontal="left" vertical="center"/>
      <protection hidden="1"/>
    </xf>
    <xf numFmtId="168" fontId="132" fillId="4" borderId="82" xfId="62" applyNumberFormat="1" applyFont="1" applyFill="1" applyBorder="1" applyAlignment="1" applyProtection="1">
      <alignment horizontal="left" vertical="center"/>
      <protection hidden="1"/>
    </xf>
    <xf numFmtId="1" fontId="132" fillId="4" borderId="82" xfId="62" applyNumberFormat="1" applyFont="1" applyFill="1" applyBorder="1" applyAlignment="1" applyProtection="1">
      <alignment horizontal="left"/>
      <protection hidden="1"/>
    </xf>
    <xf numFmtId="0" fontId="133" fillId="4" borderId="0" xfId="62" applyFont="1" applyFill="1" applyAlignment="1" applyProtection="1">
      <alignment horizontal="left" vertical="center" wrapText="1"/>
      <protection hidden="1"/>
    </xf>
    <xf numFmtId="0" fontId="132" fillId="4" borderId="0" xfId="62" applyFont="1" applyFill="1" applyAlignment="1" applyProtection="1">
      <alignment horizontal="left" vertical="center" wrapText="1"/>
      <protection hidden="1"/>
    </xf>
    <xf numFmtId="0" fontId="133" fillId="4" borderId="0" xfId="62" applyFont="1" applyFill="1" applyAlignment="1" applyProtection="1">
      <alignment horizontal="left" vertical="center"/>
      <protection hidden="1"/>
    </xf>
    <xf numFmtId="168" fontId="132" fillId="4" borderId="0" xfId="62" applyNumberFormat="1" applyFont="1" applyFill="1" applyAlignment="1" applyProtection="1">
      <alignment horizontal="left" vertical="center"/>
      <protection hidden="1"/>
    </xf>
    <xf numFmtId="1" fontId="132" fillId="4" borderId="0" xfId="62" applyNumberFormat="1" applyFont="1" applyFill="1" applyAlignment="1" applyProtection="1">
      <alignment horizontal="left"/>
      <protection hidden="1"/>
    </xf>
    <xf numFmtId="0" fontId="133" fillId="4" borderId="0" xfId="62" applyFont="1" applyFill="1" applyProtection="1">
      <protection hidden="1"/>
    </xf>
    <xf numFmtId="0" fontId="134" fillId="4" borderId="0" xfId="62" applyFont="1" applyFill="1" applyAlignment="1" applyProtection="1">
      <alignment vertical="top"/>
      <protection hidden="1"/>
    </xf>
    <xf numFmtId="0" fontId="134" fillId="4" borderId="0" xfId="62" applyFont="1" applyFill="1" applyAlignment="1" applyProtection="1">
      <alignment vertical="top" wrapText="1"/>
      <protection hidden="1"/>
    </xf>
    <xf numFmtId="0" fontId="133" fillId="45" borderId="147" xfId="62" applyFont="1" applyFill="1" applyBorder="1" applyAlignment="1" applyProtection="1">
      <alignment horizontal="left" vertical="center" wrapText="1"/>
      <protection hidden="1"/>
    </xf>
    <xf numFmtId="0" fontId="133" fillId="45" borderId="171" xfId="62" applyFont="1" applyFill="1" applyBorder="1" applyAlignment="1" applyProtection="1">
      <alignment horizontal="left" vertical="center" wrapText="1"/>
      <protection hidden="1"/>
    </xf>
    <xf numFmtId="0" fontId="133" fillId="45" borderId="151" xfId="62" applyFont="1" applyFill="1" applyBorder="1" applyAlignment="1" applyProtection="1">
      <alignment horizontal="left" vertical="center"/>
      <protection hidden="1"/>
    </xf>
    <xf numFmtId="0" fontId="133" fillId="45" borderId="151" xfId="62" applyFont="1" applyFill="1" applyBorder="1" applyAlignment="1" applyProtection="1">
      <alignment horizontal="left" vertical="center" wrapText="1"/>
      <protection hidden="1"/>
    </xf>
    <xf numFmtId="0" fontId="230" fillId="4" borderId="0" xfId="62" applyFont="1" applyFill="1" applyAlignment="1" applyProtection="1">
      <alignment horizontal="left"/>
      <protection hidden="1"/>
    </xf>
    <xf numFmtId="1" fontId="132" fillId="4" borderId="147" xfId="62" applyNumberFormat="1" applyFont="1" applyFill="1" applyBorder="1" applyAlignment="1" applyProtection="1">
      <alignment horizontal="center"/>
      <protection hidden="1"/>
    </xf>
    <xf numFmtId="172" fontId="132" fillId="0" borderId="149" xfId="62" applyNumberFormat="1" applyFont="1" applyBorder="1" applyAlignment="1" applyProtection="1">
      <alignment horizontal="center"/>
      <protection hidden="1"/>
    </xf>
    <xf numFmtId="1" fontId="132" fillId="4" borderId="149" xfId="62" applyNumberFormat="1" applyFont="1" applyFill="1" applyBorder="1" applyAlignment="1" applyProtection="1">
      <alignment horizontal="center"/>
      <protection hidden="1"/>
    </xf>
    <xf numFmtId="172" fontId="68" fillId="0" borderId="38" xfId="62" applyNumberFormat="1" applyFont="1" applyBorder="1" applyAlignment="1" applyProtection="1">
      <alignment horizontal="center"/>
      <protection hidden="1"/>
    </xf>
    <xf numFmtId="172" fontId="68" fillId="0" borderId="149" xfId="62" applyNumberFormat="1" applyFont="1" applyBorder="1" applyAlignment="1" applyProtection="1">
      <alignment horizontal="center"/>
      <protection hidden="1"/>
    </xf>
    <xf numFmtId="172" fontId="132" fillId="83" borderId="149" xfId="62" applyNumberFormat="1" applyFont="1" applyFill="1" applyBorder="1" applyAlignment="1" applyProtection="1">
      <alignment horizontal="center"/>
      <protection hidden="1"/>
    </xf>
    <xf numFmtId="0" fontId="133" fillId="45" borderId="146" xfId="62" applyFont="1" applyFill="1" applyBorder="1" applyAlignment="1" applyProtection="1">
      <alignment horizontal="left" vertical="center" wrapText="1"/>
      <protection hidden="1"/>
    </xf>
    <xf numFmtId="0" fontId="133" fillId="45" borderId="89" xfId="62" applyFont="1" applyFill="1" applyBorder="1" applyAlignment="1" applyProtection="1">
      <alignment horizontal="left" vertical="center" wrapText="1"/>
      <protection hidden="1"/>
    </xf>
    <xf numFmtId="1" fontId="132" fillId="4" borderId="151" xfId="62" applyNumberFormat="1" applyFont="1" applyFill="1" applyBorder="1" applyAlignment="1" applyProtection="1">
      <alignment horizontal="center"/>
      <protection hidden="1"/>
    </xf>
    <xf numFmtId="172" fontId="132" fillId="0" borderId="151" xfId="62" applyNumberFormat="1" applyFont="1" applyBorder="1" applyAlignment="1" applyProtection="1">
      <alignment horizontal="center"/>
      <protection hidden="1"/>
    </xf>
    <xf numFmtId="172" fontId="132" fillId="0" borderId="172" xfId="72" applyNumberFormat="1" applyFont="1" applyFill="1" applyBorder="1" applyAlignment="1" applyProtection="1">
      <alignment horizontal="center"/>
      <protection hidden="1"/>
    </xf>
    <xf numFmtId="172" fontId="132" fillId="0" borderId="172" xfId="72" applyNumberFormat="1" applyFont="1" applyFill="1" applyBorder="1" applyAlignment="1" applyProtection="1">
      <alignment horizontal="center" vertical="center"/>
      <protection hidden="1"/>
    </xf>
    <xf numFmtId="1" fontId="133" fillId="4" borderId="0" xfId="62" applyNumberFormat="1" applyFont="1" applyFill="1" applyAlignment="1" applyProtection="1">
      <alignment horizontal="left" vertical="center" wrapText="1"/>
      <protection hidden="1"/>
    </xf>
    <xf numFmtId="2" fontId="132" fillId="4" borderId="0" xfId="62" applyNumberFormat="1" applyFont="1" applyFill="1" applyAlignment="1" applyProtection="1">
      <alignment horizontal="center"/>
      <protection hidden="1"/>
    </xf>
    <xf numFmtId="168" fontId="132" fillId="4" borderId="0" xfId="62" applyNumberFormat="1" applyFont="1" applyFill="1" applyAlignment="1" applyProtection="1">
      <alignment horizontal="center"/>
      <protection hidden="1"/>
    </xf>
    <xf numFmtId="1" fontId="132" fillId="4" borderId="0" xfId="62" applyNumberFormat="1" applyFont="1" applyFill="1" applyAlignment="1" applyProtection="1">
      <alignment horizontal="center"/>
      <protection hidden="1"/>
    </xf>
    <xf numFmtId="2" fontId="133" fillId="45" borderId="151" xfId="62" applyNumberFormat="1" applyFont="1" applyFill="1" applyBorder="1" applyAlignment="1" applyProtection="1">
      <alignment horizontal="left" vertical="center"/>
      <protection hidden="1"/>
    </xf>
    <xf numFmtId="172" fontId="132" fillId="0" borderId="149" xfId="72" applyNumberFormat="1" applyFont="1" applyFill="1" applyBorder="1" applyAlignment="1" applyProtection="1">
      <alignment horizontal="center"/>
      <protection hidden="1"/>
    </xf>
    <xf numFmtId="172" fontId="132" fillId="0" borderId="147" xfId="62" applyNumberFormat="1" applyFont="1" applyBorder="1" applyAlignment="1" applyProtection="1">
      <alignment horizontal="center"/>
      <protection hidden="1"/>
    </xf>
    <xf numFmtId="172" fontId="68" fillId="0" borderId="151" xfId="62" applyNumberFormat="1" applyFont="1" applyBorder="1" applyAlignment="1" applyProtection="1">
      <alignment horizontal="center"/>
      <protection hidden="1"/>
    </xf>
    <xf numFmtId="1" fontId="132" fillId="4" borderId="0" xfId="62" applyNumberFormat="1" applyFont="1" applyFill="1" applyProtection="1">
      <protection hidden="1"/>
    </xf>
    <xf numFmtId="188" fontId="132" fillId="4" borderId="0" xfId="72" applyNumberFormat="1" applyFont="1" applyFill="1" applyProtection="1">
      <protection hidden="1"/>
    </xf>
    <xf numFmtId="0" fontId="218" fillId="4" borderId="0" xfId="62" applyFont="1" applyFill="1" applyProtection="1">
      <protection hidden="1"/>
    </xf>
    <xf numFmtId="0" fontId="233" fillId="4" borderId="0" xfId="62" applyFont="1" applyFill="1" applyProtection="1">
      <protection hidden="1"/>
    </xf>
    <xf numFmtId="0" fontId="252" fillId="0" borderId="0" xfId="0" applyFont="1" applyProtection="1">
      <protection hidden="1"/>
    </xf>
    <xf numFmtId="0" fontId="251" fillId="89" borderId="1" xfId="0" applyFont="1" applyFill="1" applyBorder="1" applyProtection="1">
      <protection hidden="1"/>
    </xf>
    <xf numFmtId="0" fontId="251" fillId="89" borderId="1" xfId="0" applyFont="1" applyFill="1" applyBorder="1" applyAlignment="1" applyProtection="1">
      <alignment wrapText="1"/>
      <protection hidden="1"/>
    </xf>
    <xf numFmtId="0" fontId="251" fillId="89" borderId="1" xfId="0" applyFont="1" applyFill="1" applyBorder="1" applyAlignment="1" applyProtection="1">
      <alignment horizontal="center" wrapText="1"/>
      <protection hidden="1"/>
    </xf>
    <xf numFmtId="182" fontId="0" fillId="0" borderId="0" xfId="0" applyNumberFormat="1" applyProtection="1">
      <protection hidden="1"/>
    </xf>
    <xf numFmtId="0" fontId="129" fillId="4" borderId="0" xfId="0" applyFont="1" applyFill="1" applyAlignment="1" applyProtection="1">
      <alignment horizontal="right" vertical="center"/>
      <protection hidden="1"/>
    </xf>
    <xf numFmtId="44" fontId="130" fillId="53" borderId="34" xfId="69" applyFont="1" applyFill="1" applyBorder="1" applyAlignment="1" applyProtection="1">
      <alignment horizontal="center" vertical="center"/>
      <protection hidden="1"/>
    </xf>
    <xf numFmtId="0" fontId="17" fillId="4" borderId="0" xfId="0" applyFont="1" applyFill="1" applyAlignment="1" applyProtection="1">
      <alignment horizontal="center" vertical="center"/>
      <protection hidden="1"/>
    </xf>
    <xf numFmtId="0" fontId="0" fillId="4" borderId="0" xfId="0" applyFill="1" applyAlignment="1" applyProtection="1">
      <alignment horizontal="left" vertical="center"/>
      <protection hidden="1"/>
    </xf>
    <xf numFmtId="0" fontId="0" fillId="4" borderId="0" xfId="0" applyFill="1" applyAlignment="1" applyProtection="1">
      <alignment horizontal="center"/>
      <protection hidden="1"/>
    </xf>
    <xf numFmtId="0" fontId="0" fillId="49" borderId="0" xfId="0" applyFill="1" applyProtection="1">
      <protection hidden="1"/>
    </xf>
    <xf numFmtId="0" fontId="9" fillId="4" borderId="0" xfId="0" applyFont="1" applyFill="1" applyProtection="1">
      <protection hidden="1"/>
    </xf>
    <xf numFmtId="0" fontId="131" fillId="0" borderId="1" xfId="0" applyFont="1" applyBorder="1" applyProtection="1">
      <protection hidden="1"/>
    </xf>
    <xf numFmtId="1" fontId="131" fillId="0" borderId="1" xfId="0" applyNumberFormat="1" applyFont="1" applyBorder="1" applyAlignment="1" applyProtection="1">
      <alignment horizontal="center"/>
      <protection hidden="1"/>
    </xf>
    <xf numFmtId="0" fontId="0" fillId="4" borderId="3" xfId="0" applyFill="1" applyBorder="1" applyProtection="1">
      <protection hidden="1"/>
    </xf>
    <xf numFmtId="0" fontId="0" fillId="4" borderId="3" xfId="0" applyFill="1" applyBorder="1" applyAlignment="1" applyProtection="1">
      <alignment horizontal="center"/>
      <protection hidden="1"/>
    </xf>
    <xf numFmtId="0" fontId="8" fillId="4" borderId="3" xfId="0" applyFont="1" applyFill="1" applyBorder="1" applyProtection="1">
      <protection hidden="1"/>
    </xf>
    <xf numFmtId="0" fontId="9" fillId="4" borderId="0" xfId="0" applyFont="1" applyFill="1" applyAlignment="1" applyProtection="1">
      <alignment horizontal="left" vertical="center"/>
      <protection hidden="1"/>
    </xf>
    <xf numFmtId="0" fontId="8" fillId="46" borderId="1" xfId="0" applyFont="1" applyFill="1" applyBorder="1" applyAlignment="1" applyProtection="1">
      <alignment wrapText="1"/>
      <protection hidden="1"/>
    </xf>
    <xf numFmtId="0" fontId="91" fillId="81" borderId="139" xfId="0" applyFont="1" applyFill="1" applyBorder="1" applyAlignment="1" applyProtection="1">
      <alignment horizontal="center"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0" fontId="60" fillId="0" borderId="0" xfId="0" applyFont="1" applyAlignment="1" applyProtection="1">
      <alignment vertical="center"/>
      <protection hidden="1"/>
    </xf>
    <xf numFmtId="0" fontId="67" fillId="0" borderId="0" xfId="0" applyFont="1" applyAlignment="1" applyProtection="1">
      <alignment vertical="center"/>
      <protection hidden="1"/>
    </xf>
    <xf numFmtId="0" fontId="60" fillId="0" borderId="0" xfId="0" quotePrefix="1" applyFont="1" applyAlignment="1" applyProtection="1">
      <alignment vertical="center"/>
      <protection hidden="1"/>
    </xf>
    <xf numFmtId="0" fontId="86" fillId="0" borderId="0" xfId="0" quotePrefix="1" applyFont="1" applyAlignment="1" applyProtection="1">
      <alignment vertical="top" wrapText="1"/>
      <protection hidden="1"/>
    </xf>
    <xf numFmtId="0" fontId="0" fillId="0" borderId="0" xfId="0" quotePrefix="1" applyAlignment="1" applyProtection="1">
      <alignment horizontal="left" indent="1"/>
      <protection hidden="1"/>
    </xf>
    <xf numFmtId="0" fontId="0" fillId="0" borderId="0" xfId="0" quotePrefix="1" applyAlignment="1" applyProtection="1">
      <alignment horizontal="left" vertical="center"/>
      <protection hidden="1"/>
    </xf>
    <xf numFmtId="0" fontId="0" fillId="0" borderId="0" xfId="0" quotePrefix="1" applyAlignment="1" applyProtection="1">
      <alignment horizontal="left" vertical="center" wrapText="1"/>
      <protection hidden="1"/>
    </xf>
    <xf numFmtId="0" fontId="0" fillId="0" borderId="0" xfId="0" quotePrefix="1" applyAlignment="1" applyProtection="1">
      <alignment horizontal="left" wrapText="1"/>
      <protection hidden="1"/>
    </xf>
    <xf numFmtId="0" fontId="9" fillId="0" borderId="0" xfId="0" quotePrefix="1" applyFont="1" applyAlignment="1" applyProtection="1">
      <alignment horizontal="left" vertical="center"/>
      <protection hidden="1"/>
    </xf>
    <xf numFmtId="0" fontId="0" fillId="0" borderId="0" xfId="0" applyAlignment="1" applyProtection="1">
      <alignment horizontal="left" vertical="center" wrapText="1" indent="1"/>
      <protection hidden="1"/>
    </xf>
    <xf numFmtId="0" fontId="258" fillId="0" borderId="0" xfId="2" applyFont="1" applyBorder="1"/>
    <xf numFmtId="0" fontId="259" fillId="58" borderId="1" xfId="10" applyFont="1" applyFill="1" applyBorder="1" applyAlignment="1" applyProtection="1">
      <alignment horizontal="center" vertical="center" wrapText="1"/>
      <protection locked="0"/>
    </xf>
    <xf numFmtId="197" fontId="24" fillId="58" borderId="1" xfId="68" applyNumberFormat="1" applyFont="1" applyFill="1" applyBorder="1" applyAlignment="1" applyProtection="1">
      <alignment horizontal="center" vertical="center"/>
      <protection locked="0"/>
    </xf>
    <xf numFmtId="0" fontId="43" fillId="69" borderId="1" xfId="0" applyFont="1" applyFill="1" applyBorder="1" applyAlignment="1">
      <alignment horizontal="center" vertical="center"/>
    </xf>
    <xf numFmtId="0" fontId="43" fillId="0" borderId="1" xfId="0" applyFont="1" applyBorder="1" applyAlignment="1">
      <alignment horizontal="center" vertical="center"/>
    </xf>
    <xf numFmtId="0" fontId="171" fillId="0" borderId="1" xfId="0" applyFont="1" applyBorder="1" applyAlignment="1">
      <alignment horizontal="center" vertical="center"/>
    </xf>
    <xf numFmtId="4" fontId="171" fillId="0" borderId="1" xfId="0" applyNumberFormat="1" applyFont="1" applyBorder="1" applyAlignment="1">
      <alignment horizontal="center" vertical="center"/>
    </xf>
    <xf numFmtId="177" fontId="0" fillId="0" borderId="1" xfId="68" applyNumberFormat="1" applyFont="1" applyBorder="1" applyAlignment="1">
      <alignment horizontal="center" vertical="center" wrapText="1"/>
    </xf>
    <xf numFmtId="164" fontId="0" fillId="0" borderId="1" xfId="68" applyNumberFormat="1" applyFont="1" applyBorder="1" applyAlignment="1">
      <alignment horizontal="center"/>
    </xf>
    <xf numFmtId="167" fontId="53" fillId="0" borderId="110" xfId="0" applyNumberFormat="1" applyFont="1" applyBorder="1" applyAlignment="1">
      <alignment horizontal="center"/>
    </xf>
    <xf numFmtId="0" fontId="13" fillId="4" borderId="98" xfId="2" applyFill="1" applyBorder="1" applyAlignment="1">
      <alignment vertical="center"/>
    </xf>
    <xf numFmtId="0" fontId="40" fillId="57" borderId="1" xfId="0" applyFont="1" applyFill="1" applyBorder="1" applyAlignment="1">
      <alignment vertical="center" wrapText="1"/>
    </xf>
    <xf numFmtId="0" fontId="24" fillId="58" borderId="121" xfId="10" applyFill="1" applyBorder="1" applyAlignment="1" applyProtection="1">
      <alignment horizontal="center" vertical="center" wrapText="1"/>
      <protection locked="0"/>
    </xf>
    <xf numFmtId="0" fontId="157" fillId="63" borderId="0" xfId="0" applyFont="1" applyFill="1" applyAlignment="1">
      <alignment horizontal="center"/>
    </xf>
    <xf numFmtId="197" fontId="47" fillId="0" borderId="1" xfId="68" applyNumberFormat="1" applyFont="1" applyBorder="1" applyAlignment="1">
      <alignment horizontal="center" vertical="center"/>
    </xf>
    <xf numFmtId="164" fontId="0" fillId="0" borderId="27" xfId="0" applyNumberFormat="1" applyBorder="1" applyAlignment="1" applyProtection="1">
      <alignment horizontal="center"/>
      <protection hidden="1"/>
    </xf>
    <xf numFmtId="170" fontId="29" fillId="4" borderId="0" xfId="0" applyNumberFormat="1" applyFont="1" applyFill="1" applyAlignment="1">
      <alignment horizontal="center"/>
    </xf>
    <xf numFmtId="0" fontId="177" fillId="0" borderId="0" xfId="0" applyFont="1"/>
    <xf numFmtId="0" fontId="177" fillId="0" borderId="0" xfId="0" applyFont="1" applyAlignment="1">
      <alignment horizontal="center"/>
    </xf>
    <xf numFmtId="0" fontId="260" fillId="4" borderId="0" xfId="0" applyFont="1" applyFill="1" applyAlignment="1">
      <alignment horizontal="center" vertical="center"/>
    </xf>
    <xf numFmtId="43" fontId="260" fillId="4" borderId="0" xfId="68" applyFont="1" applyFill="1" applyAlignment="1">
      <alignment horizontal="center" vertical="center"/>
    </xf>
    <xf numFmtId="170" fontId="29" fillId="4" borderId="0" xfId="0" applyNumberFormat="1" applyFont="1" applyFill="1"/>
    <xf numFmtId="187" fontId="260" fillId="4" borderId="0" xfId="0" applyNumberFormat="1" applyFont="1" applyFill="1" applyAlignment="1">
      <alignment horizontal="center" vertical="center"/>
    </xf>
    <xf numFmtId="3" fontId="29" fillId="4" borderId="0" xfId="0" applyNumberFormat="1" applyFont="1" applyFill="1" applyAlignment="1">
      <alignment horizontal="center" vertical="center"/>
    </xf>
    <xf numFmtId="9" fontId="29" fillId="4" borderId="0" xfId="1" applyFont="1" applyFill="1"/>
    <xf numFmtId="3" fontId="29" fillId="0" borderId="0" xfId="0" applyNumberFormat="1" applyFont="1" applyAlignment="1">
      <alignment horizontal="center" vertical="center"/>
    </xf>
    <xf numFmtId="9" fontId="29" fillId="0" borderId="0" xfId="1" applyFont="1" applyFill="1"/>
    <xf numFmtId="0" fontId="7" fillId="4" borderId="0" xfId="0" applyFont="1" applyFill="1" applyAlignment="1">
      <alignment horizontal="center" vertical="center" wrapText="1"/>
    </xf>
    <xf numFmtId="0" fontId="7" fillId="4" borderId="0" xfId="0" applyFont="1" applyFill="1" applyAlignment="1">
      <alignment vertical="center"/>
    </xf>
    <xf numFmtId="177" fontId="31" fillId="0" borderId="1" xfId="68" applyNumberFormat="1" applyFont="1" applyBorder="1" applyAlignment="1">
      <alignment horizontal="center" vertical="center" wrapText="1"/>
    </xf>
    <xf numFmtId="0" fontId="11" fillId="4" borderId="0" xfId="0" applyFont="1" applyFill="1" applyAlignment="1">
      <alignment horizontal="center" vertical="center"/>
    </xf>
    <xf numFmtId="0" fontId="11" fillId="70" borderId="0" xfId="0" applyFont="1" applyFill="1" applyAlignment="1">
      <alignment horizontal="center" vertical="center"/>
    </xf>
    <xf numFmtId="0" fontId="173" fillId="71" borderId="103" xfId="0" applyFont="1" applyFill="1" applyBorder="1" applyAlignment="1">
      <alignment horizontal="center" vertical="center"/>
    </xf>
    <xf numFmtId="0" fontId="11" fillId="62" borderId="112" xfId="0" applyFont="1" applyFill="1" applyBorder="1" applyAlignment="1">
      <alignment horizontal="center" vertical="center"/>
    </xf>
    <xf numFmtId="0" fontId="47" fillId="63" borderId="112" xfId="0" applyFont="1" applyFill="1" applyBorder="1" applyAlignment="1">
      <alignment horizontal="center" vertical="center"/>
    </xf>
    <xf numFmtId="0" fontId="55" fillId="63" borderId="112" xfId="0" applyFont="1" applyFill="1" applyBorder="1" applyAlignment="1">
      <alignment horizontal="center" vertical="center"/>
    </xf>
    <xf numFmtId="0" fontId="11" fillId="63" borderId="112" xfId="0" applyFont="1" applyFill="1" applyBorder="1" applyAlignment="1">
      <alignment horizontal="center" vertical="center"/>
    </xf>
    <xf numFmtId="0" fontId="11" fillId="66" borderId="112" xfId="0" applyFont="1" applyFill="1" applyBorder="1" applyAlignment="1">
      <alignment horizontal="center" vertical="center"/>
    </xf>
    <xf numFmtId="0" fontId="47" fillId="67" borderId="112" xfId="0" applyFont="1" applyFill="1" applyBorder="1" applyAlignment="1">
      <alignment horizontal="center" vertical="center"/>
    </xf>
    <xf numFmtId="0" fontId="11" fillId="72" borderId="112" xfId="0" applyFont="1" applyFill="1" applyBorder="1" applyAlignment="1">
      <alignment horizontal="center" vertical="center"/>
    </xf>
    <xf numFmtId="0" fontId="47" fillId="73" borderId="112" xfId="0" applyFont="1" applyFill="1" applyBorder="1" applyAlignment="1">
      <alignment horizontal="center" vertical="center"/>
    </xf>
    <xf numFmtId="0" fontId="47" fillId="73" borderId="0" xfId="0" applyFont="1" applyFill="1" applyAlignment="1">
      <alignment horizontal="center" vertical="center"/>
    </xf>
    <xf numFmtId="0" fontId="11" fillId="73" borderId="112" xfId="0" applyFont="1" applyFill="1" applyBorder="1" applyAlignment="1">
      <alignment horizontal="center" vertical="center"/>
    </xf>
    <xf numFmtId="0" fontId="11" fillId="73" borderId="112" xfId="0" quotePrefix="1" applyFont="1" applyFill="1" applyBorder="1" applyAlignment="1">
      <alignment horizontal="center" vertical="center"/>
    </xf>
    <xf numFmtId="0" fontId="176" fillId="4" borderId="0" xfId="0" applyFont="1" applyFill="1" applyAlignment="1">
      <alignment horizontal="center" vertical="center" wrapText="1"/>
    </xf>
    <xf numFmtId="0" fontId="11" fillId="0" borderId="0" xfId="0" applyFont="1" applyAlignment="1">
      <alignment horizontal="center" vertical="center"/>
    </xf>
    <xf numFmtId="0" fontId="0" fillId="4" borderId="0" xfId="0" applyFill="1" applyAlignment="1">
      <alignment horizontal="center"/>
    </xf>
    <xf numFmtId="0" fontId="0" fillId="4" borderId="24" xfId="0" applyFill="1" applyBorder="1" applyAlignment="1">
      <alignment horizontal="center"/>
    </xf>
    <xf numFmtId="0" fontId="47" fillId="73" borderId="112" xfId="0" applyFont="1" applyFill="1" applyBorder="1" applyAlignment="1">
      <alignment horizontal="left" vertical="center"/>
    </xf>
    <xf numFmtId="188" fontId="47" fillId="67" borderId="112" xfId="64" applyNumberFormat="1" applyFont="1" applyFill="1" applyBorder="1" applyAlignment="1">
      <alignment horizontal="right" vertical="center"/>
    </xf>
    <xf numFmtId="37" fontId="12" fillId="4" borderId="0" xfId="64" applyNumberFormat="1" applyFont="1" applyFill="1" applyBorder="1" applyAlignment="1">
      <alignment horizontal="right" vertical="center"/>
    </xf>
    <xf numFmtId="37" fontId="12" fillId="4" borderId="0" xfId="64" applyNumberFormat="1" applyFont="1" applyFill="1" applyBorder="1" applyAlignment="1">
      <alignment horizontal="left" vertical="center"/>
    </xf>
    <xf numFmtId="0" fontId="177" fillId="70" borderId="0" xfId="0" applyFont="1" applyFill="1" applyAlignment="1">
      <alignment horizontal="left" vertical="center"/>
    </xf>
    <xf numFmtId="0" fontId="177" fillId="70" borderId="0" xfId="33" applyFont="1" applyFill="1" applyAlignment="1">
      <alignment horizontal="left" vertical="center"/>
    </xf>
    <xf numFmtId="0" fontId="177" fillId="70" borderId="0" xfId="33" applyFont="1" applyFill="1" applyAlignment="1">
      <alignment vertical="center"/>
    </xf>
    <xf numFmtId="0" fontId="9" fillId="0" borderId="0" xfId="0" applyFont="1" applyAlignment="1">
      <alignment horizontal="left" vertical="center" wrapText="1"/>
    </xf>
    <xf numFmtId="0" fontId="59" fillId="4" borderId="0" xfId="0" applyFont="1" applyFill="1" applyAlignment="1">
      <alignment horizontal="left" wrapText="1"/>
    </xf>
    <xf numFmtId="0" fontId="15" fillId="4" borderId="0" xfId="0" applyFont="1" applyFill="1" applyAlignment="1">
      <alignment horizontal="left" vertical="center" wrapText="1"/>
    </xf>
    <xf numFmtId="0" fontId="9" fillId="4" borderId="0" xfId="0" applyFont="1" applyFill="1" applyAlignment="1">
      <alignment horizontal="left" vertical="center" wrapText="1"/>
    </xf>
    <xf numFmtId="0" fontId="24" fillId="58" borderId="8" xfId="10" applyFill="1" applyAlignment="1" applyProtection="1">
      <alignment horizontal="center"/>
      <protection locked="0"/>
    </xf>
    <xf numFmtId="0" fontId="150" fillId="58" borderId="8" xfId="65" applyFont="1" applyFill="1" applyBorder="1" applyAlignment="1" applyProtection="1">
      <alignment horizontal="center"/>
      <protection locked="0"/>
    </xf>
    <xf numFmtId="0" fontId="8" fillId="4" borderId="94" xfId="0" applyFont="1" applyFill="1" applyBorder="1" applyAlignment="1">
      <alignment horizontal="left" vertical="center" wrapText="1"/>
    </xf>
    <xf numFmtId="0" fontId="8" fillId="4" borderId="97" xfId="0" applyFont="1" applyFill="1" applyBorder="1" applyAlignment="1">
      <alignment horizontal="left" vertical="center" wrapText="1"/>
    </xf>
    <xf numFmtId="0" fontId="155" fillId="2" borderId="1" xfId="2" applyFont="1" applyFill="1" applyBorder="1" applyAlignment="1">
      <alignment horizontal="left" wrapText="1"/>
    </xf>
    <xf numFmtId="0" fontId="8" fillId="4" borderId="100" xfId="0" applyFont="1" applyFill="1" applyBorder="1" applyAlignment="1">
      <alignment horizontal="left" vertical="center" wrapText="1"/>
    </xf>
    <xf numFmtId="0" fontId="15" fillId="0" borderId="0" xfId="0" applyFont="1" applyAlignment="1">
      <alignment horizontal="left" vertical="center" wrapText="1"/>
    </xf>
    <xf numFmtId="0" fontId="9" fillId="4" borderId="0" xfId="0" applyFont="1" applyFill="1" applyAlignment="1">
      <alignment horizontal="left" wrapText="1"/>
    </xf>
    <xf numFmtId="0" fontId="9" fillId="0" borderId="0" xfId="0" applyFont="1" applyAlignment="1">
      <alignment horizontal="left" wrapText="1"/>
    </xf>
    <xf numFmtId="0" fontId="0" fillId="0" borderId="0" xfId="0" applyAlignment="1">
      <alignment horizontal="left" vertical="center" wrapText="1"/>
    </xf>
    <xf numFmtId="0" fontId="24" fillId="58" borderId="104" xfId="10" applyNumberFormat="1" applyFill="1" applyBorder="1" applyAlignment="1" applyProtection="1">
      <alignment horizontal="center" vertical="center"/>
      <protection locked="0"/>
    </xf>
    <xf numFmtId="0" fontId="24" fillId="58" borderId="105" xfId="10" applyNumberFormat="1" applyFill="1" applyBorder="1" applyAlignment="1" applyProtection="1">
      <alignment horizontal="center" vertical="center"/>
      <protection locked="0"/>
    </xf>
    <xf numFmtId="0" fontId="9" fillId="0" borderId="0" xfId="0" applyFont="1" applyAlignment="1">
      <alignment horizontal="left" vertical="center"/>
    </xf>
    <xf numFmtId="49" fontId="9" fillId="0" borderId="0" xfId="0" applyNumberFormat="1" applyFont="1" applyAlignment="1">
      <alignment horizontal="left" vertical="center" wrapText="1"/>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33" fillId="0" borderId="0" xfId="0" applyFont="1" applyAlignment="1">
      <alignment horizontal="left" vertical="center" wrapText="1"/>
    </xf>
    <xf numFmtId="0" fontId="32" fillId="0" borderId="0" xfId="0" applyFont="1" applyAlignment="1">
      <alignment horizontal="left" vertical="center" wrapText="1"/>
    </xf>
    <xf numFmtId="0" fontId="8" fillId="0" borderId="0" xfId="0" applyFont="1" applyAlignment="1">
      <alignment horizontal="center" wrapText="1"/>
    </xf>
    <xf numFmtId="0" fontId="8" fillId="0" borderId="109" xfId="0" applyFont="1" applyBorder="1" applyAlignment="1">
      <alignment horizontal="center" wrapText="1"/>
    </xf>
    <xf numFmtId="0" fontId="24" fillId="58" borderId="104" xfId="10" applyFill="1" applyBorder="1" applyAlignment="1" applyProtection="1">
      <alignment horizontal="center" vertical="center"/>
      <protection locked="0"/>
    </xf>
    <xf numFmtId="0" fontId="24" fillId="58" borderId="105" xfId="10" applyFill="1" applyBorder="1" applyAlignment="1" applyProtection="1">
      <alignment horizontal="center" vertical="center"/>
      <protection locked="0"/>
    </xf>
    <xf numFmtId="0" fontId="157" fillId="63" borderId="0" xfId="0" applyFont="1" applyFill="1" applyAlignment="1">
      <alignment horizontal="left" vertical="center" wrapText="1"/>
    </xf>
    <xf numFmtId="0" fontId="24" fillId="58" borderId="8" xfId="10" applyFill="1" applyAlignment="1" applyProtection="1">
      <alignment horizontal="center" vertical="center"/>
      <protection locked="0"/>
    </xf>
    <xf numFmtId="0" fontId="0" fillId="63" borderId="4" xfId="0" applyFill="1" applyBorder="1" applyAlignment="1">
      <alignment horizontal="center" vertical="center" wrapText="1"/>
    </xf>
    <xf numFmtId="0" fontId="0" fillId="63" borderId="25" xfId="0" applyFill="1" applyBorder="1" applyAlignment="1">
      <alignment horizontal="center" vertical="center" wrapText="1"/>
    </xf>
    <xf numFmtId="0" fontId="0" fillId="63" borderId="27" xfId="0" applyFill="1" applyBorder="1" applyAlignment="1">
      <alignment horizontal="center" vertical="center" wrapText="1"/>
    </xf>
    <xf numFmtId="0" fontId="0" fillId="0" borderId="0" xfId="0" applyAlignment="1">
      <alignment horizontal="left" wrapText="1"/>
    </xf>
    <xf numFmtId="0" fontId="32" fillId="57" borderId="113" xfId="0" applyFont="1" applyFill="1" applyBorder="1" applyAlignment="1">
      <alignment horizontal="center" vertical="center"/>
    </xf>
    <xf numFmtId="0" fontId="32" fillId="57" borderId="2" xfId="0" applyFont="1" applyFill="1" applyBorder="1" applyAlignment="1">
      <alignment horizontal="center" vertical="center"/>
    </xf>
    <xf numFmtId="0" fontId="32" fillId="57" borderId="24" xfId="0" applyFont="1" applyFill="1" applyBorder="1" applyAlignment="1">
      <alignment horizontal="center" vertical="center" wrapText="1"/>
    </xf>
    <xf numFmtId="0" fontId="32" fillId="57" borderId="114" xfId="0" applyFont="1" applyFill="1" applyBorder="1" applyAlignment="1">
      <alignment horizontal="center" vertical="center" wrapText="1"/>
    </xf>
    <xf numFmtId="0" fontId="40" fillId="57" borderId="1" xfId="0" applyFont="1" applyFill="1" applyBorder="1" applyAlignment="1">
      <alignment horizontal="center" vertical="center" wrapText="1"/>
    </xf>
    <xf numFmtId="49" fontId="169" fillId="57" borderId="28" xfId="0" applyNumberFormat="1" applyFont="1" applyFill="1" applyBorder="1" applyAlignment="1">
      <alignment horizontal="center" vertical="center" wrapText="1"/>
    </xf>
    <xf numFmtId="49" fontId="169" fillId="57" borderId="3" xfId="0" applyNumberFormat="1" applyFont="1" applyFill="1" applyBorder="1" applyAlignment="1">
      <alignment horizontal="center" vertical="center" wrapText="1"/>
    </xf>
    <xf numFmtId="0" fontId="32" fillId="57" borderId="30" xfId="0" applyFont="1" applyFill="1" applyBorder="1" applyAlignment="1">
      <alignment horizontal="center" vertical="center" wrapText="1"/>
    </xf>
    <xf numFmtId="0" fontId="32" fillId="57" borderId="119" xfId="0" applyFont="1" applyFill="1" applyBorder="1" applyAlignment="1">
      <alignment horizontal="center" vertical="center" wrapText="1"/>
    </xf>
    <xf numFmtId="0" fontId="33" fillId="57" borderId="16" xfId="0" applyFont="1" applyFill="1" applyBorder="1" applyAlignment="1">
      <alignment horizontal="center" vertical="center"/>
    </xf>
    <xf numFmtId="0" fontId="33" fillId="57" borderId="29" xfId="0" applyFont="1" applyFill="1" applyBorder="1" applyAlignment="1">
      <alignment horizontal="center" vertical="center"/>
    </xf>
    <xf numFmtId="0" fontId="33" fillId="57" borderId="17" xfId="0" applyFont="1" applyFill="1" applyBorder="1" applyAlignment="1">
      <alignment horizontal="center" vertical="center"/>
    </xf>
    <xf numFmtId="0" fontId="33" fillId="57" borderId="114" xfId="0" applyFont="1" applyFill="1" applyBorder="1" applyAlignment="1">
      <alignment horizontal="center" vertical="center"/>
    </xf>
    <xf numFmtId="0" fontId="33" fillId="57" borderId="3" xfId="0" applyFont="1" applyFill="1" applyBorder="1" applyAlignment="1">
      <alignment horizontal="center" vertical="center"/>
    </xf>
    <xf numFmtId="0" fontId="33" fillId="57" borderId="2" xfId="0" applyFont="1" applyFill="1" applyBorder="1" applyAlignment="1">
      <alignment horizontal="center" vertical="center"/>
    </xf>
    <xf numFmtId="0" fontId="32" fillId="57" borderId="26" xfId="0" applyFont="1" applyFill="1" applyBorder="1" applyAlignment="1">
      <alignment horizontal="center" vertical="center" wrapText="1"/>
    </xf>
    <xf numFmtId="0" fontId="32" fillId="0" borderId="24" xfId="0" applyFont="1" applyBorder="1" applyAlignment="1">
      <alignment horizontal="left" vertical="center" wrapText="1"/>
    </xf>
    <xf numFmtId="0" fontId="32" fillId="0" borderId="28" xfId="0" applyFont="1" applyBorder="1" applyAlignment="1">
      <alignment horizontal="left" vertical="center" wrapText="1"/>
    </xf>
    <xf numFmtId="0" fontId="32" fillId="0" borderId="113" xfId="0" applyFont="1" applyBorder="1" applyAlignment="1">
      <alignment horizontal="left" vertical="center" wrapText="1"/>
    </xf>
    <xf numFmtId="0" fontId="32" fillId="57" borderId="4" xfId="0" applyFont="1" applyFill="1" applyBorder="1" applyAlignment="1">
      <alignment horizontal="center" vertical="center" wrapText="1"/>
    </xf>
    <xf numFmtId="0" fontId="32" fillId="57" borderId="27" xfId="0" applyFont="1" applyFill="1" applyBorder="1" applyAlignment="1">
      <alignment horizontal="center" vertical="center" wrapText="1"/>
    </xf>
    <xf numFmtId="49" fontId="169" fillId="57" borderId="26" xfId="0" applyNumberFormat="1" applyFont="1" applyFill="1" applyBorder="1" applyAlignment="1">
      <alignment horizontal="center" vertical="center" wrapText="1"/>
    </xf>
    <xf numFmtId="49" fontId="169" fillId="57" borderId="4" xfId="0" applyNumberFormat="1" applyFont="1" applyFill="1" applyBorder="1" applyAlignment="1">
      <alignment horizontal="center" vertical="center" wrapText="1"/>
    </xf>
    <xf numFmtId="49" fontId="169" fillId="57" borderId="25" xfId="0" applyNumberFormat="1" applyFont="1" applyFill="1" applyBorder="1" applyAlignment="1">
      <alignment horizontal="center" vertical="center" wrapText="1"/>
    </xf>
    <xf numFmtId="49" fontId="169" fillId="57" borderId="16" xfId="0" applyNumberFormat="1" applyFont="1" applyFill="1" applyBorder="1" applyAlignment="1">
      <alignment horizontal="center" vertical="center"/>
    </xf>
    <xf numFmtId="49" fontId="169" fillId="57" borderId="29" xfId="0" applyNumberFormat="1" applyFont="1" applyFill="1" applyBorder="1" applyAlignment="1">
      <alignment horizontal="center" vertical="center"/>
    </xf>
    <xf numFmtId="49" fontId="169" fillId="57" borderId="17" xfId="0" applyNumberFormat="1" applyFont="1" applyFill="1" applyBorder="1" applyAlignment="1">
      <alignment horizontal="center" vertical="center"/>
    </xf>
    <xf numFmtId="0" fontId="33" fillId="57" borderId="115" xfId="0" applyFont="1" applyFill="1" applyBorder="1" applyAlignment="1">
      <alignment horizontal="center" vertical="center"/>
    </xf>
    <xf numFmtId="0" fontId="33" fillId="57" borderId="116" xfId="0" applyFont="1" applyFill="1" applyBorder="1" applyAlignment="1">
      <alignment horizontal="center" vertical="center"/>
    </xf>
    <xf numFmtId="0" fontId="33" fillId="57" borderId="117" xfId="0" applyFont="1" applyFill="1" applyBorder="1" applyAlignment="1">
      <alignment horizontal="center" vertical="center"/>
    </xf>
    <xf numFmtId="49" fontId="169" fillId="57" borderId="24" xfId="0" applyNumberFormat="1" applyFont="1" applyFill="1" applyBorder="1" applyAlignment="1">
      <alignment horizontal="center" vertical="center"/>
    </xf>
    <xf numFmtId="49" fontId="169" fillId="57" borderId="113" xfId="0" applyNumberFormat="1" applyFont="1" applyFill="1" applyBorder="1" applyAlignment="1">
      <alignment horizontal="center" vertical="center"/>
    </xf>
    <xf numFmtId="49" fontId="169" fillId="57" borderId="26" xfId="0" applyNumberFormat="1" applyFont="1" applyFill="1" applyBorder="1" applyAlignment="1">
      <alignment horizontal="center" vertical="center"/>
    </xf>
    <xf numFmtId="0" fontId="47" fillId="63" borderId="1" xfId="66" applyFill="1" applyBorder="1" applyAlignment="1">
      <alignment horizontal="center" vertical="center" wrapText="1"/>
    </xf>
    <xf numFmtId="49" fontId="0" fillId="0" borderId="0" xfId="0" applyNumberFormat="1" applyAlignment="1">
      <alignment horizontal="left" vertical="center" wrapText="1"/>
    </xf>
    <xf numFmtId="0" fontId="47" fillId="63" borderId="4" xfId="66" applyFill="1" applyBorder="1" applyAlignment="1">
      <alignment horizontal="center" vertical="center" wrapText="1"/>
    </xf>
    <xf numFmtId="0" fontId="47" fillId="63" borderId="27" xfId="66" applyFill="1" applyBorder="1" applyAlignment="1">
      <alignment horizontal="center" vertical="center" wrapText="1"/>
    </xf>
    <xf numFmtId="0" fontId="47" fillId="74" borderId="1" xfId="66" applyFill="1" applyBorder="1" applyAlignment="1">
      <alignment horizontal="center" vertical="center" wrapText="1"/>
    </xf>
    <xf numFmtId="0" fontId="55" fillId="63" borderId="1" xfId="66" applyFont="1" applyFill="1" applyBorder="1" applyAlignment="1">
      <alignment horizontal="center" vertical="center" wrapText="1"/>
    </xf>
    <xf numFmtId="0" fontId="47" fillId="0" borderId="0" xfId="0" applyFont="1" applyAlignment="1">
      <alignment horizontal="left" vertical="center" wrapText="1"/>
    </xf>
    <xf numFmtId="0" fontId="47" fillId="0" borderId="0" xfId="67" applyFont="1" applyAlignment="1">
      <alignment horizontal="left" vertical="center" wrapText="1"/>
    </xf>
    <xf numFmtId="0" fontId="192" fillId="0" borderId="0" xfId="67" applyFont="1" applyAlignment="1">
      <alignment horizontal="center"/>
    </xf>
    <xf numFmtId="0" fontId="261" fillId="70" borderId="0" xfId="45" applyFont="1" applyFill="1" applyAlignment="1">
      <alignment horizontal="center" vertical="center" wrapText="1"/>
    </xf>
    <xf numFmtId="0" fontId="47" fillId="4" borderId="0" xfId="0" applyFont="1" applyFill="1" applyAlignment="1">
      <alignment horizontal="right" vertical="center" wrapText="1"/>
    </xf>
    <xf numFmtId="0" fontId="58" fillId="4" borderId="0" xfId="0" applyFont="1" applyFill="1" applyAlignment="1">
      <alignment horizontal="left" vertical="center" wrapText="1"/>
    </xf>
    <xf numFmtId="0" fontId="177" fillId="70" borderId="0" xfId="0" applyFont="1" applyFill="1" applyAlignment="1">
      <alignment horizontal="left" vertical="center"/>
    </xf>
    <xf numFmtId="0" fontId="177" fillId="70" borderId="0" xfId="0" applyFont="1" applyFill="1" applyAlignment="1">
      <alignment horizontal="center" vertical="center"/>
    </xf>
    <xf numFmtId="0" fontId="178" fillId="39" borderId="0" xfId="44" applyFont="1" applyFill="1" applyBorder="1" applyAlignment="1">
      <alignment horizontal="center" vertical="center"/>
    </xf>
    <xf numFmtId="188" fontId="47" fillId="63" borderId="112" xfId="64" applyNumberFormat="1" applyFont="1" applyFill="1" applyBorder="1" applyAlignment="1">
      <alignment horizontal="center" vertical="center"/>
    </xf>
    <xf numFmtId="188" fontId="157" fillId="62" borderId="112" xfId="64" applyNumberFormat="1" applyFont="1" applyFill="1" applyBorder="1" applyAlignment="1">
      <alignment horizontal="center" vertical="center"/>
    </xf>
    <xf numFmtId="188" fontId="157" fillId="72" borderId="112" xfId="64" applyNumberFormat="1" applyFont="1" applyFill="1" applyBorder="1" applyAlignment="1">
      <alignment horizontal="center" vertical="center"/>
    </xf>
    <xf numFmtId="188" fontId="157" fillId="66" borderId="112" xfId="64" applyNumberFormat="1" applyFont="1" applyFill="1" applyBorder="1" applyAlignment="1">
      <alignment horizontal="center" vertical="center"/>
    </xf>
    <xf numFmtId="0" fontId="0" fillId="0" borderId="0" xfId="0" applyAlignment="1">
      <alignment horizontal="left" vertical="center"/>
    </xf>
    <xf numFmtId="0" fontId="93" fillId="50" borderId="154" xfId="0" applyFont="1" applyFill="1" applyBorder="1" applyAlignment="1" applyProtection="1">
      <alignment horizontal="left" vertical="center"/>
      <protection hidden="1"/>
    </xf>
    <xf numFmtId="0" fontId="93" fillId="50" borderId="155" xfId="0" applyFont="1" applyFill="1" applyBorder="1" applyAlignment="1" applyProtection="1">
      <alignment horizontal="left" vertical="center"/>
      <protection hidden="1"/>
    </xf>
    <xf numFmtId="0" fontId="93" fillId="50" borderId="156" xfId="0" applyFont="1" applyFill="1" applyBorder="1" applyAlignment="1" applyProtection="1">
      <alignment horizontal="left" vertical="center"/>
      <protection hidden="1"/>
    </xf>
    <xf numFmtId="4" fontId="81" fillId="0" borderId="157" xfId="0" applyNumberFormat="1" applyFont="1" applyBorder="1" applyAlignment="1" applyProtection="1">
      <alignment horizontal="left" wrapText="1" indent="4"/>
      <protection hidden="1"/>
    </xf>
    <xf numFmtId="4" fontId="81" fillId="0" borderId="0" xfId="0" applyNumberFormat="1" applyFont="1" applyAlignment="1" applyProtection="1">
      <alignment horizontal="left" wrapText="1" indent="4"/>
      <protection hidden="1"/>
    </xf>
    <xf numFmtId="0" fontId="0" fillId="40" borderId="45" xfId="0" applyFill="1" applyBorder="1" applyAlignment="1">
      <alignment horizontal="left" vertical="center" wrapText="1"/>
    </xf>
    <xf numFmtId="0" fontId="0" fillId="40" borderId="46" xfId="0" applyFill="1" applyBorder="1" applyAlignment="1">
      <alignment horizontal="left" vertical="center" wrapText="1"/>
    </xf>
    <xf numFmtId="0" fontId="0" fillId="40" borderId="47" xfId="0" applyFill="1" applyBorder="1" applyAlignment="1">
      <alignment horizontal="left" vertical="center" wrapText="1"/>
    </xf>
    <xf numFmtId="0" fontId="90" fillId="85" borderId="4" xfId="0" applyFont="1" applyFill="1" applyBorder="1" applyAlignment="1">
      <alignment horizontal="center" vertical="center" textRotation="90"/>
    </xf>
    <xf numFmtId="0" fontId="90" fillId="85" borderId="25" xfId="0" applyFont="1" applyFill="1" applyBorder="1" applyAlignment="1">
      <alignment horizontal="center" vertical="center" textRotation="90"/>
    </xf>
    <xf numFmtId="0" fontId="90" fillId="85" borderId="27" xfId="0" applyFont="1" applyFill="1" applyBorder="1" applyAlignment="1">
      <alignment horizontal="center" vertical="center" textRotation="90"/>
    </xf>
    <xf numFmtId="0" fontId="96" fillId="0" borderId="0" xfId="0" applyFont="1" applyAlignment="1" applyProtection="1">
      <alignment horizontal="left" vertical="center" wrapText="1"/>
      <protection hidden="1"/>
    </xf>
    <xf numFmtId="0" fontId="91" fillId="50" borderId="78" xfId="2" applyNumberFormat="1" applyFont="1" applyFill="1" applyBorder="1" applyAlignment="1" applyProtection="1">
      <alignment horizontal="center" vertical="center" textRotation="90"/>
      <protection locked="0"/>
    </xf>
    <xf numFmtId="0" fontId="91" fillId="50" borderId="78" xfId="2" applyFont="1" applyFill="1" applyBorder="1" applyAlignment="1">
      <alignment horizontal="center" vertical="center" textRotation="90"/>
    </xf>
    <xf numFmtId="3" fontId="250" fillId="0" borderId="78" xfId="0" applyNumberFormat="1" applyFont="1" applyBorder="1" applyAlignment="1" applyProtection="1">
      <alignment horizontal="center" vertical="center"/>
      <protection hidden="1"/>
    </xf>
    <xf numFmtId="0" fontId="74" fillId="40" borderId="0" xfId="0" quotePrefix="1" applyFont="1" applyFill="1" applyAlignment="1" applyProtection="1">
      <alignment horizontal="left" vertical="top" wrapText="1" indent="1"/>
      <protection hidden="1"/>
    </xf>
    <xf numFmtId="0" fontId="77" fillId="0" borderId="0" xfId="0" applyFont="1" applyAlignment="1" applyProtection="1">
      <alignment horizontal="center" vertical="center" wrapText="1"/>
      <protection hidden="1"/>
    </xf>
    <xf numFmtId="0" fontId="9" fillId="0" borderId="0" xfId="0" applyFont="1" applyAlignment="1" applyProtection="1">
      <alignment horizontal="center"/>
      <protection locked="0"/>
    </xf>
    <xf numFmtId="0" fontId="7" fillId="39" borderId="66" xfId="0" applyFont="1" applyFill="1" applyBorder="1" applyAlignment="1" applyProtection="1">
      <alignment horizontal="left"/>
      <protection locked="0"/>
    </xf>
    <xf numFmtId="0" fontId="11" fillId="40" borderId="67" xfId="0" applyFont="1" applyFill="1" applyBorder="1" applyAlignment="1" applyProtection="1">
      <alignment horizontal="center"/>
      <protection locked="0"/>
    </xf>
    <xf numFmtId="0" fontId="11" fillId="40" borderId="68" xfId="0" applyFont="1" applyFill="1" applyBorder="1" applyAlignment="1" applyProtection="1">
      <alignment horizontal="center"/>
      <protection locked="0"/>
    </xf>
    <xf numFmtId="0" fontId="11" fillId="40" borderId="69" xfId="0" applyFont="1" applyFill="1" applyBorder="1" applyAlignment="1" applyProtection="1">
      <alignment horizontal="center"/>
      <protection locked="0"/>
    </xf>
    <xf numFmtId="0" fontId="16" fillId="40" borderId="0" xfId="0" quotePrefix="1" applyFont="1" applyFill="1" applyAlignment="1">
      <alignment horizontal="left" wrapText="1" indent="1"/>
    </xf>
    <xf numFmtId="0" fontId="8" fillId="45" borderId="85" xfId="0" applyFont="1" applyFill="1" applyBorder="1" applyAlignment="1">
      <alignment horizontal="center"/>
    </xf>
    <xf numFmtId="0" fontId="8" fillId="45" borderId="86" xfId="0" applyFont="1" applyFill="1" applyBorder="1" applyAlignment="1">
      <alignment horizontal="center"/>
    </xf>
    <xf numFmtId="0" fontId="8" fillId="45" borderId="87" xfId="0" applyFont="1" applyFill="1" applyBorder="1" applyAlignment="1">
      <alignment horizontal="center"/>
    </xf>
    <xf numFmtId="0" fontId="254" fillId="40" borderId="0" xfId="0" applyFont="1" applyFill="1" applyAlignment="1">
      <alignment horizontal="left" vertical="top" wrapText="1" indent="4"/>
    </xf>
    <xf numFmtId="0" fontId="256" fillId="40" borderId="0" xfId="0" applyFont="1" applyFill="1" applyAlignment="1">
      <alignment horizontal="left" vertical="top" wrapText="1" indent="2"/>
    </xf>
    <xf numFmtId="0" fontId="254" fillId="40" borderId="0" xfId="0" applyFont="1" applyFill="1" applyAlignment="1">
      <alignment horizontal="left" vertical="top" wrapText="1" indent="2"/>
    </xf>
    <xf numFmtId="0" fontId="8" fillId="45" borderId="1" xfId="0" applyFont="1" applyFill="1" applyBorder="1" applyAlignment="1">
      <alignment horizontal="center"/>
    </xf>
    <xf numFmtId="0" fontId="8" fillId="45" borderId="45" xfId="0" applyFont="1" applyFill="1" applyBorder="1" applyAlignment="1">
      <alignment horizontal="center"/>
    </xf>
    <xf numFmtId="0" fontId="8" fillId="45" borderId="46" xfId="0" applyFont="1" applyFill="1" applyBorder="1" applyAlignment="1">
      <alignment horizontal="center"/>
    </xf>
    <xf numFmtId="0" fontId="8" fillId="45" borderId="47" xfId="0" applyFont="1" applyFill="1" applyBorder="1" applyAlignment="1">
      <alignment horizontal="center"/>
    </xf>
    <xf numFmtId="0" fontId="146" fillId="0" borderId="0" xfId="0" applyFont="1" applyAlignment="1">
      <alignment horizontal="center" wrapText="1"/>
    </xf>
    <xf numFmtId="0" fontId="0" fillId="0" borderId="1" xfId="0" applyBorder="1" applyAlignment="1">
      <alignment horizontal="center" vertical="top" wrapText="1"/>
    </xf>
    <xf numFmtId="0" fontId="159" fillId="0" borderId="0" xfId="0" applyFont="1" applyAlignment="1">
      <alignment horizontal="center" vertical="center" wrapText="1"/>
    </xf>
    <xf numFmtId="0" fontId="68" fillId="48" borderId="167" xfId="0" applyFont="1" applyFill="1" applyBorder="1" applyAlignment="1" applyProtection="1">
      <alignment horizontal="center" vertical="center" wrapText="1"/>
      <protection hidden="1"/>
    </xf>
    <xf numFmtId="0" fontId="68" fillId="48" borderId="168" xfId="0" applyFont="1" applyFill="1" applyBorder="1" applyAlignment="1" applyProtection="1">
      <alignment horizontal="center" vertical="center" wrapText="1"/>
      <protection hidden="1"/>
    </xf>
    <xf numFmtId="0" fontId="8" fillId="40" borderId="0" xfId="0" applyFont="1" applyFill="1" applyAlignment="1" applyProtection="1">
      <alignment horizontal="center" vertical="center" textRotation="90"/>
      <protection hidden="1"/>
    </xf>
    <xf numFmtId="0" fontId="8" fillId="45" borderId="4" xfId="0" applyFont="1" applyFill="1" applyBorder="1" applyAlignment="1" applyProtection="1">
      <alignment horizontal="center"/>
      <protection hidden="1"/>
    </xf>
    <xf numFmtId="0" fontId="68" fillId="48" borderId="177" xfId="0" applyFont="1" applyFill="1" applyBorder="1" applyAlignment="1" applyProtection="1">
      <alignment horizontal="center" vertical="center" wrapText="1"/>
      <protection hidden="1"/>
    </xf>
    <xf numFmtId="0" fontId="68" fillId="48" borderId="178" xfId="0" applyFont="1" applyFill="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0" fontId="13" fillId="0" borderId="3" xfId="2" applyBorder="1" applyAlignment="1" applyProtection="1">
      <alignment horizontal="left" wrapText="1"/>
      <protection hidden="1"/>
    </xf>
    <xf numFmtId="0" fontId="8" fillId="0" borderId="0" xfId="0" applyFont="1" applyAlignment="1" applyProtection="1">
      <alignment horizontal="left" vertical="center" wrapText="1"/>
      <protection hidden="1"/>
    </xf>
    <xf numFmtId="0" fontId="68" fillId="48" borderId="162" xfId="0" applyFont="1" applyFill="1" applyBorder="1" applyAlignment="1" applyProtection="1">
      <alignment horizontal="center" vertical="center"/>
      <protection hidden="1"/>
    </xf>
    <xf numFmtId="0" fontId="68" fillId="48" borderId="163" xfId="0" applyFont="1" applyFill="1" applyBorder="1" applyAlignment="1" applyProtection="1">
      <alignment horizontal="center" vertical="center"/>
      <protection hidden="1"/>
    </xf>
    <xf numFmtId="0" fontId="68" fillId="48" borderId="164" xfId="0" applyFont="1" applyFill="1" applyBorder="1" applyAlignment="1" applyProtection="1">
      <alignment horizontal="center" vertical="center"/>
      <protection hidden="1"/>
    </xf>
    <xf numFmtId="0" fontId="68" fillId="48" borderId="162" xfId="0" applyFont="1" applyFill="1" applyBorder="1" applyAlignment="1" applyProtection="1">
      <alignment horizontal="center" vertical="center" wrapText="1"/>
      <protection hidden="1"/>
    </xf>
    <xf numFmtId="0" fontId="68" fillId="48" borderId="163" xfId="0" applyFont="1" applyFill="1" applyBorder="1" applyAlignment="1" applyProtection="1">
      <alignment horizontal="center" vertical="center" wrapText="1"/>
      <protection hidden="1"/>
    </xf>
    <xf numFmtId="0" fontId="68" fillId="48" borderId="164" xfId="0" applyFont="1" applyFill="1" applyBorder="1" applyAlignment="1" applyProtection="1">
      <alignment horizontal="center" vertical="center" wrapText="1"/>
      <protection hidden="1"/>
    </xf>
    <xf numFmtId="0" fontId="242" fillId="0" borderId="0" xfId="0" applyFont="1" applyAlignment="1" applyProtection="1">
      <alignment horizontal="left" wrapText="1"/>
      <protection hidden="1"/>
    </xf>
    <xf numFmtId="0" fontId="132" fillId="4" borderId="146" xfId="0" applyFont="1" applyFill="1" applyBorder="1" applyAlignment="1" applyProtection="1">
      <alignment horizontal="center" vertical="center" textRotation="90"/>
      <protection hidden="1"/>
    </xf>
    <xf numFmtId="0" fontId="132" fillId="4" borderId="148" xfId="0" applyFont="1" applyFill="1" applyBorder="1" applyAlignment="1" applyProtection="1">
      <alignment horizontal="center" vertical="center" textRotation="90"/>
      <protection hidden="1"/>
    </xf>
    <xf numFmtId="0" fontId="132" fillId="4" borderId="150" xfId="0" applyFont="1" applyFill="1" applyBorder="1" applyAlignment="1" applyProtection="1">
      <alignment horizontal="center" vertical="center" textRotation="90"/>
      <protection hidden="1"/>
    </xf>
    <xf numFmtId="0" fontId="132" fillId="4" borderId="146" xfId="0" applyFont="1" applyFill="1" applyBorder="1" applyAlignment="1" applyProtection="1">
      <alignment horizontal="center" vertical="center" textRotation="90" wrapText="1"/>
      <protection hidden="1"/>
    </xf>
    <xf numFmtId="0" fontId="132" fillId="4" borderId="148" xfId="0" applyFont="1" applyFill="1" applyBorder="1" applyAlignment="1" applyProtection="1">
      <alignment horizontal="center" vertical="center" textRotation="90" wrapText="1"/>
      <protection hidden="1"/>
    </xf>
    <xf numFmtId="0" fontId="132" fillId="4" borderId="150" xfId="0" applyFont="1" applyFill="1" applyBorder="1" applyAlignment="1" applyProtection="1">
      <alignment horizontal="center" vertical="center" textRotation="90" wrapText="1"/>
      <protection hidden="1"/>
    </xf>
    <xf numFmtId="0" fontId="132" fillId="4" borderId="143" xfId="0" applyFont="1" applyFill="1" applyBorder="1" applyAlignment="1" applyProtection="1">
      <alignment horizontal="left" wrapText="1"/>
      <protection hidden="1"/>
    </xf>
    <xf numFmtId="0" fontId="132" fillId="4" borderId="144" xfId="0" applyFont="1" applyFill="1" applyBorder="1" applyAlignment="1" applyProtection="1">
      <alignment horizontal="left" wrapText="1"/>
      <protection hidden="1"/>
    </xf>
    <xf numFmtId="0" fontId="132" fillId="4" borderId="145" xfId="0" applyFont="1" applyFill="1" applyBorder="1" applyAlignment="1" applyProtection="1">
      <alignment horizontal="left" wrapText="1"/>
      <protection hidden="1"/>
    </xf>
    <xf numFmtId="0" fontId="215" fillId="0" borderId="0" xfId="0" applyFont="1" applyAlignment="1" applyProtection="1">
      <alignment horizontal="left" wrapText="1"/>
      <protection hidden="1"/>
    </xf>
    <xf numFmtId="0" fontId="132" fillId="37" borderId="0" xfId="0" applyFont="1" applyFill="1" applyAlignment="1" applyProtection="1">
      <alignment horizontal="left" wrapText="1"/>
      <protection hidden="1"/>
    </xf>
    <xf numFmtId="0" fontId="132" fillId="4" borderId="146" xfId="62" applyFont="1" applyFill="1" applyBorder="1" applyAlignment="1" applyProtection="1">
      <alignment horizontal="center" vertical="center" textRotation="90" wrapText="1"/>
      <protection hidden="1"/>
    </xf>
    <xf numFmtId="0" fontId="132" fillId="4" borderId="150" xfId="62" applyFont="1" applyFill="1" applyBorder="1" applyAlignment="1" applyProtection="1">
      <alignment horizontal="center" vertical="center" textRotation="90" wrapText="1"/>
      <protection hidden="1"/>
    </xf>
    <xf numFmtId="0" fontId="133" fillId="4" borderId="143" xfId="62" applyFont="1" applyFill="1" applyBorder="1" applyAlignment="1" applyProtection="1">
      <alignment horizontal="left" wrapText="1"/>
      <protection hidden="1"/>
    </xf>
    <xf numFmtId="0" fontId="133" fillId="4" borderId="144" xfId="62" applyFont="1" applyFill="1" applyBorder="1" applyAlignment="1" applyProtection="1">
      <alignment horizontal="left" wrapText="1"/>
      <protection hidden="1"/>
    </xf>
    <xf numFmtId="0" fontId="133" fillId="4" borderId="145" xfId="62" applyFont="1" applyFill="1" applyBorder="1" applyAlignment="1" applyProtection="1">
      <alignment horizontal="left" wrapText="1"/>
      <protection hidden="1"/>
    </xf>
    <xf numFmtId="0" fontId="229" fillId="4" borderId="0" xfId="62" applyFont="1" applyFill="1" applyAlignment="1" applyProtection="1">
      <alignment horizontal="center" vertical="center" wrapText="1"/>
      <protection hidden="1"/>
    </xf>
    <xf numFmtId="0" fontId="132" fillId="4" borderId="148" xfId="62" applyFont="1" applyFill="1" applyBorder="1" applyAlignment="1" applyProtection="1">
      <alignment horizontal="center" vertical="center" textRotation="90" wrapText="1"/>
      <protection hidden="1"/>
    </xf>
  </cellXfs>
  <cellStyles count="75">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19" builtinId="29" customBuiltin="1"/>
    <cellStyle name="Accent2" xfId="22" builtinId="33" customBuiltin="1"/>
    <cellStyle name="Accent3" xfId="25" builtinId="37" customBuiltin="1"/>
    <cellStyle name="Accent4" xfId="28" builtinId="41" customBuiltin="1"/>
    <cellStyle name="Accent5" xfId="31" builtinId="45" customBuiltin="1"/>
    <cellStyle name="Accent6" xfId="34" builtinId="49" customBuiltin="1"/>
    <cellStyle name="Bad" xfId="9" builtinId="27" customBuiltin="1"/>
    <cellStyle name="Body: normal cell" xfId="38" xr:uid="{00000000-0005-0000-0000-000019000000}"/>
    <cellStyle name="Calculation" xfId="12" builtinId="22" customBuiltin="1"/>
    <cellStyle name="Check Cell" xfId="14" builtinId="23" customBuiltin="1"/>
    <cellStyle name="Comma" xfId="68" builtinId="3"/>
    <cellStyle name="Comma 2" xfId="64" xr:uid="{00000000-0005-0000-0000-00001D000000}"/>
    <cellStyle name="Comma 3" xfId="72" xr:uid="{FC6F6355-3797-48DC-B6AB-205D4E1E66AC}"/>
    <cellStyle name="Currency" xfId="69" builtinId="4"/>
    <cellStyle name="Explanatory Text" xfId="17" builtinId="53" customBuiltin="1"/>
    <cellStyle name="Followed Hyperlink 2" xfId="46" xr:uid="{00000000-0005-0000-0000-000020000000}"/>
    <cellStyle name="Font: Calibri, 9pt regular" xfId="47" xr:uid="{00000000-0005-0000-0000-000021000000}"/>
    <cellStyle name="Footnotes: all except top row" xfId="48" xr:uid="{00000000-0005-0000-0000-000022000000}"/>
    <cellStyle name="Footnotes: top row" xfId="49" xr:uid="{00000000-0005-0000-0000-000023000000}"/>
    <cellStyle name="Good" xfId="8" builtinId="26" customBuiltin="1"/>
    <cellStyle name="Header: bottom row" xfId="50" xr:uid="{00000000-0005-0000-0000-000025000000}"/>
    <cellStyle name="Header: top rows" xfId="51" xr:uid="{00000000-0005-0000-0000-000026000000}"/>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Hyperlink 2" xfId="52" xr:uid="{00000000-0005-0000-0000-00002C000000}"/>
    <cellStyle name="Hyperlink 3" xfId="63" xr:uid="{00000000-0005-0000-0000-00002D000000}"/>
    <cellStyle name="Hyperlink 4" xfId="65" xr:uid="{00000000-0005-0000-0000-00002E000000}"/>
    <cellStyle name="Hyperlink 5" xfId="74" xr:uid="{3433A558-608D-45BF-8F17-6B6EA99BE0E3}"/>
    <cellStyle name="Input" xfId="10" builtinId="20" customBuiltin="1"/>
    <cellStyle name="Linked Cell" xfId="13" builtinId="24" customBuiltin="1"/>
    <cellStyle name="Neutral 2" xfId="53" xr:uid="{00000000-0005-0000-0000-000031000000}"/>
    <cellStyle name="Normal" xfId="0" builtinId="0"/>
    <cellStyle name="Normal 128" xfId="37" xr:uid="{00000000-0005-0000-0000-000033000000}"/>
    <cellStyle name="Normal 2" xfId="54" xr:uid="{00000000-0005-0000-0000-000034000000}"/>
    <cellStyle name="Normal 2 2" xfId="3" xr:uid="{00000000-0005-0000-0000-000035000000}"/>
    <cellStyle name="Normal 2 2 63" xfId="70" xr:uid="{DFD31DE5-DE02-424D-A373-108A6A08C6B9}"/>
    <cellStyle name="Normal 2 3" xfId="59" xr:uid="{00000000-0005-0000-0000-000036000000}"/>
    <cellStyle name="Normal 3" xfId="60" xr:uid="{00000000-0005-0000-0000-000037000000}"/>
    <cellStyle name="Normal 3 2" xfId="61" xr:uid="{00000000-0005-0000-0000-000038000000}"/>
    <cellStyle name="Normal 3 3" xfId="66" xr:uid="{00000000-0005-0000-0000-000039000000}"/>
    <cellStyle name="Normal 4" xfId="62" xr:uid="{00000000-0005-0000-0000-00003A000000}"/>
    <cellStyle name="Normal 4 2" xfId="67" xr:uid="{00000000-0005-0000-0000-00003B000000}"/>
    <cellStyle name="Normal 5" xfId="71" xr:uid="{98BF0B6E-A527-44E3-93E3-DA95B3A00BB1}"/>
    <cellStyle name="Normal 6" xfId="73" xr:uid="{70A04BA1-40F8-45BB-8494-828BA473CC39}"/>
    <cellStyle name="Note" xfId="16" builtinId="10" customBuiltin="1"/>
    <cellStyle name="Output" xfId="11" builtinId="21" customBuiltin="1"/>
    <cellStyle name="Parent row" xfId="55" xr:uid="{00000000-0005-0000-0000-00003E000000}"/>
    <cellStyle name="Percent" xfId="1" builtinId="5"/>
    <cellStyle name="Section Break" xfId="56" xr:uid="{00000000-0005-0000-0000-000040000000}"/>
    <cellStyle name="Section Break: parent row" xfId="57" xr:uid="{00000000-0005-0000-0000-000041000000}"/>
    <cellStyle name="Table title" xfId="39" xr:uid="{00000000-0005-0000-0000-000042000000}"/>
    <cellStyle name="Title 2" xfId="58" xr:uid="{00000000-0005-0000-0000-000043000000}"/>
    <cellStyle name="Total" xfId="18" builtinId="25" customBuiltin="1"/>
    <cellStyle name="Warning Text" xfId="15" builtinId="11" customBuiltin="1"/>
  </cellStyles>
  <dxfs count="139">
    <dxf>
      <font>
        <color rgb="FF9C0006"/>
      </font>
      <fill>
        <patternFill>
          <bgColor rgb="FFFFC7CE"/>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darkUp"/>
      </fill>
    </dxf>
    <dxf>
      <font>
        <color rgb="FF9C5700"/>
      </font>
      <fill>
        <patternFill>
          <bgColor rgb="FFFFEB9C"/>
        </patternFill>
      </fill>
    </dxf>
    <dxf>
      <font>
        <color rgb="FF9C5700"/>
      </font>
      <fill>
        <patternFill>
          <bgColor rgb="FFFFEB9C"/>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protection locked="1" hidden="1"/>
    </dxf>
    <dxf>
      <protection locked="1" hidden="1"/>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protection locked="1" hidden="1"/>
    </dxf>
    <dxf>
      <border outline="0">
        <left style="thin">
          <color indexed="64"/>
        </left>
        <top style="thin">
          <color auto="1"/>
        </top>
        <bottom style="thin">
          <color indexed="64"/>
        </bottom>
      </border>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protection locked="1" hidden="1"/>
    </dxf>
    <dxf>
      <font>
        <b/>
        <i val="0"/>
        <strike val="0"/>
        <condense val="0"/>
        <extend val="0"/>
        <outline val="0"/>
        <shadow val="0"/>
        <u val="none"/>
        <vertAlign val="baseline"/>
        <sz val="11"/>
        <color theme="0"/>
        <name val="Arial"/>
        <family val="2"/>
        <scheme val="minor"/>
      </font>
      <fill>
        <patternFill patternType="solid">
          <fgColor theme="4"/>
          <bgColor theme="4"/>
        </patternFill>
      </fill>
      <protection locked="1" hidden="1"/>
    </dxf>
    <dxf>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1"/>
    </dxf>
    <dxf>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3" formatCode="0%"/>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4"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3" formatCode="0%"/>
      <fill>
        <patternFill patternType="none">
          <bgColor auto="1"/>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93" formatCode="#,##0.000_);\(#,##0.000\)"/>
      <fill>
        <patternFill patternType="none">
          <bgColor auto="1"/>
        </patternFill>
      </fill>
      <alignment horizontal="center" vertical="center" textRotation="0" wrapText="0" indent="0" justifyLastLine="0" shrinkToFit="0" readingOrder="0"/>
      <border diagonalUp="0" diagonalDown="0" outline="0">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fill>
        <patternFill patternType="none">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fill>
        <patternFill patternType="none">
          <bgColor auto="1"/>
        </patternFill>
      </fill>
      <alignment horizontal="center" vertical="center" textRotation="0" indent="0" justifyLastLine="0" shrinkToFit="0" readingOrder="0"/>
      <border diagonalUp="0" diagonalDown="0" outline="0">
        <left style="hair">
          <color indexed="64"/>
        </left>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4"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border>
        <left/>
        <right/>
        <top/>
        <bottom style="thick">
          <color theme="4"/>
        </bottom>
        <vertical/>
        <horizontal/>
      </border>
    </dxf>
    <dxf>
      <border>
        <left/>
        <right/>
        <top/>
        <bottom/>
        <vertical/>
        <horizontal style="dotted">
          <color theme="0" tint="-0.24994659260841701"/>
        </horizontal>
      </border>
    </dxf>
  </dxfs>
  <tableStyles count="2" defaultTableStyle="TableStyleMedium2" defaultPivotStyle="PivotStyleLight16">
    <tableStyle name="Invisible" pivot="0" table="0" count="0" xr9:uid="{00000000-0011-0000-FFFF-FFFF00000000}"/>
    <tableStyle name="Table Style 1" pivot="0" count="2" xr9:uid="{00000000-0011-0000-FFFF-FFFF01000000}">
      <tableStyleElement type="wholeTable" dxfId="138"/>
      <tableStyleElement type="headerRow" dxfId="137"/>
    </tableStyle>
  </tableStyles>
  <colors>
    <mruColors>
      <color rgb="FF0000FF"/>
      <color rgb="FFFFFFCC"/>
      <color rgb="FFCCFF99"/>
      <color rgb="FFA9D08E"/>
      <color rgb="FFD2E7D6"/>
      <color rgb="FF6DCEF9"/>
      <color rgb="FF71CCF5"/>
      <color rgb="FF9BE686"/>
      <color rgb="FFC2DE91"/>
      <color rgb="FF6794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4.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07/relationships/slicerCache" Target="slicerCaches/slicerCache2.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microsoft.com/office/2007/relationships/slicerCache" Target="slicerCaches/slicerCache1.xml"/><Relationship Id="rId5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'Results &amp; Summary'!$C$39</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8883-419A-BA17-91AEF9AC0D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883-419A-BA17-91AEF9AC0D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3-419A-BA17-91AEF9AC0D4C}"/>
              </c:ext>
            </c:extLst>
          </c:dPt>
          <c:dLbls>
            <c:dLbl>
              <c:idx val="0"/>
              <c:tx>
                <c:rich>
                  <a:bodyPr/>
                  <a:lstStyle/>
                  <a:p>
                    <a:fld id="{B05880C7-1F6E-46D7-95AF-10B26060EAD2}" type="CATEGORYNAME">
                      <a:rPr lang="en-US" sz="1600"/>
                      <a:pPr/>
                      <a:t>[CATEGORY NAME]</a:t>
                    </a:fld>
                    <a:r>
                      <a:rPr lang="en-US" sz="1600" baseline="0"/>
                      <a:t>,</a:t>
                    </a:r>
                    <a:r>
                      <a:rPr lang="en-US" baseline="0"/>
                      <a:t> </a:t>
                    </a:r>
                    <a:fld id="{CF6EA231-C679-4161-AD68-AD3F8CCDB4D0}" type="VALUE">
                      <a:rPr lang="en-US" sz="1600" baseline="0"/>
                      <a:pPr/>
                      <a:t>[VALUE]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8883-419A-BA17-91AEF9AC0D4C}"/>
                </c:ext>
              </c:extLst>
            </c:dLbl>
            <c:dLbl>
              <c:idx val="1"/>
              <c:tx>
                <c:rich>
                  <a:bodyPr/>
                  <a:lstStyle/>
                  <a:p>
                    <a:fld id="{82E02E6C-A05D-4114-A5D2-98B39A3F4F68}" type="CATEGORYNAME">
                      <a:rPr lang="en-US" sz="1600"/>
                      <a:pPr/>
                      <a:t>[CATEGORY NAME]</a:t>
                    </a:fld>
                    <a:r>
                      <a:rPr lang="en-US" baseline="0"/>
                      <a:t>, </a:t>
                    </a:r>
                    <a:fld id="{E1E07AD0-D5D7-40E5-8D36-7C1F6A0B903E}" type="VALUE">
                      <a:rPr lang="en-US" sz="1600" baseline="0"/>
                      <a:pPr/>
                      <a:t>[VALUE]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883-419A-BA17-91AEF9AC0D4C}"/>
                </c:ext>
              </c:extLst>
            </c:dLbl>
            <c:dLbl>
              <c:idx val="2"/>
              <c:tx>
                <c:rich>
                  <a:bodyPr/>
                  <a:lstStyle/>
                  <a:p>
                    <a:fld id="{04D9FBBC-1AF8-49FD-B523-0AA56C56670A}" type="CATEGORYNAME">
                      <a:rPr lang="en-US" sz="1600"/>
                      <a:pPr/>
                      <a:t>[CATEGORY NAME]</a:t>
                    </a:fld>
                    <a:r>
                      <a:rPr lang="en-US" sz="1600" baseline="0"/>
                      <a:t>, </a:t>
                    </a:r>
                    <a:fld id="{950FAE9A-8F5F-4885-9350-877C05F9119C}" type="VALUE">
                      <a:rPr lang="en-US" sz="1600" baseline="0"/>
                      <a:pPr/>
                      <a:t>[VALUE]</a:t>
                    </a:fld>
                    <a:endParaRPr lang="en-US" sz="1600"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883-419A-BA17-91AEF9AC0D4C}"/>
                </c:ext>
              </c:extLst>
            </c:dLbl>
            <c:spPr>
              <a:solidFill>
                <a:srgbClr val="FFFFFF"/>
              </a:solidFill>
              <a:ln>
                <a:solidFill>
                  <a:srgbClr val="343A3C">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'Results &amp; Summary'!$H$33:$H$35</c:f>
              <c:strCache>
                <c:ptCount val="3"/>
                <c:pt idx="0">
                  <c:v>Scope 1</c:v>
                </c:pt>
                <c:pt idx="1">
                  <c:v>Scope 2</c:v>
                </c:pt>
                <c:pt idx="2">
                  <c:v>Scope 3</c:v>
                </c:pt>
              </c:strCache>
            </c:strRef>
          </c:cat>
          <c:val>
            <c:numRef>
              <c:f>'Results &amp; Summary'!$I$33:$I$35</c:f>
              <c:numCache>
                <c:formatCode>0.0%</c:formatCode>
                <c:ptCount val="3"/>
                <c:pt idx="0">
                  <c:v>0</c:v>
                </c:pt>
                <c:pt idx="1">
                  <c:v>0</c:v>
                </c:pt>
                <c:pt idx="2">
                  <c:v>0</c:v>
                </c:pt>
              </c:numCache>
            </c:numRef>
          </c:val>
          <c:extLst>
            <c:ext xmlns:c16="http://schemas.microsoft.com/office/drawing/2014/chart" uri="{C3380CC4-5D6E-409C-BE32-E72D297353CC}">
              <c16:uniqueId val="{00000004-8883-419A-BA17-91AEF9AC0D4C}"/>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2">
                    <a:lumMod val="10000"/>
                  </a:schemeClr>
                </a:solidFill>
                <a:latin typeface="+mn-lt"/>
                <a:ea typeface="+mn-ea"/>
                <a:cs typeface="+mn-cs"/>
              </a:defRPr>
            </a:pPr>
            <a:r>
              <a:rPr lang="es-AR">
                <a:solidFill>
                  <a:schemeClr val="bg2">
                    <a:lumMod val="10000"/>
                  </a:schemeClr>
                </a:solidFill>
              </a:rPr>
              <a:t>Total emissions per source </a:t>
            </a:r>
            <a:endParaRPr lang="en-US">
              <a:solidFill>
                <a:schemeClr val="bg2">
                  <a:lumMod val="10000"/>
                </a:schemeClr>
              </a:solidFill>
            </a:endParaRPr>
          </a:p>
        </c:rich>
      </c:tx>
      <c:layout>
        <c:manualLayout>
          <c:xMode val="edge"/>
          <c:yMode val="edge"/>
          <c:x val="6.452105577200283E-2"/>
          <c:y val="2.01094265098015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2">
                  <a:lumMod val="10000"/>
                </a:schemeClr>
              </a:solidFill>
              <a:latin typeface="+mn-lt"/>
              <a:ea typeface="+mn-ea"/>
              <a:cs typeface="+mn-cs"/>
            </a:defRPr>
          </a:pPr>
          <a:endParaRPr lang="en-US"/>
        </a:p>
      </c:txPr>
    </c:title>
    <c:autoTitleDeleted val="0"/>
    <c:plotArea>
      <c:layout>
        <c:manualLayout>
          <c:layoutTarget val="inner"/>
          <c:xMode val="edge"/>
          <c:yMode val="edge"/>
          <c:x val="0.25004145523396276"/>
          <c:y val="8.5614769205947155E-2"/>
          <c:w val="0.7345766159888818"/>
          <c:h val="0.76976504724339756"/>
        </c:manualLayout>
      </c:layout>
      <c:barChart>
        <c:barDir val="bar"/>
        <c:grouping val="clustered"/>
        <c:varyColors val="0"/>
        <c:ser>
          <c:idx val="0"/>
          <c:order val="0"/>
          <c:tx>
            <c:strRef>
              <c:f>'Results &amp; Summary'!$L$7</c:f>
              <c:strCache>
                <c:ptCount val="1"/>
                <c:pt idx="0">
                  <c:v>Aux Sunburst</c:v>
                </c:pt>
              </c:strCache>
            </c:strRef>
          </c:tx>
          <c:spPr>
            <a:solidFill>
              <a:schemeClr val="accent1"/>
            </a:solidFill>
            <a:ln>
              <a:solidFill>
                <a:srgbClr val="343A3C">
                  <a:lumMod val="50000"/>
                  <a:lumOff val="50000"/>
                  <a:alpha val="47000"/>
                </a:srgbClr>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2">
                        <a:lumMod val="1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&amp; Summary'!$M$8:$M$24</c:f>
              <c:strCache>
                <c:ptCount val="17"/>
                <c:pt idx="0">
                  <c:v>Stationary combustion</c:v>
                </c:pt>
                <c:pt idx="1">
                  <c:v>Mobile combustion</c:v>
                </c:pt>
                <c:pt idx="2">
                  <c:v>Refrigerants and fire suppression</c:v>
                </c:pt>
                <c:pt idx="3">
                  <c:v>Purchased electricity</c:v>
                </c:pt>
                <c:pt idx="4">
                  <c:v>Purchased steam, hot and chilled water</c:v>
                </c:pt>
                <c:pt idx="5">
                  <c:v>Purchased goods &amp; services</c:v>
                </c:pt>
                <c:pt idx="6">
                  <c:v>Capital goods</c:v>
                </c:pt>
                <c:pt idx="7">
                  <c:v>Fuel- &amp; energy-related emissions</c:v>
                </c:pt>
                <c:pt idx="8">
                  <c:v>Upstream transportation &amp; distribution</c:v>
                </c:pt>
                <c:pt idx="9">
                  <c:v>Waste generated in operations</c:v>
                </c:pt>
                <c:pt idx="10">
                  <c:v>Business travel</c:v>
                </c:pt>
                <c:pt idx="11">
                  <c:v>Employee commuting</c:v>
                </c:pt>
                <c:pt idx="12">
                  <c:v>Upstream leased assets</c:v>
                </c:pt>
                <c:pt idx="13">
                  <c:v>Downstream transportation &amp; distribution
[Patient Visits &amp; Telehealth]</c:v>
                </c:pt>
                <c:pt idx="14">
                  <c:v>Use of sold products</c:v>
                </c:pt>
                <c:pt idx="15">
                  <c:v>Downstream leased assets</c:v>
                </c:pt>
                <c:pt idx="16">
                  <c:v>Investments</c:v>
                </c:pt>
              </c:strCache>
            </c:strRef>
          </c:cat>
          <c:val>
            <c:numRef>
              <c:f>'Results &amp; Summary'!$N$8:$N$24</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F807-45BD-BAED-7A8595D1A429}"/>
            </c:ext>
          </c:extLst>
        </c:ser>
        <c:dLbls>
          <c:showLegendKey val="0"/>
          <c:showVal val="0"/>
          <c:showCatName val="0"/>
          <c:showSerName val="0"/>
          <c:showPercent val="0"/>
          <c:showBubbleSize val="0"/>
        </c:dLbls>
        <c:gapWidth val="182"/>
        <c:axId val="205998336"/>
        <c:axId val="206004224"/>
        <c:extLst/>
      </c:barChart>
      <c:catAx>
        <c:axId val="20599833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10000"/>
                  </a:schemeClr>
                </a:solidFill>
                <a:latin typeface="+mn-lt"/>
                <a:ea typeface="+mn-ea"/>
                <a:cs typeface="+mn-cs"/>
              </a:defRPr>
            </a:pPr>
            <a:endParaRPr lang="en-US"/>
          </a:p>
        </c:txPr>
        <c:crossAx val="206004224"/>
        <c:crosses val="autoZero"/>
        <c:auto val="1"/>
        <c:lblAlgn val="ctr"/>
        <c:lblOffset val="100"/>
        <c:noMultiLvlLbl val="0"/>
      </c:catAx>
      <c:valAx>
        <c:axId val="20600422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9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69000541496777E-2"/>
          <c:y val="1.313908502138071E-2"/>
          <c:w val="0.96602104993432503"/>
          <c:h val="0.82535289718802884"/>
        </c:manualLayout>
      </c:layout>
      <c:ofPieChart>
        <c:ofPieType val="pie"/>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14-4FEA-BE60-2573B6CF3E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14-4FEA-BE60-2573B6CF3E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14-4FEA-BE60-2573B6CF3E9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14-4FEA-BE60-2573B6CF3E9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14-4FEA-BE60-2573B6CF3E9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14-4FEA-BE60-2573B6CF3E9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14-4FEA-BE60-2573B6CF3E97}"/>
              </c:ext>
            </c:extLst>
          </c:dPt>
          <c:dLbls>
            <c:numFmt formatCode="0.0%;\-0;;@\," sourceLinked="0"/>
            <c:spPr>
              <a:solidFill>
                <a:srgbClr val="FFFFFF"/>
              </a:solidFill>
              <a:ln>
                <a:solidFill>
                  <a:srgbClr val="343A3C">
                    <a:lumMod val="50000"/>
                    <a:lumOff val="50000"/>
                  </a:srgbClr>
                </a:solid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ext>
            </c:extLst>
          </c:dLbls>
          <c:cat>
            <c:strRef>
              <c:extLst>
                <c:ext xmlns:c15="http://schemas.microsoft.com/office/drawing/2012/chart" uri="{02D57815-91ED-43cb-92C2-25804820EDAC}">
                  <c15:fullRef>
                    <c15:sqref>'Results &amp; Summary'!$Q$8:$Q$22</c15:sqref>
                  </c15:fullRef>
                </c:ext>
              </c:extLst>
              <c:f>'Results &amp; Summary'!$Q$8:$Q$13</c:f>
              <c:strCache>
                <c:ptCount val="6"/>
                <c:pt idx="0">
                  <c:v>Stationary combustion</c:v>
                </c:pt>
                <c:pt idx="1">
                  <c:v>Mobile combustion</c:v>
                </c:pt>
                <c:pt idx="2">
                  <c:v>Refrigerants and fire suppression</c:v>
                </c:pt>
                <c:pt idx="3">
                  <c:v>Inhaled anesthetic gases</c:v>
                </c:pt>
                <c:pt idx="4">
                  <c:v>Purchased electricity</c:v>
                </c:pt>
                <c:pt idx="5">
                  <c:v>Purchased steam, hot and chilled water</c:v>
                </c:pt>
              </c:strCache>
            </c:strRef>
          </c:cat>
          <c:val>
            <c:numRef>
              <c:extLst>
                <c:ext xmlns:c15="http://schemas.microsoft.com/office/drawing/2012/chart" uri="{02D57815-91ED-43cb-92C2-25804820EDAC}">
                  <c15:fullRef>
                    <c15:sqref>'Results &amp; Summary'!$R$8:$R$22</c15:sqref>
                  </c15:fullRef>
                </c:ext>
              </c:extLst>
              <c:f>'Results &amp; Summary'!$R$8:$R$13</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5714-4FEA-BE60-2573B6CF3E97}"/>
            </c:ext>
          </c:extLst>
        </c:ser>
        <c:dLbls>
          <c:dLblPos val="inEnd"/>
          <c:showLegendKey val="0"/>
          <c:showVal val="0"/>
          <c:showCatName val="0"/>
          <c:showSerName val="0"/>
          <c:showPercent val="0"/>
          <c:showBubbleSize val="0"/>
          <c:showLeaderLines val="0"/>
        </c:dLbls>
        <c:gapWidth val="100"/>
        <c:splitType val="percent"/>
        <c:splitPos val="8"/>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7721138193793263E-3"/>
          <c:y val="0.83517414367024589"/>
          <c:w val="0.98106096255603925"/>
          <c:h val="0.14895883611866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r>
              <a:rPr lang="en-US" sz="1800" b="1" i="0" baseline="0">
                <a:solidFill>
                  <a:schemeClr val="bg2">
                    <a:lumMod val="25000"/>
                  </a:schemeClr>
                </a:solidFill>
                <a:effectLst/>
              </a:rPr>
              <a:t>Scope 3 GHG Emissions by Category</a:t>
            </a:r>
            <a:endParaRPr lang="en-US">
              <a:solidFill>
                <a:schemeClr val="bg2">
                  <a:lumMod val="25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endParaRPr lang="en-US"/>
        </a:p>
      </c:txPr>
    </c:title>
    <c:autoTitleDeleted val="0"/>
    <c:plotArea>
      <c:layout>
        <c:manualLayout>
          <c:layoutTarget val="inner"/>
          <c:xMode val="edge"/>
          <c:yMode val="edge"/>
          <c:x val="0.42088890474519908"/>
          <c:y val="0.22557685278134937"/>
          <c:w val="0.53591685479517936"/>
          <c:h val="0.74891589618457532"/>
        </c:manualLayout>
      </c:layout>
      <c:barChart>
        <c:barDir val="bar"/>
        <c:grouping val="clustered"/>
        <c:varyColors val="1"/>
        <c:ser>
          <c:idx val="0"/>
          <c:order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c:spPr>
          <c:invertIfNegative val="0"/>
          <c:dPt>
            <c:idx val="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1-F545-48CE-A5C7-76FD62DFB124}"/>
              </c:ext>
            </c:extLst>
          </c:dPt>
          <c:dPt>
            <c:idx val="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3-F545-48CE-A5C7-76FD62DFB124}"/>
              </c:ext>
            </c:extLst>
          </c:dPt>
          <c:dPt>
            <c:idx val="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5-F545-48CE-A5C7-76FD62DFB124}"/>
              </c:ext>
            </c:extLst>
          </c:dPt>
          <c:dPt>
            <c:idx val="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7-F545-48CE-A5C7-76FD62DFB124}"/>
              </c:ext>
            </c:extLst>
          </c:dPt>
          <c:dPt>
            <c:idx val="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9-F545-48CE-A5C7-76FD62DFB124}"/>
              </c:ext>
            </c:extLst>
          </c:dPt>
          <c:dPt>
            <c:idx val="5"/>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B-F545-48CE-A5C7-76FD62DFB124}"/>
              </c:ext>
            </c:extLst>
          </c:dPt>
          <c:dPt>
            <c:idx val="6"/>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D-F545-48CE-A5C7-76FD62DFB124}"/>
              </c:ext>
            </c:extLst>
          </c:dPt>
          <c:dPt>
            <c:idx val="7"/>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F-F545-48CE-A5C7-76FD62DFB124}"/>
              </c:ext>
            </c:extLst>
          </c:dPt>
          <c:dPt>
            <c:idx val="8"/>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1-F545-48CE-A5C7-76FD62DFB124}"/>
              </c:ext>
            </c:extLst>
          </c:dPt>
          <c:dPt>
            <c:idx val="9"/>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3-F545-48CE-A5C7-76FD62DFB124}"/>
              </c:ext>
            </c:extLst>
          </c:dPt>
          <c:dPt>
            <c:idx val="1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5-F545-48CE-A5C7-76FD62DFB124}"/>
              </c:ext>
            </c:extLst>
          </c:dPt>
          <c:dPt>
            <c:idx val="1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7-F545-48CE-A5C7-76FD62DFB124}"/>
              </c:ext>
            </c:extLst>
          </c:dPt>
          <c:dPt>
            <c:idx val="1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9-F545-48CE-A5C7-76FD62DFB124}"/>
              </c:ext>
            </c:extLst>
          </c:dPt>
          <c:dPt>
            <c:idx val="1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B-F545-48CE-A5C7-76FD62DFB124}"/>
              </c:ext>
            </c:extLst>
          </c:dPt>
          <c:dPt>
            <c:idx val="1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D-F545-48CE-A5C7-76FD62DFB124}"/>
              </c:ext>
            </c:extLst>
          </c:dPt>
          <c:cat>
            <c:strRef>
              <c:f>'Scope 3 Summary'!$D$20:$D$34</c:f>
              <c:strCache>
                <c:ptCount val="15"/>
                <c:pt idx="0">
                  <c:v>Purchased goods &amp; services</c:v>
                </c:pt>
                <c:pt idx="1">
                  <c:v>Capital goods</c:v>
                </c:pt>
                <c:pt idx="2">
                  <c:v>Fuel- &amp; energy-related emissions</c:v>
                </c:pt>
                <c:pt idx="3">
                  <c:v>Upstream transportation &amp; distribution</c:v>
                </c:pt>
                <c:pt idx="4">
                  <c:v>Waste generated in operations</c:v>
                </c:pt>
                <c:pt idx="5">
                  <c:v>Business travel</c:v>
                </c:pt>
                <c:pt idx="6">
                  <c:v>Employee commuting</c:v>
                </c:pt>
                <c:pt idx="7">
                  <c:v>Upstream leased assets</c:v>
                </c:pt>
                <c:pt idx="8">
                  <c:v>Downstream transportation &amp; distribution
[Patient Visits &amp; Telehealth]</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'Scope 3 Summary'!$E$20:$E$34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F545-48CE-A5C7-76FD62DFB124}"/>
            </c:ext>
          </c:extLst>
        </c:ser>
        <c:dLbls>
          <c:showLegendKey val="0"/>
          <c:showVal val="0"/>
          <c:showCatName val="0"/>
          <c:showSerName val="0"/>
          <c:showPercent val="0"/>
          <c:showBubbleSize val="0"/>
        </c:dLbls>
        <c:gapWidth val="30"/>
        <c:axId val="1051930632"/>
        <c:axId val="1051926040"/>
      </c:barChart>
      <c:catAx>
        <c:axId val="1051930632"/>
        <c:scaling>
          <c:orientation val="maxMin"/>
        </c:scaling>
        <c:delete val="0"/>
        <c:axPos val="l"/>
        <c:title>
          <c:tx>
            <c:rich>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r>
                  <a:rPr lang="en-US" sz="1600" b="1" i="0" u="none" strike="noStrike" kern="1200" spc="0" baseline="0">
                    <a:solidFill>
                      <a:schemeClr val="bg2">
                        <a:lumMod val="25000"/>
                      </a:schemeClr>
                    </a:solidFill>
                    <a:effectLst/>
                    <a:latin typeface="+mn-lt"/>
                    <a:ea typeface="+mn-ea"/>
                    <a:cs typeface="+mn-cs"/>
                  </a:rPr>
                  <a:t>Scope 3 Category</a:t>
                </a:r>
              </a:p>
            </c:rich>
          </c:tx>
          <c:layout>
            <c:manualLayout>
              <c:xMode val="edge"/>
              <c:yMode val="edge"/>
              <c:x val="2.7312053724702304E-2"/>
              <c:y val="0.38735855526345869"/>
            </c:manualLayout>
          </c:layout>
          <c:overlay val="0"/>
          <c:spPr>
            <a:noFill/>
            <a:ln>
              <a:noFill/>
            </a:ln>
            <a:effectLst/>
          </c:spPr>
          <c:txPr>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26040"/>
        <c:crosses val="autoZero"/>
        <c:auto val="1"/>
        <c:lblAlgn val="ctr"/>
        <c:lblOffset val="100"/>
        <c:noMultiLvlLbl val="0"/>
      </c:catAx>
      <c:valAx>
        <c:axId val="10519260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r>
                  <a:rPr lang="en-US" sz="1100" b="1">
                    <a:solidFill>
                      <a:schemeClr val="bg2">
                        <a:lumMod val="25000"/>
                      </a:schemeClr>
                    </a:solidFill>
                  </a:rPr>
                  <a:t>Scope 3 GHG emissions (MTCO2e)</a:t>
                </a:r>
              </a:p>
            </c:rich>
          </c:tx>
          <c:layout>
            <c:manualLayout>
              <c:xMode val="edge"/>
              <c:yMode val="edge"/>
              <c:x val="0.50833722583724072"/>
              <c:y val="0.1185680006514665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alpha val="95000"/>
              </a:schemeClr>
            </a:solidFill>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306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hyperlink" Target="#'inventory year and inflation'!A1"/><Relationship Id="rId2" Type="http://schemas.openxmlformats.org/officeDocument/2006/relationships/hyperlink" Target="#'Scope 3 Summary'!A1"/><Relationship Id="rId1" Type="http://schemas.openxmlformats.org/officeDocument/2006/relationships/hyperlink" Target="#Summary!A1"/><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hyperlink" Target="#'Reporting Year &amp; Inflation Adj.'!A1"/></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Summary!A1"/><Relationship Id="rId1" Type="http://schemas.openxmlformats.org/officeDocument/2006/relationships/chart" Target="../charts/chart4.xml"/><Relationship Id="rId4"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9.jpeg"/><Relationship Id="rId7" Type="http://schemas.openxmlformats.org/officeDocument/2006/relationships/image" Target="../media/image10.pn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1717863</xdr:colOff>
      <xdr:row>0</xdr:row>
      <xdr:rowOff>49737</xdr:rowOff>
    </xdr:from>
    <xdr:to>
      <xdr:col>2</xdr:col>
      <xdr:colOff>1763557</xdr:colOff>
      <xdr:row>0</xdr:row>
      <xdr:rowOff>1246841</xdr:rowOff>
    </xdr:to>
    <xdr:pic>
      <xdr:nvPicPr>
        <xdr:cNvPr id="2" name="Imagen 1">
          <a:extLst>
            <a:ext uri="{FF2B5EF4-FFF2-40B4-BE49-F238E27FC236}">
              <a16:creationId xmlns:a16="http://schemas.microsoft.com/office/drawing/2014/main" id="{8274735B-8C6A-459E-879C-CDA0C4DDD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688" y="49737"/>
          <a:ext cx="1998319" cy="1197104"/>
        </a:xfrm>
        <a:prstGeom prst="rect">
          <a:avLst/>
        </a:prstGeom>
      </xdr:spPr>
    </xdr:pic>
    <xdr:clientData/>
  </xdr:twoCellAnchor>
  <xdr:twoCellAnchor editAs="oneCell">
    <xdr:from>
      <xdr:col>1</xdr:col>
      <xdr:colOff>97117</xdr:colOff>
      <xdr:row>0</xdr:row>
      <xdr:rowOff>13074</xdr:rowOff>
    </xdr:from>
    <xdr:to>
      <xdr:col>1</xdr:col>
      <xdr:colOff>1326897</xdr:colOff>
      <xdr:row>0</xdr:row>
      <xdr:rowOff>1236504</xdr:rowOff>
    </xdr:to>
    <xdr:pic>
      <xdr:nvPicPr>
        <xdr:cNvPr id="3" name="Imagen 2">
          <a:extLst>
            <a:ext uri="{FF2B5EF4-FFF2-40B4-BE49-F238E27FC236}">
              <a16:creationId xmlns:a16="http://schemas.microsoft.com/office/drawing/2014/main" id="{46FAEA96-304C-463A-8A44-50FA3FE974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13074"/>
          <a:ext cx="1229780" cy="1223430"/>
        </a:xfrm>
        <a:prstGeom prst="rect">
          <a:avLst/>
        </a:prstGeom>
      </xdr:spPr>
    </xdr:pic>
    <xdr:clientData/>
  </xdr:twoCellAnchor>
  <xdr:twoCellAnchor editAs="oneCell">
    <xdr:from>
      <xdr:col>2</xdr:col>
      <xdr:colOff>1893095</xdr:colOff>
      <xdr:row>0</xdr:row>
      <xdr:rowOff>83346</xdr:rowOff>
    </xdr:from>
    <xdr:to>
      <xdr:col>2</xdr:col>
      <xdr:colOff>3131721</xdr:colOff>
      <xdr:row>0</xdr:row>
      <xdr:rowOff>1143001</xdr:rowOff>
    </xdr:to>
    <xdr:pic>
      <xdr:nvPicPr>
        <xdr:cNvPr id="4" name="Picture 3">
          <a:extLst>
            <a:ext uri="{FF2B5EF4-FFF2-40B4-BE49-F238E27FC236}">
              <a16:creationId xmlns:a16="http://schemas.microsoft.com/office/drawing/2014/main" id="{04F02F08-0A64-4366-8623-7EFE603533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0545" y="83346"/>
          <a:ext cx="1238626" cy="10596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511812</xdr:colOff>
      <xdr:row>13</xdr:row>
      <xdr:rowOff>295274</xdr:rowOff>
    </xdr:from>
    <xdr:to>
      <xdr:col>9</xdr:col>
      <xdr:colOff>189313</xdr:colOff>
      <xdr:row>14</xdr:row>
      <xdr:rowOff>1202055</xdr:rowOff>
    </xdr:to>
    <xdr:pic>
      <xdr:nvPicPr>
        <xdr:cNvPr id="7" name="Picture 1">
          <a:extLst>
            <a:ext uri="{FF2B5EF4-FFF2-40B4-BE49-F238E27FC236}">
              <a16:creationId xmlns:a16="http://schemas.microsoft.com/office/drawing/2014/main" id="{91AAED05-21D9-B948-008F-4CD17FFD5392}"/>
            </a:ext>
          </a:extLst>
        </xdr:cNvPr>
        <xdr:cNvPicPr>
          <a:picLocks noChangeAspect="1"/>
        </xdr:cNvPicPr>
      </xdr:nvPicPr>
      <xdr:blipFill rotWithShape="1">
        <a:blip xmlns:r="http://schemas.openxmlformats.org/officeDocument/2006/relationships" r:embed="rId1"/>
        <a:srcRect l="549"/>
        <a:stretch>
          <a:fillRect/>
        </a:stretch>
      </xdr:blipFill>
      <xdr:spPr>
        <a:xfrm>
          <a:off x="5664837" y="3619499"/>
          <a:ext cx="3969466" cy="2247901"/>
        </a:xfrm>
        <a:prstGeom prst="rect">
          <a:avLst/>
        </a:prstGeom>
        <a:ln>
          <a:noFill/>
        </a:ln>
        <a:effectLst>
          <a:outerShdw blurRad="190500" algn="tl" rotWithShape="0">
            <a:srgbClr val="000000">
              <a:alpha val="7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152400</xdr:rowOff>
    </xdr:from>
    <xdr:to>
      <xdr:col>4</xdr:col>
      <xdr:colOff>0</xdr:colOff>
      <xdr:row>7</xdr:row>
      <xdr:rowOff>76199</xdr:rowOff>
    </xdr:to>
    <xdr:sp macro="" textlink="">
      <xdr:nvSpPr>
        <xdr:cNvPr id="2" name="Rectangle: Rounded Corners 4">
          <a:hlinkClick xmlns:r="http://schemas.openxmlformats.org/officeDocument/2006/relationships" r:id="rId1"/>
          <a:extLst>
            <a:ext uri="{FF2B5EF4-FFF2-40B4-BE49-F238E27FC236}">
              <a16:creationId xmlns:a16="http://schemas.microsoft.com/office/drawing/2014/main" id="{6BBEE006-A4E2-44BC-B5BA-D5B81E676E4D}"/>
            </a:ext>
          </a:extLst>
        </xdr:cNvPr>
        <xdr:cNvSpPr/>
      </xdr:nvSpPr>
      <xdr:spPr>
        <a:xfrm>
          <a:off x="6905625" y="333375"/>
          <a:ext cx="0" cy="100964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4</xdr:col>
      <xdr:colOff>2770592</xdr:colOff>
      <xdr:row>1</xdr:row>
      <xdr:rowOff>153085</xdr:rowOff>
    </xdr:from>
    <xdr:to>
      <xdr:col>4</xdr:col>
      <xdr:colOff>4207350</xdr:colOff>
      <xdr:row>7</xdr:row>
      <xdr:rowOff>76884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B92A905-34F0-4FCA-AA7B-B1C7A4F7241E}"/>
            </a:ext>
          </a:extLst>
        </xdr:cNvPr>
        <xdr:cNvSpPr/>
      </xdr:nvSpPr>
      <xdr:spPr>
        <a:xfrm>
          <a:off x="9676217" y="334060"/>
          <a:ext cx="1436758" cy="1009649"/>
        </a:xfrm>
        <a:prstGeom prst="roundRect">
          <a:avLst/>
        </a:prstGeom>
        <a:solidFill>
          <a:srgbClr val="00B0F0"/>
        </a:solidFill>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3</xdr:col>
      <xdr:colOff>1524000</xdr:colOff>
      <xdr:row>0</xdr:row>
      <xdr:rowOff>158751</xdr:rowOff>
    </xdr:from>
    <xdr:to>
      <xdr:col>4</xdr:col>
      <xdr:colOff>1467279</xdr:colOff>
      <xdr:row>8</xdr:row>
      <xdr:rowOff>63502</xdr:rowOff>
    </xdr:to>
    <xdr:grpSp>
      <xdr:nvGrpSpPr>
        <xdr:cNvPr id="4" name="Group 3">
          <a:hlinkClick xmlns:r="http://schemas.openxmlformats.org/officeDocument/2006/relationships" r:id="rId3"/>
          <a:extLst>
            <a:ext uri="{FF2B5EF4-FFF2-40B4-BE49-F238E27FC236}">
              <a16:creationId xmlns:a16="http://schemas.microsoft.com/office/drawing/2014/main" id="{89EAE8E9-5E82-46CC-BE6A-5AB69A9B0D90}"/>
            </a:ext>
          </a:extLst>
        </xdr:cNvPr>
        <xdr:cNvGrpSpPr/>
      </xdr:nvGrpSpPr>
      <xdr:grpSpPr>
        <a:xfrm>
          <a:off x="6117167" y="158751"/>
          <a:ext cx="2239862" cy="1344084"/>
          <a:chOff x="657225" y="4024619"/>
          <a:chExt cx="2743200" cy="446447"/>
        </a:xfrm>
      </xdr:grpSpPr>
      <xdr:sp macro="" textlink="">
        <xdr:nvSpPr>
          <xdr:cNvPr id="5" name="Rectangle: Rounded Corners 4">
            <a:extLst>
              <a:ext uri="{FF2B5EF4-FFF2-40B4-BE49-F238E27FC236}">
                <a16:creationId xmlns:a16="http://schemas.microsoft.com/office/drawing/2014/main" id="{B903EA4F-9506-C32E-B307-411C01255319}"/>
              </a:ext>
            </a:extLst>
          </xdr:cNvPr>
          <xdr:cNvSpPr/>
        </xdr:nvSpPr>
        <xdr:spPr>
          <a:xfrm>
            <a:off x="657225" y="4057650"/>
            <a:ext cx="2743200" cy="390525"/>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solidFill>
                <a:srgbClr val="0000FF"/>
              </a:solidFill>
            </a:endParaRPr>
          </a:p>
        </xdr:txBody>
      </xdr:sp>
      <xdr:sp macro="" textlink="">
        <xdr:nvSpPr>
          <xdr:cNvPr id="6" name="TextBox 5">
            <a:hlinkClick xmlns:r="http://schemas.openxmlformats.org/officeDocument/2006/relationships" r:id="rId4"/>
            <a:extLst>
              <a:ext uri="{FF2B5EF4-FFF2-40B4-BE49-F238E27FC236}">
                <a16:creationId xmlns:a16="http://schemas.microsoft.com/office/drawing/2014/main" id="{A070D24F-DD54-C57E-EDFA-12C262EED0C4}"/>
              </a:ext>
            </a:extLst>
          </xdr:cNvPr>
          <xdr:cNvSpPr txBox="1"/>
        </xdr:nvSpPr>
        <xdr:spPr>
          <a:xfrm>
            <a:off x="870141" y="4024619"/>
            <a:ext cx="2333911" cy="44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1">
                <a:solidFill>
                  <a:srgbClr val="0000FF"/>
                </a:solidFill>
              </a:rPr>
              <a:t>CLICK</a:t>
            </a:r>
            <a:r>
              <a:rPr lang="en-US" sz="1400" b="1" i="1" baseline="0">
                <a:solidFill>
                  <a:srgbClr val="0000FF"/>
                </a:solidFill>
              </a:rPr>
              <a:t> HERE</a:t>
            </a:r>
            <a:br>
              <a:rPr lang="en-US" sz="1400" b="1" i="1" baseline="0">
                <a:solidFill>
                  <a:srgbClr val="0000FF"/>
                </a:solidFill>
              </a:rPr>
            </a:br>
            <a:endParaRPr lang="en-US" sz="1400" b="1" i="1" baseline="0">
              <a:solidFill>
                <a:srgbClr val="0000FF"/>
              </a:solidFill>
            </a:endParaRPr>
          </a:p>
          <a:p>
            <a:pPr algn="ctr"/>
            <a:r>
              <a:rPr lang="en-US" sz="1400" b="1" i="1" baseline="0">
                <a:solidFill>
                  <a:srgbClr val="0000FF"/>
                </a:solidFill>
              </a:rPr>
              <a:t>To s</a:t>
            </a:r>
            <a:r>
              <a:rPr lang="en-US" sz="1400" b="1" i="1">
                <a:solidFill>
                  <a:srgbClr val="0000FF"/>
                </a:solidFill>
              </a:rPr>
              <a:t>et inventory reporting year and correct for inflation </a:t>
            </a:r>
          </a:p>
        </xdr:txBody>
      </xdr:sp>
    </xdr:grpSp>
    <xdr:clientData/>
  </xdr:twoCellAnchor>
  <xdr:twoCellAnchor editAs="oneCell">
    <xdr:from>
      <xdr:col>2</xdr:col>
      <xdr:colOff>1390674</xdr:colOff>
      <xdr:row>0</xdr:row>
      <xdr:rowOff>158750</xdr:rowOff>
    </xdr:from>
    <xdr:to>
      <xdr:col>2</xdr:col>
      <xdr:colOff>2751668</xdr:colOff>
      <xdr:row>8</xdr:row>
      <xdr:rowOff>41602</xdr:rowOff>
    </xdr:to>
    <xdr:pic>
      <xdr:nvPicPr>
        <xdr:cNvPr id="7" name="Picture 6" descr="Homepage">
          <a:extLst>
            <a:ext uri="{FF2B5EF4-FFF2-40B4-BE49-F238E27FC236}">
              <a16:creationId xmlns:a16="http://schemas.microsoft.com/office/drawing/2014/main" id="{D4E4605A-EAF1-4C52-9003-45FE90EA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49" y="158750"/>
          <a:ext cx="1360994" cy="133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52917</xdr:colOff>
      <xdr:row>1</xdr:row>
      <xdr:rowOff>170897</xdr:rowOff>
    </xdr:from>
    <xdr:to>
      <xdr:col>2</xdr:col>
      <xdr:colOff>1041828</xdr:colOff>
      <xdr:row>7</xdr:row>
      <xdr:rowOff>71362</xdr:rowOff>
    </xdr:to>
    <xdr:pic>
      <xdr:nvPicPr>
        <xdr:cNvPr id="8" name="Picture 4" descr="ENGIE Launches ENGIE Impact to Bridge Sustainability Expertise and ...">
          <a:extLst>
            <a:ext uri="{FF2B5EF4-FFF2-40B4-BE49-F238E27FC236}">
              <a16:creationId xmlns:a16="http://schemas.microsoft.com/office/drawing/2014/main" id="{8C99D166-301F-48AB-B79E-FDE51DBE72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467" y="351872"/>
          <a:ext cx="1531836" cy="98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190500</xdr:colOff>
      <xdr:row>11</xdr:row>
      <xdr:rowOff>110067</xdr:rowOff>
    </xdr:from>
    <xdr:to>
      <xdr:col>19</xdr:col>
      <xdr:colOff>480483</xdr:colOff>
      <xdr:row>36</xdr:row>
      <xdr:rowOff>5291</xdr:rowOff>
    </xdr:to>
    <xdr:graphicFrame macro="">
      <xdr:nvGraphicFramePr>
        <xdr:cNvPr id="2" name="Chart 1">
          <a:extLst>
            <a:ext uri="{FF2B5EF4-FFF2-40B4-BE49-F238E27FC236}">
              <a16:creationId xmlns:a16="http://schemas.microsoft.com/office/drawing/2014/main" id="{31B87B83-3BC7-4F80-A2E1-FDE7B72FB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8</xdr:row>
      <xdr:rowOff>152400</xdr:rowOff>
    </xdr:from>
    <xdr:to>
      <xdr:col>5</xdr:col>
      <xdr:colOff>0</xdr:colOff>
      <xdr:row>9</xdr:row>
      <xdr:rowOff>0</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6808251C-3420-4EBC-BF27-E3705A6446B7}"/>
            </a:ext>
          </a:extLst>
        </xdr:cNvPr>
        <xdr:cNvSpPr/>
      </xdr:nvSpPr>
      <xdr:spPr>
        <a:xfrm>
          <a:off x="4981575" y="1600200"/>
          <a:ext cx="0" cy="28575"/>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editAs="oneCell">
    <xdr:from>
      <xdr:col>3</xdr:col>
      <xdr:colOff>1023616</xdr:colOff>
      <xdr:row>0</xdr:row>
      <xdr:rowOff>101876</xdr:rowOff>
    </xdr:from>
    <xdr:to>
      <xdr:col>3</xdr:col>
      <xdr:colOff>2460732</xdr:colOff>
      <xdr:row>8</xdr:row>
      <xdr:rowOff>59393</xdr:rowOff>
    </xdr:to>
    <xdr:pic>
      <xdr:nvPicPr>
        <xdr:cNvPr id="4" name="Picture 3" descr="Homepage">
          <a:extLst>
            <a:ext uri="{FF2B5EF4-FFF2-40B4-BE49-F238E27FC236}">
              <a16:creationId xmlns:a16="http://schemas.microsoft.com/office/drawing/2014/main" id="{C765EB64-8AE1-4212-AA3D-6C1F169843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8566" y="101876"/>
          <a:ext cx="1442831" cy="141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514322</xdr:colOff>
      <xdr:row>1</xdr:row>
      <xdr:rowOff>136884</xdr:rowOff>
    </xdr:from>
    <xdr:to>
      <xdr:col>3</xdr:col>
      <xdr:colOff>713293</xdr:colOff>
      <xdr:row>7</xdr:row>
      <xdr:rowOff>50049</xdr:rowOff>
    </xdr:to>
    <xdr:pic>
      <xdr:nvPicPr>
        <xdr:cNvPr id="5" name="Picture 4" descr="ENGIE Launches ENGIE Impact to Bridge Sustainability Expertise and ...">
          <a:extLst>
            <a:ext uri="{FF2B5EF4-FFF2-40B4-BE49-F238E27FC236}">
              <a16:creationId xmlns:a16="http://schemas.microsoft.com/office/drawing/2014/main" id="{F4CF86CD-93A9-4326-97E6-BCB3004C92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392" y="323574"/>
          <a:ext cx="1528661" cy="98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37622</xdr:colOff>
      <xdr:row>17</xdr:row>
      <xdr:rowOff>3311</xdr:rowOff>
    </xdr:from>
    <xdr:to>
      <xdr:col>1</xdr:col>
      <xdr:colOff>2854614</xdr:colOff>
      <xdr:row>22</xdr:row>
      <xdr:rowOff>841231</xdr:rowOff>
    </xdr:to>
    <mc:AlternateContent xmlns:mc="http://schemas.openxmlformats.org/markup-compatibility/2006" xmlns:sle15="http://schemas.microsoft.com/office/drawing/2012/slicer">
      <mc:Choice Requires="sle15">
        <xdr:graphicFrame macro="">
          <xdr:nvGraphicFramePr>
            <xdr:cNvPr id="2" name="Category 1">
              <a:extLst>
                <a:ext uri="{FF2B5EF4-FFF2-40B4-BE49-F238E27FC236}">
                  <a16:creationId xmlns:a16="http://schemas.microsoft.com/office/drawing/2014/main" id="{32110D01-ECEE-46DE-BFAF-1AC402B281FF}"/>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37622" y="3900418"/>
              <a:ext cx="5470657" cy="47278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72346</xdr:colOff>
      <xdr:row>22</xdr:row>
      <xdr:rowOff>1106521</xdr:rowOff>
    </xdr:from>
    <xdr:to>
      <xdr:col>1</xdr:col>
      <xdr:colOff>2853695</xdr:colOff>
      <xdr:row>27</xdr:row>
      <xdr:rowOff>611869</xdr:rowOff>
    </xdr:to>
    <mc:AlternateContent xmlns:mc="http://schemas.openxmlformats.org/markup-compatibility/2006" xmlns:sle15="http://schemas.microsoft.com/office/drawing/2012/slicer">
      <mc:Choice Requires="sle15">
        <xdr:graphicFrame macro="">
          <xdr:nvGraphicFramePr>
            <xdr:cNvPr id="3" name="Sub-category 2">
              <a:extLst>
                <a:ext uri="{FF2B5EF4-FFF2-40B4-BE49-F238E27FC236}">
                  <a16:creationId xmlns:a16="http://schemas.microsoft.com/office/drawing/2014/main" id="{F34C50B8-BA76-4A13-A388-5DC12958F18B}"/>
                </a:ext>
              </a:extLst>
            </xdr:cNvPr>
            <xdr:cNvGraphicFramePr/>
          </xdr:nvGraphicFramePr>
          <xdr:xfrm>
            <a:off x="0" y="0"/>
            <a:ext cx="0" cy="0"/>
          </xdr:xfrm>
          <a:graphic>
            <a:graphicData uri="http://schemas.microsoft.com/office/drawing/2010/slicer">
              <sle:slicer xmlns:sle="http://schemas.microsoft.com/office/drawing/2010/slicer" name="Sub-category 2"/>
            </a:graphicData>
          </a:graphic>
        </xdr:graphicFrame>
      </mc:Choice>
      <mc:Fallback xmlns="">
        <xdr:sp macro="" textlink="">
          <xdr:nvSpPr>
            <xdr:cNvPr id="0" name=""/>
            <xdr:cNvSpPr>
              <a:spLocks noTextEdit="1"/>
            </xdr:cNvSpPr>
          </xdr:nvSpPr>
          <xdr:spPr>
            <a:xfrm>
              <a:off x="64726" y="8913897"/>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11207</xdr:colOff>
      <xdr:row>8</xdr:row>
      <xdr:rowOff>78443</xdr:rowOff>
    </xdr:from>
    <xdr:to>
      <xdr:col>12</xdr:col>
      <xdr:colOff>0</xdr:colOff>
      <xdr:row>15</xdr:row>
      <xdr:rowOff>67236</xdr:rowOff>
    </xdr:to>
    <xdr:sp macro="" textlink="">
      <xdr:nvSpPr>
        <xdr:cNvPr id="4" name="TextBox 3">
          <a:extLst>
            <a:ext uri="{FF2B5EF4-FFF2-40B4-BE49-F238E27FC236}">
              <a16:creationId xmlns:a16="http://schemas.microsoft.com/office/drawing/2014/main" id="{A5960463-D355-48FB-8AD5-DA7023FCF298}"/>
            </a:ext>
          </a:extLst>
        </xdr:cNvPr>
        <xdr:cNvSpPr txBox="1"/>
      </xdr:nvSpPr>
      <xdr:spPr>
        <a:xfrm>
          <a:off x="11207" y="1647267"/>
          <a:ext cx="26378646" cy="129988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t>Purchased Goods and Services</a:t>
          </a:r>
          <a:r>
            <a:rPr lang="en-US" sz="1100" i="0" baseline="0"/>
            <a:t>: In</a:t>
          </a:r>
          <a:r>
            <a:rPr lang="en-US" sz="1100" b="0" i="0" u="none" strike="noStrike" baseline="0">
              <a:solidFill>
                <a:schemeClr val="dk1"/>
              </a:solidFill>
              <a:latin typeface="+mn-lt"/>
              <a:ea typeface="+mn-ea"/>
              <a:cs typeface="+mn-cs"/>
            </a:rPr>
            <a:t>cludes all upstream emissions from the production of products purchased or acquired by the reporting company in the reporting year. Products include both goods (tangible products) and services (intangible products).</a:t>
          </a:r>
          <a:br>
            <a:rPr lang="en-US" sz="1100" b="0" i="0" u="none" strike="noStrike" baseline="0">
              <a:solidFill>
                <a:schemeClr val="dk1"/>
              </a:solidFill>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u="none" strike="noStrike" baseline="0">
              <a:solidFill>
                <a:schemeClr val="dk1"/>
              </a:solidFill>
              <a:latin typeface="+mn-lt"/>
              <a:ea typeface="+mn-ea"/>
              <a:cs typeface="+mn-cs"/>
            </a:rPr>
          </a:br>
          <a:br>
            <a:rPr lang="en-US" sz="1100" b="0" i="0" u="none" strike="noStrike" baseline="0">
              <a:solidFill>
                <a:schemeClr val="dk1"/>
              </a:solidFill>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"Category 1 and 2 (custom input)" tab, which allows for user input of emissions factors and totals.</a:t>
          </a:r>
          <a:endParaRPr lang="en-US">
            <a:solidFill>
              <a:srgbClr val="FF0000"/>
            </a:solidFill>
            <a:effectLst/>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17</xdr:row>
      <xdr:rowOff>224964</xdr:rowOff>
    </xdr:from>
    <xdr:to>
      <xdr:col>1</xdr:col>
      <xdr:colOff>2815087</xdr:colOff>
      <xdr:row>18</xdr:row>
      <xdr:rowOff>414843</xdr:rowOff>
    </xdr:to>
    <mc:AlternateContent xmlns:mc="http://schemas.openxmlformats.org/markup-compatibility/2006" xmlns:sle15="http://schemas.microsoft.com/office/drawing/2012/slicer">
      <mc:Choice Requires="sle15">
        <xdr:graphicFrame macro="">
          <xdr:nvGraphicFramePr>
            <xdr:cNvPr id="2" name="Category 2">
              <a:extLst>
                <a:ext uri="{FF2B5EF4-FFF2-40B4-BE49-F238E27FC236}">
                  <a16:creationId xmlns:a16="http://schemas.microsoft.com/office/drawing/2014/main" id="{56A00074-E0C4-43C3-AE35-F025BBA63680}"/>
                </a:ext>
              </a:extLst>
            </xdr:cNvPr>
            <xdr:cNvGraphicFramePr/>
          </xdr:nvGraphicFramePr>
          <xdr:xfrm>
            <a:off x="0" y="0"/>
            <a:ext cx="0" cy="0"/>
          </xdr:xfrm>
          <a:graphic>
            <a:graphicData uri="http://schemas.microsoft.com/office/drawing/2010/slicer">
              <sle:slicer xmlns:sle="http://schemas.microsoft.com/office/drawing/2010/slicer" name="Category 2"/>
            </a:graphicData>
          </a:graphic>
        </xdr:graphicFrame>
      </mc:Choice>
      <mc:Fallback xmlns="">
        <xdr:sp macro="" textlink="">
          <xdr:nvSpPr>
            <xdr:cNvPr id="0" name=""/>
            <xdr:cNvSpPr>
              <a:spLocks noTextEdit="1"/>
            </xdr:cNvSpPr>
          </xdr:nvSpPr>
          <xdr:spPr>
            <a:xfrm>
              <a:off x="0" y="4120802"/>
              <a:ext cx="5470657" cy="9106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33618</xdr:colOff>
      <xdr:row>18</xdr:row>
      <xdr:rowOff>605072</xdr:rowOff>
    </xdr:from>
    <xdr:to>
      <xdr:col>1</xdr:col>
      <xdr:colOff>2818777</xdr:colOff>
      <xdr:row>23</xdr:row>
      <xdr:rowOff>302138</xdr:rowOff>
    </xdr:to>
    <mc:AlternateContent xmlns:mc="http://schemas.openxmlformats.org/markup-compatibility/2006" xmlns:sle15="http://schemas.microsoft.com/office/drawing/2012/slicer">
      <mc:Choice Requires="sle15">
        <xdr:graphicFrame macro="">
          <xdr:nvGraphicFramePr>
            <xdr:cNvPr id="3" name="Sub-category 4">
              <a:extLst>
                <a:ext uri="{FF2B5EF4-FFF2-40B4-BE49-F238E27FC236}">
                  <a16:creationId xmlns:a16="http://schemas.microsoft.com/office/drawing/2014/main" id="{CB679D01-8506-4E01-8F79-74BE51AA41CE}"/>
                </a:ext>
              </a:extLst>
            </xdr:cNvPr>
            <xdr:cNvGraphicFramePr/>
          </xdr:nvGraphicFramePr>
          <xdr:xfrm>
            <a:off x="0" y="0"/>
            <a:ext cx="0" cy="0"/>
          </xdr:xfrm>
          <a:graphic>
            <a:graphicData uri="http://schemas.microsoft.com/office/drawing/2010/slicer">
              <sle:slicer xmlns:sle="http://schemas.microsoft.com/office/drawing/2010/slicer" name="Sub-category 4"/>
            </a:graphicData>
          </a:graphic>
        </xdr:graphicFrame>
      </mc:Choice>
      <mc:Fallback xmlns="">
        <xdr:sp macro="" textlink="">
          <xdr:nvSpPr>
            <xdr:cNvPr id="0" name=""/>
            <xdr:cNvSpPr>
              <a:spLocks noTextEdit="1"/>
            </xdr:cNvSpPr>
          </xdr:nvSpPr>
          <xdr:spPr>
            <a:xfrm>
              <a:off x="33618" y="5720221"/>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0</xdr:colOff>
      <xdr:row>7</xdr:row>
      <xdr:rowOff>145676</xdr:rowOff>
    </xdr:from>
    <xdr:to>
      <xdr:col>12</xdr:col>
      <xdr:colOff>0</xdr:colOff>
      <xdr:row>14</xdr:row>
      <xdr:rowOff>190500</xdr:rowOff>
    </xdr:to>
    <xdr:sp macro="" textlink="">
      <xdr:nvSpPr>
        <xdr:cNvPr id="5" name="TextBox 4">
          <a:extLst>
            <a:ext uri="{FF2B5EF4-FFF2-40B4-BE49-F238E27FC236}">
              <a16:creationId xmlns:a16="http://schemas.microsoft.com/office/drawing/2014/main" id="{A65CDEEF-46C9-416D-A0C0-F922ACE1872D}"/>
            </a:ext>
          </a:extLst>
        </xdr:cNvPr>
        <xdr:cNvSpPr txBox="1"/>
      </xdr:nvSpPr>
      <xdr:spPr>
        <a:xfrm>
          <a:off x="0" y="1535205"/>
          <a:ext cx="25930412" cy="1501589"/>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effectLst/>
              <a:latin typeface="+mn-lt"/>
              <a:ea typeface="+mn-ea"/>
              <a:cs typeface="+mn-cs"/>
            </a:rPr>
            <a:t>Category</a:t>
          </a:r>
          <a:r>
            <a:rPr lang="en-US" sz="1200" b="1" baseline="0">
              <a:solidFill>
                <a:srgbClr val="00B0F0"/>
              </a:solidFill>
              <a:effectLst/>
              <a:latin typeface="+mn-lt"/>
              <a:ea typeface="+mn-ea"/>
              <a:cs typeface="+mn-cs"/>
            </a:rPr>
            <a:t> Description and Emissions Methodology</a:t>
          </a:r>
          <a:endParaRPr lang="en-US" sz="1200">
            <a:solidFill>
              <a:srgbClr val="00B0F0"/>
            </a:solidFill>
            <a:effectLst/>
          </a:endParaRPr>
        </a:p>
        <a:p>
          <a:r>
            <a:rPr lang="en-US" sz="1100" b="1" i="0" baseline="0">
              <a:solidFill>
                <a:schemeClr val="dk1"/>
              </a:solidFill>
              <a:effectLst/>
              <a:latin typeface="+mn-lt"/>
              <a:ea typeface="+mn-ea"/>
              <a:cs typeface="+mn-cs"/>
            </a:rPr>
            <a:t>Capital Goods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 rather than in scope 3. </a:t>
          </a:r>
        </a:p>
        <a:p>
          <a:r>
            <a:rPr lang="en-US" sz="1100" b="0" i="0" baseline="0">
              <a:solidFill>
                <a:schemeClr val="dk1"/>
              </a:solidFill>
              <a:effectLst/>
              <a:latin typeface="+mn-lt"/>
              <a:ea typeface="+mn-ea"/>
              <a:cs typeface="+mn-cs"/>
            </a:rPr>
            <a:t>Capital goods are final products that have an extended life and are used by the company to manufacture a product; provide a service; or sell, store, and deliver merchandise. In financial accounting, capital goods are treated as fixed assets or as plant, property, and equipment (PP&amp;E). Examples of capital goods include equipment, machinery, buildings,facilities, and vehicles.</a:t>
          </a:r>
          <a:br>
            <a:rPr lang="en-US" sz="1100" b="0" i="0" baseline="0">
              <a:solidFill>
                <a:schemeClr val="dk1"/>
              </a:solidFill>
              <a:effectLst/>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baseline="0">
              <a:solidFill>
                <a:schemeClr val="dk1"/>
              </a:solidFill>
              <a:effectLst/>
              <a:latin typeface="+mn-lt"/>
              <a:ea typeface="+mn-ea"/>
              <a:cs typeface="+mn-cs"/>
            </a:rPr>
          </a:br>
          <a:br>
            <a:rPr lang="en-US" sz="1100" b="0" i="0" baseline="0">
              <a:solidFill>
                <a:schemeClr val="dk1"/>
              </a:solidFill>
              <a:effectLst/>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2 emissions, please reference the "Category 1 and 2 (custom input)" tab, which allows for user input of emissions factors and totals.</a:t>
          </a:r>
          <a:endParaRPr lang="en-US" sz="1200">
            <a:solidFill>
              <a:srgbClr val="FF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400050</xdr:colOff>
      <xdr:row>6</xdr:row>
      <xdr:rowOff>89894</xdr:rowOff>
    </xdr:from>
    <xdr:to>
      <xdr:col>8</xdr:col>
      <xdr:colOff>142875</xdr:colOff>
      <xdr:row>16</xdr:row>
      <xdr:rowOff>38423</xdr:rowOff>
    </xdr:to>
    <xdr:pic>
      <xdr:nvPicPr>
        <xdr:cNvPr id="2" name="Picture 1">
          <a:extLst>
            <a:ext uri="{FF2B5EF4-FFF2-40B4-BE49-F238E27FC236}">
              <a16:creationId xmlns:a16="http://schemas.microsoft.com/office/drawing/2014/main" id="{3D566488-2163-42BC-A045-C3BEDC070F74}"/>
            </a:ext>
          </a:extLst>
        </xdr:cNvPr>
        <xdr:cNvPicPr>
          <a:picLocks noChangeAspect="1"/>
        </xdr:cNvPicPr>
      </xdr:nvPicPr>
      <xdr:blipFill>
        <a:blip xmlns:r="http://schemas.openxmlformats.org/officeDocument/2006/relationships" r:embed="rId1"/>
        <a:stretch>
          <a:fillRect/>
        </a:stretch>
      </xdr:blipFill>
      <xdr:spPr>
        <a:xfrm>
          <a:off x="1771650" y="1290044"/>
          <a:ext cx="3857625" cy="194877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38100</xdr:colOff>
      <xdr:row>20</xdr:row>
      <xdr:rowOff>95250</xdr:rowOff>
    </xdr:from>
    <xdr:to>
      <xdr:col>7</xdr:col>
      <xdr:colOff>581675</xdr:colOff>
      <xdr:row>29</xdr:row>
      <xdr:rowOff>152659</xdr:rowOff>
    </xdr:to>
    <xdr:pic>
      <xdr:nvPicPr>
        <xdr:cNvPr id="3" name="Picture 2">
          <a:extLst>
            <a:ext uri="{FF2B5EF4-FFF2-40B4-BE49-F238E27FC236}">
              <a16:creationId xmlns:a16="http://schemas.microsoft.com/office/drawing/2014/main" id="{C4D21888-FE0A-4501-AB0D-3730C0BAB4E3}"/>
            </a:ext>
          </a:extLst>
        </xdr:cNvPr>
        <xdr:cNvPicPr>
          <a:picLocks noChangeAspect="1"/>
        </xdr:cNvPicPr>
      </xdr:nvPicPr>
      <xdr:blipFill>
        <a:blip xmlns:r="http://schemas.openxmlformats.org/officeDocument/2006/relationships" r:embed="rId2"/>
        <a:stretch>
          <a:fillRect/>
        </a:stretch>
      </xdr:blipFill>
      <xdr:spPr>
        <a:xfrm>
          <a:off x="723900" y="4095750"/>
          <a:ext cx="4658375" cy="1857634"/>
        </a:xfrm>
        <a:prstGeom prst="rect">
          <a:avLst/>
        </a:prstGeom>
        <a:ln>
          <a:noFill/>
        </a:ln>
        <a:effectLst>
          <a:outerShdw blurRad="190500" algn="tl" rotWithShape="0">
            <a:srgbClr val="000000">
              <a:alpha val="70000"/>
            </a:srgbClr>
          </a:outerShdw>
        </a:effectLst>
      </xdr:spPr>
    </xdr:pic>
    <xdr:clientData/>
  </xdr:twoCellAnchor>
  <xdr:twoCellAnchor>
    <xdr:from>
      <xdr:col>7</xdr:col>
      <xdr:colOff>314325</xdr:colOff>
      <xdr:row>20</xdr:row>
      <xdr:rowOff>95250</xdr:rowOff>
    </xdr:from>
    <xdr:to>
      <xdr:col>7</xdr:col>
      <xdr:colOff>581025</xdr:colOff>
      <xdr:row>22</xdr:row>
      <xdr:rowOff>47625</xdr:rowOff>
    </xdr:to>
    <xdr:sp macro="" textlink="">
      <xdr:nvSpPr>
        <xdr:cNvPr id="4" name="Rectangle: Rounded Corners 3">
          <a:extLst>
            <a:ext uri="{FF2B5EF4-FFF2-40B4-BE49-F238E27FC236}">
              <a16:creationId xmlns:a16="http://schemas.microsoft.com/office/drawing/2014/main" id="{96E709E3-3468-4347-8C5F-0A4C7C15B854}"/>
            </a:ext>
          </a:extLst>
        </xdr:cNvPr>
        <xdr:cNvSpPr/>
      </xdr:nvSpPr>
      <xdr:spPr>
        <a:xfrm>
          <a:off x="5114925" y="4095750"/>
          <a:ext cx="266700"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xdr:from>
      <xdr:col>5</xdr:col>
      <xdr:colOff>95250</xdr:colOff>
      <xdr:row>5</xdr:row>
      <xdr:rowOff>9525</xdr:rowOff>
    </xdr:from>
    <xdr:to>
      <xdr:col>7</xdr:col>
      <xdr:colOff>561975</xdr:colOff>
      <xdr:row>6</xdr:row>
      <xdr:rowOff>114300</xdr:rowOff>
    </xdr:to>
    <xdr:cxnSp macro="">
      <xdr:nvCxnSpPr>
        <xdr:cNvPr id="5" name="Straight Arrow Connector 4">
          <a:extLst>
            <a:ext uri="{FF2B5EF4-FFF2-40B4-BE49-F238E27FC236}">
              <a16:creationId xmlns:a16="http://schemas.microsoft.com/office/drawing/2014/main" id="{6E5C0E45-F31A-4E99-AB62-A521B2EABBAF}"/>
            </a:ext>
          </a:extLst>
        </xdr:cNvPr>
        <xdr:cNvCxnSpPr/>
      </xdr:nvCxnSpPr>
      <xdr:spPr>
        <a:xfrm>
          <a:off x="3524250" y="1009650"/>
          <a:ext cx="1838325"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581025</xdr:colOff>
      <xdr:row>20</xdr:row>
      <xdr:rowOff>0</xdr:rowOff>
    </xdr:from>
    <xdr:to>
      <xdr:col>14</xdr:col>
      <xdr:colOff>647700</xdr:colOff>
      <xdr:row>21</xdr:row>
      <xdr:rowOff>71438</xdr:rowOff>
    </xdr:to>
    <xdr:cxnSp macro="">
      <xdr:nvCxnSpPr>
        <xdr:cNvPr id="6" name="Straight Arrow Connector 5">
          <a:extLst>
            <a:ext uri="{FF2B5EF4-FFF2-40B4-BE49-F238E27FC236}">
              <a16:creationId xmlns:a16="http://schemas.microsoft.com/office/drawing/2014/main" id="{E3252D0C-0A80-42D9-84B5-9590AC836933}"/>
            </a:ext>
          </a:extLst>
        </xdr:cNvPr>
        <xdr:cNvCxnSpPr>
          <a:endCxn id="4" idx="3"/>
        </xdr:cNvCxnSpPr>
      </xdr:nvCxnSpPr>
      <xdr:spPr>
        <a:xfrm flipH="1">
          <a:off x="5381625" y="4000500"/>
          <a:ext cx="4867275" cy="27146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619125</xdr:colOff>
      <xdr:row>6</xdr:row>
      <xdr:rowOff>38100</xdr:rowOff>
    </xdr:from>
    <xdr:to>
      <xdr:col>8</xdr:col>
      <xdr:colOff>200025</xdr:colOff>
      <xdr:row>7</xdr:row>
      <xdr:rowOff>171450</xdr:rowOff>
    </xdr:to>
    <xdr:sp macro="" textlink="">
      <xdr:nvSpPr>
        <xdr:cNvPr id="7" name="Rectangle: Rounded Corners 6">
          <a:extLst>
            <a:ext uri="{FF2B5EF4-FFF2-40B4-BE49-F238E27FC236}">
              <a16:creationId xmlns:a16="http://schemas.microsoft.com/office/drawing/2014/main" id="{5FF79404-9530-44CA-9E0D-0220E87D4B48}"/>
            </a:ext>
          </a:extLst>
        </xdr:cNvPr>
        <xdr:cNvSpPr/>
      </xdr:nvSpPr>
      <xdr:spPr>
        <a:xfrm>
          <a:off x="5419725" y="1238250"/>
          <a:ext cx="266700" cy="3333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editAs="oneCell">
    <xdr:from>
      <xdr:col>1</xdr:col>
      <xdr:colOff>28575</xdr:colOff>
      <xdr:row>41</xdr:row>
      <xdr:rowOff>28575</xdr:rowOff>
    </xdr:from>
    <xdr:to>
      <xdr:col>7</xdr:col>
      <xdr:colOff>534045</xdr:colOff>
      <xdr:row>51</xdr:row>
      <xdr:rowOff>152696</xdr:rowOff>
    </xdr:to>
    <xdr:pic>
      <xdr:nvPicPr>
        <xdr:cNvPr id="8" name="Picture 7">
          <a:extLst>
            <a:ext uri="{FF2B5EF4-FFF2-40B4-BE49-F238E27FC236}">
              <a16:creationId xmlns:a16="http://schemas.microsoft.com/office/drawing/2014/main" id="{5A22D0C9-CF82-41B6-AE7B-491077B66313}"/>
            </a:ext>
          </a:extLst>
        </xdr:cNvPr>
        <xdr:cNvPicPr>
          <a:picLocks noChangeAspect="1"/>
        </xdr:cNvPicPr>
      </xdr:nvPicPr>
      <xdr:blipFill>
        <a:blip xmlns:r="http://schemas.openxmlformats.org/officeDocument/2006/relationships" r:embed="rId3"/>
        <a:stretch>
          <a:fillRect/>
        </a:stretch>
      </xdr:blipFill>
      <xdr:spPr>
        <a:xfrm>
          <a:off x="714375" y="8134350"/>
          <a:ext cx="4620270" cy="2124371"/>
        </a:xfrm>
        <a:prstGeom prst="rect">
          <a:avLst/>
        </a:prstGeom>
        <a:ln>
          <a:noFill/>
        </a:ln>
        <a:effectLst>
          <a:outerShdw blurRad="190500" algn="tl" rotWithShape="0">
            <a:srgbClr val="000000">
              <a:alpha val="70000"/>
            </a:srgbClr>
          </a:outerShdw>
        </a:effectLst>
      </xdr:spPr>
    </xdr:pic>
    <xdr:clientData/>
  </xdr:twoCellAnchor>
  <xdr:twoCellAnchor>
    <xdr:from>
      <xdr:col>7</xdr:col>
      <xdr:colOff>276225</xdr:colOff>
      <xdr:row>42</xdr:row>
      <xdr:rowOff>95250</xdr:rowOff>
    </xdr:from>
    <xdr:to>
      <xdr:col>10</xdr:col>
      <xdr:colOff>676275</xdr:colOff>
      <xdr:row>46</xdr:row>
      <xdr:rowOff>114300</xdr:rowOff>
    </xdr:to>
    <xdr:cxnSp macro="">
      <xdr:nvCxnSpPr>
        <xdr:cNvPr id="9" name="Straight Arrow Connector 8">
          <a:extLst>
            <a:ext uri="{FF2B5EF4-FFF2-40B4-BE49-F238E27FC236}">
              <a16:creationId xmlns:a16="http://schemas.microsoft.com/office/drawing/2014/main" id="{79AF3904-5D35-48BB-9EF9-810F6116F8C1}"/>
            </a:ext>
          </a:extLst>
        </xdr:cNvPr>
        <xdr:cNvCxnSpPr/>
      </xdr:nvCxnSpPr>
      <xdr:spPr>
        <a:xfrm flipH="1" flipV="1">
          <a:off x="5076825" y="8401050"/>
          <a:ext cx="2457450" cy="8191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41</xdr:row>
      <xdr:rowOff>161925</xdr:rowOff>
    </xdr:from>
    <xdr:to>
      <xdr:col>9</xdr:col>
      <xdr:colOff>676275</xdr:colOff>
      <xdr:row>42</xdr:row>
      <xdr:rowOff>95250</xdr:rowOff>
    </xdr:to>
    <xdr:cxnSp macro="">
      <xdr:nvCxnSpPr>
        <xdr:cNvPr id="10" name="Straight Arrow Connector 9">
          <a:extLst>
            <a:ext uri="{FF2B5EF4-FFF2-40B4-BE49-F238E27FC236}">
              <a16:creationId xmlns:a16="http://schemas.microsoft.com/office/drawing/2014/main" id="{77E26B74-E9CC-4F92-A1EF-1EF18B8655A1}"/>
            </a:ext>
          </a:extLst>
        </xdr:cNvPr>
        <xdr:cNvCxnSpPr/>
      </xdr:nvCxnSpPr>
      <xdr:spPr>
        <a:xfrm flipH="1" flipV="1">
          <a:off x="5295900" y="8267700"/>
          <a:ext cx="1552575" cy="1333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66674</xdr:colOff>
      <xdr:row>62</xdr:row>
      <xdr:rowOff>190499</xdr:rowOff>
    </xdr:from>
    <xdr:to>
      <xdr:col>22</xdr:col>
      <xdr:colOff>277959</xdr:colOff>
      <xdr:row>71</xdr:row>
      <xdr:rowOff>172021</xdr:rowOff>
    </xdr:to>
    <xdr:pic>
      <xdr:nvPicPr>
        <xdr:cNvPr id="11" name="Picture 10">
          <a:extLst>
            <a:ext uri="{FF2B5EF4-FFF2-40B4-BE49-F238E27FC236}">
              <a16:creationId xmlns:a16="http://schemas.microsoft.com/office/drawing/2014/main" id="{D878BEC9-0AA8-4CF2-B50D-DB1BC29D1CA4}"/>
            </a:ext>
          </a:extLst>
        </xdr:cNvPr>
        <xdr:cNvPicPr>
          <a:picLocks noChangeAspect="1"/>
        </xdr:cNvPicPr>
      </xdr:nvPicPr>
      <xdr:blipFill rotWithShape="1">
        <a:blip xmlns:r="http://schemas.openxmlformats.org/officeDocument/2006/relationships" r:embed="rId4"/>
        <a:srcRect l="26587" t="56504"/>
        <a:stretch/>
      </xdr:blipFill>
      <xdr:spPr>
        <a:xfrm>
          <a:off x="6238874" y="12496799"/>
          <a:ext cx="9126685" cy="1781747"/>
        </a:xfrm>
        <a:prstGeom prst="rect">
          <a:avLst/>
        </a:prstGeom>
        <a:ln>
          <a:noFill/>
        </a:ln>
        <a:effectLst>
          <a:outerShdw blurRad="190500" algn="tl" rotWithShape="0">
            <a:srgbClr val="000000">
              <a:alpha val="70000"/>
            </a:srgbClr>
          </a:outerShdw>
        </a:effectLst>
      </xdr:spPr>
    </xdr:pic>
    <xdr:clientData/>
  </xdr:twoCellAnchor>
  <xdr:twoCellAnchor>
    <xdr:from>
      <xdr:col>1</xdr:col>
      <xdr:colOff>190500</xdr:colOff>
      <xdr:row>61</xdr:row>
      <xdr:rowOff>133350</xdr:rowOff>
    </xdr:from>
    <xdr:to>
      <xdr:col>8</xdr:col>
      <xdr:colOff>410276</xdr:colOff>
      <xdr:row>73</xdr:row>
      <xdr:rowOff>9525</xdr:rowOff>
    </xdr:to>
    <xdr:grpSp>
      <xdr:nvGrpSpPr>
        <xdr:cNvPr id="12" name="Group 11">
          <a:extLst>
            <a:ext uri="{FF2B5EF4-FFF2-40B4-BE49-F238E27FC236}">
              <a16:creationId xmlns:a16="http://schemas.microsoft.com/office/drawing/2014/main" id="{A2FEEFDF-FC7B-489E-A051-0EFE3B72B0DB}"/>
            </a:ext>
          </a:extLst>
        </xdr:cNvPr>
        <xdr:cNvGrpSpPr/>
      </xdr:nvGrpSpPr>
      <xdr:grpSpPr>
        <a:xfrm>
          <a:off x="876300" y="12239625"/>
          <a:ext cx="5020376" cy="2276475"/>
          <a:chOff x="857250" y="12249150"/>
          <a:chExt cx="5020376" cy="2276475"/>
        </a:xfrm>
      </xdr:grpSpPr>
      <xdr:pic>
        <xdr:nvPicPr>
          <xdr:cNvPr id="13" name="Picture 12">
            <a:extLst>
              <a:ext uri="{FF2B5EF4-FFF2-40B4-BE49-F238E27FC236}">
                <a16:creationId xmlns:a16="http://schemas.microsoft.com/office/drawing/2014/main" id="{1F31802B-4B12-3696-94AE-57FA607A133C}"/>
              </a:ext>
            </a:extLst>
          </xdr:cNvPr>
          <xdr:cNvPicPr>
            <a:picLocks noChangeAspect="1"/>
          </xdr:cNvPicPr>
        </xdr:nvPicPr>
        <xdr:blipFill>
          <a:blip xmlns:r="http://schemas.openxmlformats.org/officeDocument/2006/relationships" r:embed="rId5"/>
          <a:stretch>
            <a:fillRect/>
          </a:stretch>
        </xdr:blipFill>
        <xdr:spPr>
          <a:xfrm>
            <a:off x="857250" y="12249150"/>
            <a:ext cx="5020376" cy="2257740"/>
          </a:xfrm>
          <a:prstGeom prst="rect">
            <a:avLst/>
          </a:prstGeom>
          <a:ln>
            <a:noFill/>
          </a:ln>
          <a:effectLst>
            <a:outerShdw blurRad="190500" algn="tl" rotWithShape="0">
              <a:srgbClr val="000000">
                <a:alpha val="70000"/>
              </a:srgbClr>
            </a:outerShdw>
          </a:effectLst>
        </xdr:spPr>
      </xdr:pic>
      <xdr:cxnSp macro="">
        <xdr:nvCxnSpPr>
          <xdr:cNvPr id="14" name="Straight Arrow Connector 13">
            <a:extLst>
              <a:ext uri="{FF2B5EF4-FFF2-40B4-BE49-F238E27FC236}">
                <a16:creationId xmlns:a16="http://schemas.microsoft.com/office/drawing/2014/main" id="{BF7ED358-080E-ABB6-F641-EFE847A6143F}"/>
              </a:ext>
            </a:extLst>
          </xdr:cNvPr>
          <xdr:cNvCxnSpPr/>
        </xdr:nvCxnSpPr>
        <xdr:spPr>
          <a:xfrm flipH="1">
            <a:off x="3952875" y="13515975"/>
            <a:ext cx="647700" cy="6096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Rectangle: Rounded Corners 14">
            <a:extLst>
              <a:ext uri="{FF2B5EF4-FFF2-40B4-BE49-F238E27FC236}">
                <a16:creationId xmlns:a16="http://schemas.microsoft.com/office/drawing/2014/main" id="{C3822EC7-94FD-D3AA-8B6B-8543D231B299}"/>
              </a:ext>
            </a:extLst>
          </xdr:cNvPr>
          <xdr:cNvSpPr/>
        </xdr:nvSpPr>
        <xdr:spPr>
          <a:xfrm>
            <a:off x="3362324" y="14173200"/>
            <a:ext cx="847725"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sp macro="" textlink="">
        <xdr:nvSpPr>
          <xdr:cNvPr id="16" name="Rectangle: Rounded Corners 15">
            <a:extLst>
              <a:ext uri="{FF2B5EF4-FFF2-40B4-BE49-F238E27FC236}">
                <a16:creationId xmlns:a16="http://schemas.microsoft.com/office/drawing/2014/main" id="{73F169DC-E079-8C51-A244-87B65CF51D2A}"/>
              </a:ext>
            </a:extLst>
          </xdr:cNvPr>
          <xdr:cNvSpPr/>
        </xdr:nvSpPr>
        <xdr:spPr>
          <a:xfrm>
            <a:off x="1685925" y="12830176"/>
            <a:ext cx="704850" cy="2857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23097</xdr:colOff>
      <xdr:row>6</xdr:row>
      <xdr:rowOff>63683</xdr:rowOff>
    </xdr:from>
    <xdr:to>
      <xdr:col>14</xdr:col>
      <xdr:colOff>11206</xdr:colOff>
      <xdr:row>14</xdr:row>
      <xdr:rowOff>100853</xdr:rowOff>
    </xdr:to>
    <xdr:sp macro="" textlink="">
      <xdr:nvSpPr>
        <xdr:cNvPr id="2" name="TextBox 1">
          <a:extLst>
            <a:ext uri="{FF2B5EF4-FFF2-40B4-BE49-F238E27FC236}">
              <a16:creationId xmlns:a16="http://schemas.microsoft.com/office/drawing/2014/main" id="{9A64C6B5-EDE2-4DCC-AB52-3E60407E2E8D}"/>
            </a:ext>
          </a:extLst>
        </xdr:cNvPr>
        <xdr:cNvSpPr txBox="1"/>
      </xdr:nvSpPr>
      <xdr:spPr>
        <a:xfrm>
          <a:off x="23097" y="1330508"/>
          <a:ext cx="18990484" cy="154212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solidFill>
                <a:schemeClr val="dk1"/>
              </a:solidFill>
              <a:effectLst/>
              <a:latin typeface="+mn-lt"/>
              <a:ea typeface="+mn-ea"/>
              <a:cs typeface="+mn-cs"/>
            </a:rPr>
            <a:t>Purchased Goods and Services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products purchased or acquired by the reporting company in the reporting year. Products include both goods (tangible products) and services (intangible products).</a:t>
          </a:r>
          <a:br>
            <a:rPr lang="en-US" sz="1100" b="0" i="0" baseline="0">
              <a:solidFill>
                <a:schemeClr val="dk1"/>
              </a:solidFill>
              <a:effectLst/>
              <a:latin typeface="+mn-lt"/>
              <a:ea typeface="+mn-ea"/>
              <a:cs typeface="+mn-cs"/>
            </a:rPr>
          </a:br>
          <a:r>
            <a:rPr lang="en-US" sz="1100" b="1" i="0" u="none" strike="noStrike" baseline="0">
              <a:solidFill>
                <a:schemeClr val="dk1"/>
              </a:solidFill>
              <a:latin typeface="+mn-lt"/>
              <a:ea typeface="+mn-ea"/>
              <a:cs typeface="+mn-cs"/>
            </a:rPr>
            <a:t>Capital Goods</a:t>
          </a:r>
          <a:r>
            <a:rPr lang="en-US" sz="1100" b="0" i="0" u="none" strike="noStrike" baseline="0">
              <a:solidFill>
                <a:schemeClr val="dk1"/>
              </a:solidFill>
              <a:latin typeface="+mn-lt"/>
              <a:ea typeface="+mn-ea"/>
              <a:cs typeface="+mn-cs"/>
            </a:rPr>
            <a:t>: </a:t>
          </a:r>
          <a:r>
            <a:rPr lang="en-US" sz="1100" i="0" baseline="0">
              <a:solidFill>
                <a:schemeClr val="dk1"/>
              </a:solidFill>
              <a:effectLst/>
              <a:latin typeface="+mn-lt"/>
              <a:ea typeface="+mn-ea"/>
              <a:cs typeface="+mn-cs"/>
            </a:rPr>
            <a:t>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a:t>
          </a:r>
          <a:endParaRPr lang="en-US">
            <a:effectLst/>
          </a:endParaRPr>
        </a:p>
        <a:p>
          <a:r>
            <a:rPr lang="en-US" sz="1100" b="0" i="0" baseline="0">
              <a:solidFill>
                <a:schemeClr val="dk1"/>
              </a:solidFill>
              <a:effectLst/>
              <a:latin typeface="+mn-lt"/>
              <a:ea typeface="+mn-ea"/>
              <a:cs typeface="+mn-cs"/>
            </a:rPr>
            <a:t>rather than in scope 3.</a:t>
          </a:r>
          <a:br>
            <a:rPr lang="en-US" sz="1100" b="0" i="0" baseline="0">
              <a:solidFill>
                <a:schemeClr val="dk1"/>
              </a:solidFill>
              <a:effectLst/>
              <a:latin typeface="+mn-lt"/>
              <a:ea typeface="+mn-ea"/>
              <a:cs typeface="+mn-cs"/>
            </a:rPr>
          </a:br>
          <a:r>
            <a:rPr lang="en-US" sz="1100" b="1" i="1" u="none" strike="noStrike" baseline="0">
              <a:solidFill>
                <a:schemeClr val="dk1"/>
              </a:solidFill>
              <a:latin typeface="+mn-lt"/>
              <a:ea typeface="+mn-ea"/>
              <a:cs typeface="+mn-cs"/>
            </a:rPr>
            <a:t>Exclusions</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use tabs "Cat 1 (Goods &amp; Services)" and/or "Cat 2 (Capital Goods)" if only annual procurement spend data is available.</a:t>
          </a:r>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22413</xdr:colOff>
      <xdr:row>6</xdr:row>
      <xdr:rowOff>22412</xdr:rowOff>
    </xdr:from>
    <xdr:to>
      <xdr:col>8</xdr:col>
      <xdr:colOff>11206</xdr:colOff>
      <xdr:row>10</xdr:row>
      <xdr:rowOff>137583</xdr:rowOff>
    </xdr:to>
    <xdr:sp macro="" textlink="">
      <xdr:nvSpPr>
        <xdr:cNvPr id="2" name="TextBox 1">
          <a:extLst>
            <a:ext uri="{FF2B5EF4-FFF2-40B4-BE49-F238E27FC236}">
              <a16:creationId xmlns:a16="http://schemas.microsoft.com/office/drawing/2014/main" id="{27421C62-F3E7-4058-A36E-4F37B515C272}"/>
            </a:ext>
          </a:extLst>
        </xdr:cNvPr>
        <xdr:cNvSpPr txBox="1"/>
      </xdr:nvSpPr>
      <xdr:spPr>
        <a:xfrm>
          <a:off x="22413" y="358588"/>
          <a:ext cx="13693587" cy="8883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Fuel- and Energy-Related Activities: </a:t>
          </a:r>
          <a:r>
            <a:rPr lang="en-US" sz="1100" b="0" i="0" u="none" strike="noStrike" baseline="0">
              <a:solidFill>
                <a:schemeClr val="dk1"/>
              </a:solidFill>
              <a:latin typeface="+mn-lt"/>
              <a:ea typeface="+mn-ea"/>
              <a:cs typeface="+mn-cs"/>
            </a:rPr>
            <a:t>Extraction, production, and transportation of fuels and energy purchased or acquired by the reporting company in the reporting year, not already accounted for in scope 1 or scope 2, including: Upstream emissions of purchased fuels (Table 1 below), upstream emissions of purchased electricity (Table 2 below), transmission &amp; distribution losses (Table 3 below).</a:t>
          </a:r>
        </a:p>
        <a:p>
          <a:r>
            <a:rPr lang="en-US" sz="1100" b="0" i="0" u="none" strike="noStrike" baseline="0">
              <a:solidFill>
                <a:schemeClr val="dk1"/>
              </a:solidFill>
              <a:latin typeface="+mn-lt"/>
              <a:ea typeface="+mn-ea"/>
              <a:cs typeface="+mn-cs"/>
            </a:rPr>
            <a:t>The calculations are based on the "average-data method", using standard emission factors and usage data.</a:t>
          </a:r>
        </a:p>
        <a:p>
          <a:endParaRPr lang="en-US" sz="1100" b="1" baseline="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15208</xdr:colOff>
      <xdr:row>5</xdr:row>
      <xdr:rowOff>6624</xdr:rowOff>
    </xdr:from>
    <xdr:to>
      <xdr:col>7</xdr:col>
      <xdr:colOff>0</xdr:colOff>
      <xdr:row>10</xdr:row>
      <xdr:rowOff>190500</xdr:rowOff>
    </xdr:to>
    <xdr:sp macro="" textlink="">
      <xdr:nvSpPr>
        <xdr:cNvPr id="2" name="TextBox 1">
          <a:extLst>
            <a:ext uri="{FF2B5EF4-FFF2-40B4-BE49-F238E27FC236}">
              <a16:creationId xmlns:a16="http://schemas.microsoft.com/office/drawing/2014/main" id="{7CECF024-6881-44D0-B248-C9080EEAE370}"/>
            </a:ext>
          </a:extLst>
        </xdr:cNvPr>
        <xdr:cNvSpPr txBox="1"/>
      </xdr:nvSpPr>
      <xdr:spPr>
        <a:xfrm>
          <a:off x="15208" y="981536"/>
          <a:ext cx="19864027" cy="152858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Transportation &amp; Distribution:</a:t>
          </a:r>
          <a:r>
            <a:rPr lang="en-US" sz="1100" baseline="0"/>
            <a:t> </a:t>
          </a:r>
          <a:r>
            <a:rPr lang="en-US" sz="1100" b="0" i="0" u="none" strike="noStrike" baseline="0">
              <a:solidFill>
                <a:schemeClr val="dk1"/>
              </a:solidFill>
              <a:latin typeface="+mn-lt"/>
              <a:ea typeface="+mn-ea"/>
              <a:cs typeface="+mn-cs"/>
            </a:rPr>
            <a:t>Upstream transportation and distribution of products or services purchased by the reporting company in the reporting year between a company’s tier 1 suppliers and its own operations (in vehicles and facilities not owned or controlled by the reporting company). For example, this may include freight costs to ship purchased goods to healthcare facilities.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br>
            <a:rPr lang="en-US" sz="1100" b="0" baseline="0">
              <a:solidFill>
                <a:schemeClr val="dk1"/>
              </a:solidFill>
              <a:effectLst/>
              <a:latin typeface="+mn-lt"/>
              <a:ea typeface="+mn-ea"/>
              <a:cs typeface="+mn-cs"/>
            </a:rPr>
          </a:br>
          <a:endParaRPr lang="en-US" sz="11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darker blue "Custom Emissions Inputs - other" tab, which allows for user input of</a:t>
          </a:r>
        </a:p>
        <a:p>
          <a:r>
            <a:rPr lang="en-US" sz="1400" b="1" i="1" baseline="0">
              <a:solidFill>
                <a:srgbClr val="FF0000"/>
              </a:solidFill>
              <a:effectLst/>
              <a:latin typeface="+mn-lt"/>
              <a:ea typeface="+mn-ea"/>
              <a:cs typeface="+mn-cs"/>
            </a:rPr>
            <a:t>emissions factors and totals.</a:t>
          </a:r>
          <a:br>
            <a:rPr lang="en-US" sz="1400" b="1" i="1" baseline="0">
              <a:solidFill>
                <a:srgbClr val="FF0000"/>
              </a:solidFill>
              <a:effectLst/>
              <a:latin typeface="+mn-lt"/>
              <a:ea typeface="+mn-ea"/>
              <a:cs typeface="+mn-cs"/>
            </a:rPr>
          </a:br>
          <a:endParaRPr lang="en-US" sz="1400" b="1" i="1" baseline="0">
            <a:solidFill>
              <a:srgbClr val="FF0000"/>
            </a:solidFill>
            <a:effectLst/>
            <a:latin typeface="+mn-lt"/>
            <a:ea typeface="+mn-ea"/>
            <a:cs typeface="+mn-cs"/>
          </a:endParaRPr>
        </a:p>
        <a:p>
          <a:endParaRPr lang="en-US" sz="1400" b="1" i="1" baseline="0">
            <a:solidFill>
              <a:srgbClr val="FF0000"/>
            </a:solidFill>
            <a:effectLst/>
            <a:latin typeface="+mn-lt"/>
            <a:ea typeface="+mn-ea"/>
            <a:cs typeface="+mn-cs"/>
          </a:endParaRPr>
        </a:p>
        <a:p>
          <a:endParaRPr lang="en-US" sz="1400">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0" i="0" u="none" strike="noStrike" baseline="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47120</xdr:colOff>
      <xdr:row>14</xdr:row>
      <xdr:rowOff>23376</xdr:rowOff>
    </xdr:from>
    <xdr:to>
      <xdr:col>7</xdr:col>
      <xdr:colOff>11207</xdr:colOff>
      <xdr:row>17</xdr:row>
      <xdr:rowOff>190500</xdr:rowOff>
    </xdr:to>
    <xdr:sp macro="" textlink="">
      <xdr:nvSpPr>
        <xdr:cNvPr id="2" name="TextBox 1">
          <a:extLst>
            <a:ext uri="{FF2B5EF4-FFF2-40B4-BE49-F238E27FC236}">
              <a16:creationId xmlns:a16="http://schemas.microsoft.com/office/drawing/2014/main" id="{0F6CA37B-6B0D-4517-AFAD-1AE34AC01E63}"/>
            </a:ext>
          </a:extLst>
        </xdr:cNvPr>
        <xdr:cNvSpPr txBox="1"/>
      </xdr:nvSpPr>
      <xdr:spPr>
        <a:xfrm>
          <a:off x="47120" y="2242141"/>
          <a:ext cx="11293234" cy="87309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ysClr val="windowText" lastClr="000000"/>
              </a:solidFill>
            </a:rPr>
            <a:t>Waste Generated in Operations: </a:t>
          </a:r>
          <a:r>
            <a:rPr lang="en-US" sz="1100" b="0" i="0" u="none" strike="noStrike" baseline="0">
              <a:solidFill>
                <a:schemeClr val="dk1"/>
              </a:solidFill>
              <a:latin typeface="+mn-lt"/>
              <a:ea typeface="+mn-ea"/>
              <a:cs typeface="+mn-cs"/>
            </a:rPr>
            <a:t>Disposal and treatment of waste generated in the reporting company’s operations in the reporting year (in facilities not owned or controlled by the reporting company). The "average-data method" is presented here to estimate emissions based on the quantity and general category of waste, as well as the method of disposal/treatment. </a:t>
          </a:r>
          <a:br>
            <a:rPr lang="en-US" sz="1100" b="0" i="0" u="none" strike="noStrike" baseline="0">
              <a:solidFill>
                <a:schemeClr val="dk1"/>
              </a:solidFill>
              <a:latin typeface="+mn-lt"/>
              <a:ea typeface="+mn-ea"/>
              <a:cs typeface="+mn-cs"/>
            </a:rPr>
          </a:br>
          <a:r>
            <a:rPr lang="en-US" sz="1100" b="1" i="1" baseline="0">
              <a:solidFill>
                <a:sysClr val="windowText" lastClr="000000"/>
              </a:solidFill>
              <a:effectLst/>
              <a:latin typeface="+mn-lt"/>
              <a:ea typeface="+mn-ea"/>
              <a:cs typeface="+mn-cs"/>
            </a:rPr>
            <a:t>Note, if emissions calculations have been conducted outside of this tool, users can input totals here in the custom emissions sections, </a:t>
          </a:r>
          <a:r>
            <a:rPr lang="en-US" sz="1100" b="1" i="1" baseline="0">
              <a:solidFill>
                <a:srgbClr val="FF0000"/>
              </a:solidFill>
              <a:effectLst/>
              <a:latin typeface="+mn-lt"/>
              <a:ea typeface="+mn-ea"/>
              <a:cs typeface="+mn-cs"/>
            </a:rPr>
            <a:t>where indicated in red below each table.</a:t>
          </a:r>
          <a:endParaRPr lang="en-US">
            <a:solidFill>
              <a:srgbClr val="FF0000"/>
            </a:solidFill>
            <a:effectLst/>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1"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1363134</xdr:colOff>
      <xdr:row>0</xdr:row>
      <xdr:rowOff>69125</xdr:rowOff>
    </xdr:from>
    <xdr:to>
      <xdr:col>1</xdr:col>
      <xdr:colOff>3093509</xdr:colOff>
      <xdr:row>0</xdr:row>
      <xdr:rowOff>1113353</xdr:rowOff>
    </xdr:to>
    <xdr:pic>
      <xdr:nvPicPr>
        <xdr:cNvPr id="2" name="Imagen 3">
          <a:extLst>
            <a:ext uri="{FF2B5EF4-FFF2-40B4-BE49-F238E27FC236}">
              <a16:creationId xmlns:a16="http://schemas.microsoft.com/office/drawing/2014/main" id="{E822BD7E-5090-410C-A5A9-72D23E3F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2259" y="69125"/>
          <a:ext cx="1730375" cy="1044228"/>
        </a:xfrm>
        <a:prstGeom prst="rect">
          <a:avLst/>
        </a:prstGeom>
      </xdr:spPr>
    </xdr:pic>
    <xdr:clientData/>
  </xdr:twoCellAnchor>
  <xdr:twoCellAnchor editAs="oneCell">
    <xdr:from>
      <xdr:col>0</xdr:col>
      <xdr:colOff>613834</xdr:colOff>
      <xdr:row>0</xdr:row>
      <xdr:rowOff>39933</xdr:rowOff>
    </xdr:from>
    <xdr:to>
      <xdr:col>1</xdr:col>
      <xdr:colOff>1036109</xdr:colOff>
      <xdr:row>0</xdr:row>
      <xdr:rowOff>1095091</xdr:rowOff>
    </xdr:to>
    <xdr:pic>
      <xdr:nvPicPr>
        <xdr:cNvPr id="3" name="Imagen 5">
          <a:extLst>
            <a:ext uri="{FF2B5EF4-FFF2-40B4-BE49-F238E27FC236}">
              <a16:creationId xmlns:a16="http://schemas.microsoft.com/office/drawing/2014/main" id="{110842EA-5236-41C8-BE03-CE32F44F0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834" y="39933"/>
          <a:ext cx="1041400" cy="1055158"/>
        </a:xfrm>
        <a:prstGeom prst="rect">
          <a:avLst/>
        </a:prstGeom>
      </xdr:spPr>
    </xdr:pic>
    <xdr:clientData/>
  </xdr:twoCellAnchor>
  <xdr:twoCellAnchor editAs="oneCell">
    <xdr:from>
      <xdr:col>1</xdr:col>
      <xdr:colOff>3321847</xdr:colOff>
      <xdr:row>0</xdr:row>
      <xdr:rowOff>154782</xdr:rowOff>
    </xdr:from>
    <xdr:to>
      <xdr:col>1</xdr:col>
      <xdr:colOff>4296049</xdr:colOff>
      <xdr:row>0</xdr:row>
      <xdr:rowOff>988220</xdr:rowOff>
    </xdr:to>
    <xdr:pic>
      <xdr:nvPicPr>
        <xdr:cNvPr id="4" name="Picture 3">
          <a:extLst>
            <a:ext uri="{FF2B5EF4-FFF2-40B4-BE49-F238E27FC236}">
              <a16:creationId xmlns:a16="http://schemas.microsoft.com/office/drawing/2014/main" id="{CC16CEF5-47C1-438B-8D16-857C97291B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0972" y="154782"/>
          <a:ext cx="974202" cy="8334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37177</xdr:colOff>
      <xdr:row>5</xdr:row>
      <xdr:rowOff>66959</xdr:rowOff>
    </xdr:from>
    <xdr:to>
      <xdr:col>7</xdr:col>
      <xdr:colOff>-1</xdr:colOff>
      <xdr:row>16</xdr:row>
      <xdr:rowOff>67235</xdr:rowOff>
    </xdr:to>
    <xdr:sp macro="" textlink="">
      <xdr:nvSpPr>
        <xdr:cNvPr id="2" name="TextBox 1">
          <a:extLst>
            <a:ext uri="{FF2B5EF4-FFF2-40B4-BE49-F238E27FC236}">
              <a16:creationId xmlns:a16="http://schemas.microsoft.com/office/drawing/2014/main" id="{2922031E-E936-437B-AFA6-7BAE1B005148}"/>
            </a:ext>
          </a:extLst>
        </xdr:cNvPr>
        <xdr:cNvSpPr txBox="1"/>
      </xdr:nvSpPr>
      <xdr:spPr>
        <a:xfrm>
          <a:off x="37177" y="1041871"/>
          <a:ext cx="22576293" cy="197251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p>
        <a:p>
          <a:r>
            <a:rPr lang="en-US" sz="1100" b="0" i="1" u="none" strike="noStrike" baseline="0">
              <a:solidFill>
                <a:schemeClr val="dk1"/>
              </a:solidFill>
              <a:latin typeface="+mn-lt"/>
              <a:ea typeface="+mn-ea"/>
              <a:cs typeface="+mn-cs"/>
            </a:rPr>
            <a:t>Examples include</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ir travel, rental car, rail travel, hotel stay, etc.</a:t>
          </a:r>
        </a:p>
        <a:p>
          <a:endParaRPr lang="en-US" sz="1100" b="1"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"spend-based" method is presented here in the first table, where emissions are based on the mode of transport and national average emission factors.</a:t>
          </a:r>
        </a:p>
        <a:p>
          <a:r>
            <a:rPr lang="en-US" sz="1100" b="0" baseline="0">
              <a:solidFill>
                <a:schemeClr val="dk1"/>
              </a:solidFill>
              <a:effectLst/>
              <a:latin typeface="+mn-lt"/>
              <a:ea typeface="+mn-ea"/>
              <a:cs typeface="+mn-cs"/>
            </a:rPr>
            <a:t>For "Transportation Mode", please consider the following when making a selection from the drop-down options:</a:t>
          </a:r>
        </a:p>
        <a:p>
          <a:endParaRPr lang="en-US" sz="105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  »  "Rail transport" - should be used primarily for intercity rail (</a:t>
          </a:r>
          <a:r>
            <a:rPr lang="en-US" sz="1100">
              <a:solidFill>
                <a:schemeClr val="dk1"/>
              </a:solidFill>
              <a:effectLst/>
              <a:latin typeface="+mn-lt"/>
              <a:ea typeface="+mn-ea"/>
              <a:cs typeface="+mn-cs"/>
            </a:rPr>
            <a:t>Amtrak long-distance rail between major cities)</a:t>
          </a:r>
        </a:p>
        <a:p>
          <a:r>
            <a:rPr lang="en-US" sz="1100" b="0" baseline="0">
              <a:solidFill>
                <a:schemeClr val="dk1"/>
              </a:solidFill>
              <a:effectLst/>
              <a:latin typeface="+mn-lt"/>
              <a:ea typeface="+mn-ea"/>
              <a:cs typeface="+mn-cs"/>
            </a:rPr>
            <a:t>  »  "Passenger ground transport" - should be used primarily for buses, taxis, Uber/Lyft, commuter rail / light rail (rail service between a central city and adjacent</a:t>
          </a:r>
        </a:p>
        <a:p>
          <a:r>
            <a:rPr lang="en-US" sz="1100" b="0" baseline="0">
              <a:solidFill>
                <a:schemeClr val="dk1"/>
              </a:solidFill>
              <a:effectLst/>
              <a:latin typeface="+mn-lt"/>
              <a:ea typeface="+mn-ea"/>
              <a:cs typeface="+mn-cs"/>
            </a:rPr>
            <a:t>       suburbs), and transit rail (i.e., subway, tram)</a:t>
          </a:r>
        </a:p>
        <a:p>
          <a:r>
            <a:rPr lang="en-US" sz="1100" b="0" baseline="0">
              <a:solidFill>
                <a:schemeClr val="dk1"/>
              </a:solidFill>
              <a:effectLst/>
              <a:latin typeface="+mn-lt"/>
              <a:ea typeface="+mn-ea"/>
              <a:cs typeface="+mn-cs"/>
            </a:rPr>
            <a:t>  »  Other categories ("air transport", "water transport", and "Hotels and campgrounds") should be self explanatory</a:t>
          </a:r>
          <a:endParaRPr lang="en-US">
            <a:effectLst/>
          </a:endParaRPr>
        </a:p>
        <a:p>
          <a:r>
            <a:rPr lang="en-US" sz="1100" b="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5</xdr:col>
      <xdr:colOff>1936581</xdr:colOff>
      <xdr:row>6</xdr:row>
      <xdr:rowOff>61122</xdr:rowOff>
    </xdr:from>
    <xdr:ext cx="10782096" cy="1563731"/>
    <xdr:sp macro="" textlink="">
      <xdr:nvSpPr>
        <xdr:cNvPr id="3" name="TextBox 2">
          <a:extLst>
            <a:ext uri="{FF2B5EF4-FFF2-40B4-BE49-F238E27FC236}">
              <a16:creationId xmlns:a16="http://schemas.microsoft.com/office/drawing/2014/main" id="{343C891C-A51C-413B-A21B-50634971FBE9}"/>
            </a:ext>
          </a:extLst>
        </xdr:cNvPr>
        <xdr:cNvSpPr txBox="1"/>
      </xdr:nvSpPr>
      <xdr:spPr>
        <a:xfrm>
          <a:off x="11091787" y="1215328"/>
          <a:ext cx="10782096" cy="1563731"/>
        </a:xfrm>
        <a:prstGeom prst="rect">
          <a:avLst/>
        </a:prstGeom>
        <a:noFill/>
      </xdr:spPr>
      <xdr:txBody>
        <a:bodyPr vertOverflow="clip" horzOverflow="clip" wrap="square" lIns="0" tIns="0" rIns="0" bIns="0" rtlCol="0" anchor="t">
          <a:noAutofit/>
        </a:bodyPr>
        <a:lstStyle/>
        <a:p>
          <a:r>
            <a:rPr lang="en-US" sz="1400" b="1" i="0" baseline="0">
              <a:solidFill>
                <a:srgbClr val="FF0000"/>
              </a:solidFill>
              <a:effectLst/>
              <a:latin typeface="+mn-lt"/>
              <a:ea typeface="+mn-ea"/>
              <a:cs typeface="+mn-cs"/>
            </a:rPr>
            <a:t>Note, it is recommended that users quantify emissions from travel via the distance-based method, see "</a:t>
          </a:r>
          <a:r>
            <a:rPr lang="en-US" sz="1400" b="1" i="1" baseline="0">
              <a:solidFill>
                <a:srgbClr val="FF0000"/>
              </a:solidFill>
              <a:effectLst/>
              <a:latin typeface="+mn-lt"/>
              <a:ea typeface="+mn-ea"/>
              <a:cs typeface="+mn-cs"/>
            </a:rPr>
            <a:t>Cat 6 Business Trave. (distance)</a:t>
          </a:r>
          <a:r>
            <a:rPr lang="en-US" sz="1400" b="1" i="0" baseline="0">
              <a:solidFill>
                <a:srgbClr val="FF0000"/>
              </a:solidFill>
              <a:effectLst/>
              <a:latin typeface="+mn-lt"/>
              <a:ea typeface="+mn-ea"/>
              <a:cs typeface="+mn-cs"/>
            </a:rPr>
            <a:t>", instead of the spend-based method (this tab), if mode and distance information is available. Hotel emissions based on total nights by country can be estimated in that same tab in lieu of the spend-based "</a:t>
          </a:r>
          <a:r>
            <a:rPr lang="en-US" sz="1400" b="1" i="1" baseline="0">
              <a:solidFill>
                <a:srgbClr val="FF0000"/>
              </a:solidFill>
              <a:effectLst/>
              <a:latin typeface="+mn-lt"/>
              <a:ea typeface="+mn-ea"/>
              <a:cs typeface="+mn-cs"/>
            </a:rPr>
            <a:t>hotels and campgrounds</a:t>
          </a:r>
          <a:r>
            <a:rPr lang="en-US" sz="1400" b="1" i="0" baseline="0">
              <a:solidFill>
                <a:srgbClr val="FF0000"/>
              </a:solidFill>
              <a:effectLst/>
              <a:latin typeface="+mn-lt"/>
              <a:ea typeface="+mn-ea"/>
              <a:cs typeface="+mn-cs"/>
            </a:rPr>
            <a:t>" spend-based factor.</a:t>
          </a:r>
          <a:br>
            <a:rPr lang="en-US" sz="1400" b="1" i="0" baseline="0">
              <a:solidFill>
                <a:srgbClr val="FF0000"/>
              </a:solidFill>
              <a:effectLst/>
              <a:latin typeface="+mn-lt"/>
              <a:ea typeface="+mn-ea"/>
              <a:cs typeface="+mn-cs"/>
            </a:rPr>
          </a:br>
          <a:endParaRPr lang="en-US" sz="14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i="0" dirty="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37178</xdr:colOff>
      <xdr:row>18</xdr:row>
      <xdr:rowOff>66960</xdr:rowOff>
    </xdr:from>
    <xdr:to>
      <xdr:col>8</xdr:col>
      <xdr:colOff>23812</xdr:colOff>
      <xdr:row>31</xdr:row>
      <xdr:rowOff>83345</xdr:rowOff>
    </xdr:to>
    <xdr:sp macro="" textlink="">
      <xdr:nvSpPr>
        <xdr:cNvPr id="2" name="TextBox 1">
          <a:extLst>
            <a:ext uri="{FF2B5EF4-FFF2-40B4-BE49-F238E27FC236}">
              <a16:creationId xmlns:a16="http://schemas.microsoft.com/office/drawing/2014/main" id="{BF2BB7CA-37C4-4DD6-8E13-7460A9D9F68B}"/>
            </a:ext>
          </a:extLst>
        </xdr:cNvPr>
        <xdr:cNvSpPr txBox="1"/>
      </xdr:nvSpPr>
      <xdr:spPr>
        <a:xfrm>
          <a:off x="37178" y="3457860"/>
          <a:ext cx="16017209" cy="236906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r>
            <a:rPr lang="en-US" sz="1100" b="0" i="1" baseline="0">
              <a:solidFill>
                <a:schemeClr val="dk1"/>
              </a:solidFill>
              <a:effectLst/>
              <a:latin typeface="+mn-lt"/>
              <a:ea typeface="+mn-ea"/>
              <a:cs typeface="+mn-cs"/>
            </a:rPr>
            <a:t>Examples include</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ir travel, rental car, rail travel, hotel stay, etc. </a:t>
          </a:r>
          <a:endParaRPr lang="en-US" sz="1100" b="0" i="0" u="none" strike="noStrike" baseline="0">
            <a:solidFill>
              <a:schemeClr val="dk1"/>
            </a:solidFill>
            <a:latin typeface="+mn-lt"/>
            <a:ea typeface="+mn-ea"/>
            <a:cs typeface="+mn-cs"/>
          </a:endParaRPr>
        </a:p>
        <a:p>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0</xdr:col>
      <xdr:colOff>163885</xdr:colOff>
      <xdr:row>23</xdr:row>
      <xdr:rowOff>156883</xdr:rowOff>
    </xdr:from>
    <xdr:ext cx="13832261" cy="1340504"/>
    <xdr:sp macro="" textlink="">
      <xdr:nvSpPr>
        <xdr:cNvPr id="3" name="TextBox 2">
          <a:extLst>
            <a:ext uri="{FF2B5EF4-FFF2-40B4-BE49-F238E27FC236}">
              <a16:creationId xmlns:a16="http://schemas.microsoft.com/office/drawing/2014/main" id="{D853A101-320F-4AAD-AEF9-856FEC613E3E}"/>
            </a:ext>
          </a:extLst>
        </xdr:cNvPr>
        <xdr:cNvSpPr txBox="1"/>
      </xdr:nvSpPr>
      <xdr:spPr>
        <a:xfrm>
          <a:off x="163885" y="4415118"/>
          <a:ext cx="13832261" cy="1340504"/>
        </a:xfrm>
        <a:prstGeom prst="rect">
          <a:avLst/>
        </a:prstGeom>
        <a:noFill/>
      </xdr:spPr>
      <xdr:txBody>
        <a:bodyPr vertOverflow="clip" horzOverflow="clip" wrap="square" lIns="0" tIns="0" rIns="0" bIns="0" rtlCol="0" anchor="t">
          <a:noAutofit/>
        </a:bodyPr>
        <a:lstStyle/>
        <a:p>
          <a:r>
            <a:rPr lang="en-US" sz="1400" b="1" i="0">
              <a:solidFill>
                <a:srgbClr val="FF0000"/>
              </a:solidFill>
              <a:effectLst/>
              <a:latin typeface="+mn-lt"/>
              <a:ea typeface="+mn-ea"/>
              <a:cs typeface="+mn-cs"/>
            </a:rPr>
            <a:t>Note:</a:t>
          </a:r>
        </a:p>
        <a:p>
          <a:endParaRPr lang="en-US" sz="800" b="1" i="0">
            <a:solidFill>
              <a:srgbClr val="FF0000"/>
            </a:solidFill>
            <a:effectLst/>
            <a:latin typeface="+mn-lt"/>
            <a:ea typeface="+mn-ea"/>
            <a:cs typeface="+mn-cs"/>
          </a:endParaRPr>
        </a:p>
        <a:p>
          <a:r>
            <a:rPr lang="en-US" sz="1400" b="1" i="0">
              <a:solidFill>
                <a:srgbClr val="FF0000"/>
              </a:solidFill>
              <a:effectLst/>
              <a:latin typeface="+mn-lt"/>
              <a:ea typeface="+mn-ea"/>
              <a:cs typeface="+mn-cs"/>
            </a:rPr>
            <a:t>This tab is for distance-based emissions</a:t>
          </a:r>
          <a:r>
            <a:rPr lang="en-US" sz="1400" b="1" i="0" baseline="0">
              <a:solidFill>
                <a:srgbClr val="FF0000"/>
              </a:solidFill>
              <a:effectLst/>
              <a:latin typeface="+mn-lt"/>
              <a:ea typeface="+mn-ea"/>
              <a:cs typeface="+mn-cs"/>
            </a:rPr>
            <a:t> estimates, as well as emissions from hotel night stays. If only total spend on business travel is available, see the "</a:t>
          </a:r>
          <a:r>
            <a:rPr lang="en-US" sz="1400" b="1" i="1" baseline="0">
              <a:solidFill>
                <a:srgbClr val="FF0000"/>
              </a:solidFill>
              <a:effectLst/>
              <a:latin typeface="+mn-lt"/>
              <a:ea typeface="+mn-ea"/>
              <a:cs typeface="+mn-cs"/>
            </a:rPr>
            <a:t>Cat 6 Business Trav. (spend)</a:t>
          </a:r>
          <a:r>
            <a:rPr lang="en-US" sz="1400" b="1" i="0" baseline="0">
              <a:solidFill>
                <a:srgbClr val="FF0000"/>
              </a:solidFill>
              <a:effectLst/>
              <a:latin typeface="+mn-lt"/>
              <a:ea typeface="+mn-ea"/>
              <a:cs typeface="+mn-cs"/>
            </a:rPr>
            <a:t>" tab where emissions can be quantified based on spend and transport mode.</a:t>
          </a:r>
          <a:endParaRPr lang="en-US" sz="1400" b="1" i="0">
            <a:solidFill>
              <a:srgbClr val="FF0000"/>
            </a:solidFill>
            <a:effectLst/>
          </a:endParaRPr>
        </a:p>
        <a:p>
          <a:endParaRPr lang="en-US" sz="8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b="1"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b="1" i="0" dirty="0"/>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67181</xdr:colOff>
      <xdr:row>6</xdr:row>
      <xdr:rowOff>67180</xdr:rowOff>
    </xdr:from>
    <xdr:to>
      <xdr:col>6</xdr:col>
      <xdr:colOff>1857375</xdr:colOff>
      <xdr:row>14</xdr:row>
      <xdr:rowOff>178593</xdr:rowOff>
    </xdr:to>
    <xdr:sp macro="" textlink="">
      <xdr:nvSpPr>
        <xdr:cNvPr id="2" name="TextBox 1">
          <a:extLst>
            <a:ext uri="{FF2B5EF4-FFF2-40B4-BE49-F238E27FC236}">
              <a16:creationId xmlns:a16="http://schemas.microsoft.com/office/drawing/2014/main" id="{5A68D80E-95C2-45F4-9282-EB50308E9563}"/>
            </a:ext>
          </a:extLst>
        </xdr:cNvPr>
        <xdr:cNvSpPr txBox="1"/>
      </xdr:nvSpPr>
      <xdr:spPr>
        <a:xfrm>
          <a:off x="67181" y="1579274"/>
          <a:ext cx="12541538" cy="173066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Employee Commuting: </a:t>
          </a:r>
          <a:r>
            <a:rPr lang="en-US" sz="1100" b="0" i="0" baseline="0">
              <a:solidFill>
                <a:schemeClr val="dk1"/>
              </a:solidFill>
              <a:effectLst/>
              <a:latin typeface="+mn-lt"/>
              <a:ea typeface="+mn-ea"/>
              <a:cs typeface="+mn-cs"/>
            </a:rPr>
            <a:t>Transportation of employees between their homes and their worksites during the reporting year (in vehicles not owned or operated by the reporting company), or working from home. The average-data method is employed here, with emissions based on state-by-state median commute distance and average commute mode percentage across "drove alone", "carpool", "worked at home", "public transportation", "taxi, motorcycle, other", "walked", and "bicycle" from Bureau of Transportation Statistics; user-defined number of weeks per year and  days per week.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based on the "distance-based" or "fuel-based" methods, users can input emissions totals here, where indicated below in red.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67327</xdr:colOff>
      <xdr:row>8</xdr:row>
      <xdr:rowOff>107029</xdr:rowOff>
    </xdr:from>
    <xdr:to>
      <xdr:col>8</xdr:col>
      <xdr:colOff>11206</xdr:colOff>
      <xdr:row>21</xdr:row>
      <xdr:rowOff>33618</xdr:rowOff>
    </xdr:to>
    <xdr:sp macro="" textlink="">
      <xdr:nvSpPr>
        <xdr:cNvPr id="2" name="TextBox 1">
          <a:extLst>
            <a:ext uri="{FF2B5EF4-FFF2-40B4-BE49-F238E27FC236}">
              <a16:creationId xmlns:a16="http://schemas.microsoft.com/office/drawing/2014/main" id="{740193FA-2691-4FD3-ABA7-0EC4783601DF}"/>
            </a:ext>
          </a:extLst>
        </xdr:cNvPr>
        <xdr:cNvSpPr txBox="1"/>
      </xdr:nvSpPr>
      <xdr:spPr>
        <a:xfrm>
          <a:off x="67327" y="1653441"/>
          <a:ext cx="11631614" cy="27616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Leased Assets:</a:t>
          </a:r>
          <a:r>
            <a:rPr lang="en-US" sz="1100" baseline="0"/>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leased by the reporting company (lessee) </a:t>
          </a:r>
          <a:r>
            <a:rPr lang="en-US" sz="1100" b="0" i="0" u="none" strike="noStrike" baseline="0">
              <a:solidFill>
                <a:schemeClr val="dk1"/>
              </a:solidFill>
              <a:latin typeface="+mn-lt"/>
              <a:ea typeface="+mn-ea"/>
              <a:cs typeface="+mn-cs"/>
            </a:rPr>
            <a:t>in the reporting year and not included in scope 1 and scope 2 – reported by lessee</a:t>
          </a:r>
        </a:p>
        <a:p>
          <a:r>
            <a:rPr lang="en-US" sz="1100" b="1" baseline="0">
              <a:solidFill>
                <a:schemeClr val="dk1"/>
              </a:solidFill>
              <a:effectLst/>
              <a:latin typeface="+mn-lt"/>
              <a:ea typeface="+mn-ea"/>
              <a:cs typeface="+mn-cs"/>
            </a:rPr>
            <a:t>Downstream Leased Assets:</a:t>
          </a:r>
          <a:r>
            <a:rPr lang="en-US" sz="110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owned by the reporting company (lessor) </a:t>
          </a:r>
          <a:r>
            <a:rPr lang="en-US" sz="1100" b="0" i="0" u="none" strike="noStrike" baseline="0">
              <a:solidFill>
                <a:schemeClr val="dk1"/>
              </a:solidFill>
              <a:latin typeface="+mn-lt"/>
              <a:ea typeface="+mn-ea"/>
              <a:cs typeface="+mn-cs"/>
            </a:rPr>
            <a:t>and leased to other entities in the reporting year, not included in scope 1 and scope 2 – reported by lessor</a:t>
          </a:r>
        </a:p>
        <a:p>
          <a:endParaRPr lang="en-US" sz="1050" b="0" i="0" u="none" strike="noStrike" baseline="0">
            <a:solidFill>
              <a:schemeClr val="dk1"/>
            </a:solidFill>
            <a:latin typeface="+mn-lt"/>
            <a:ea typeface="+mn-ea"/>
            <a:cs typeface="+mn-cs"/>
          </a:endParaRPr>
        </a:p>
        <a:p>
          <a:r>
            <a:rPr lang="en-US" sz="1100" b="0" i="0" u="none" strike="noStrike" baseline="0">
              <a:solidFill>
                <a:schemeClr val="dk1"/>
              </a:solidFill>
              <a:effectLst/>
              <a:latin typeface="+mn-lt"/>
              <a:ea typeface="+mn-ea"/>
              <a:cs typeface="+mn-cs"/>
            </a:rPr>
            <a:t>The organization's "organizational boundary" should be carefully reviewed to understand if any upstream/downstream leased assets are already accounted for in a scope 1 &amp; 2 inventory. Emissions in the belows directly below are estimated for upstream and downstream leased assets using the "average-data method" and based on national (U.S.) energy consumption per square feet, for building types specific to the healthcare industry [source: </a:t>
          </a:r>
          <a:r>
            <a:rPr lang="en-US"/>
            <a:t>Commercial Buildings Energy Consumption Surveys (CBECS)] and national average electricity emission factors (US</a:t>
          </a:r>
          <a:r>
            <a:rPr lang="en-US" baseline="0"/>
            <a:t> EPA Center for Corporate Climate Leadership).</a:t>
          </a: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tables in this tab include emissions spanning the full life cycle of the fuels combusted to generate electricity and natural gas to generate heat, as well as transmission and distribution (T&amp;D) losses from electricity usage. Life cycle emissions include what are known as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(in this case, to the electic power plant for electricity generation or to the building for on-site natural gas combustion).</a:t>
          </a:r>
          <a:endParaRPr lang="en-US">
            <a:effectLst/>
          </a:endParaRPr>
        </a:p>
        <a:p>
          <a:endParaRPr lang="en-US" b="1" i="1">
            <a:solidFill>
              <a:srgbClr val="FF0000"/>
            </a:solidFill>
            <a:effectLst/>
          </a:endParaRPr>
        </a:p>
        <a:p>
          <a:r>
            <a:rPr lang="en-US" b="1" i="1">
              <a:solidFill>
                <a:srgbClr val="FF0000"/>
              </a:solidFill>
              <a:effectLst/>
            </a:rPr>
            <a:t>Note: If only square footage of facilities is known, use tables below. If annual electricity and natural gas </a:t>
          </a:r>
          <a:r>
            <a:rPr lang="en-US" b="1" i="1" baseline="0">
              <a:solidFill>
                <a:srgbClr val="FF0000"/>
              </a:solidFill>
              <a:effectLst/>
            </a:rPr>
            <a:t>utility usage data is available, use tables begining in column K. </a:t>
          </a:r>
          <a:br>
            <a:rPr lang="en-US" b="1" i="1" baseline="0">
              <a:solidFill>
                <a:srgbClr val="FF0000"/>
              </a:solidFill>
              <a:effectLst/>
            </a:rPr>
          </a:br>
          <a:r>
            <a:rPr lang="en-US" b="1" i="1" baseline="0">
              <a:solidFill>
                <a:srgbClr val="FF0000"/>
              </a:solidFill>
              <a:effectLst/>
            </a:rPr>
            <a:t>If only some leased assets have known utility usage, data can be input on both sides, to calculate based on both known and unknown energy usage.</a:t>
          </a:r>
          <a:endParaRPr lang="en-US" b="1" i="1">
            <a:solidFill>
              <a:srgbClr val="FF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65275</xdr:colOff>
      <xdr:row>7</xdr:row>
      <xdr:rowOff>65273</xdr:rowOff>
    </xdr:from>
    <xdr:to>
      <xdr:col>6</xdr:col>
      <xdr:colOff>11206</xdr:colOff>
      <xdr:row>18</xdr:row>
      <xdr:rowOff>156883</xdr:rowOff>
    </xdr:to>
    <xdr:sp macro="" textlink="">
      <xdr:nvSpPr>
        <xdr:cNvPr id="2" name="TextBox 1">
          <a:extLst>
            <a:ext uri="{FF2B5EF4-FFF2-40B4-BE49-F238E27FC236}">
              <a16:creationId xmlns:a16="http://schemas.microsoft.com/office/drawing/2014/main" id="{91D8F999-EC5A-4BD1-9DE3-B24A4AC812C3}"/>
            </a:ext>
          </a:extLst>
        </xdr:cNvPr>
        <xdr:cNvSpPr txBox="1"/>
      </xdr:nvSpPr>
      <xdr:spPr>
        <a:xfrm>
          <a:off x="65275" y="1600479"/>
          <a:ext cx="9370078" cy="261293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Downstream Transportation &amp; Distribution:</a:t>
          </a:r>
          <a:r>
            <a:rPr lang="en-US" sz="110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Downstream transportation and distribution of sold goods and services in vehicles and facilities not owned or controlled by the reporting company. For the healthcare industry, this category primarily pertains to inpatient and outpatient visits. For in-person inpatient and outpatient visits (Tables 1 and 2), the average-data method is employed here, with emissions based on state-by-state median round-trip commute distance and average of distance-based emission factors for </a:t>
          </a:r>
          <a:r>
            <a:rPr lang="en-US" sz="1100" b="0" i="1" baseline="0">
              <a:solidFill>
                <a:schemeClr val="dk1"/>
              </a:solidFill>
              <a:effectLst/>
              <a:latin typeface="+mn-lt"/>
              <a:ea typeface="+mn-ea"/>
              <a:cs typeface="+mn-cs"/>
            </a:rPr>
            <a:t>average car </a:t>
          </a:r>
          <a:r>
            <a:rPr lang="en-US" sz="1100" b="0" i="0" baseline="0">
              <a:solidFill>
                <a:schemeClr val="dk1"/>
              </a:solidFill>
              <a:effectLst/>
              <a:latin typeface="+mn-lt"/>
              <a:ea typeface="+mn-ea"/>
              <a:cs typeface="+mn-cs"/>
            </a:rPr>
            <a:t>and </a:t>
          </a:r>
          <a:r>
            <a:rPr lang="en-US" sz="1100" b="0" i="1" baseline="0">
              <a:solidFill>
                <a:schemeClr val="dk1"/>
              </a:solidFill>
              <a:effectLst/>
              <a:latin typeface="+mn-lt"/>
              <a:ea typeface="+mn-ea"/>
              <a:cs typeface="+mn-cs"/>
            </a:rPr>
            <a:t>sport utility vehicle (SUV)</a:t>
          </a:r>
          <a:r>
            <a:rPr lang="en-US" sz="1100" b="0" i="0" baseline="0">
              <a:solidFill>
                <a:schemeClr val="dk1"/>
              </a:solidFill>
              <a:effectLst/>
              <a:latin typeface="+mn-lt"/>
              <a:ea typeface="+mn-ea"/>
              <a:cs typeface="+mn-cs"/>
            </a:rPr>
            <a:t>. For telehealth (Table 3), emissions from electricity use are estimated based on an assumed 150 Watts (power for lighting and workstation) and the specified length of the telehealth session, along with state-specific electricity emissions factors.</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All tables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rgbClr val="FF0000"/>
              </a:solidFill>
              <a:effectLst/>
              <a:latin typeface="+mn-lt"/>
              <a:ea typeface="+mn-ea"/>
              <a:cs typeface="+mn-cs"/>
            </a:rPr>
            <a:t>Note: Table 1 assumes patients are driving an average car or SUV. For ambulance and air transport to an inpatient facility, supplier-specific emissions data or total spend on such services can be entered in the darker blue "</a:t>
          </a:r>
          <a:r>
            <a:rPr lang="en-US" sz="1100" b="1" i="1" baseline="0">
              <a:solidFill>
                <a:srgbClr val="FF0000"/>
              </a:solidFill>
              <a:effectLst/>
              <a:latin typeface="+mn-lt"/>
              <a:ea typeface="+mn-ea"/>
              <a:cs typeface="+mn-cs"/>
            </a:rPr>
            <a:t>Custom Emissions Inputs - other</a:t>
          </a:r>
          <a:r>
            <a:rPr lang="en-US" sz="1100" b="1" i="0" baseline="0">
              <a:solidFill>
                <a:srgbClr val="FF0000"/>
              </a:solidFill>
              <a:effectLst/>
              <a:latin typeface="+mn-lt"/>
              <a:ea typeface="+mn-ea"/>
              <a:cs typeface="+mn-cs"/>
            </a:rPr>
            <a:t>" tab.</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If emissions calculations have been conducted outside of this tool, users can input totals here in cells E46, E74, and F98.</a:t>
          </a:r>
          <a:endParaRPr lang="en-US">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128322</xdr:colOff>
      <xdr:row>8</xdr:row>
      <xdr:rowOff>51592</xdr:rowOff>
    </xdr:from>
    <xdr:to>
      <xdr:col>6</xdr:col>
      <xdr:colOff>11206</xdr:colOff>
      <xdr:row>15</xdr:row>
      <xdr:rowOff>74084</xdr:rowOff>
    </xdr:to>
    <xdr:sp macro="" textlink="">
      <xdr:nvSpPr>
        <xdr:cNvPr id="2" name="TextBox 1">
          <a:extLst>
            <a:ext uri="{FF2B5EF4-FFF2-40B4-BE49-F238E27FC236}">
              <a16:creationId xmlns:a16="http://schemas.microsoft.com/office/drawing/2014/main" id="{CCCEFD63-95B0-442C-B282-61C489EF69D2}"/>
            </a:ext>
          </a:extLst>
        </xdr:cNvPr>
        <xdr:cNvSpPr txBox="1"/>
      </xdr:nvSpPr>
      <xdr:spPr>
        <a:xfrm>
          <a:off x="128322" y="1676445"/>
          <a:ext cx="12063678" cy="127755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Use of Sold Products:</a:t>
          </a:r>
          <a:r>
            <a:rPr lang="en-US" sz="1100" baseline="0"/>
            <a:t> </a:t>
          </a:r>
          <a:r>
            <a:rPr lang="en-US" sz="1100" b="0" i="0" u="none" strike="noStrike" baseline="0">
              <a:solidFill>
                <a:schemeClr val="dk1"/>
              </a:solidFill>
              <a:latin typeface="+mn-lt"/>
              <a:ea typeface="+mn-ea"/>
              <a:cs typeface="+mn-cs"/>
            </a:rPr>
            <a:t>This category includes emissions from the use of goods and services sold by the reporting company in the reporting year. Reporting organizations that wish to be as comprehensive as possible in their Scope 3 accounting can optionally quantify emissions from all MDIs prescribed to patients, regardless of whether the MDIs were sold to patients by an in-house pharmacy (operated by the reporting organization) or a retail pharmacy (operated by another entity). A reporting company’s scope 3 emissions from use of sold products include the scope 1 and scope 2 emissions of end users. End users include both consumers and business customers that use final products. </a:t>
          </a:r>
          <a:r>
            <a:rPr lang="en-US" sz="1100" b="0" i="0" baseline="0">
              <a:solidFill>
                <a:schemeClr val="dk1"/>
              </a:solidFill>
              <a:effectLst/>
              <a:latin typeface="+mn-lt"/>
              <a:ea typeface="+mn-ea"/>
              <a:cs typeface="+mn-cs"/>
            </a:rPr>
            <a:t>Based on Engie Impact's evaluation of Healthcare System Scope 3 operations, the largest contributor to emissions in this category is likely from the use of inhalers and other products with refrigerant-based propellants [</a:t>
          </a:r>
          <a:r>
            <a:rPr lang="en-US" sz="1100" b="0" i="0" u="none" strike="noStrike" baseline="0">
              <a:solidFill>
                <a:schemeClr val="dk1"/>
              </a:solidFill>
              <a:latin typeface="+mn-lt"/>
              <a:ea typeface="+mn-ea"/>
              <a:cs typeface="+mn-cs"/>
            </a:rPr>
            <a:t>Hydrofluorocarbons (HFCs)]</a:t>
          </a:r>
          <a:r>
            <a:rPr lang="en-US" sz="1100" b="0" i="0" baseline="0">
              <a:solidFill>
                <a:schemeClr val="dk1"/>
              </a:solidFill>
              <a:effectLst/>
              <a:latin typeface="+mn-lt"/>
              <a:ea typeface="+mn-ea"/>
              <a:cs typeface="+mn-cs"/>
            </a:rPr>
            <a:t>. This calculation tool can track emissions from the t</a:t>
          </a:r>
          <a:r>
            <a:rPr lang="en-US"/>
            <a:t>wo main types of metered dose inhaler (MDI) propellants,</a:t>
          </a:r>
          <a:r>
            <a:rPr lang="en-US" baseline="0"/>
            <a:t> HFC-227ea and HFC-134a.</a:t>
          </a:r>
          <a:endParaRPr lang="en-US">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41089</xdr:colOff>
      <xdr:row>9</xdr:row>
      <xdr:rowOff>27698</xdr:rowOff>
    </xdr:from>
    <xdr:to>
      <xdr:col>10</xdr:col>
      <xdr:colOff>19050</xdr:colOff>
      <xdr:row>15</xdr:row>
      <xdr:rowOff>19050</xdr:rowOff>
    </xdr:to>
    <xdr:sp macro="" textlink="">
      <xdr:nvSpPr>
        <xdr:cNvPr id="2" name="TextBox 1">
          <a:extLst>
            <a:ext uri="{FF2B5EF4-FFF2-40B4-BE49-F238E27FC236}">
              <a16:creationId xmlns:a16="http://schemas.microsoft.com/office/drawing/2014/main" id="{8BF5D5B7-6CB8-4782-AC61-6DC4BA0A645C}"/>
            </a:ext>
          </a:extLst>
        </xdr:cNvPr>
        <xdr:cNvSpPr txBox="1"/>
      </xdr:nvSpPr>
      <xdr:spPr>
        <a:xfrm>
          <a:off x="41089" y="1837448"/>
          <a:ext cx="16665761" cy="113435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Investments:</a:t>
          </a:r>
          <a:r>
            <a:rPr lang="en-US" sz="1100" b="0" baseline="0"/>
            <a:t> This category includes emissions </a:t>
          </a:r>
          <a:r>
            <a:rPr lang="en-US" sz="1100" b="0" i="0" u="none" strike="noStrike" baseline="0">
              <a:solidFill>
                <a:schemeClr val="dk1"/>
              </a:solidFill>
              <a:latin typeface="+mn-lt"/>
              <a:ea typeface="+mn-ea"/>
              <a:cs typeface="+mn-cs"/>
            </a:rPr>
            <a:t>from equity investments, which should be allocated to the investor based on the investor’s proportional share of equity in the investee. In the absence of direct emissions data from each investee, the "average-data method" can be used as presented here. It is recommended that users engage with their investment manager to obtain the necessary data. Investments from defined benefits (e.g., pension plans) should be estimated and reported in Category 15. </a:t>
          </a:r>
        </a:p>
        <a:p>
          <a:endParaRPr lang="en-US" sz="1100" b="0" i="0" u="none" strike="noStrike" baseline="0">
            <a:solidFill>
              <a:schemeClr val="dk1"/>
            </a:solidFill>
            <a:effectLst/>
            <a:latin typeface="+mn-lt"/>
            <a:ea typeface="+mn-ea"/>
            <a:cs typeface="+mn-cs"/>
          </a:endParaRPr>
        </a:p>
        <a:p>
          <a:r>
            <a:rPr lang="en-US" sz="1100" b="1" i="1" baseline="0">
              <a:solidFill>
                <a:srgbClr val="FF0000"/>
              </a:solidFill>
              <a:effectLst/>
              <a:latin typeface="+mn-lt"/>
              <a:ea typeface="+mn-ea"/>
              <a:cs typeface="+mn-cs"/>
            </a:rPr>
            <a:t>If supplier-specific calculations have been made (e.g., "investment-specific method"), or outside sources were used to determine category 15 emissions, please reference the darker blue "Custom Emissions Inputs - other" tab, which allows for user input of emissions factors and totals. The "investment-specific method" is based on </a:t>
          </a:r>
          <a:r>
            <a:rPr lang="el-GR" sz="1100" b="1" i="1" baseline="0">
              <a:solidFill>
                <a:srgbClr val="FF0000"/>
              </a:solidFill>
              <a:effectLst/>
              <a:latin typeface="+mn-lt"/>
              <a:ea typeface="+mn-ea"/>
              <a:cs typeface="+mn-cs"/>
            </a:rPr>
            <a:t>Σ (</a:t>
          </a:r>
          <a:r>
            <a:rPr lang="en-US" sz="1100" b="1" i="1" baseline="0">
              <a:solidFill>
                <a:srgbClr val="FF0000"/>
              </a:solidFill>
              <a:effectLst/>
              <a:latin typeface="+mn-lt"/>
              <a:ea typeface="+mn-ea"/>
              <a:cs typeface="+mn-cs"/>
            </a:rPr>
            <a:t>emissions of equity investment [Scope 1, 2 and 3] × share of equity (%)). </a:t>
          </a:r>
          <a:endParaRPr lang="en-US" b="1" i="1">
            <a:solidFill>
              <a:srgbClr val="FF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146049</xdr:colOff>
      <xdr:row>60</xdr:row>
      <xdr:rowOff>38101</xdr:rowOff>
    </xdr:from>
    <xdr:ext cx="9007475" cy="1695450"/>
    <xdr:sp macro="" textlink="">
      <xdr:nvSpPr>
        <xdr:cNvPr id="2" name="TextBox 1">
          <a:extLst>
            <a:ext uri="{FF2B5EF4-FFF2-40B4-BE49-F238E27FC236}">
              <a16:creationId xmlns:a16="http://schemas.microsoft.com/office/drawing/2014/main" id="{C8C9649C-C7EB-4F5A-8C92-953E59826513}"/>
            </a:ext>
          </a:extLst>
        </xdr:cNvPr>
        <xdr:cNvSpPr txBox="1"/>
      </xdr:nvSpPr>
      <xdr:spPr>
        <a:xfrm>
          <a:off x="1498599" y="9925051"/>
          <a:ext cx="9007475" cy="1695450"/>
        </a:xfrm>
        <a:prstGeom prst="rect">
          <a:avLst/>
        </a:prstGeom>
        <a:noFill/>
      </xdr:spPr>
      <xdr:txBody>
        <a:bodyPr vertOverflow="clip" horzOverflow="clip" wrap="square" lIns="0" tIns="0" rIns="0" bIns="0" rtlCol="0" anchor="t">
          <a:noAutofit/>
        </a:bodyPr>
        <a:lstStyle/>
        <a:p>
          <a:r>
            <a:rPr lang="en-US" sz="1100">
              <a:effectLst/>
              <a:latin typeface="+mn-lt"/>
              <a:ea typeface="+mn-ea"/>
              <a:cs typeface="+mn-cs"/>
            </a:rPr>
            <a:t>Emissions for non-CO</a:t>
          </a:r>
          <a:r>
            <a:rPr lang="en-US" sz="1100" baseline="-25000">
              <a:effectLst/>
              <a:latin typeface="+mn-lt"/>
              <a:ea typeface="+mn-ea"/>
              <a:cs typeface="+mn-cs"/>
            </a:rPr>
            <a:t>2</a:t>
          </a:r>
          <a:r>
            <a:rPr lang="en-US" sz="1100">
              <a:effectLst/>
              <a:latin typeface="+mn-lt"/>
              <a:ea typeface="+mn-ea"/>
              <a:cs typeface="+mn-cs"/>
            </a:rPr>
            <a:t> greenhouse gases (e.g., methane</a:t>
          </a:r>
          <a:r>
            <a:rPr lang="en-US" sz="1100" baseline="0">
              <a:effectLst/>
              <a:latin typeface="+mn-lt"/>
              <a:ea typeface="+mn-ea"/>
              <a:cs typeface="+mn-cs"/>
            </a:rPr>
            <a:t> and nitrous oxide generated from combustion of fuels, and HFCs used as propellants in dispensed inhalers) are calculated using Global Warming Potential (GWP) values from the IPCC </a:t>
          </a:r>
          <a:r>
            <a:rPr lang="en-US" sz="1100" b="1" baseline="0">
              <a:effectLst/>
              <a:latin typeface="+mn-lt"/>
              <a:ea typeface="+mn-ea"/>
              <a:cs typeface="+mn-cs"/>
            </a:rPr>
            <a:t>Sixth Assessment Report </a:t>
          </a:r>
          <a:r>
            <a:rPr lang="en-US" sz="1100" baseline="0">
              <a:effectLst/>
              <a:latin typeface="+mn-lt"/>
              <a:ea typeface="+mn-ea"/>
              <a:cs typeface="+mn-cs"/>
            </a:rPr>
            <a:t>(2023). Some considerations related to GWP values p</a:t>
          </a:r>
          <a:r>
            <a:rPr lang="en-US" sz="1100">
              <a:effectLst/>
              <a:latin typeface="+mn-lt"/>
              <a:ea typeface="+mn-ea"/>
              <a:cs typeface="+mn-cs"/>
            </a:rPr>
            <a:t>er the GHG</a:t>
          </a:r>
          <a:r>
            <a:rPr lang="en-US" sz="1100" baseline="0">
              <a:effectLst/>
              <a:latin typeface="+mn-lt"/>
              <a:ea typeface="+mn-ea"/>
              <a:cs typeface="+mn-cs"/>
            </a:rPr>
            <a:t> Protocol include the following:</a:t>
          </a:r>
          <a:r>
            <a:rPr lang="en-US" sz="1100">
              <a:effectLst/>
              <a:latin typeface="+mn-lt"/>
              <a:ea typeface="+mn-ea"/>
              <a:cs typeface="+mn-cs"/>
            </a:rPr>
            <a:t>:</a:t>
          </a:r>
        </a:p>
        <a:p>
          <a:pPr lvl="0"/>
          <a:endParaRPr lang="en-US" sz="1100">
            <a:effectLst/>
            <a:latin typeface="+mn-lt"/>
            <a:ea typeface="+mn-ea"/>
            <a:cs typeface="+mn-cs"/>
          </a:endParaRP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GWP values from the most recent Assessment Report, but may choose to use other IPCC Assessment Reports.</a:t>
          </a:r>
        </a:p>
        <a:p>
          <a:r>
            <a:rPr lang="en-US" sz="1100">
              <a:effectLst/>
              <a:latin typeface="+mn-lt"/>
              <a:ea typeface="+mn-ea"/>
              <a:cs typeface="+mn-cs"/>
            </a:rPr>
            <a:t> </a:t>
          </a: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the same GWPs for the current inventory period and the base year, as well as for inventories prepared according to the Scope 3 Standard,         </a:t>
          </a:r>
          <a:br>
            <a:rPr lang="en-US" sz="1100">
              <a:effectLst/>
              <a:latin typeface="+mn-lt"/>
              <a:ea typeface="+mn-ea"/>
              <a:cs typeface="+mn-cs"/>
            </a:rPr>
          </a:br>
          <a:r>
            <a:rPr lang="en-US" sz="1100">
              <a:effectLst/>
              <a:latin typeface="+mn-lt"/>
              <a:ea typeface="+mn-ea"/>
              <a:cs typeface="+mn-cs"/>
            </a:rPr>
            <a:t>  to maintain consistency across time and scopes.</a:t>
          </a:r>
        </a:p>
        <a:p>
          <a:r>
            <a:rPr lang="en-US" sz="1100">
              <a:effectLst/>
              <a:latin typeface="+mn-lt"/>
              <a:ea typeface="+mn-ea"/>
              <a:cs typeface="+mn-cs"/>
            </a:rPr>
            <a:t> </a:t>
          </a:r>
        </a:p>
        <a:p>
          <a:r>
            <a:rPr lang="en-US" sz="1100" i="1">
              <a:effectLst/>
              <a:latin typeface="+mn-lt"/>
              <a:ea typeface="+mn-ea"/>
              <a:cs typeface="+mn-cs"/>
            </a:rPr>
            <a:t>Required Greenhouse Gases in Inventories, Accounting and Reporting Standard Amendment, Feb 2013:</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5</xdr:col>
      <xdr:colOff>238125</xdr:colOff>
      <xdr:row>1</xdr:row>
      <xdr:rowOff>200025</xdr:rowOff>
    </xdr:from>
    <xdr:to>
      <xdr:col>9</xdr:col>
      <xdr:colOff>190500</xdr:colOff>
      <xdr:row>4</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9B5B61C-2231-4445-BBA5-41BD024823BE}"/>
            </a:ext>
          </a:extLst>
        </xdr:cNvPr>
        <xdr:cNvSpPr/>
      </xdr:nvSpPr>
      <xdr:spPr>
        <a:xfrm>
          <a:off x="6143625" y="381000"/>
          <a:ext cx="2733675" cy="838200"/>
        </a:xfrm>
        <a:prstGeom prst="roundRect">
          <a:avLst/>
        </a:prstGeom>
        <a:ln>
          <a:solidFill>
            <a:schemeClr val="accent3">
              <a:lumMod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400" b="1" i="1">
              <a:solidFill>
                <a:sysClr val="windowText" lastClr="000000"/>
              </a:solidFill>
            </a:rPr>
            <a:t>Home</a:t>
          </a:r>
        </a:p>
        <a:p>
          <a:pPr algn="l"/>
          <a:endParaRPr 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1377950</xdr:colOff>
      <xdr:row>0</xdr:row>
      <xdr:rowOff>82109</xdr:rowOff>
    </xdr:from>
    <xdr:to>
      <xdr:col>1</xdr:col>
      <xdr:colOff>1316567</xdr:colOff>
      <xdr:row>0</xdr:row>
      <xdr:rowOff>1123162</xdr:rowOff>
    </xdr:to>
    <xdr:pic>
      <xdr:nvPicPr>
        <xdr:cNvPr id="2" name="Imagen 1">
          <a:extLst>
            <a:ext uri="{FF2B5EF4-FFF2-40B4-BE49-F238E27FC236}">
              <a16:creationId xmlns:a16="http://schemas.microsoft.com/office/drawing/2014/main" id="{42BCBC89-374B-4091-BC72-77AE2DC9C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7950" y="82109"/>
          <a:ext cx="1576917" cy="1041053"/>
        </a:xfrm>
        <a:prstGeom prst="rect">
          <a:avLst/>
        </a:prstGeom>
      </xdr:spPr>
    </xdr:pic>
    <xdr:clientData/>
  </xdr:twoCellAnchor>
  <xdr:twoCellAnchor editAs="oneCell">
    <xdr:from>
      <xdr:col>0</xdr:col>
      <xdr:colOff>190500</xdr:colOff>
      <xdr:row>0</xdr:row>
      <xdr:rowOff>52916</xdr:rowOff>
    </xdr:from>
    <xdr:to>
      <xdr:col>0</xdr:col>
      <xdr:colOff>1245658</xdr:colOff>
      <xdr:row>0</xdr:row>
      <xdr:rowOff>1114424</xdr:rowOff>
    </xdr:to>
    <xdr:pic>
      <xdr:nvPicPr>
        <xdr:cNvPr id="3" name="Imagen 2">
          <a:extLst>
            <a:ext uri="{FF2B5EF4-FFF2-40B4-BE49-F238E27FC236}">
              <a16:creationId xmlns:a16="http://schemas.microsoft.com/office/drawing/2014/main" id="{EF60B8D7-03DF-436C-B77F-905EE33894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52916"/>
          <a:ext cx="1055158" cy="1061508"/>
        </a:xfrm>
        <a:prstGeom prst="rect">
          <a:avLst/>
        </a:prstGeom>
      </xdr:spPr>
    </xdr:pic>
    <xdr:clientData/>
  </xdr:twoCellAnchor>
  <xdr:twoCellAnchor editAs="oneCell">
    <xdr:from>
      <xdr:col>1</xdr:col>
      <xdr:colOff>1518047</xdr:colOff>
      <xdr:row>0</xdr:row>
      <xdr:rowOff>228205</xdr:rowOff>
    </xdr:from>
    <xdr:to>
      <xdr:col>1</xdr:col>
      <xdr:colOff>2469053</xdr:colOff>
      <xdr:row>0</xdr:row>
      <xdr:rowOff>1041799</xdr:rowOff>
    </xdr:to>
    <xdr:pic>
      <xdr:nvPicPr>
        <xdr:cNvPr id="4" name="Picture 3">
          <a:extLst>
            <a:ext uri="{FF2B5EF4-FFF2-40B4-BE49-F238E27FC236}">
              <a16:creationId xmlns:a16="http://schemas.microsoft.com/office/drawing/2014/main" id="{251AF6D7-44CD-401D-A784-E64152BAB7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6347" y="228205"/>
          <a:ext cx="951006" cy="8135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1274299</xdr:colOff>
      <xdr:row>0</xdr:row>
      <xdr:rowOff>36891</xdr:rowOff>
    </xdr:from>
    <xdr:to>
      <xdr:col>0</xdr:col>
      <xdr:colOff>2933700</xdr:colOff>
      <xdr:row>0</xdr:row>
      <xdr:rowOff>1030724</xdr:rowOff>
    </xdr:to>
    <xdr:pic>
      <xdr:nvPicPr>
        <xdr:cNvPr id="2" name="Imagen 2">
          <a:extLst>
            <a:ext uri="{FF2B5EF4-FFF2-40B4-BE49-F238E27FC236}">
              <a16:creationId xmlns:a16="http://schemas.microsoft.com/office/drawing/2014/main" id="{E02CFD5B-2682-4FF0-9D8A-36870A7B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4299" y="36891"/>
          <a:ext cx="1659401" cy="993833"/>
        </a:xfrm>
        <a:prstGeom prst="rect">
          <a:avLst/>
        </a:prstGeom>
      </xdr:spPr>
    </xdr:pic>
    <xdr:clientData/>
  </xdr:twoCellAnchor>
  <xdr:twoCellAnchor editAs="oneCell">
    <xdr:from>
      <xdr:col>0</xdr:col>
      <xdr:colOff>219365</xdr:colOff>
      <xdr:row>0</xdr:row>
      <xdr:rowOff>33355</xdr:rowOff>
    </xdr:from>
    <xdr:to>
      <xdr:col>0</xdr:col>
      <xdr:colOff>1202056</xdr:colOff>
      <xdr:row>0</xdr:row>
      <xdr:rowOff>1047751</xdr:rowOff>
    </xdr:to>
    <xdr:pic>
      <xdr:nvPicPr>
        <xdr:cNvPr id="3" name="Imagen 3">
          <a:extLst>
            <a:ext uri="{FF2B5EF4-FFF2-40B4-BE49-F238E27FC236}">
              <a16:creationId xmlns:a16="http://schemas.microsoft.com/office/drawing/2014/main" id="{AE66AE90-EB6F-43FB-89CC-76166BA1D8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65" y="33355"/>
          <a:ext cx="990311" cy="1004871"/>
        </a:xfrm>
        <a:prstGeom prst="rect">
          <a:avLst/>
        </a:prstGeom>
      </xdr:spPr>
    </xdr:pic>
    <xdr:clientData/>
  </xdr:twoCellAnchor>
  <xdr:twoCellAnchor editAs="oneCell">
    <xdr:from>
      <xdr:col>0</xdr:col>
      <xdr:colOff>3009900</xdr:colOff>
      <xdr:row>0</xdr:row>
      <xdr:rowOff>114301</xdr:rowOff>
    </xdr:from>
    <xdr:to>
      <xdr:col>1</xdr:col>
      <xdr:colOff>522208</xdr:colOff>
      <xdr:row>0</xdr:row>
      <xdr:rowOff>934403</xdr:rowOff>
    </xdr:to>
    <xdr:pic>
      <xdr:nvPicPr>
        <xdr:cNvPr id="4" name="Picture 3">
          <a:extLst>
            <a:ext uri="{FF2B5EF4-FFF2-40B4-BE49-F238E27FC236}">
              <a16:creationId xmlns:a16="http://schemas.microsoft.com/office/drawing/2014/main" id="{35592F76-A70B-4462-BFE6-096F8563FC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09900" y="114301"/>
          <a:ext cx="957501"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774558</xdr:colOff>
      <xdr:row>0</xdr:row>
      <xdr:rowOff>3537</xdr:rowOff>
    </xdr:from>
    <xdr:to>
      <xdr:col>2</xdr:col>
      <xdr:colOff>769178</xdr:colOff>
      <xdr:row>0</xdr:row>
      <xdr:rowOff>1191710</xdr:rowOff>
    </xdr:to>
    <xdr:pic>
      <xdr:nvPicPr>
        <xdr:cNvPr id="2" name="Imagen 1">
          <a:extLst>
            <a:ext uri="{FF2B5EF4-FFF2-40B4-BE49-F238E27FC236}">
              <a16:creationId xmlns:a16="http://schemas.microsoft.com/office/drawing/2014/main" id="{06E7EDEC-537D-49E7-B058-5238F7B65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8983" y="3537"/>
          <a:ext cx="1836755" cy="1184363"/>
        </a:xfrm>
        <a:prstGeom prst="rect">
          <a:avLst/>
        </a:prstGeom>
      </xdr:spPr>
    </xdr:pic>
    <xdr:clientData/>
  </xdr:twoCellAnchor>
  <xdr:twoCellAnchor editAs="oneCell">
    <xdr:from>
      <xdr:col>0</xdr:col>
      <xdr:colOff>0</xdr:colOff>
      <xdr:row>0</xdr:row>
      <xdr:rowOff>0</xdr:rowOff>
    </xdr:from>
    <xdr:to>
      <xdr:col>0</xdr:col>
      <xdr:colOff>1066231</xdr:colOff>
      <xdr:row>0</xdr:row>
      <xdr:rowOff>1206562</xdr:rowOff>
    </xdr:to>
    <xdr:pic>
      <xdr:nvPicPr>
        <xdr:cNvPr id="3" name="Imagen 2">
          <a:extLst>
            <a:ext uri="{FF2B5EF4-FFF2-40B4-BE49-F238E27FC236}">
              <a16:creationId xmlns:a16="http://schemas.microsoft.com/office/drawing/2014/main" id="{55ECE59D-212C-4E4D-AADB-0DE64FF98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66231" cy="1210372"/>
        </a:xfrm>
        <a:prstGeom prst="rect">
          <a:avLst/>
        </a:prstGeom>
      </xdr:spPr>
    </xdr:pic>
    <xdr:clientData/>
  </xdr:twoCellAnchor>
  <xdr:twoCellAnchor editAs="oneCell">
    <xdr:from>
      <xdr:col>2</xdr:col>
      <xdr:colOff>1345406</xdr:colOff>
      <xdr:row>0</xdr:row>
      <xdr:rowOff>178594</xdr:rowOff>
    </xdr:from>
    <xdr:to>
      <xdr:col>3</xdr:col>
      <xdr:colOff>988277</xdr:colOff>
      <xdr:row>0</xdr:row>
      <xdr:rowOff>1091565</xdr:rowOff>
    </xdr:to>
    <xdr:pic>
      <xdr:nvPicPr>
        <xdr:cNvPr id="4" name="Picture 3">
          <a:extLst>
            <a:ext uri="{FF2B5EF4-FFF2-40B4-BE49-F238E27FC236}">
              <a16:creationId xmlns:a16="http://schemas.microsoft.com/office/drawing/2014/main" id="{856B3B6A-AA95-4F42-A92C-6F2B9A115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69556" y="178594"/>
          <a:ext cx="1062096" cy="9167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1346058</xdr:colOff>
      <xdr:row>0</xdr:row>
      <xdr:rowOff>41637</xdr:rowOff>
    </xdr:from>
    <xdr:to>
      <xdr:col>1</xdr:col>
      <xdr:colOff>982538</xdr:colOff>
      <xdr:row>0</xdr:row>
      <xdr:rowOff>1226000</xdr:rowOff>
    </xdr:to>
    <xdr:pic>
      <xdr:nvPicPr>
        <xdr:cNvPr id="2" name="Imagen 1">
          <a:extLst>
            <a:ext uri="{FF2B5EF4-FFF2-40B4-BE49-F238E27FC236}">
              <a16:creationId xmlns:a16="http://schemas.microsoft.com/office/drawing/2014/main" id="{5CEB009D-19FB-4443-89B4-7BF3C7F1B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058" y="41637"/>
          <a:ext cx="1665305" cy="1184363"/>
        </a:xfrm>
        <a:prstGeom prst="rect">
          <a:avLst/>
        </a:prstGeom>
      </xdr:spPr>
    </xdr:pic>
    <xdr:clientData/>
  </xdr:twoCellAnchor>
  <xdr:twoCellAnchor editAs="oneCell">
    <xdr:from>
      <xdr:col>0</xdr:col>
      <xdr:colOff>0</xdr:colOff>
      <xdr:row>0</xdr:row>
      <xdr:rowOff>0</xdr:rowOff>
    </xdr:from>
    <xdr:to>
      <xdr:col>0</xdr:col>
      <xdr:colOff>1199581</xdr:colOff>
      <xdr:row>0</xdr:row>
      <xdr:rowOff>1210372</xdr:rowOff>
    </xdr:to>
    <xdr:pic>
      <xdr:nvPicPr>
        <xdr:cNvPr id="3" name="Imagen 2">
          <a:extLst>
            <a:ext uri="{FF2B5EF4-FFF2-40B4-BE49-F238E27FC236}">
              <a16:creationId xmlns:a16="http://schemas.microsoft.com/office/drawing/2014/main" id="{92E5F91E-C0B7-439F-91F6-A4C4009CC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581" cy="1210372"/>
        </a:xfrm>
        <a:prstGeom prst="rect">
          <a:avLst/>
        </a:prstGeom>
      </xdr:spPr>
    </xdr:pic>
    <xdr:clientData/>
  </xdr:twoCellAnchor>
  <xdr:twoCellAnchor editAs="oneCell">
    <xdr:from>
      <xdr:col>1</xdr:col>
      <xdr:colOff>1104900</xdr:colOff>
      <xdr:row>0</xdr:row>
      <xdr:rowOff>152400</xdr:rowOff>
    </xdr:from>
    <xdr:to>
      <xdr:col>2</xdr:col>
      <xdr:colOff>868421</xdr:colOff>
      <xdr:row>0</xdr:row>
      <xdr:rowOff>1069181</xdr:rowOff>
    </xdr:to>
    <xdr:pic>
      <xdr:nvPicPr>
        <xdr:cNvPr id="4" name="Picture 3">
          <a:extLst>
            <a:ext uri="{FF2B5EF4-FFF2-40B4-BE49-F238E27FC236}">
              <a16:creationId xmlns:a16="http://schemas.microsoft.com/office/drawing/2014/main" id="{B9EFF158-C52C-45E1-81B7-E92C2E9CA1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152400"/>
          <a:ext cx="1068446" cy="916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1187450</xdr:colOff>
      <xdr:row>0</xdr:row>
      <xdr:rowOff>29193</xdr:rowOff>
    </xdr:from>
    <xdr:to>
      <xdr:col>1</xdr:col>
      <xdr:colOff>2915602</xdr:colOff>
      <xdr:row>0</xdr:row>
      <xdr:rowOff>1083898</xdr:rowOff>
    </xdr:to>
    <xdr:pic>
      <xdr:nvPicPr>
        <xdr:cNvPr id="2" name="Imagen 15">
          <a:extLst>
            <a:ext uri="{FF2B5EF4-FFF2-40B4-BE49-F238E27FC236}">
              <a16:creationId xmlns:a16="http://schemas.microsoft.com/office/drawing/2014/main" id="{DA4FAFDF-7952-4D36-A2DC-FEABAC79C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575" y="29193"/>
          <a:ext cx="1727200" cy="1044228"/>
        </a:xfrm>
        <a:prstGeom prst="rect">
          <a:avLst/>
        </a:prstGeom>
      </xdr:spPr>
    </xdr:pic>
    <xdr:clientData/>
  </xdr:twoCellAnchor>
  <xdr:twoCellAnchor editAs="oneCell">
    <xdr:from>
      <xdr:col>1</xdr:col>
      <xdr:colOff>0</xdr:colOff>
      <xdr:row>0</xdr:row>
      <xdr:rowOff>0</xdr:rowOff>
    </xdr:from>
    <xdr:to>
      <xdr:col>1</xdr:col>
      <xdr:colOff>1056110</xdr:colOff>
      <xdr:row>0</xdr:row>
      <xdr:rowOff>1056110</xdr:rowOff>
    </xdr:to>
    <xdr:pic>
      <xdr:nvPicPr>
        <xdr:cNvPr id="3" name="Imagen 16">
          <a:extLst>
            <a:ext uri="{FF2B5EF4-FFF2-40B4-BE49-F238E27FC236}">
              <a16:creationId xmlns:a16="http://schemas.microsoft.com/office/drawing/2014/main" id="{A1022492-ADFA-4DEA-8582-F11362536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0"/>
          <a:ext cx="1055158" cy="1055158"/>
        </a:xfrm>
        <a:prstGeom prst="rect">
          <a:avLst/>
        </a:prstGeom>
      </xdr:spPr>
    </xdr:pic>
    <xdr:clientData/>
  </xdr:twoCellAnchor>
  <xdr:twoCellAnchor editAs="oneCell">
    <xdr:from>
      <xdr:col>4</xdr:col>
      <xdr:colOff>1500061</xdr:colOff>
      <xdr:row>48</xdr:row>
      <xdr:rowOff>68511</xdr:rowOff>
    </xdr:from>
    <xdr:to>
      <xdr:col>5</xdr:col>
      <xdr:colOff>487754</xdr:colOff>
      <xdr:row>50</xdr:row>
      <xdr:rowOff>131537</xdr:rowOff>
    </xdr:to>
    <xdr:pic>
      <xdr:nvPicPr>
        <xdr:cNvPr id="4" name="Imagen 17">
          <a:extLst>
            <a:ext uri="{FF2B5EF4-FFF2-40B4-BE49-F238E27FC236}">
              <a16:creationId xmlns:a16="http://schemas.microsoft.com/office/drawing/2014/main" id="{8A91325E-0195-4B9E-BFF6-41C182CCC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030" y="11069886"/>
          <a:ext cx="821255" cy="586901"/>
        </a:xfrm>
        <a:prstGeom prst="rect">
          <a:avLst/>
        </a:prstGeom>
      </xdr:spPr>
    </xdr:pic>
    <xdr:clientData/>
  </xdr:twoCellAnchor>
  <xdr:twoCellAnchor editAs="oneCell">
    <xdr:from>
      <xdr:col>4</xdr:col>
      <xdr:colOff>866245</xdr:colOff>
      <xdr:row>48</xdr:row>
      <xdr:rowOff>76201</xdr:rowOff>
    </xdr:from>
    <xdr:to>
      <xdr:col>4</xdr:col>
      <xdr:colOff>1459017</xdr:colOff>
      <xdr:row>50</xdr:row>
      <xdr:rowOff>131538</xdr:rowOff>
    </xdr:to>
    <xdr:pic>
      <xdr:nvPicPr>
        <xdr:cNvPr id="5" name="Imagen 18">
          <a:extLst>
            <a:ext uri="{FF2B5EF4-FFF2-40B4-BE49-F238E27FC236}">
              <a16:creationId xmlns:a16="http://schemas.microsoft.com/office/drawing/2014/main" id="{05C348B9-E49A-4641-9D37-2DF78D9965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6214" y="11077576"/>
          <a:ext cx="588010" cy="579212"/>
        </a:xfrm>
        <a:prstGeom prst="rect">
          <a:avLst/>
        </a:prstGeom>
      </xdr:spPr>
    </xdr:pic>
    <xdr:clientData/>
  </xdr:twoCellAnchor>
  <xdr:twoCellAnchor>
    <xdr:from>
      <xdr:col>1</xdr:col>
      <xdr:colOff>11906</xdr:colOff>
      <xdr:row>51</xdr:row>
      <xdr:rowOff>7218</xdr:rowOff>
    </xdr:from>
    <xdr:to>
      <xdr:col>3</xdr:col>
      <xdr:colOff>1135855</xdr:colOff>
      <xdr:row>64</xdr:row>
      <xdr:rowOff>73818</xdr:rowOff>
    </xdr:to>
    <xdr:graphicFrame macro="">
      <xdr:nvGraphicFramePr>
        <xdr:cNvPr id="6" name="6 Gráfico">
          <a:extLst>
            <a:ext uri="{FF2B5EF4-FFF2-40B4-BE49-F238E27FC236}">
              <a16:creationId xmlns:a16="http://schemas.microsoft.com/office/drawing/2014/main" id="{886A0CE3-53D4-4044-93E1-536613774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35719</xdr:colOff>
      <xdr:row>99</xdr:row>
      <xdr:rowOff>238125</xdr:rowOff>
    </xdr:from>
    <xdr:to>
      <xdr:col>5</xdr:col>
      <xdr:colOff>533399</xdr:colOff>
      <xdr:row>130</xdr:row>
      <xdr:rowOff>190500</xdr:rowOff>
    </xdr:to>
    <xdr:graphicFrame macro="">
      <xdr:nvGraphicFramePr>
        <xdr:cNvPr id="7" name="6 Gráfico">
          <a:extLst>
            <a:ext uri="{FF2B5EF4-FFF2-40B4-BE49-F238E27FC236}">
              <a16:creationId xmlns:a16="http://schemas.microsoft.com/office/drawing/2014/main" id="{6D66BEB3-37C6-40F8-8D6F-C01E6C1D6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11905</xdr:colOff>
      <xdr:row>68</xdr:row>
      <xdr:rowOff>0</xdr:rowOff>
    </xdr:from>
    <xdr:to>
      <xdr:col>5</xdr:col>
      <xdr:colOff>533400</xdr:colOff>
      <xdr:row>97</xdr:row>
      <xdr:rowOff>4762</xdr:rowOff>
    </xdr:to>
    <xdr:graphicFrame macro="">
      <xdr:nvGraphicFramePr>
        <xdr:cNvPr id="8" name="Gráfico 40">
          <a:extLst>
            <a:ext uri="{FF2B5EF4-FFF2-40B4-BE49-F238E27FC236}">
              <a16:creationId xmlns:a16="http://schemas.microsoft.com/office/drawing/2014/main" id="{03312181-007A-47E6-A455-4FB29DA22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3059907</xdr:colOff>
      <xdr:row>0</xdr:row>
      <xdr:rowOff>95251</xdr:rowOff>
    </xdr:from>
    <xdr:to>
      <xdr:col>1</xdr:col>
      <xdr:colOff>4056222</xdr:colOff>
      <xdr:row>0</xdr:row>
      <xdr:rowOff>950867</xdr:rowOff>
    </xdr:to>
    <xdr:pic>
      <xdr:nvPicPr>
        <xdr:cNvPr id="13" name="Picture 12">
          <a:extLst>
            <a:ext uri="{FF2B5EF4-FFF2-40B4-BE49-F238E27FC236}">
              <a16:creationId xmlns:a16="http://schemas.microsoft.com/office/drawing/2014/main" id="{E0D46043-68BB-4BF7-B9B5-44A936FDAF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79032" y="95251"/>
          <a:ext cx="1000125" cy="855616"/>
        </a:xfrm>
        <a:prstGeom prst="rect">
          <a:avLst/>
        </a:prstGeom>
      </xdr:spPr>
    </xdr:pic>
    <xdr:clientData/>
  </xdr:twoCellAnchor>
  <xdr:twoCellAnchor editAs="oneCell">
    <xdr:from>
      <xdr:col>4</xdr:col>
      <xdr:colOff>148753</xdr:colOff>
      <xdr:row>48</xdr:row>
      <xdr:rowOff>74083</xdr:rowOff>
    </xdr:from>
    <xdr:to>
      <xdr:col>4</xdr:col>
      <xdr:colOff>819150</xdr:colOff>
      <xdr:row>50</xdr:row>
      <xdr:rowOff>140565</xdr:rowOff>
    </xdr:to>
    <xdr:pic>
      <xdr:nvPicPr>
        <xdr:cNvPr id="14" name="Picture 13">
          <a:extLst>
            <a:ext uri="{FF2B5EF4-FFF2-40B4-BE49-F238E27FC236}">
              <a16:creationId xmlns:a16="http://schemas.microsoft.com/office/drawing/2014/main" id="{70A0E952-FD1E-40D9-A745-8E94CA8E67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18722" y="11075458"/>
          <a:ext cx="665635" cy="590357"/>
        </a:xfrm>
        <a:prstGeom prst="rect">
          <a:avLst/>
        </a:prstGeom>
      </xdr:spPr>
    </xdr:pic>
    <xdr:clientData/>
  </xdr:twoCellAnchor>
  <xdr:twoCellAnchor editAs="oneCell">
    <xdr:from>
      <xdr:col>4</xdr:col>
      <xdr:colOff>1437030</xdr:colOff>
      <xdr:row>65</xdr:row>
      <xdr:rowOff>85722</xdr:rowOff>
    </xdr:from>
    <xdr:to>
      <xdr:col>5</xdr:col>
      <xdr:colOff>429485</xdr:colOff>
      <xdr:row>67</xdr:row>
      <xdr:rowOff>153510</xdr:rowOff>
    </xdr:to>
    <xdr:pic>
      <xdr:nvPicPr>
        <xdr:cNvPr id="17" name="Imagen 17">
          <a:extLst>
            <a:ext uri="{FF2B5EF4-FFF2-40B4-BE49-F238E27FC236}">
              <a16:creationId xmlns:a16="http://schemas.microsoft.com/office/drawing/2014/main" id="{1B07D539-65A5-4E86-AC1F-5E1D88EB1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6999" y="17052128"/>
          <a:ext cx="821255" cy="591663"/>
        </a:xfrm>
        <a:prstGeom prst="rect">
          <a:avLst/>
        </a:prstGeom>
      </xdr:spPr>
    </xdr:pic>
    <xdr:clientData/>
  </xdr:twoCellAnchor>
  <xdr:twoCellAnchor editAs="oneCell">
    <xdr:from>
      <xdr:col>4</xdr:col>
      <xdr:colOff>798452</xdr:colOff>
      <xdr:row>65</xdr:row>
      <xdr:rowOff>93412</xdr:rowOff>
    </xdr:from>
    <xdr:to>
      <xdr:col>4</xdr:col>
      <xdr:colOff>1400748</xdr:colOff>
      <xdr:row>67</xdr:row>
      <xdr:rowOff>153511</xdr:rowOff>
    </xdr:to>
    <xdr:pic>
      <xdr:nvPicPr>
        <xdr:cNvPr id="18" name="Imagen 18">
          <a:extLst>
            <a:ext uri="{FF2B5EF4-FFF2-40B4-BE49-F238E27FC236}">
              <a16:creationId xmlns:a16="http://schemas.microsoft.com/office/drawing/2014/main" id="{FE711EE0-C2FA-4882-8445-A466F7C7E2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8421" y="17059818"/>
          <a:ext cx="597534" cy="583974"/>
        </a:xfrm>
        <a:prstGeom prst="rect">
          <a:avLst/>
        </a:prstGeom>
      </xdr:spPr>
    </xdr:pic>
    <xdr:clientData/>
  </xdr:twoCellAnchor>
  <xdr:twoCellAnchor editAs="oneCell">
    <xdr:from>
      <xdr:col>4</xdr:col>
      <xdr:colOff>85722</xdr:colOff>
      <xdr:row>65</xdr:row>
      <xdr:rowOff>96056</xdr:rowOff>
    </xdr:from>
    <xdr:to>
      <xdr:col>4</xdr:col>
      <xdr:colOff>751357</xdr:colOff>
      <xdr:row>67</xdr:row>
      <xdr:rowOff>162538</xdr:rowOff>
    </xdr:to>
    <xdr:pic>
      <xdr:nvPicPr>
        <xdr:cNvPr id="19" name="Picture 18">
          <a:extLst>
            <a:ext uri="{FF2B5EF4-FFF2-40B4-BE49-F238E27FC236}">
              <a16:creationId xmlns:a16="http://schemas.microsoft.com/office/drawing/2014/main" id="{FFDD7F11-7E7B-4247-B3A8-20B5440533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55691" y="17062462"/>
          <a:ext cx="665635" cy="590357"/>
        </a:xfrm>
        <a:prstGeom prst="rect">
          <a:avLst/>
        </a:prstGeom>
      </xdr:spPr>
    </xdr:pic>
    <xdr:clientData/>
  </xdr:twoCellAnchor>
  <xdr:twoCellAnchor editAs="oneCell">
    <xdr:from>
      <xdr:col>4</xdr:col>
      <xdr:colOff>1420362</xdr:colOff>
      <xdr:row>97</xdr:row>
      <xdr:rowOff>97628</xdr:rowOff>
    </xdr:from>
    <xdr:to>
      <xdr:col>5</xdr:col>
      <xdr:colOff>412817</xdr:colOff>
      <xdr:row>99</xdr:row>
      <xdr:rowOff>170178</xdr:rowOff>
    </xdr:to>
    <xdr:pic>
      <xdr:nvPicPr>
        <xdr:cNvPr id="20" name="Imagen 17">
          <a:extLst>
            <a:ext uri="{FF2B5EF4-FFF2-40B4-BE49-F238E27FC236}">
              <a16:creationId xmlns:a16="http://schemas.microsoft.com/office/drawing/2014/main" id="{644F402A-A23D-47DF-BCBD-69908F1808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90331" y="22683784"/>
          <a:ext cx="826017" cy="596425"/>
        </a:xfrm>
        <a:prstGeom prst="rect">
          <a:avLst/>
        </a:prstGeom>
      </xdr:spPr>
    </xdr:pic>
    <xdr:clientData/>
  </xdr:twoCellAnchor>
  <xdr:twoCellAnchor editAs="oneCell">
    <xdr:from>
      <xdr:col>4</xdr:col>
      <xdr:colOff>781784</xdr:colOff>
      <xdr:row>97</xdr:row>
      <xdr:rowOff>105318</xdr:rowOff>
    </xdr:from>
    <xdr:to>
      <xdr:col>4</xdr:col>
      <xdr:colOff>1384080</xdr:colOff>
      <xdr:row>99</xdr:row>
      <xdr:rowOff>170179</xdr:rowOff>
    </xdr:to>
    <xdr:pic>
      <xdr:nvPicPr>
        <xdr:cNvPr id="21" name="Imagen 18">
          <a:extLst>
            <a:ext uri="{FF2B5EF4-FFF2-40B4-BE49-F238E27FC236}">
              <a16:creationId xmlns:a16="http://schemas.microsoft.com/office/drawing/2014/main" id="{DD900D3F-ABEC-4835-8103-C3A31FB17D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51753" y="22691474"/>
          <a:ext cx="602296" cy="588736"/>
        </a:xfrm>
        <a:prstGeom prst="rect">
          <a:avLst/>
        </a:prstGeom>
      </xdr:spPr>
    </xdr:pic>
    <xdr:clientData/>
  </xdr:twoCellAnchor>
  <xdr:twoCellAnchor editAs="oneCell">
    <xdr:from>
      <xdr:col>4</xdr:col>
      <xdr:colOff>69054</xdr:colOff>
      <xdr:row>97</xdr:row>
      <xdr:rowOff>112724</xdr:rowOff>
    </xdr:from>
    <xdr:to>
      <xdr:col>4</xdr:col>
      <xdr:colOff>734689</xdr:colOff>
      <xdr:row>99</xdr:row>
      <xdr:rowOff>179206</xdr:rowOff>
    </xdr:to>
    <xdr:pic>
      <xdr:nvPicPr>
        <xdr:cNvPr id="22" name="Picture 21">
          <a:extLst>
            <a:ext uri="{FF2B5EF4-FFF2-40B4-BE49-F238E27FC236}">
              <a16:creationId xmlns:a16="http://schemas.microsoft.com/office/drawing/2014/main" id="{899CA4CD-4D4B-49F6-A999-E4B562F88F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39023" y="22698880"/>
          <a:ext cx="665635" cy="5903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993963</xdr:colOff>
      <xdr:row>0</xdr:row>
      <xdr:rowOff>106888</xdr:rowOff>
    </xdr:from>
    <xdr:to>
      <xdr:col>2</xdr:col>
      <xdr:colOff>2082912</xdr:colOff>
      <xdr:row>0</xdr:row>
      <xdr:rowOff>762000</xdr:rowOff>
    </xdr:to>
    <xdr:pic>
      <xdr:nvPicPr>
        <xdr:cNvPr id="2" name="Imagen 2">
          <a:extLst>
            <a:ext uri="{FF2B5EF4-FFF2-40B4-BE49-F238E27FC236}">
              <a16:creationId xmlns:a16="http://schemas.microsoft.com/office/drawing/2014/main" id="{7B606720-E632-4E34-BBA0-C6A1ECA87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1413" y="106888"/>
          <a:ext cx="1088949" cy="655112"/>
        </a:xfrm>
        <a:prstGeom prst="rect">
          <a:avLst/>
        </a:prstGeom>
      </xdr:spPr>
    </xdr:pic>
    <xdr:clientData/>
  </xdr:twoCellAnchor>
  <xdr:twoCellAnchor editAs="oneCell">
    <xdr:from>
      <xdr:col>1</xdr:col>
      <xdr:colOff>97117</xdr:colOff>
      <xdr:row>0</xdr:row>
      <xdr:rowOff>298824</xdr:rowOff>
    </xdr:from>
    <xdr:to>
      <xdr:col>1</xdr:col>
      <xdr:colOff>1323722</xdr:colOff>
      <xdr:row>0</xdr:row>
      <xdr:rowOff>1522254</xdr:rowOff>
    </xdr:to>
    <xdr:pic>
      <xdr:nvPicPr>
        <xdr:cNvPr id="3" name="Imagen 3">
          <a:extLst>
            <a:ext uri="{FF2B5EF4-FFF2-40B4-BE49-F238E27FC236}">
              <a16:creationId xmlns:a16="http://schemas.microsoft.com/office/drawing/2014/main" id="{21AA2904-EF0B-484F-8AF8-EC98B90CC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298824"/>
          <a:ext cx="1226605" cy="1223430"/>
        </a:xfrm>
        <a:prstGeom prst="rect">
          <a:avLst/>
        </a:prstGeom>
      </xdr:spPr>
    </xdr:pic>
    <xdr:clientData/>
  </xdr:twoCellAnchor>
  <xdr:twoCellAnchor editAs="oneCell">
    <xdr:from>
      <xdr:col>2</xdr:col>
      <xdr:colOff>2247900</xdr:colOff>
      <xdr:row>0</xdr:row>
      <xdr:rowOff>200026</xdr:rowOff>
    </xdr:from>
    <xdr:to>
      <xdr:col>2</xdr:col>
      <xdr:colOff>2871388</xdr:colOff>
      <xdr:row>0</xdr:row>
      <xdr:rowOff>733425</xdr:rowOff>
    </xdr:to>
    <xdr:pic>
      <xdr:nvPicPr>
        <xdr:cNvPr id="4" name="Picture 3">
          <a:extLst>
            <a:ext uri="{FF2B5EF4-FFF2-40B4-BE49-F238E27FC236}">
              <a16:creationId xmlns:a16="http://schemas.microsoft.com/office/drawing/2014/main" id="{3AB69CF4-F7BA-4822-85EE-A970F942B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200026"/>
          <a:ext cx="623488" cy="533399"/>
        </a:xfrm>
        <a:prstGeom prst="rect">
          <a:avLst/>
        </a:prstGeom>
      </xdr:spPr>
    </xdr:pic>
    <xdr:clientData/>
  </xdr:twoCellAnchor>
  <xdr:twoCellAnchor editAs="oneCell">
    <xdr:from>
      <xdr:col>2</xdr:col>
      <xdr:colOff>57150</xdr:colOff>
      <xdr:row>0</xdr:row>
      <xdr:rowOff>66675</xdr:rowOff>
    </xdr:from>
    <xdr:to>
      <xdr:col>2</xdr:col>
      <xdr:colOff>819150</xdr:colOff>
      <xdr:row>0</xdr:row>
      <xdr:rowOff>802114</xdr:rowOff>
    </xdr:to>
    <xdr:pic>
      <xdr:nvPicPr>
        <xdr:cNvPr id="5" name="Imagen 6">
          <a:extLst>
            <a:ext uri="{FF2B5EF4-FFF2-40B4-BE49-F238E27FC236}">
              <a16:creationId xmlns:a16="http://schemas.microsoft.com/office/drawing/2014/main" id="{8D7AF0A9-4493-4BBA-838A-0A4A3D6AF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 y="66675"/>
          <a:ext cx="762000" cy="735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815481</xdr:colOff>
      <xdr:row>0</xdr:row>
      <xdr:rowOff>1</xdr:rowOff>
    </xdr:from>
    <xdr:to>
      <xdr:col>2</xdr:col>
      <xdr:colOff>35279</xdr:colOff>
      <xdr:row>3</xdr:row>
      <xdr:rowOff>105184</xdr:rowOff>
    </xdr:to>
    <xdr:pic>
      <xdr:nvPicPr>
        <xdr:cNvPr id="2" name="Imagen 5">
          <a:extLst>
            <a:ext uri="{FF2B5EF4-FFF2-40B4-BE49-F238E27FC236}">
              <a16:creationId xmlns:a16="http://schemas.microsoft.com/office/drawing/2014/main" id="{4BD3C5FF-D4B8-4EC9-8C09-DA43394FE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5481" y="1"/>
          <a:ext cx="1220048" cy="762408"/>
        </a:xfrm>
        <a:prstGeom prst="rect">
          <a:avLst/>
        </a:prstGeom>
      </xdr:spPr>
    </xdr:pic>
    <xdr:clientData/>
  </xdr:twoCellAnchor>
  <xdr:twoCellAnchor editAs="oneCell">
    <xdr:from>
      <xdr:col>0</xdr:col>
      <xdr:colOff>1</xdr:colOff>
      <xdr:row>0</xdr:row>
      <xdr:rowOff>0</xdr:rowOff>
    </xdr:from>
    <xdr:to>
      <xdr:col>0</xdr:col>
      <xdr:colOff>762001</xdr:colOff>
      <xdr:row>3</xdr:row>
      <xdr:rowOff>82296</xdr:rowOff>
    </xdr:to>
    <xdr:pic>
      <xdr:nvPicPr>
        <xdr:cNvPr id="3" name="Imagen 6">
          <a:extLst>
            <a:ext uri="{FF2B5EF4-FFF2-40B4-BE49-F238E27FC236}">
              <a16:creationId xmlns:a16="http://schemas.microsoft.com/office/drawing/2014/main" id="{7F35FFDE-FFA8-4CB2-8747-1727B297B5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62000" cy="739521"/>
        </a:xfrm>
        <a:prstGeom prst="rect">
          <a:avLst/>
        </a:prstGeom>
      </xdr:spPr>
    </xdr:pic>
    <xdr:clientData/>
  </xdr:twoCellAnchor>
  <xdr:twoCellAnchor editAs="oneCell">
    <xdr:from>
      <xdr:col>2</xdr:col>
      <xdr:colOff>81643</xdr:colOff>
      <xdr:row>0</xdr:row>
      <xdr:rowOff>68036</xdr:rowOff>
    </xdr:from>
    <xdr:to>
      <xdr:col>2</xdr:col>
      <xdr:colOff>892814</xdr:colOff>
      <xdr:row>3</xdr:row>
      <xdr:rowOff>108857</xdr:rowOff>
    </xdr:to>
    <xdr:pic>
      <xdr:nvPicPr>
        <xdr:cNvPr id="4" name="Picture 3">
          <a:extLst>
            <a:ext uri="{FF2B5EF4-FFF2-40B4-BE49-F238E27FC236}">
              <a16:creationId xmlns:a16="http://schemas.microsoft.com/office/drawing/2014/main" id="{757347D2-37BE-4033-8E96-4F456D9BE4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1893" y="68036"/>
          <a:ext cx="811171" cy="69804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TTOMLEY James (ENGIE Impact)" id="{EB2921B0-3FA5-4B37-9F85-672CD6B1808A}" userId="PG6416@engie.com" providerId="PeoplePicker"/>
  <person displayName="SOLOMON Brian (ENGIE Impact)" id="{9E7A2796-492C-40DC-9668-D8829F11E083}" userId="S::HT6219@engie.com::a32b2ae7-27f3-4ef7-9d01-c1943502ec2e"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8966C8AA-3F85-49C6-AB1A-FE95B6024AD2}" sourceName="Category">
  <extLst>
    <x:ext xmlns:x15="http://schemas.microsoft.com/office/spreadsheetml/2010/11/main" uri="{2F2917AC-EB37-4324-AD4E-5DD8C200BD13}">
      <x15:tableSlicerCache tableId="18"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 xr10:uid="{7435C39E-F2F2-459F-9381-F5F0A5E4CD4D}" sourceName="Sub-category">
  <extLst>
    <x:ext xmlns:x15="http://schemas.microsoft.com/office/spreadsheetml/2010/11/main" uri="{2F2917AC-EB37-4324-AD4E-5DD8C200BD13}">
      <x15:tableSlicerCache tableId="18"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1" xr10:uid="{A3C08543-B608-438B-97E1-6597673FE016}" sourceName="Category">
  <extLst>
    <x:ext xmlns:x15="http://schemas.microsoft.com/office/spreadsheetml/2010/11/main" uri="{2F2917AC-EB37-4324-AD4E-5DD8C200BD13}">
      <x15:tableSlicerCache tableId="20"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2" xr10:uid="{544DF6FF-7F10-459F-A337-376FC7D8B675}" sourceName="Sub-category">
  <extLst>
    <x:ext xmlns:x15="http://schemas.microsoft.com/office/spreadsheetml/2010/11/main" uri="{2F2917AC-EB37-4324-AD4E-5DD8C200BD13}">
      <x15:tableSlicerCache tableId="20"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1" xr10:uid="{54C16A0E-956B-436F-B514-37A202D44D70}" cache="Slicer_Category" caption="Category" rowHeight="234950"/>
  <slicer name="Sub-category 2" xr10:uid="{B97F7799-2C00-485D-BCFC-36733DC7F7CF}" cache="Slicer_Sub_category" caption="Sub-category"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2" xr10:uid="{68E719FC-046E-49DA-AE25-939D2993BCE3}" cache="Slicer_Category1" caption="Category" rowHeight="234950"/>
  <slicer name="Sub-category 4" xr10:uid="{0B3DDE20-EDB0-479B-9DC5-C138B7C1CCDA}" cache="Slicer_Sub_category2" caption="Sub-categor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3A7355-37E7-4575-9E3D-CF3AE711C8F3}" name="Table310" displayName="Table310" ref="C18:Q411" totalsRowShown="0" headerRowDxfId="136" dataDxfId="135">
  <autoFilter ref="C18:Q411" xr:uid="{8F76A333-D6C9-4E64-9795-E3C672D50ECF}"/>
  <tableColumns count="15">
    <tableColumn id="2" xr3:uid="{82F77464-3922-409E-8348-53B1090071EC}" name="Commodity Name" dataDxfId="134"/>
    <tableColumn id="10" xr3:uid="{1C7BDD1E-DFCF-41B8-B698-40E83723C0D5}" name="Item Description (optional)" dataDxfId="133"/>
    <tableColumn id="11" xr3:uid="{1F9A85FD-FDD0-4C31-877E-761F9B2D2C6C}" name="Annual procurement_x000a_spend ($)" dataDxfId="132"/>
    <tableColumn id="12" xr3:uid="{7A4D95D6-BDC0-4774-9BB4-8440E5CF9696}" name="Procurement via: Wholesaler /Retailer/ Distributor or Direct-from-Manufacturer?_x000a_Leave Blank if Unknown" dataDxfId="131"/>
    <tableColumn id="13" xr3:uid="{43BD3B84-608A-44CC-87A2-402B00645906}" name="Emissions (MTCO2e)" dataDxfId="130">
      <calculatedColumnFormula>IFERROR(IF(E19="","",IF(F19="Direct-from-manufacturer",(E19*H19/1000*'Reporting Year &amp; Inflation Adj.'!$F$9),(E19*I19/1000*'Reporting Year &amp; Inflation Adj.'!$F$9))),"")</calculatedColumnFormula>
    </tableColumn>
    <tableColumn id="14" xr3:uid="{8BE9B9EA-A5D8-44DF-AD13-3CCF1D0697A8}" name="Supply Chain Emission Factors without Margins_x000a_(kg CO2e/2024 USD)" dataDxfId="129" dataCellStyle="Comma"/>
    <tableColumn id="15" xr3:uid="{82947D7E-C4A4-477E-80ED-4B9834573225}" name="Supply Chain Emission Factors _x000a_with Margins _x000a_(kg CO2e/2024 USD)" dataDxfId="128"/>
    <tableColumn id="16" xr3:uid="{7CE44087-DA5D-4C2D-90AC-9F1A5B6DFDAE}" name="Margin Percent" dataDxfId="127" dataCellStyle="Percent"/>
    <tableColumn id="1" xr3:uid="{8AC632C7-8D0E-4F32-9EE9-E3D72A7F6F68}" name="Reference USEEIO Code" dataDxfId="126"/>
    <tableColumn id="3" xr3:uid="{44A45962-CBE9-4B3A-B20F-FBB45B1D00AD}" name="Commodity Description" dataDxfId="125"/>
    <tableColumn id="4" xr3:uid="{C35B7BC5-EAC7-4D89-BD68-51B608632A7C}" name="Category" dataDxfId="124"/>
    <tableColumn id="5" xr3:uid="{6C23A80E-5225-4B9D-BA5D-B004957232F7}" name="Sub-category" dataDxfId="123"/>
    <tableColumn id="6" xr3:uid="{3E56F4AD-2A0F-4E92-89D0-EAFCA3853A32}" name="Supply Chain Emission Factors without Margins (kg CO2e/USD)" dataDxfId="122" dataCellStyle="Comma"/>
    <tableColumn id="7" xr3:uid="{29FC3CB1-02F9-4035-95D1-952FD9BC9E18}" name="Margins of Supply Chain Emission Factors (kg CO2e/USD)" dataDxfId="121" dataCellStyle="Comma"/>
    <tableColumn id="8" xr3:uid="{8574880A-20EE-43EE-9C08-E862BDD05FB9}" name="Supply Chain Emission Factors with Margins (kg CO2e/USD)" dataDxfId="120" dataCellStyle="Comm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479FF66-BC90-408E-B5D4-B1A6F7C3C76B}" name="Glass" displayName="Glass" ref="N48:N51" totalsRowShown="0" headerRowDxfId="74" dataDxfId="73" tableBorderDxfId="72">
  <autoFilter ref="N48:N51" xr:uid="{00000000-0009-0000-0100-000008000000}"/>
  <tableColumns count="1">
    <tableColumn id="1" xr3:uid="{5916C168-BB17-4B28-B7E3-98232C5AB57F}" name="Glass" dataDxfId="7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80C0DCB-1DD4-42BE-B33B-C3339A6E8004}" name="Short" displayName="Short" ref="AD11:AD12" totalsRowShown="0" headerRowDxfId="70" dataDxfId="69" tableBorderDxfId="68">
  <autoFilter ref="AD11:AD12" xr:uid="{3DFFBC8E-2180-4427-8B23-06BBF970AC64}"/>
  <tableColumns count="1">
    <tableColumn id="1" xr3:uid="{D85100E4-BC8C-42C5-AFE4-A6127CF0941E}" name="Short" dataDxfId="6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A41693B-3018-4907-B7F1-80DDC2F7BC32}" name="Medium" displayName="Medium" ref="AD14:AD17" totalsRowShown="0" headerRowDxfId="66" dataDxfId="65" tableBorderDxfId="64">
  <autoFilter ref="AD14:AD17" xr:uid="{D81B825D-4911-460F-A4A4-344BF9646DE2}"/>
  <tableColumns count="1">
    <tableColumn id="1" xr3:uid="{E070BC90-A1C2-415D-85F3-4E8F3A48460B}" name="Medium" dataDxfId="6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1B74BA5-1921-4F2F-AB72-9707E742EEEA}" name="Long" displayName="Long" ref="AD19:AD24" totalsRowShown="0" headerRowDxfId="62" dataDxfId="61" tableBorderDxfId="60">
  <autoFilter ref="AD19:AD24" xr:uid="{718211F7-E99A-45E7-93DE-EF4B222014E0}"/>
  <tableColumns count="1">
    <tableColumn id="1" xr3:uid="{D1DA4542-1CDA-4732-9EB0-7ACC13E649CA}" name="Long" dataDxfId="5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21AE41-BE76-4C9B-8304-0C949364154F}" name="Bus" displayName="Bus" ref="AF12:AF16" totalsRowShown="0" headerRowDxfId="58" dataDxfId="56" headerRowBorderDxfId="57" tableBorderDxfId="55" totalsRowBorderDxfId="54">
  <autoFilter ref="AF12:AF16" xr:uid="{D84C321F-AA44-455A-976C-C42D08E98D78}"/>
  <tableColumns count="1">
    <tableColumn id="1" xr3:uid="{41E3A71F-9B7B-40B6-8E8D-6A2506FD199F}" name="Bus" dataDxfId="5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4688D9-F4B2-4901-A8AB-5032CB74F1C0}" name="Motorbike" displayName="Motorbike" ref="AF29:AF33" totalsRowShown="0" headerRowDxfId="52" dataDxfId="50" headerRowBorderDxfId="51" tableBorderDxfId="49" totalsRowBorderDxfId="48">
  <autoFilter ref="AF29:AF33" xr:uid="{3F3F5EF1-00D0-4A38-8111-0171A71A6404}"/>
  <tableColumns count="1">
    <tableColumn id="1" xr3:uid="{90A0DDE0-49E8-434C-8443-6D5DBAA073D2}" name="Motorbike" dataDxfId="4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EA20BF3-8874-4E01-9A98-C827F19F8AEB}" name="Rail" displayName="Rail" ref="AF35:AF39" totalsRowShown="0" headerRowDxfId="46" dataDxfId="44" headerRowBorderDxfId="45" tableBorderDxfId="43" totalsRowBorderDxfId="42">
  <autoFilter ref="AF35:AF39" xr:uid="{28DD612A-44A3-49FD-87CA-267C75758F28}"/>
  <tableColumns count="1">
    <tableColumn id="1" xr3:uid="{CCFAB8BA-D112-4645-9150-CD5E37450F86}" name="Rail" dataDxfId="4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6C907B3-B8C8-4B1C-93D0-0077E4D81224}" name="Taxis" displayName="Taxis" ref="AF41:AF43" totalsRowShown="0" headerRowDxfId="40" dataDxfId="38" headerRowBorderDxfId="39" tableBorderDxfId="37" totalsRowBorderDxfId="36">
  <autoFilter ref="AF41:AF43" xr:uid="{AB12DF87-7C9F-45B8-A975-5DC3027C2287}"/>
  <tableColumns count="1">
    <tableColumn id="1" xr3:uid="{299B4E28-78F0-48B0-BC2F-53E5B06E3475}" name="Taxis" dataDxfId="3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6F079E3-E074-4FED-9BEE-1D9B3D6DAC05}" name="Cars_by_market_segment" displayName="Cars_by_market_segment" ref="AF18:AF27" totalsRowShown="0" headerRowDxfId="34" dataDxfId="33" tableBorderDxfId="32">
  <autoFilter ref="AF18:AF27" xr:uid="{62A61785-1845-44E5-B8A8-11B1C32E508C}"/>
  <tableColumns count="1">
    <tableColumn id="1" xr3:uid="{1A12C729-F249-4595-9085-B37844A1D28E}" name="Cars_by_market_segment" dataDxfId="31"/>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1BBDCB-7220-42EE-AF0F-3615C0EE3747}" name="Market_fuel_types" displayName="Market_fuel_types" ref="AF45:AF50" totalsRowShown="0" headerRowDxfId="30" dataDxfId="29" tableBorderDxfId="28">
  <autoFilter ref="AF45:AF50" xr:uid="{911DCB54-4EE9-444B-A73A-FB537C60DE04}"/>
  <tableColumns count="1">
    <tableColumn id="1" xr3:uid="{139D5E50-3F8B-4E1E-BAE4-FD280B0DC278}" name="Market_fuel_types"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E6D319-6F8B-4E94-8FB6-CF0FB9D26B54}" name="Table31021" displayName="Table31021" ref="C18:Q237" totalsRowShown="0" headerRowDxfId="119" dataDxfId="118">
  <autoFilter ref="C18:Q237" xr:uid="{8F76A333-D6C9-4E64-9795-E3C672D50ECF}"/>
  <tableColumns count="15">
    <tableColumn id="2" xr3:uid="{62A3D3BB-B963-45F1-924B-A88FEB00FC0E}" name="Commodity Name" dataDxfId="117"/>
    <tableColumn id="10" xr3:uid="{1690C6FC-376E-447B-ADC4-18BDB18039AE}" name="Item Description (optional)" dataDxfId="116"/>
    <tableColumn id="11" xr3:uid="{30CBAC53-07A7-4FDB-ACDE-88E2E782039F}" name="Annual procurement_x000a_spend ($)" dataDxfId="115"/>
    <tableColumn id="12" xr3:uid="{553C983F-5658-45AC-9C06-FDCB4119163D}" name="Procurement via: Wholesaler /Retailer/ Distributor or Direct-from-Manufacturer?_x000a_Leave Blank if Unknown" dataDxfId="114"/>
    <tableColumn id="13" xr3:uid="{A8622AB0-84CB-43DE-9A67-B55F952FE696}" name="Emissions (MTCO2e)" dataDxfId="113">
      <calculatedColumnFormula>IFERROR(IF(E19="","",IF(F19="Direct-from-manufacturer",(E19*H19/1000*'Reporting Year &amp; Inflation Adj.'!$F$9),(E19*I19/1000*'Reporting Year &amp; Inflation Adj.'!$F$9))),"")</calculatedColumnFormula>
    </tableColumn>
    <tableColumn id="14" xr3:uid="{DE4D13E0-7872-4D83-9C69-5C06ADCB8244}" name="Supply Chain Emission Factors without Margins_x000a_(kg CO2e/2022 USD)" dataDxfId="112" dataCellStyle="Comma"/>
    <tableColumn id="15" xr3:uid="{0E144341-FDF9-4CE5-852D-853686769694}" name="Supply Chain Emission Factors _x000a_with Margins _x000a_(kg CO2e/2022 USD)" dataDxfId="111"/>
    <tableColumn id="16" xr3:uid="{23BFE329-4E36-4A0E-B904-2AAFA8E212DF}" name="Margin Percent" dataDxfId="110" dataCellStyle="Percent"/>
    <tableColumn id="1" xr3:uid="{1C50BCAD-2EAA-4F10-BBEC-660490DA03EF}" name="Reference USEEIO Code" dataDxfId="109"/>
    <tableColumn id="3" xr3:uid="{4B021B0C-A696-4583-B127-FC338FDF3D9F}" name="Commodity Description" dataDxfId="108"/>
    <tableColumn id="4" xr3:uid="{40196A27-121F-440B-9841-B3DA95F2A443}" name="Category" dataDxfId="107"/>
    <tableColumn id="5" xr3:uid="{285853E2-153C-4226-B7E0-8856FE7A1DA9}" name="Sub-category" dataDxfId="106"/>
    <tableColumn id="6" xr3:uid="{A00B282B-BC33-4028-B2F3-DF0132F57384}" name="Supply Chain Emission Factors without Margins (kg CO2e/USD)" dataDxfId="105" dataCellStyle="Comma"/>
    <tableColumn id="7" xr3:uid="{5A3316A5-9CC5-4B27-8024-FBB687C8F2EB}" name="Margins of Supply Chain Emission Factors (kg CO2e/USD)" dataDxfId="104" dataCellStyle="Comma"/>
    <tableColumn id="8" xr3:uid="{2090D300-DD67-4631-836D-848A26963316}" name="Supply Chain Emission Factors with Margins (kg CO2e/USD)" dataDxfId="103"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44C19E-10AF-4297-89BA-38FA8C41C423}" name="Mixed_Paper" displayName="Mixed_Paper" ref="N14:N17" totalsRowShown="0" headerRowDxfId="102" dataDxfId="101" tableBorderDxfId="100">
  <autoFilter ref="N14:N17" xr:uid="{00000000-0009-0000-0100-000001000000}"/>
  <tableColumns count="1">
    <tableColumn id="1" xr3:uid="{1CDA2D4D-4ECB-4787-A773-6D0485B2EB3B}" name="Mixed_Paper" dataDxfId="9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A79830-C7B1-4B41-A0BB-E72D1BF02ED0}" name="Mixed_Metals" displayName="Mixed_Metals" ref="N19:N22" totalsRowShown="0" headerRowDxfId="98" dataDxfId="97" tableBorderDxfId="96">
  <autoFilter ref="N19:N22" xr:uid="{00000000-0009-0000-0100-000002000000}"/>
  <tableColumns count="1">
    <tableColumn id="1" xr3:uid="{9D511564-3D90-4742-A733-581A16BB4CE0}" name="Mixed_Metals" dataDxfId="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0713E04-FC80-43C9-AAF9-590491B0EB16}" name="Mixed_Plastics" displayName="Mixed_Plastics" ref="N24:N27" totalsRowShown="0" headerRowDxfId="94" dataDxfId="93" tableBorderDxfId="92">
  <autoFilter ref="N24:N27" xr:uid="{00000000-0009-0000-0100-000003000000}"/>
  <tableColumns count="1">
    <tableColumn id="1" xr3:uid="{912EC42C-D2FB-4306-BC1B-662B173E53E6}" name="Mixed_Plastics" dataDxfId="9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200DE10-810F-4376-BC8B-83AB44E73788}" name="Mixed_Recyclables" displayName="Mixed_Recyclables" ref="N29:N32" totalsRowShown="0" headerRowDxfId="90" dataDxfId="89" tableBorderDxfId="88">
  <autoFilter ref="N29:N32" xr:uid="{00000000-0009-0000-0100-000004000000}"/>
  <tableColumns count="1">
    <tableColumn id="1" xr3:uid="{BDB275D2-8B81-4793-9AC7-3DBBF384B71E}" name="Mixed_Recyclables" dataDxfId="8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21D76-50EB-43FD-BD71-4661C7312876}" name="Mixed_Organics" displayName="Mixed_Organics" ref="N34:N37" totalsRowShown="0" headerRowDxfId="86" dataDxfId="85" tableBorderDxfId="84">
  <autoFilter ref="N34:N37" xr:uid="{00000000-0009-0000-0100-000005000000}"/>
  <tableColumns count="1">
    <tableColumn id="1" xr3:uid="{9923F1EA-B472-4CED-AC7C-A3FC7B2CD943}" name="Mixed_Organics" dataDxfId="8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5076B02-88E0-4A6F-B76D-70B0001AB486}" name="Mixed_MSW" displayName="Mixed_MSW" ref="N39:N41" totalsRowShown="0" headerRowDxfId="82" dataDxfId="81" tableBorderDxfId="80">
  <autoFilter ref="N39:N41" xr:uid="{00000000-0009-0000-0100-000006000000}"/>
  <tableColumns count="1">
    <tableColumn id="1" xr3:uid="{78546598-2EDC-4358-BCBA-6ED3B17AA397}" name="Mixed_MSW" dataDxfId="7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A24A3D-38C4-498D-8488-7B27E34DA129}" name="Mixed_Electronics" displayName="Mixed_Electronics" ref="N43:N46" totalsRowShown="0" headerRowDxfId="78" dataDxfId="77" tableBorderDxfId="76">
  <autoFilter ref="N43:N46" xr:uid="{00000000-0009-0000-0100-000007000000}"/>
  <tableColumns count="1">
    <tableColumn id="1" xr3:uid="{4BB569BA-4199-4973-B7ED-E93AB9E03D68}" name="Mixed_Electronics" dataDxfId="75"/>
  </tableColumns>
  <tableStyleInfo name="TableStyleMedium2" showFirstColumn="0" showLastColumn="0" showRowStripes="1" showColumnStripes="0"/>
</table>
</file>

<file path=xl/theme/theme1.xml><?xml version="1.0" encoding="utf-8"?>
<a:theme xmlns:a="http://schemas.openxmlformats.org/drawingml/2006/main" name="ENGIE Impact PPT 2021">
  <a:themeElements>
    <a:clrScheme name="Custom 2">
      <a:dk1>
        <a:srgbClr val="343A3C"/>
      </a:dk1>
      <a:lt1>
        <a:srgbClr val="FFFFFF"/>
      </a:lt1>
      <a:dk2>
        <a:srgbClr val="00AAFF"/>
      </a:dk2>
      <a:lt2>
        <a:srgbClr val="E1E3E3"/>
      </a:lt2>
      <a:accent1>
        <a:srgbClr val="00AAFF"/>
      </a:accent1>
      <a:accent2>
        <a:srgbClr val="1ED283"/>
      </a:accent2>
      <a:accent3>
        <a:srgbClr val="001FA0"/>
      </a:accent3>
      <a:accent4>
        <a:srgbClr val="B32765"/>
      </a:accent4>
      <a:accent5>
        <a:srgbClr val="FD5064"/>
      </a:accent5>
      <a:accent6>
        <a:srgbClr val="FFA101"/>
      </a:accent6>
      <a:hlink>
        <a:srgbClr val="00AAFF"/>
      </a:hlink>
      <a:folHlink>
        <a:srgbClr val="00AA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190500">
          <a:gradFill>
            <a:gsLst>
              <a:gs pos="0">
                <a:srgbClr val="00BCFD"/>
              </a:gs>
              <a:gs pos="100000">
                <a:srgbClr val="23D2B5"/>
              </a:gs>
            </a:gsLst>
            <a:lin ang="2700000" scaled="0"/>
          </a:gradFill>
        </a:ln>
      </a:spPr>
      <a:bodyPr rtlCol="0" anchor="ctr">
        <a:noAutofit/>
      </a:bodyP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spAutoFit/>
      </a:bodyPr>
      <a:lstStyle>
        <a:defPPr marL="228600" indent="-228600" algn="l">
          <a:lnSpc>
            <a:spcPct val="112000"/>
          </a:lnSpc>
          <a:spcBef>
            <a:spcPts val="1000"/>
          </a:spcBef>
          <a:buClr>
            <a:schemeClr val="tx2"/>
          </a:buClr>
          <a:buFont typeface="Arial" panose="020B0604020202020204" pitchFamily="34" charset="0"/>
          <a:buChar char="•"/>
          <a:defRPr dirty="0" smtClean="0"/>
        </a:defPPr>
      </a:lstStyle>
    </a:txDef>
  </a:objectDefaults>
  <a:extraClrSchemeLst/>
  <a:extLst>
    <a:ext uri="{05A4C25C-085E-4340-85A3-A5531E510DB2}">
      <thm15:themeFamily xmlns:thm15="http://schemas.microsoft.com/office/thememl/2012/main" name="ENGIE Impact PPT 2021" id="{5692A257-57F0-DC45-94CD-F0B48EC33670}" vid="{6EAACAE7-78F6-A840-A73F-DB854B2F7A76}"/>
    </a:ext>
  </a:extLst>
</a:theme>
</file>

<file path=xl/threadedComments/threadedComment1.xml><?xml version="1.0" encoding="utf-8"?>
<ThreadedComments xmlns="http://schemas.microsoft.com/office/spreadsheetml/2018/threadedcomments" xmlns:x="http://schemas.openxmlformats.org/spreadsheetml/2006/main">
  <threadedComment ref="C1" dT="2026-04-28T16:25:09.17" personId="{9E7A2796-492C-40DC-9668-D8829F11E083}" id="{07AD35A5-A19F-4BBD-98D4-49C564150536}">
    <text>@BOTTOMLEY J (ENGIE Impact) for Cat 1 and 2, we reference cell F9 in the ‘Reporting Year &amp; Inflation Adj.’ tab. How is the inflation adjustment factor being incorporated for Cat 15?</text>
    <mentions>
      <mention mentionpersonId="{EB2921B0-3FA5-4B37-9F85-672CD6B1808A}" mentionId="{26DEF9E2-4D64-4B3F-A326-61B314C51984}" startIndex="0" length="27"/>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pa.gov/egrid/summary-data" TargetMode="External"/><Relationship Id="rId13" Type="http://schemas.openxmlformats.org/officeDocument/2006/relationships/hyperlink" Target="https://www.ipcc-nggip.iges.or.jp/public/2006gl/pdf/2_Volume2/V2_2_Ch2_Stationary_Combustion.pdf" TargetMode="External"/><Relationship Id="rId18" Type="http://schemas.openxmlformats.org/officeDocument/2006/relationships/hyperlink" Target="https://www.thelancet.com/journals/lanplh/article/PIIS2542-5196(23)00084-0/fulltext" TargetMode="External"/><Relationship Id="rId3" Type="http://schemas.openxmlformats.org/officeDocument/2006/relationships/hyperlink" Target="https://ghgprotocol.org/calculation-tools" TargetMode="External"/><Relationship Id="rId7" Type="http://schemas.openxmlformats.org/officeDocument/2006/relationships/hyperlink" Target="https://www.epa.gov/ghgemissions/understanding-global-warming-potentials" TargetMode="External"/><Relationship Id="rId12" Type="http://schemas.openxmlformats.org/officeDocument/2006/relationships/hyperlink" Target="https://www.ipcc-nggip.iges.or.jp/public/2006gl/pdf/2_Volume2/V2_1_Ch1_Introduction.pdf%20%3c--link%20to%20English%20version,%20pg%2018%20of%20pdf" TargetMode="External"/><Relationship Id="rId17" Type="http://schemas.openxmlformats.org/officeDocument/2006/relationships/hyperlink" Target="https://www.epa.gov/egrid/summary-data" TargetMode="External"/><Relationship Id="rId2" Type="http://schemas.openxmlformats.org/officeDocument/2006/relationships/hyperlink" Target="https://www.ipcc.ch/publications_and_data/ar4/wg1/en/ch2s2-10-2.html" TargetMode="External"/><Relationship Id="rId16" Type="http://schemas.openxmlformats.org/officeDocument/2006/relationships/hyperlink" Target="https://www.unenvironment.org/ozonaction/gwp-odp-calculator" TargetMode="External"/><Relationship Id="rId20" Type="http://schemas.openxmlformats.org/officeDocument/2006/relationships/drawing" Target="../drawings/drawing8.xml"/><Relationship Id="rId1" Type="http://schemas.openxmlformats.org/officeDocument/2006/relationships/hyperlink" Target="https://ghgprotocol.org/calculation-tools" TargetMode="External"/><Relationship Id="rId6" Type="http://schemas.openxmlformats.org/officeDocument/2006/relationships/hyperlink" Target="https://www.eia.gov/energyexplained/biofuels/biodiesel-rd-other-use-supply.php" TargetMode="External"/><Relationship Id="rId11" Type="http://schemas.openxmlformats.org/officeDocument/2006/relationships/hyperlink" Target="http://www.ipcc-nggip.iges.or.jp/public/2006gl/spanish/index.html" TargetMode="External"/><Relationship Id="rId5" Type="http://schemas.openxmlformats.org/officeDocument/2006/relationships/hyperlink" Target="https://www.eia.gov/energyexplained/biofuels/ethanol-use.php" TargetMode="External"/><Relationship Id="rId15" Type="http://schemas.openxmlformats.org/officeDocument/2006/relationships/hyperlink" Target="http://www.ipcc-nggip.iges.or.jp/public/2006gl/spanish/index.html" TargetMode="External"/><Relationship Id="rId10" Type="http://schemas.openxmlformats.org/officeDocument/2006/relationships/hyperlink" Target="https://ghgprotocol.org/sites/default/files/2024-08/Global-Warming-Potential-Values%20%28August%202024%29.pdf" TargetMode="External"/><Relationship Id="rId19" Type="http://schemas.openxmlformats.org/officeDocument/2006/relationships/printerSettings" Target="../printerSettings/printerSettings11.bin"/><Relationship Id="rId4" Type="http://schemas.openxmlformats.org/officeDocument/2006/relationships/hyperlink" Target="https://www.bochealthcare.co.uk/en/images/HLC_506810-MGDS%20Medical%20carbon%20dioxide%28web%29_tcm409-61147.pdf" TargetMode="External"/><Relationship Id="rId9" Type="http://schemas.openxmlformats.org/officeDocument/2006/relationships/hyperlink" Target="https://www.ghgprotocol.org/sites/default/files/ghgp/Global-Warming-Potential-Values%20%28Feb%2016%202016%29_1.pdf" TargetMode="External"/><Relationship Id="rId14" Type="http://schemas.openxmlformats.org/officeDocument/2006/relationships/hyperlink" Target="https://journals.lww.com/anesthesia-analgesia/fulltext/2012/05000/life_cycle_greenhouse_gas_emissions_of_anesthetic.25.aspx"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s://www.bls.gov/data/inflation_calculator.ht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semver.org/"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hyperlink" Target="https://practicegreenhealth.org/membership" TargetMode="External"/><Relationship Id="rId2" Type="http://schemas.openxmlformats.org/officeDocument/2006/relationships/hyperlink" Target="https://ghgprotocol.org/" TargetMode="External"/><Relationship Id="rId1" Type="http://schemas.openxmlformats.org/officeDocument/2006/relationships/hyperlink" Target="https://www.epa.gov/ghgemissions/overview-greenhouse-gases"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s://www.epa.gov/egrid/power-profiler"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8" Type="http://schemas.openxmlformats.org/officeDocument/2006/relationships/hyperlink" Target="https://www.epa.gov/climateleadership/ghg-emission-factors-hub." TargetMode="External"/><Relationship Id="rId13" Type="http://schemas.openxmlformats.org/officeDocument/2006/relationships/hyperlink" Target="https://www.gov.uk/government/collections/government-conversion-factors-for-company-reporting" TargetMode="Externa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hyperlink" Target="https://www.eia.gov/consumption/commercial/data/2018/" TargetMode="External"/><Relationship Id="rId12" Type="http://schemas.openxmlformats.org/officeDocument/2006/relationships/hyperlink" Target="https://afdc.energy.gov/vehicle-registration" TargetMode="External"/><Relationship Id="rId2" Type="http://schemas.openxmlformats.org/officeDocument/2006/relationships/hyperlink" Target="https://ghgprotocol.org/sites/default/files/standards/Scope3_Calculation_Guidance_0.pdf" TargetMode="External"/><Relationship Id="rId16" Type="http://schemas.openxmlformats.org/officeDocument/2006/relationships/drawing" Target="../drawings/drawing27.xml"/><Relationship Id="rId1" Type="http://schemas.openxmlformats.org/officeDocument/2006/relationships/hyperlink" Target="http://ghgprotocol.org/sites/default/files/standards/Corporate-Value-Chain-Accounting-Reporing-Standard_041613_2.pdf" TargetMode="External"/><Relationship Id="rId6" Type="http://schemas.openxmlformats.org/officeDocument/2006/relationships/hyperlink" Target="https://www.bts.gov/browse-statistical-products-and-data/state-transportation-statistics/commute-mode" TargetMode="External"/><Relationship Id="rId11" Type="http://schemas.openxmlformats.org/officeDocument/2006/relationships/hyperlink" Target="https://sustainability.wm.com/esg-hub/company/wm-healthcare-solutions/" TargetMode="External"/><Relationship Id="rId5" Type="http://schemas.openxmlformats.org/officeDocument/2006/relationships/hyperlink" Target="https://www.gov.uk/government/collections/government-conversion-factors-for-company-reporting" TargetMode="External"/><Relationship Id="rId15" Type="http://schemas.openxmlformats.org/officeDocument/2006/relationships/printerSettings" Target="../printerSettings/printerSettings23.bin"/><Relationship Id="rId10" Type="http://schemas.openxmlformats.org/officeDocument/2006/relationships/hyperlink" Target="https://ghgprotocol.org/sites/default/files/2022-12/Required%20gases%20and%20GWP%20values_0.pdf" TargetMode="External"/><Relationship Id="rId4" Type="http://schemas.openxmlformats.org/officeDocument/2006/relationships/hyperlink" Target="https://www.epa.gov/climateleadership/ghg-emission-factors-hub" TargetMode="External"/><Relationship Id="rId9" Type="http://schemas.openxmlformats.org/officeDocument/2006/relationships/hyperlink" Target="https://www.epa.gov/egrid" TargetMode="External"/><Relationship Id="rId14" Type="http://schemas.openxmlformats.org/officeDocument/2006/relationships/hyperlink" Target="https://cornerstonedata.org/" TargetMode="External"/></Relationships>
</file>

<file path=xl/worksheets/_rels/sheet34.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comments" Target="../comments3.xml"/><Relationship Id="rId3" Type="http://schemas.openxmlformats.org/officeDocument/2006/relationships/printerSettings" Target="../printerSettings/printerSettings24.bin"/><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hyperlink" Target="https://portfoliomanager.energystar.gov/pdf/reference/Thermal%20Conversions.pdf" TargetMode="External"/><Relationship Id="rId1" Type="http://schemas.openxmlformats.org/officeDocument/2006/relationships/hyperlink" Target="https://www.epa.gov/system/files/other-files/2025-01/ghg-emission-factors-hub-2025.xlsx"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vmlDrawing" Target="../drawings/vmlDrawing8.vml"/><Relationship Id="rId9"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bts.gov/browse-statistical-products-and-data/state-transportation-statistics/commute-mode" TargetMode="External"/><Relationship Id="rId1" Type="http://schemas.openxmlformats.org/officeDocument/2006/relationships/hyperlink" Target="https://www.streetlightdata.com/wp-content/uploads/2018/03/Commutes-Across-America_180201.pdf"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s://zenodo.org/records/18968658/files/egrid2024_data_metric.xlsx?download=1" TargetMode="External"/><Relationship Id="rId1" Type="http://schemas.openxmlformats.org/officeDocument/2006/relationships/hyperlink" Target="https://cornerstonedata.org/blog/egrid2024" TargetMode="External"/></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https://www.eia.gov/consumption/commercial/data/2018/index.php?view=consumption" TargetMode="External"/><Relationship Id="rId7" Type="http://schemas.openxmlformats.org/officeDocument/2006/relationships/printerSettings" Target="../printerSettings/printerSettings26.bin"/><Relationship Id="rId2" Type="http://schemas.openxmlformats.org/officeDocument/2006/relationships/hyperlink" Target="https://www.eia.gov/consumption/commercial/data/2018/index.php?view=consumption" TargetMode="External"/><Relationship Id="rId1" Type="http://schemas.openxmlformats.org/officeDocument/2006/relationships/hyperlink" Target="https://www.epa.gov/system/files/documents/2022-04/ghg_emission_factors_hub.pdf" TargetMode="External"/><Relationship Id="rId6" Type="http://schemas.openxmlformats.org/officeDocument/2006/relationships/hyperlink" Target="https://portfoliomanager.energystar.gov/pdf/reference/Thermal%20Conversions.pdf" TargetMode="External"/><Relationship Id="rId5" Type="http://schemas.openxmlformats.org/officeDocument/2006/relationships/hyperlink" Target="https://www.eia.gov/energyexplained/natural-gas/where-our-natural-gas-comes-from.php" TargetMode="External"/><Relationship Id="rId4" Type="http://schemas.openxmlformats.org/officeDocument/2006/relationships/hyperlink" Target="https://www.eia.gov/consumption/commercial/data/2018/index.php?view=consumption" TargetMode="External"/><Relationship Id="rId9" Type="http://schemas.openxmlformats.org/officeDocument/2006/relationships/comments" Target="../comments4.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hyperlink" Target="https://afdc.energy.gov/vehicle-registration" TargetMode="External"/><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epa.gov/climateleadership/determine-organizational-boundaries" TargetMode="Externa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94E494"/>
  </sheetPr>
  <dimension ref="A1:M58"/>
  <sheetViews>
    <sheetView zoomScale="120" zoomScaleNormal="120" workbookViewId="0">
      <selection activeCell="C4" sqref="C4"/>
    </sheetView>
  </sheetViews>
  <sheetFormatPr defaultColWidth="8" defaultRowHeight="14.25"/>
  <cols>
    <col min="2" max="2" width="55.375" customWidth="1"/>
    <col min="3" max="3" width="22.5" customWidth="1"/>
    <col min="8" max="8" width="46.5" customWidth="1"/>
    <col min="11" max="11" width="56.625" customWidth="1"/>
    <col min="13" max="13" width="9.375" customWidth="1"/>
  </cols>
  <sheetData>
    <row r="1" spans="1:11" ht="151.5" customHeight="1">
      <c r="A1" s="16" t="s">
        <v>74</v>
      </c>
      <c r="B1" s="16" t="s">
        <v>75</v>
      </c>
      <c r="C1" s="16" t="s">
        <v>76</v>
      </c>
      <c r="D1" s="16" t="s">
        <v>77</v>
      </c>
      <c r="E1" s="9"/>
      <c r="F1" s="9"/>
      <c r="G1" s="16" t="s">
        <v>78</v>
      </c>
      <c r="H1" s="16" t="s">
        <v>79</v>
      </c>
      <c r="I1" s="16" t="s">
        <v>80</v>
      </c>
      <c r="J1" s="16" t="s">
        <v>81</v>
      </c>
      <c r="K1" s="16" t="s">
        <v>82</v>
      </c>
    </row>
    <row r="2" spans="1:11">
      <c r="A2" s="17" t="s">
        <v>27</v>
      </c>
      <c r="B2" s="17" t="s">
        <v>73</v>
      </c>
      <c r="C2" s="17" t="e">
        <f>VLOOKUP(#REF!,#REF!,5)</f>
        <v>#REF!</v>
      </c>
      <c r="D2" s="17" t="s">
        <v>83</v>
      </c>
      <c r="E2" s="9"/>
      <c r="F2" s="9"/>
      <c r="G2" s="17"/>
      <c r="H2" s="17" t="s">
        <v>84</v>
      </c>
      <c r="I2" s="17" t="s">
        <v>85</v>
      </c>
      <c r="J2" s="17" t="s">
        <v>73</v>
      </c>
      <c r="K2" s="17" t="s">
        <v>29</v>
      </c>
    </row>
    <row r="3" spans="1:11">
      <c r="A3" s="9">
        <v>1</v>
      </c>
      <c r="B3" s="9" t="s">
        <v>86</v>
      </c>
      <c r="C3" s="18" t="e">
        <f>VLOOKUP(C$2&amp;B3,#REF!,2,FALSE)</f>
        <v>#REF!</v>
      </c>
      <c r="D3" s="9">
        <v>1</v>
      </c>
      <c r="E3" s="9"/>
      <c r="F3" s="9"/>
      <c r="G3" s="9">
        <v>1</v>
      </c>
      <c r="H3" s="9" t="s">
        <v>87</v>
      </c>
      <c r="I3" s="18" t="e">
        <f>C3</f>
        <v>#REF!</v>
      </c>
      <c r="J3" s="9">
        <v>1</v>
      </c>
      <c r="K3" s="9"/>
    </row>
    <row r="4" spans="1:11">
      <c r="A4" s="9">
        <v>2</v>
      </c>
      <c r="B4" s="9" t="s">
        <v>88</v>
      </c>
      <c r="C4" s="18" t="e">
        <f>VLOOKUP(C$2&amp;B4,#REF!,2,FALSE)</f>
        <v>#REF!</v>
      </c>
      <c r="D4" s="9"/>
      <c r="E4" s="9"/>
      <c r="F4" s="9"/>
      <c r="G4" s="9">
        <v>2</v>
      </c>
      <c r="H4" s="9" t="s">
        <v>89</v>
      </c>
      <c r="I4" s="18" t="e">
        <f>C5</f>
        <v>#REF!</v>
      </c>
      <c r="J4" s="9">
        <v>3</v>
      </c>
      <c r="K4" s="9"/>
    </row>
    <row r="5" spans="1:11">
      <c r="A5" s="9">
        <v>3</v>
      </c>
      <c r="B5" s="9" t="s">
        <v>90</v>
      </c>
      <c r="C5" s="18" t="e">
        <f>VLOOKUP(C$2&amp;B5,#REF!,2,FALSE)</f>
        <v>#REF!</v>
      </c>
      <c r="D5" s="9">
        <v>2</v>
      </c>
      <c r="E5" s="9"/>
      <c r="F5" s="9"/>
      <c r="G5" s="9">
        <v>3</v>
      </c>
      <c r="H5" s="9" t="s">
        <v>91</v>
      </c>
      <c r="I5" s="18" t="e">
        <f>C6</f>
        <v>#REF!</v>
      </c>
      <c r="J5" s="9">
        <v>4</v>
      </c>
      <c r="K5" s="9"/>
    </row>
    <row r="6" spans="1:11">
      <c r="A6" s="9">
        <v>4</v>
      </c>
      <c r="B6" s="9" t="s">
        <v>92</v>
      </c>
      <c r="C6" s="18" t="e">
        <f>VLOOKUP(C$2&amp;B6,#REF!,2,FALSE)</f>
        <v>#REF!</v>
      </c>
      <c r="D6" s="9">
        <v>3</v>
      </c>
      <c r="E6" s="9"/>
      <c r="F6" s="9"/>
      <c r="G6" s="9">
        <v>4</v>
      </c>
      <c r="H6" s="9" t="s">
        <v>93</v>
      </c>
      <c r="I6" s="18" t="e">
        <f>C7</f>
        <v>#REF!</v>
      </c>
      <c r="J6" s="9">
        <v>5</v>
      </c>
      <c r="K6" s="9"/>
    </row>
    <row r="7" spans="1:11">
      <c r="A7" s="9">
        <v>5</v>
      </c>
      <c r="B7" s="9" t="s">
        <v>94</v>
      </c>
      <c r="C7" s="18" t="e">
        <f>VLOOKUP(C$2&amp;B7,#REF!,2,FALSE)</f>
        <v>#REF!</v>
      </c>
      <c r="D7" s="9">
        <v>4</v>
      </c>
      <c r="E7" s="9"/>
      <c r="F7" s="9"/>
      <c r="G7" s="9">
        <v>5</v>
      </c>
      <c r="H7" s="9" t="s">
        <v>95</v>
      </c>
      <c r="I7" s="18" t="e">
        <f>C8</f>
        <v>#REF!</v>
      </c>
      <c r="J7" s="9">
        <v>6</v>
      </c>
      <c r="K7" s="9"/>
    </row>
    <row r="8" spans="1:11">
      <c r="A8" s="9">
        <v>6</v>
      </c>
      <c r="B8" s="9" t="s">
        <v>96</v>
      </c>
      <c r="C8" s="18" t="e">
        <f>VLOOKUP(C$2&amp;B8,#REF!,2,FALSE)</f>
        <v>#REF!</v>
      </c>
      <c r="D8" s="9" t="s">
        <v>97</v>
      </c>
      <c r="E8" s="9"/>
      <c r="F8" s="9"/>
      <c r="G8" s="9">
        <v>6</v>
      </c>
      <c r="H8" s="9" t="s">
        <v>98</v>
      </c>
      <c r="I8" s="18" t="e">
        <f>AVERAGEIF(C9:C10,"&lt;&gt;0")</f>
        <v>#REF!</v>
      </c>
      <c r="J8" s="9" t="s">
        <v>99</v>
      </c>
      <c r="K8" s="9" t="s">
        <v>100</v>
      </c>
    </row>
    <row r="9" spans="1:11">
      <c r="A9" s="9">
        <v>7</v>
      </c>
      <c r="B9" s="9" t="s">
        <v>101</v>
      </c>
      <c r="C9" s="18" t="e">
        <f>VLOOKUP(C$2&amp;B9,#REF!,2,FALSE)</f>
        <v>#REF!</v>
      </c>
      <c r="D9" s="9">
        <v>6</v>
      </c>
      <c r="E9" s="9"/>
      <c r="F9" s="9"/>
      <c r="G9" s="9">
        <v>7</v>
      </c>
      <c r="H9" s="9" t="s">
        <v>102</v>
      </c>
      <c r="I9" s="18" t="e">
        <f>(C12+C13+C16)/((C12&lt;&gt;0)+(C13&lt;&gt;0)+(C16&lt;&gt;0))</f>
        <v>#REF!</v>
      </c>
      <c r="J9" s="9" t="s">
        <v>103</v>
      </c>
      <c r="K9" s="9" t="s">
        <v>104</v>
      </c>
    </row>
    <row r="10" spans="1:11">
      <c r="A10" s="9">
        <v>8</v>
      </c>
      <c r="B10" s="9" t="s">
        <v>105</v>
      </c>
      <c r="C10" s="18" t="e">
        <f>VLOOKUP(C$2&amp;B10,#REF!,2,FALSE)</f>
        <v>#REF!</v>
      </c>
      <c r="D10" s="9">
        <v>6</v>
      </c>
      <c r="E10" s="9"/>
      <c r="F10" s="9"/>
      <c r="G10" s="9">
        <v>8</v>
      </c>
      <c r="H10" s="9" t="s">
        <v>106</v>
      </c>
      <c r="I10" s="18" t="e">
        <f>AVERAGEIF(C17:C18,"&lt;&gt;0")</f>
        <v>#REF!</v>
      </c>
      <c r="J10" s="9" t="s">
        <v>107</v>
      </c>
      <c r="K10" s="9" t="s">
        <v>108</v>
      </c>
    </row>
    <row r="11" spans="1:11">
      <c r="A11" s="9">
        <v>9</v>
      </c>
      <c r="B11" s="9" t="s">
        <v>109</v>
      </c>
      <c r="C11" s="18" t="e">
        <f>VLOOKUP(C$2&amp;B11,#REF!,2,FALSE)</f>
        <v>#REF!</v>
      </c>
      <c r="D11" s="9"/>
      <c r="E11" s="9"/>
      <c r="F11" s="9"/>
      <c r="G11" s="9">
        <v>9</v>
      </c>
      <c r="H11" s="9" t="s">
        <v>110</v>
      </c>
      <c r="I11" s="18" t="e">
        <f>AVERAGEIF(C19:C21,"&lt;&gt;0")</f>
        <v>#REF!</v>
      </c>
      <c r="J11" s="9" t="s">
        <v>111</v>
      </c>
      <c r="K11" s="9" t="s">
        <v>112</v>
      </c>
    </row>
    <row r="12" spans="1:11">
      <c r="A12" s="9">
        <v>10</v>
      </c>
      <c r="B12" s="9" t="s">
        <v>113</v>
      </c>
      <c r="C12" s="18" t="e">
        <f>VLOOKUP(C$2&amp;B12,#REF!,2,FALSE)</f>
        <v>#REF!</v>
      </c>
      <c r="D12" s="9">
        <v>7</v>
      </c>
      <c r="E12" s="9"/>
      <c r="F12" s="9"/>
      <c r="G12" s="9">
        <v>10</v>
      </c>
      <c r="H12" s="9" t="s">
        <v>114</v>
      </c>
      <c r="I12" s="18" t="e">
        <f>AVERAGEIF(C11:C12,"&lt;&gt;0")</f>
        <v>#REF!</v>
      </c>
      <c r="J12" s="9" t="s">
        <v>115</v>
      </c>
      <c r="K12" s="9" t="s">
        <v>116</v>
      </c>
    </row>
    <row r="13" spans="1:11">
      <c r="A13" s="9">
        <v>11</v>
      </c>
      <c r="B13" s="9" t="s">
        <v>117</v>
      </c>
      <c r="C13" s="18" t="e">
        <f>VLOOKUP(C$2&amp;B13,#REF!,2,FALSE)</f>
        <v>#REF!</v>
      </c>
      <c r="D13" s="9">
        <v>7</v>
      </c>
      <c r="E13" s="9"/>
      <c r="F13" s="9"/>
      <c r="G13" s="9">
        <v>11</v>
      </c>
      <c r="H13" s="9" t="s">
        <v>118</v>
      </c>
      <c r="I13" s="18" t="e">
        <f>C24</f>
        <v>#REF!</v>
      </c>
      <c r="J13" s="9">
        <v>22</v>
      </c>
      <c r="K13" s="9"/>
    </row>
    <row r="14" spans="1:11">
      <c r="A14" s="9">
        <v>12</v>
      </c>
      <c r="B14" s="9" t="s">
        <v>119</v>
      </c>
      <c r="C14" s="18" t="e">
        <f>VLOOKUP(C$2&amp;B14,#REF!,2,FALSE)</f>
        <v>#REF!</v>
      </c>
      <c r="D14" s="9">
        <v>24</v>
      </c>
      <c r="E14" s="9"/>
      <c r="F14" s="9"/>
      <c r="G14" s="9">
        <v>12</v>
      </c>
      <c r="H14" s="9" t="s">
        <v>120</v>
      </c>
      <c r="I14" s="18" t="e">
        <f>C28</f>
        <v>#REF!</v>
      </c>
      <c r="J14" s="9">
        <v>26</v>
      </c>
      <c r="K14" s="9"/>
    </row>
    <row r="15" spans="1:11">
      <c r="A15" s="9">
        <v>13</v>
      </c>
      <c r="B15" s="9" t="s">
        <v>121</v>
      </c>
      <c r="C15" s="18" t="e">
        <f>VLOOKUP(C$2&amp;B15,#REF!,2,FALSE)</f>
        <v>#REF!</v>
      </c>
      <c r="D15" s="9" t="s">
        <v>122</v>
      </c>
      <c r="E15" s="9"/>
      <c r="F15" s="9"/>
      <c r="G15" s="9">
        <v>13</v>
      </c>
      <c r="H15" s="9" t="s">
        <v>123</v>
      </c>
      <c r="I15" s="18" t="e">
        <f>C26</f>
        <v>#REF!</v>
      </c>
      <c r="J15" s="9" t="s">
        <v>124</v>
      </c>
      <c r="K15" s="9" t="s">
        <v>125</v>
      </c>
    </row>
    <row r="16" spans="1:11">
      <c r="A16" s="9">
        <v>14</v>
      </c>
      <c r="B16" s="9" t="s">
        <v>126</v>
      </c>
      <c r="C16" s="18" t="e">
        <f>VLOOKUP(C$2&amp;B16,#REF!,2,FALSE)</f>
        <v>#REF!</v>
      </c>
      <c r="D16" s="9">
        <v>7</v>
      </c>
      <c r="E16" s="9"/>
      <c r="F16" s="9"/>
      <c r="G16" s="9">
        <v>14</v>
      </c>
      <c r="H16" s="9" t="s">
        <v>2</v>
      </c>
      <c r="I16" s="18" t="e">
        <f>C29</f>
        <v>#REF!</v>
      </c>
      <c r="J16" s="9">
        <v>27</v>
      </c>
      <c r="K16" s="9"/>
    </row>
    <row r="17" spans="1:13">
      <c r="A17" s="9">
        <v>15</v>
      </c>
      <c r="B17" s="9" t="s">
        <v>127</v>
      </c>
      <c r="C17" s="18" t="e">
        <f>VLOOKUP(C$2&amp;B17,#REF!,2,FALSE)</f>
        <v>#REF!</v>
      </c>
      <c r="D17" s="9">
        <v>8</v>
      </c>
      <c r="E17" s="9"/>
      <c r="F17" s="9"/>
      <c r="G17" s="9">
        <v>15</v>
      </c>
      <c r="H17" s="9" t="s">
        <v>128</v>
      </c>
      <c r="I17" s="18" t="e">
        <f>C25</f>
        <v>#REF!</v>
      </c>
      <c r="J17" s="9">
        <v>23</v>
      </c>
      <c r="K17" s="9"/>
    </row>
    <row r="18" spans="1:13">
      <c r="A18" s="9">
        <v>16</v>
      </c>
      <c r="B18" s="9" t="s">
        <v>129</v>
      </c>
      <c r="C18" s="18" t="e">
        <f>VLOOKUP(C$2&amp;B18,#REF!,2,FALSE)</f>
        <v>#REF!</v>
      </c>
      <c r="D18" s="9" t="s">
        <v>130</v>
      </c>
      <c r="E18" s="9"/>
      <c r="F18" s="9"/>
      <c r="G18" s="9">
        <v>16</v>
      </c>
      <c r="H18" s="9" t="s">
        <v>131</v>
      </c>
      <c r="I18" s="18" t="e">
        <f>AVERAGEIF(C30:C31,"&lt;&gt;0")</f>
        <v>#REF!</v>
      </c>
      <c r="J18" s="9" t="s">
        <v>132</v>
      </c>
      <c r="K18" s="9" t="s">
        <v>133</v>
      </c>
    </row>
    <row r="19" spans="1:13">
      <c r="A19" s="9">
        <v>17</v>
      </c>
      <c r="B19" s="9" t="s">
        <v>134</v>
      </c>
      <c r="C19" s="18" t="e">
        <f>VLOOKUP(C$2&amp;B19,#REF!,2,FALSE)</f>
        <v>#REF!</v>
      </c>
      <c r="D19" s="9">
        <v>9</v>
      </c>
      <c r="E19" s="9"/>
      <c r="F19" s="9"/>
      <c r="G19" s="9">
        <v>17</v>
      </c>
      <c r="H19" s="9" t="s">
        <v>135</v>
      </c>
      <c r="I19" s="18" t="e">
        <f>C32</f>
        <v>#REF!</v>
      </c>
      <c r="J19" s="9">
        <v>30</v>
      </c>
      <c r="K19" s="9"/>
    </row>
    <row r="20" spans="1:13">
      <c r="A20" s="9">
        <v>18</v>
      </c>
      <c r="B20" s="9" t="s">
        <v>136</v>
      </c>
      <c r="C20" s="18" t="e">
        <f>VLOOKUP(C$2&amp;B20,#REF!,2,FALSE)</f>
        <v>#REF!</v>
      </c>
      <c r="D20" s="9">
        <v>9</v>
      </c>
      <c r="E20" s="9"/>
      <c r="F20" s="9"/>
      <c r="G20" s="9">
        <v>18</v>
      </c>
      <c r="H20" s="9" t="s">
        <v>137</v>
      </c>
      <c r="I20" s="18" t="e">
        <f>C38</f>
        <v>#REF!</v>
      </c>
      <c r="J20" s="9">
        <v>36</v>
      </c>
      <c r="K20" s="9"/>
    </row>
    <row r="21" spans="1:13">
      <c r="A21" s="9">
        <v>19</v>
      </c>
      <c r="B21" s="9" t="s">
        <v>138</v>
      </c>
      <c r="C21" s="18" t="e">
        <f>VLOOKUP(C$2&amp;B21,#REF!,2,FALSE)</f>
        <v>#REF!</v>
      </c>
      <c r="D21" s="9">
        <v>9</v>
      </c>
      <c r="E21" s="9"/>
      <c r="F21" s="9"/>
      <c r="G21" s="9">
        <v>19</v>
      </c>
      <c r="H21" s="9" t="s">
        <v>32</v>
      </c>
      <c r="I21" s="18" t="e">
        <f>AVERAGEIF(C33:C35,"&lt;&gt;0")</f>
        <v>#REF!</v>
      </c>
      <c r="J21" s="9" t="s">
        <v>139</v>
      </c>
      <c r="K21" s="9" t="s">
        <v>140</v>
      </c>
    </row>
    <row r="22" spans="1:13">
      <c r="A22" s="9">
        <v>20</v>
      </c>
      <c r="B22" s="9" t="s">
        <v>141</v>
      </c>
      <c r="C22" s="18" t="e">
        <f>VLOOKUP(C$2&amp;B22,#REF!,2,FALSE)</f>
        <v>#REF!</v>
      </c>
      <c r="D22" s="9">
        <v>10</v>
      </c>
      <c r="E22" s="9"/>
      <c r="F22" s="9"/>
      <c r="G22" s="9">
        <v>20</v>
      </c>
      <c r="H22" s="9" t="s">
        <v>142</v>
      </c>
      <c r="I22" s="18" t="e">
        <f>(C37+C41)/((C37&lt;&gt;0)+(C41&lt;&gt;0))</f>
        <v>#REF!</v>
      </c>
      <c r="J22" s="9" t="s">
        <v>143</v>
      </c>
      <c r="K22" s="9" t="s">
        <v>144</v>
      </c>
    </row>
    <row r="23" spans="1:13">
      <c r="A23" s="9">
        <v>21</v>
      </c>
      <c r="B23" s="9" t="s">
        <v>145</v>
      </c>
      <c r="C23" s="18" t="e">
        <f>VLOOKUP(C$2&amp;B23,#REF!,2,FALSE)</f>
        <v>#REF!</v>
      </c>
      <c r="D23" s="9">
        <v>10</v>
      </c>
      <c r="E23" s="9"/>
      <c r="F23" s="9"/>
      <c r="G23" s="9">
        <v>21</v>
      </c>
      <c r="H23" s="9" t="s">
        <v>146</v>
      </c>
      <c r="I23" s="18" t="e">
        <f>AVERAGEIF(C43:C45,"&lt;&gt;0")</f>
        <v>#REF!</v>
      </c>
      <c r="J23" s="9" t="s">
        <v>147</v>
      </c>
      <c r="K23" s="9" t="s">
        <v>148</v>
      </c>
    </row>
    <row r="24" spans="1:13">
      <c r="A24" s="9">
        <v>22</v>
      </c>
      <c r="B24" s="9" t="s">
        <v>149</v>
      </c>
      <c r="C24" s="18" t="e">
        <f>VLOOKUP(C$2&amp;B24,#REF!,2,FALSE)</f>
        <v>#REF!</v>
      </c>
      <c r="D24" s="9">
        <v>11</v>
      </c>
      <c r="E24" s="9"/>
      <c r="F24" s="9"/>
      <c r="G24" s="9">
        <v>22</v>
      </c>
      <c r="H24" s="9" t="s">
        <v>150</v>
      </c>
      <c r="I24" s="18" t="e">
        <f>C53</f>
        <v>#REF!</v>
      </c>
      <c r="J24" s="9">
        <v>51</v>
      </c>
      <c r="K24" s="9"/>
    </row>
    <row r="25" spans="1:13" ht="15" customHeight="1">
      <c r="A25" s="9">
        <v>23</v>
      </c>
      <c r="B25" s="9" t="s">
        <v>151</v>
      </c>
      <c r="C25" s="18" t="e">
        <f>VLOOKUP(C$2&amp;B25,#REF!,2,FALSE)</f>
        <v>#REF!</v>
      </c>
      <c r="D25" s="9">
        <v>15</v>
      </c>
      <c r="E25" s="9"/>
      <c r="F25" s="9"/>
      <c r="G25" s="9">
        <v>23</v>
      </c>
      <c r="H25" s="9" t="s">
        <v>152</v>
      </c>
      <c r="I25" s="18" t="e">
        <f>AVERAGEIF(C54:C56,"&lt;&gt;0")</f>
        <v>#REF!</v>
      </c>
      <c r="J25" s="9" t="s">
        <v>153</v>
      </c>
      <c r="K25" s="9" t="s">
        <v>154</v>
      </c>
    </row>
    <row r="26" spans="1:13" ht="15" customHeight="1">
      <c r="A26" s="9">
        <v>24</v>
      </c>
      <c r="B26" s="9" t="s">
        <v>155</v>
      </c>
      <c r="C26" s="18" t="e">
        <f>VLOOKUP(C$2&amp;B26,#REF!,2,FALSE)</f>
        <v>#REF!</v>
      </c>
      <c r="D26" s="9">
        <v>13</v>
      </c>
      <c r="E26" s="9"/>
      <c r="F26" s="9"/>
      <c r="G26" s="9">
        <v>24</v>
      </c>
      <c r="H26" s="9" t="s">
        <v>156</v>
      </c>
      <c r="I26" s="18" t="e">
        <f>IF(C14&lt;&gt;0,C14,I30)</f>
        <v>#REF!</v>
      </c>
      <c r="J26" s="9">
        <v>12</v>
      </c>
      <c r="K26" s="9" t="s">
        <v>157</v>
      </c>
      <c r="M26" s="19"/>
    </row>
    <row r="27" spans="1:13" ht="15" customHeight="1">
      <c r="A27" s="9">
        <v>25</v>
      </c>
      <c r="B27" s="9" t="s">
        <v>158</v>
      </c>
      <c r="C27" s="18" t="e">
        <f>VLOOKUP(C$2&amp;B27,#REF!,2,FALSE)</f>
        <v>#REF!</v>
      </c>
      <c r="D27" s="9">
        <v>13</v>
      </c>
      <c r="E27" s="9"/>
      <c r="F27" s="9"/>
      <c r="G27" s="9">
        <v>25</v>
      </c>
      <c r="H27" s="9" t="s">
        <v>159</v>
      </c>
      <c r="I27" s="20" t="e">
        <f>(C15+C19+C21)/((C15&lt;&gt;0)+(C19&lt;&gt;0)+(C21&lt;&gt;0))</f>
        <v>#REF!</v>
      </c>
      <c r="J27" s="9" t="s">
        <v>160</v>
      </c>
      <c r="K27" s="9" t="s">
        <v>161</v>
      </c>
      <c r="M27" s="19"/>
    </row>
    <row r="28" spans="1:13" ht="15" customHeight="1">
      <c r="A28" s="9">
        <v>26</v>
      </c>
      <c r="B28" s="9" t="s">
        <v>162</v>
      </c>
      <c r="C28" s="18" t="e">
        <f>VLOOKUP(C$2&amp;B28,#REF!,2,FALSE)</f>
        <v>#REF!</v>
      </c>
      <c r="D28" s="9">
        <v>12</v>
      </c>
      <c r="E28" s="9"/>
      <c r="F28" s="9"/>
      <c r="G28" s="9">
        <v>26</v>
      </c>
      <c r="H28" s="9" t="s">
        <v>163</v>
      </c>
      <c r="I28" s="20" t="e">
        <f>(C8+C15+C18)/((C8&lt;&gt;0)+(C15&lt;&gt;0)+(C18&lt;&gt;0))</f>
        <v>#REF!</v>
      </c>
      <c r="J28" s="9" t="s">
        <v>164</v>
      </c>
      <c r="K28" s="9" t="s">
        <v>165</v>
      </c>
      <c r="M28" s="19"/>
    </row>
    <row r="29" spans="1:13" ht="15" customHeight="1">
      <c r="A29" s="9">
        <v>27</v>
      </c>
      <c r="B29" s="9" t="s">
        <v>2</v>
      </c>
      <c r="C29" s="18" t="e">
        <f>VLOOKUP(C$2&amp;B29,#REF!,2,FALSE)</f>
        <v>#REF!</v>
      </c>
      <c r="D29" s="9">
        <v>14</v>
      </c>
      <c r="E29" s="9"/>
      <c r="F29" s="9"/>
      <c r="G29" s="9"/>
      <c r="H29" s="9"/>
      <c r="I29" s="9"/>
      <c r="J29" s="9"/>
      <c r="K29" s="9"/>
    </row>
    <row r="30" spans="1:13">
      <c r="A30" s="9">
        <v>28</v>
      </c>
      <c r="B30" s="9" t="s">
        <v>166</v>
      </c>
      <c r="C30" s="18" t="e">
        <f>VLOOKUP(C$2&amp;B30,#REF!,2,FALSE)</f>
        <v>#REF!</v>
      </c>
      <c r="D30" s="9">
        <v>16</v>
      </c>
      <c r="E30" s="9"/>
      <c r="F30" s="9"/>
      <c r="G30" s="9" t="s">
        <v>35</v>
      </c>
      <c r="H30" s="9" t="s">
        <v>156</v>
      </c>
      <c r="I30" s="20" t="e">
        <f>VLOOKUP("ROW"&amp;B14,#REF!,2,FALSE)</f>
        <v>#REF!</v>
      </c>
      <c r="J30" s="9"/>
      <c r="K30" s="9" t="s">
        <v>167</v>
      </c>
    </row>
    <row r="31" spans="1:13">
      <c r="A31" s="9">
        <v>29</v>
      </c>
      <c r="B31" s="9" t="s">
        <v>168</v>
      </c>
      <c r="C31" s="18" t="e">
        <f>VLOOKUP(C$2&amp;B31,#REF!,2,FALSE)</f>
        <v>#REF!</v>
      </c>
      <c r="D31" s="9">
        <v>16</v>
      </c>
      <c r="E31" s="9"/>
      <c r="F31" s="9"/>
      <c r="G31" s="9"/>
      <c r="H31" s="9"/>
      <c r="I31" s="9"/>
      <c r="J31" s="9"/>
      <c r="K31" s="9"/>
    </row>
    <row r="32" spans="1:13">
      <c r="A32" s="9">
        <v>30</v>
      </c>
      <c r="B32" s="9" t="s">
        <v>169</v>
      </c>
      <c r="C32" s="18" t="e">
        <f>VLOOKUP(C$2&amp;B32,#REF!,2,FALSE)</f>
        <v>#REF!</v>
      </c>
      <c r="D32" s="9">
        <v>17</v>
      </c>
      <c r="E32" s="9"/>
      <c r="F32" s="9"/>
      <c r="G32" s="9"/>
      <c r="H32" s="9"/>
      <c r="I32" s="9"/>
      <c r="J32" s="9"/>
      <c r="K32" s="9"/>
    </row>
    <row r="33" spans="1:11">
      <c r="A33" s="9">
        <v>31</v>
      </c>
      <c r="B33" s="9" t="s">
        <v>170</v>
      </c>
      <c r="C33" s="18" t="e">
        <f>VLOOKUP(C$2&amp;B33,#REF!,2,FALSE)</f>
        <v>#REF!</v>
      </c>
      <c r="D33" s="9">
        <v>19</v>
      </c>
      <c r="E33" s="9"/>
      <c r="F33" s="9"/>
      <c r="G33" s="9"/>
      <c r="H33" s="9"/>
      <c r="I33" s="9"/>
      <c r="J33" s="9"/>
      <c r="K33" s="9"/>
    </row>
    <row r="34" spans="1:11">
      <c r="A34" s="9">
        <v>32</v>
      </c>
      <c r="B34" s="9" t="s">
        <v>171</v>
      </c>
      <c r="C34" s="18" t="e">
        <f>VLOOKUP(C$2&amp;B34,#REF!,2,FALSE)</f>
        <v>#REF!</v>
      </c>
      <c r="D34" s="9">
        <v>19</v>
      </c>
      <c r="E34" s="9"/>
      <c r="F34" s="9"/>
      <c r="G34" s="9"/>
      <c r="H34" s="9"/>
      <c r="I34" s="9"/>
      <c r="J34" s="9"/>
      <c r="K34" s="9"/>
    </row>
    <row r="35" spans="1:11">
      <c r="A35" s="9">
        <v>33</v>
      </c>
      <c r="B35" s="9" t="s">
        <v>21</v>
      </c>
      <c r="C35" s="18" t="e">
        <f>VLOOKUP(C$2&amp;B35,#REF!,2,FALSE)</f>
        <v>#REF!</v>
      </c>
      <c r="D35" s="9">
        <v>19</v>
      </c>
      <c r="E35" s="9"/>
      <c r="F35" s="9"/>
      <c r="G35" s="9"/>
      <c r="H35" s="9"/>
      <c r="I35" s="9"/>
      <c r="J35" s="9"/>
      <c r="K35" s="9"/>
    </row>
    <row r="36" spans="1:11">
      <c r="A36" s="9">
        <v>34</v>
      </c>
      <c r="B36" s="9" t="s">
        <v>172</v>
      </c>
      <c r="C36" s="18" t="e">
        <f>VLOOKUP(C$2&amp;B36,#REF!,2,FALSE)</f>
        <v>#REF!</v>
      </c>
      <c r="D36" s="9"/>
      <c r="E36" s="9"/>
      <c r="F36" s="9"/>
      <c r="G36" s="9"/>
      <c r="H36" s="9"/>
      <c r="I36" s="9"/>
      <c r="J36" s="9"/>
      <c r="K36" s="9"/>
    </row>
    <row r="37" spans="1:11">
      <c r="A37" s="9">
        <v>35</v>
      </c>
      <c r="B37" s="9" t="s">
        <v>173</v>
      </c>
      <c r="C37" s="18" t="e">
        <f>VLOOKUP(C$2&amp;B37,#REF!,2,FALSE)</f>
        <v>#REF!</v>
      </c>
      <c r="D37" s="9">
        <v>20</v>
      </c>
      <c r="E37" s="9"/>
      <c r="F37" s="9"/>
      <c r="G37" s="9"/>
      <c r="H37" s="9"/>
      <c r="I37" s="9"/>
      <c r="J37" s="9"/>
      <c r="K37" s="9"/>
    </row>
    <row r="38" spans="1:11">
      <c r="A38" s="9">
        <v>36</v>
      </c>
      <c r="B38" s="9" t="s">
        <v>174</v>
      </c>
      <c r="C38" s="18" t="e">
        <f>VLOOKUP(C$2&amp;B38,#REF!,2,FALSE)</f>
        <v>#REF!</v>
      </c>
      <c r="D38" s="9">
        <v>18</v>
      </c>
      <c r="E38" s="9"/>
      <c r="F38" s="9"/>
      <c r="G38" s="9"/>
      <c r="H38" s="9"/>
      <c r="I38" s="9"/>
      <c r="J38" s="9"/>
      <c r="K38" s="9"/>
    </row>
    <row r="39" spans="1:11">
      <c r="A39" s="9">
        <v>37</v>
      </c>
      <c r="B39" s="9" t="s">
        <v>175</v>
      </c>
      <c r="C39" s="18" t="e">
        <f>VLOOKUP(C$2&amp;B39,#REF!,2,FALSE)</f>
        <v>#REF!</v>
      </c>
      <c r="D39" s="9"/>
      <c r="E39" s="9"/>
      <c r="F39" s="9"/>
      <c r="G39" s="9"/>
      <c r="H39" s="9"/>
      <c r="I39" s="9"/>
      <c r="J39" s="9"/>
      <c r="K39" s="9"/>
    </row>
    <row r="40" spans="1:11">
      <c r="A40" s="9">
        <v>38</v>
      </c>
      <c r="B40" s="9" t="s">
        <v>176</v>
      </c>
      <c r="C40" s="18" t="e">
        <f>VLOOKUP(C$2&amp;B40,#REF!,2,FALSE)</f>
        <v>#REF!</v>
      </c>
      <c r="D40" s="9"/>
      <c r="E40" s="9"/>
      <c r="F40" s="9"/>
      <c r="G40" s="9"/>
      <c r="H40" s="9"/>
      <c r="I40" s="9"/>
      <c r="J40" s="9"/>
      <c r="K40" s="9"/>
    </row>
    <row r="41" spans="1:11">
      <c r="A41" s="9">
        <v>39</v>
      </c>
      <c r="B41" s="9" t="s">
        <v>22</v>
      </c>
      <c r="C41" s="18" t="e">
        <f>VLOOKUP(C$2&amp;B41,#REF!,2,FALSE)</f>
        <v>#REF!</v>
      </c>
      <c r="D41" s="9">
        <v>20</v>
      </c>
      <c r="E41" s="9"/>
      <c r="F41" s="9"/>
      <c r="G41" s="9"/>
      <c r="H41" s="9"/>
      <c r="I41" s="9"/>
      <c r="J41" s="9"/>
      <c r="K41" s="9"/>
    </row>
    <row r="42" spans="1:11">
      <c r="A42" s="9">
        <v>40</v>
      </c>
      <c r="B42" s="9" t="s">
        <v>177</v>
      </c>
      <c r="C42" s="18" t="e">
        <f>VLOOKUP(C$2&amp;B42,#REF!,2,FALSE)</f>
        <v>#REF!</v>
      </c>
      <c r="D42" s="9"/>
      <c r="E42" s="9"/>
      <c r="F42" s="9"/>
      <c r="G42" s="9"/>
      <c r="H42" s="9"/>
      <c r="I42" s="9"/>
      <c r="J42" s="9"/>
      <c r="K42" s="9"/>
    </row>
    <row r="43" spans="1:11">
      <c r="A43" s="9">
        <v>41</v>
      </c>
      <c r="B43" s="9" t="s">
        <v>178</v>
      </c>
      <c r="C43" s="18" t="e">
        <f>VLOOKUP(C$2&amp;B43,#REF!,2,FALSE)</f>
        <v>#REF!</v>
      </c>
      <c r="D43" s="9">
        <v>21</v>
      </c>
      <c r="E43" s="9"/>
      <c r="F43" s="9"/>
      <c r="G43" s="9"/>
      <c r="H43" s="9"/>
      <c r="I43" s="9"/>
      <c r="J43" s="9"/>
      <c r="K43" s="9"/>
    </row>
    <row r="44" spans="1:11">
      <c r="A44" s="9">
        <v>42</v>
      </c>
      <c r="B44" s="9" t="s">
        <v>179</v>
      </c>
      <c r="C44" s="18" t="e">
        <f>VLOOKUP(C$2&amp;B44,#REF!,2,FALSE)</f>
        <v>#REF!</v>
      </c>
      <c r="D44" s="9">
        <v>21</v>
      </c>
      <c r="E44" s="9"/>
      <c r="F44" s="9"/>
      <c r="G44" s="9"/>
      <c r="H44" s="9"/>
      <c r="I44" s="9"/>
      <c r="J44" s="9"/>
      <c r="K44" s="9"/>
    </row>
    <row r="45" spans="1:11">
      <c r="A45" s="9">
        <v>43</v>
      </c>
      <c r="B45" s="9" t="s">
        <v>180</v>
      </c>
      <c r="C45" s="18" t="e">
        <f>VLOOKUP(C$2&amp;B45,#REF!,2,FALSE)</f>
        <v>#REF!</v>
      </c>
      <c r="D45" s="9">
        <v>21</v>
      </c>
      <c r="E45" s="9"/>
      <c r="F45" s="9"/>
      <c r="G45" s="9"/>
      <c r="H45" s="9"/>
      <c r="I45" s="9"/>
      <c r="J45" s="9"/>
      <c r="K45" s="9"/>
    </row>
    <row r="46" spans="1:11">
      <c r="A46" s="9">
        <v>44</v>
      </c>
      <c r="B46" s="9" t="s">
        <v>181</v>
      </c>
      <c r="C46" s="18" t="e">
        <f>VLOOKUP(C$2&amp;B46,#REF!,2,FALSE)</f>
        <v>#REF!</v>
      </c>
      <c r="D46" s="9"/>
      <c r="E46" s="9"/>
      <c r="F46" s="9"/>
      <c r="G46" s="9"/>
      <c r="H46" s="9"/>
      <c r="I46" s="9"/>
      <c r="J46" s="9"/>
      <c r="K46" s="9"/>
    </row>
    <row r="47" spans="1:11">
      <c r="A47" s="9">
        <v>45</v>
      </c>
      <c r="B47" s="9" t="s">
        <v>182</v>
      </c>
      <c r="C47" s="18" t="e">
        <f>VLOOKUP(C$2&amp;B47,#REF!,2,FALSE)</f>
        <v>#REF!</v>
      </c>
      <c r="D47" s="9"/>
      <c r="E47" s="9"/>
      <c r="F47" s="9"/>
      <c r="G47" s="9"/>
      <c r="H47" s="9"/>
      <c r="I47" s="9"/>
      <c r="J47" s="9"/>
      <c r="K47" s="9"/>
    </row>
    <row r="48" spans="1:11">
      <c r="A48" s="9">
        <v>46</v>
      </c>
      <c r="B48" s="9" t="s">
        <v>183</v>
      </c>
      <c r="C48" s="18" t="e">
        <f>VLOOKUP(C$2&amp;B48,#REF!,2,FALSE)</f>
        <v>#REF!</v>
      </c>
      <c r="D48" s="9"/>
      <c r="E48" s="9"/>
      <c r="F48" s="9"/>
      <c r="G48" s="9"/>
      <c r="H48" s="9"/>
      <c r="I48" s="9"/>
      <c r="J48" s="9"/>
      <c r="K48" s="9"/>
    </row>
    <row r="49" spans="1:11">
      <c r="A49" s="9">
        <v>47</v>
      </c>
      <c r="B49" s="9" t="s">
        <v>23</v>
      </c>
      <c r="C49" s="18" t="e">
        <f>VLOOKUP(C$2&amp;B49,#REF!,2,FALSE)</f>
        <v>#REF!</v>
      </c>
      <c r="D49" s="9"/>
      <c r="E49" s="9"/>
      <c r="F49" s="9"/>
      <c r="G49" s="9"/>
      <c r="H49" s="9"/>
      <c r="I49" s="9"/>
      <c r="J49" s="9"/>
      <c r="K49" s="9"/>
    </row>
    <row r="50" spans="1:11">
      <c r="A50" s="9">
        <v>48</v>
      </c>
      <c r="B50" s="9" t="s">
        <v>184</v>
      </c>
      <c r="C50" s="18" t="e">
        <f>VLOOKUP(C$2&amp;B50,#REF!,2,FALSE)</f>
        <v>#REF!</v>
      </c>
      <c r="D50" s="9"/>
      <c r="E50" s="9"/>
      <c r="F50" s="9"/>
      <c r="G50" s="9"/>
      <c r="H50" s="9"/>
      <c r="I50" s="9"/>
      <c r="J50" s="9"/>
      <c r="K50" s="9"/>
    </row>
    <row r="51" spans="1:11">
      <c r="A51" s="9">
        <v>49</v>
      </c>
      <c r="B51" s="9" t="s">
        <v>185</v>
      </c>
      <c r="C51" s="18" t="e">
        <f>VLOOKUP(C$2&amp;B51,#REF!,2,FALSE)</f>
        <v>#REF!</v>
      </c>
      <c r="D51" s="9"/>
      <c r="E51" s="9"/>
      <c r="F51" s="9"/>
      <c r="G51" s="9"/>
      <c r="H51" s="9"/>
      <c r="I51" s="9"/>
      <c r="J51" s="9"/>
      <c r="K51" s="9"/>
    </row>
    <row r="52" spans="1:11">
      <c r="A52" s="9">
        <v>50</v>
      </c>
      <c r="B52" s="9" t="s">
        <v>186</v>
      </c>
      <c r="C52" s="18" t="e">
        <f>VLOOKUP(C$2&amp;B52,#REF!,2,FALSE)</f>
        <v>#REF!</v>
      </c>
      <c r="D52" s="9"/>
      <c r="E52" s="9"/>
      <c r="F52" s="9"/>
      <c r="G52" s="9"/>
      <c r="H52" s="9"/>
      <c r="I52" s="9"/>
      <c r="J52" s="9"/>
      <c r="K52" s="9"/>
    </row>
    <row r="53" spans="1:11">
      <c r="A53" s="9">
        <v>51</v>
      </c>
      <c r="B53" s="9" t="s">
        <v>187</v>
      </c>
      <c r="C53" s="18" t="e">
        <f>VLOOKUP(C$2&amp;B53,#REF!,2,FALSE)</f>
        <v>#REF!</v>
      </c>
      <c r="D53" s="9">
        <v>22</v>
      </c>
      <c r="E53" s="9"/>
      <c r="F53" s="9"/>
      <c r="G53" s="9"/>
      <c r="H53" s="9"/>
      <c r="I53" s="9"/>
      <c r="J53" s="9"/>
      <c r="K53" s="9"/>
    </row>
    <row r="54" spans="1:11">
      <c r="A54" s="9">
        <v>52</v>
      </c>
      <c r="B54" s="9" t="s">
        <v>188</v>
      </c>
      <c r="C54" s="18" t="e">
        <f>VLOOKUP(C$2&amp;B54,#REF!,2,FALSE)</f>
        <v>#REF!</v>
      </c>
      <c r="D54" s="9">
        <v>23</v>
      </c>
      <c r="E54" s="9"/>
      <c r="F54" s="9"/>
      <c r="G54" s="9"/>
      <c r="H54" s="9"/>
      <c r="I54" s="9"/>
      <c r="J54" s="9"/>
      <c r="K54" s="9"/>
    </row>
    <row r="55" spans="1:11">
      <c r="A55" s="9">
        <v>53</v>
      </c>
      <c r="B55" s="9" t="s">
        <v>189</v>
      </c>
      <c r="C55" s="18" t="e">
        <f>VLOOKUP(C$2&amp;B55,#REF!,2,FALSE)</f>
        <v>#REF!</v>
      </c>
      <c r="D55" s="9">
        <v>23</v>
      </c>
      <c r="E55" s="9"/>
      <c r="F55" s="9"/>
      <c r="G55" s="9"/>
      <c r="H55" s="9"/>
      <c r="I55" s="9"/>
      <c r="J55" s="9"/>
      <c r="K55" s="9"/>
    </row>
    <row r="56" spans="1:11">
      <c r="A56" s="9">
        <v>54</v>
      </c>
      <c r="B56" s="9" t="s">
        <v>190</v>
      </c>
      <c r="C56" s="18" t="e">
        <f>VLOOKUP(C$2&amp;B56,#REF!,2,FALSE)</f>
        <v>#REF!</v>
      </c>
      <c r="D56" s="9">
        <v>23</v>
      </c>
      <c r="E56" s="9"/>
      <c r="F56" s="9"/>
      <c r="G56" s="9"/>
      <c r="H56" s="9"/>
      <c r="I56" s="9"/>
      <c r="J56" s="9"/>
      <c r="K56" s="9"/>
    </row>
    <row r="57" spans="1:11">
      <c r="A57" s="9">
        <v>55</v>
      </c>
      <c r="B57" s="9" t="s">
        <v>191</v>
      </c>
      <c r="C57" s="18" t="e">
        <f>VLOOKUP(C$2&amp;B57,#REF!,2,FALSE)</f>
        <v>#REF!</v>
      </c>
      <c r="D57" s="9"/>
      <c r="E57" s="9"/>
      <c r="F57" s="9"/>
      <c r="G57" s="9"/>
      <c r="H57" s="9"/>
      <c r="I57" s="9"/>
      <c r="J57" s="9"/>
      <c r="K57" s="9"/>
    </row>
    <row r="58" spans="1:11">
      <c r="A58" s="9">
        <v>56</v>
      </c>
      <c r="B58" s="9" t="s">
        <v>192</v>
      </c>
      <c r="C58" s="18" t="e">
        <f>VLOOKUP(C$2&amp;B58,#REF!,2,FALSE)</f>
        <v>#REF!</v>
      </c>
      <c r="D58" s="9"/>
      <c r="E58" s="9"/>
      <c r="F58" s="9"/>
      <c r="G58" s="9"/>
      <c r="H58" s="9"/>
      <c r="I58" s="9"/>
      <c r="J58" s="9"/>
      <c r="K58" s="9"/>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06A5-9ACC-45E9-9FE8-B19ADCEC3CFF}">
  <sheetPr codeName="Sheet6">
    <tabColor rgb="FF94E494"/>
  </sheetPr>
  <dimension ref="A1:DR305"/>
  <sheetViews>
    <sheetView showGridLines="0" zoomScale="80" zoomScaleNormal="80" zoomScaleSheetLayoutView="80" zoomScalePageLayoutView="40" workbookViewId="0">
      <selection activeCell="J28" sqref="J28"/>
    </sheetView>
  </sheetViews>
  <sheetFormatPr defaultColWidth="10.5" defaultRowHeight="14.25"/>
  <cols>
    <col min="1" max="1" width="8.125" style="1421" customWidth="1"/>
    <col min="2" max="2" width="70.625" style="6" customWidth="1"/>
    <col min="3" max="3" width="2.875" style="6" customWidth="1"/>
    <col min="4" max="4" width="15.125" style="6" customWidth="1"/>
    <col min="5" max="5" width="24.125" style="6" bestFit="1" customWidth="1"/>
    <col min="6" max="6" width="7" style="6" bestFit="1" customWidth="1"/>
    <col min="7" max="7" width="12.125" style="562" customWidth="1"/>
    <col min="8" max="11" width="10.5" style="562" customWidth="1"/>
    <col min="12" max="12" width="24.625" style="562" customWidth="1"/>
    <col min="13" max="13" width="58.625" style="562" customWidth="1"/>
    <col min="14" max="14" width="14.875" style="750" customWidth="1"/>
    <col min="15" max="15" width="53.25" style="750" bestFit="1" customWidth="1"/>
    <col min="16" max="16" width="37.375" style="750" bestFit="1" customWidth="1"/>
    <col min="17" max="17" width="37.375" style="562" bestFit="1" customWidth="1"/>
    <col min="18" max="16384" width="10.5" style="562"/>
  </cols>
  <sheetData>
    <row r="1" spans="1:122" ht="102.95" customHeight="1">
      <c r="B1" s="348"/>
      <c r="C1" s="1522"/>
      <c r="D1" s="1522"/>
      <c r="E1" s="1522"/>
      <c r="F1" s="1522"/>
    </row>
    <row r="2" spans="1:122" s="364" customFormat="1" ht="24" customHeight="1">
      <c r="A2" s="362"/>
      <c r="B2" s="363" t="str">
        <f>+Instructions!B2</f>
        <v>Health Care Emissions Impact Calculator-Facility</v>
      </c>
      <c r="C2" s="362"/>
      <c r="D2" s="363"/>
      <c r="E2" s="363"/>
      <c r="F2" s="363"/>
      <c r="G2" s="1408"/>
      <c r="H2" s="1408"/>
      <c r="I2" s="1408"/>
      <c r="J2" s="1408"/>
      <c r="K2" s="1408"/>
      <c r="L2" s="1408"/>
      <c r="M2" s="1408"/>
      <c r="N2" s="1409"/>
      <c r="O2" s="751"/>
      <c r="P2" s="751"/>
      <c r="Q2" s="1408"/>
      <c r="R2" s="1408"/>
    </row>
    <row r="3" spans="1:122" s="565" customFormat="1" ht="24" customHeight="1">
      <c r="A3" s="1422"/>
      <c r="B3" s="563" t="str">
        <f>+'Facility or System Data'!$C$3&amp;" - Year " &amp; Instructions!$C$6&amp;" - Results in MTCO2e"</f>
        <v xml:space="preserve"> - Year  - Results in MTCO2e</v>
      </c>
      <c r="C3" s="563"/>
      <c r="D3" s="564"/>
      <c r="E3" s="564"/>
      <c r="F3" s="564"/>
      <c r="G3" s="562"/>
      <c r="H3" s="562"/>
      <c r="I3" s="562"/>
      <c r="J3" s="562"/>
      <c r="K3" s="562"/>
      <c r="L3" s="562"/>
      <c r="M3" s="562"/>
      <c r="N3" s="750"/>
      <c r="O3" s="750"/>
      <c r="P3" s="750"/>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c r="BQ3" s="562"/>
      <c r="BR3" s="562"/>
      <c r="BS3" s="562"/>
      <c r="BT3" s="562"/>
      <c r="BU3" s="562"/>
      <c r="BV3" s="562"/>
      <c r="BW3" s="562"/>
      <c r="BX3" s="562"/>
      <c r="BY3" s="562"/>
      <c r="BZ3" s="562"/>
      <c r="CA3" s="562"/>
      <c r="CB3" s="562"/>
      <c r="CC3" s="562"/>
      <c r="CD3" s="562"/>
      <c r="CE3" s="562"/>
      <c r="CF3" s="562"/>
      <c r="CG3" s="562"/>
      <c r="CH3" s="562"/>
      <c r="CI3" s="562"/>
      <c r="CJ3" s="562"/>
      <c r="CK3" s="562"/>
      <c r="CL3" s="562"/>
      <c r="CM3" s="562"/>
      <c r="CN3" s="562"/>
      <c r="CO3" s="562"/>
      <c r="CP3" s="562"/>
      <c r="CQ3" s="562"/>
      <c r="CR3" s="562"/>
      <c r="CS3" s="562"/>
      <c r="CT3" s="562"/>
      <c r="CU3" s="562"/>
      <c r="CV3" s="562"/>
      <c r="CW3" s="562"/>
      <c r="CX3" s="562"/>
      <c r="CY3" s="562"/>
      <c r="CZ3" s="562"/>
      <c r="DA3" s="562"/>
      <c r="DB3" s="562"/>
      <c r="DC3" s="562"/>
      <c r="DD3" s="562"/>
      <c r="DE3" s="562"/>
      <c r="DF3" s="562"/>
      <c r="DG3" s="562"/>
      <c r="DH3" s="562"/>
      <c r="DI3" s="562"/>
      <c r="DJ3" s="562"/>
      <c r="DK3" s="562"/>
      <c r="DL3" s="562"/>
      <c r="DM3" s="562"/>
      <c r="DN3" s="562"/>
      <c r="DO3" s="562"/>
      <c r="DP3" s="562"/>
      <c r="DQ3" s="562"/>
      <c r="DR3" s="562"/>
    </row>
    <row r="4" spans="1:122" s="565" customFormat="1" ht="6" customHeight="1">
      <c r="A4" s="1421"/>
      <c r="B4" s="6"/>
      <c r="C4" s="6"/>
      <c r="D4" s="6"/>
      <c r="E4" s="6"/>
      <c r="F4" s="6"/>
      <c r="G4" s="562"/>
      <c r="H4" s="562"/>
      <c r="I4" s="562"/>
      <c r="J4" s="562"/>
      <c r="K4" s="562"/>
      <c r="L4" s="562"/>
      <c r="M4" s="562"/>
      <c r="N4" s="750"/>
      <c r="O4" s="750"/>
      <c r="P4" s="750"/>
      <c r="Q4" s="562"/>
      <c r="R4" s="562"/>
      <c r="S4" s="562"/>
      <c r="T4" s="562"/>
      <c r="U4" s="562"/>
      <c r="V4" s="562"/>
      <c r="W4" s="562"/>
      <c r="X4" s="562"/>
      <c r="Y4" s="562"/>
      <c r="Z4" s="562"/>
      <c r="AA4" s="562"/>
      <c r="AB4" s="562"/>
      <c r="AC4" s="562"/>
      <c r="AD4" s="562"/>
      <c r="AE4" s="562"/>
      <c r="AF4" s="562"/>
      <c r="AG4" s="562"/>
      <c r="AH4" s="562"/>
      <c r="AI4" s="562"/>
      <c r="AJ4" s="562"/>
      <c r="AK4" s="562"/>
      <c r="AL4" s="562"/>
      <c r="AM4" s="562"/>
      <c r="AN4" s="562"/>
      <c r="AO4" s="562"/>
      <c r="AP4" s="562"/>
      <c r="AQ4" s="562"/>
      <c r="AR4" s="562"/>
      <c r="AS4" s="562"/>
      <c r="AT4" s="562"/>
      <c r="AU4" s="562"/>
      <c r="AV4" s="562"/>
      <c r="AW4" s="562"/>
      <c r="AX4" s="562"/>
      <c r="AY4" s="562"/>
      <c r="AZ4" s="562"/>
      <c r="BA4" s="562"/>
      <c r="BB4" s="562"/>
      <c r="BC4" s="562"/>
      <c r="BD4" s="562"/>
      <c r="BE4" s="562"/>
      <c r="BF4" s="562"/>
      <c r="BG4" s="562"/>
      <c r="BH4" s="562"/>
      <c r="BI4" s="562"/>
      <c r="BJ4" s="562"/>
    </row>
    <row r="5" spans="1:122" s="565" customFormat="1" ht="0.95" customHeight="1">
      <c r="A5" s="1421"/>
      <c r="B5" s="6"/>
      <c r="C5" s="6"/>
      <c r="D5" s="6"/>
      <c r="E5" s="6"/>
      <c r="F5" s="6"/>
      <c r="G5" s="562"/>
      <c r="H5" s="562"/>
      <c r="I5" s="562"/>
      <c r="J5" s="562"/>
      <c r="K5" s="562"/>
      <c r="L5" s="562"/>
      <c r="M5" s="562"/>
      <c r="N5" s="750"/>
      <c r="O5" s="750"/>
      <c r="P5" s="750"/>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row>
    <row r="6" spans="1:122" s="566" customFormat="1" ht="18" customHeight="1">
      <c r="A6" s="1423"/>
      <c r="C6" s="567"/>
      <c r="D6" s="568" t="s">
        <v>2765</v>
      </c>
      <c r="E6" s="569">
        <f>(+D7+D20+D23)</f>
        <v>0</v>
      </c>
      <c r="F6" s="570">
        <f>+F7+F20+F23</f>
        <v>0</v>
      </c>
      <c r="G6" s="571"/>
      <c r="H6" s="571"/>
      <c r="I6" s="571"/>
      <c r="J6" s="571"/>
      <c r="K6" s="571"/>
      <c r="L6" s="571"/>
      <c r="M6" s="571"/>
      <c r="N6" s="750"/>
      <c r="O6" s="750"/>
      <c r="P6" s="750"/>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1"/>
      <c r="CR6" s="571"/>
      <c r="CS6" s="571"/>
      <c r="CT6" s="571"/>
      <c r="CU6" s="571"/>
      <c r="CV6" s="571"/>
      <c r="CW6" s="571"/>
      <c r="CX6" s="571"/>
      <c r="CY6" s="571"/>
      <c r="CZ6" s="571"/>
      <c r="DA6" s="571"/>
      <c r="DB6" s="571"/>
      <c r="DC6" s="571"/>
      <c r="DD6" s="571"/>
      <c r="DE6" s="571"/>
      <c r="DF6" s="571"/>
      <c r="DG6" s="571"/>
      <c r="DH6" s="571"/>
      <c r="DI6" s="571"/>
      <c r="DJ6" s="571"/>
      <c r="DK6" s="571"/>
      <c r="DL6" s="571"/>
      <c r="DM6" s="571"/>
      <c r="DN6" s="571"/>
      <c r="DO6" s="571"/>
      <c r="DP6" s="571"/>
    </row>
    <row r="7" spans="1:122" s="565" customFormat="1" ht="24.95" customHeight="1">
      <c r="A7" s="1424"/>
      <c r="B7" s="572" t="str">
        <f>+'Scope 1 and 2 Data'!$A$12</f>
        <v>Scope 1</v>
      </c>
      <c r="C7" s="573"/>
      <c r="D7" s="1528">
        <f>+(SUM(H8:H9,H11:H12,H14:H15,H17:H19))</f>
        <v>0</v>
      </c>
      <c r="E7" s="1528"/>
      <c r="F7" s="574">
        <f>+IF($E$6&lt;&gt;0,D7/$E$6,0)</f>
        <v>0</v>
      </c>
      <c r="G7" s="1410" t="s">
        <v>2766</v>
      </c>
      <c r="H7" s="1410" t="s">
        <v>2767</v>
      </c>
      <c r="I7" s="1410"/>
      <c r="J7" s="562"/>
      <c r="K7" s="562"/>
      <c r="L7" s="562" t="s">
        <v>2768</v>
      </c>
      <c r="M7" s="562"/>
      <c r="N7" s="750"/>
      <c r="O7" s="750"/>
      <c r="P7" s="750"/>
      <c r="Q7" s="562" t="s">
        <v>2769</v>
      </c>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row>
    <row r="8" spans="1:122" s="565" customFormat="1" ht="21" customHeight="1">
      <c r="A8" s="1425">
        <f>+'Scope 1 and 2 Data'!A15</f>
        <v>1.1000000000000001</v>
      </c>
      <c r="B8" s="575" t="s">
        <v>4406</v>
      </c>
      <c r="C8" s="576"/>
      <c r="D8" s="1527">
        <f>+IF('Scope 1 and 2 Data'!C21&lt;&gt;'Scope 1 and 2 Data'!$B$6,'Scope 1 and 2 Data'!C21,'Scope 1 and 2 Data'!G29/1000)</f>
        <v>0</v>
      </c>
      <c r="E8" s="1527"/>
      <c r="F8" s="578">
        <f>+IF($E$6&lt;&gt;0,H8/$E$6,0)</f>
        <v>0</v>
      </c>
      <c r="G8" s="1410" t="b">
        <f>+ISNUMBER(D8)</f>
        <v>1</v>
      </c>
      <c r="H8" s="1411">
        <f>+IF(G8=TRUE,D8,0)</f>
        <v>0</v>
      </c>
      <c r="I8" s="1410"/>
      <c r="J8" s="562"/>
      <c r="K8" s="562"/>
      <c r="L8" s="562" t="s">
        <v>6</v>
      </c>
      <c r="M8" s="579" t="str">
        <f>+B8</f>
        <v>Stationary combustion</v>
      </c>
      <c r="N8" s="1407">
        <f>D8</f>
        <v>0</v>
      </c>
      <c r="O8" s="750"/>
      <c r="P8" s="750"/>
      <c r="Q8" s="562" t="str">
        <f>+B8</f>
        <v>Stationary combustion</v>
      </c>
      <c r="R8" s="562">
        <f>+H8</f>
        <v>0</v>
      </c>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row>
    <row r="9" spans="1:122" s="565" customFormat="1" ht="21" customHeight="1">
      <c r="A9" s="1425" t="str">
        <f>+'Scope 1 and 2 Data'!A40</f>
        <v>1.2</v>
      </c>
      <c r="B9" s="575" t="s">
        <v>4408</v>
      </c>
      <c r="C9" s="576"/>
      <c r="D9" s="576"/>
      <c r="E9" s="577">
        <f>+IF('Scope 1 and 2 Data'!C45&lt;&gt;'Scope 1 and 2 Data'!$B$6,'Scope 1 and 2 Data'!C45,'Scope 1 and 2 Data'!H60/1000)</f>
        <v>0</v>
      </c>
      <c r="F9" s="578">
        <f>+IF($E$6&lt;&gt;0,H9/$E$6,0)</f>
        <v>0</v>
      </c>
      <c r="G9" s="1410" t="b">
        <f>+ISNUMBER(E9)</f>
        <v>1</v>
      </c>
      <c r="H9" s="1411">
        <f>+IF(G9=TRUE,E9,0)</f>
        <v>0</v>
      </c>
      <c r="I9" s="1410"/>
      <c r="J9" s="562"/>
      <c r="K9" s="562"/>
      <c r="L9" s="562" t="s">
        <v>6</v>
      </c>
      <c r="M9" s="579" t="str">
        <f>+B9</f>
        <v>Mobile combustion</v>
      </c>
      <c r="N9" s="1407">
        <f t="shared" ref="N9" si="0">E9</f>
        <v>0</v>
      </c>
      <c r="O9" s="750"/>
      <c r="P9" s="750"/>
      <c r="Q9" s="562" t="str">
        <f>+B9</f>
        <v>Mobile combustion</v>
      </c>
      <c r="R9" s="562">
        <f>+H9</f>
        <v>0</v>
      </c>
      <c r="S9" s="562"/>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row>
    <row r="10" spans="1:122" s="565" customFormat="1" ht="21" customHeight="1">
      <c r="A10" s="1426" t="str">
        <f>+'Scope 1 and 2 Data'!A67</f>
        <v>1.3</v>
      </c>
      <c r="B10" s="575" t="s">
        <v>4407</v>
      </c>
      <c r="C10" s="576"/>
      <c r="D10" s="576"/>
      <c r="E10" s="577">
        <f>+SUM(H11:H12)</f>
        <v>0</v>
      </c>
      <c r="F10" s="578">
        <f>+IF($E$6&lt;&gt;0,E10/$E$6,0)</f>
        <v>0</v>
      </c>
      <c r="G10" s="1410" t="b">
        <f>+ISNUMBER(E10)</f>
        <v>1</v>
      </c>
      <c r="H10" s="1411"/>
      <c r="I10" s="1410"/>
      <c r="J10" s="562"/>
      <c r="K10" s="562"/>
      <c r="L10" s="562" t="s">
        <v>6</v>
      </c>
      <c r="M10" s="579" t="str">
        <f>+B11</f>
        <v>Refrigerants and fire suppression</v>
      </c>
      <c r="N10" s="1407">
        <f>E11</f>
        <v>0</v>
      </c>
      <c r="O10" s="750"/>
      <c r="P10" s="750"/>
      <c r="Q10" s="579" t="str">
        <f>+B11</f>
        <v>Refrigerants and fire suppression</v>
      </c>
      <c r="R10" s="579">
        <f>+H11</f>
        <v>0</v>
      </c>
      <c r="S10" s="579"/>
      <c r="T10" s="579"/>
      <c r="U10" s="579"/>
      <c r="V10" s="579"/>
      <c r="W10" s="562"/>
      <c r="X10" s="562"/>
      <c r="Y10" s="562"/>
      <c r="Z10" s="5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row>
    <row r="11" spans="1:122" s="565" customFormat="1" ht="21" customHeight="1">
      <c r="A11" s="1427" t="str">
        <f>+'Scope 1 and 2 Data'!A68</f>
        <v>1.3.1</v>
      </c>
      <c r="B11" s="583" t="s">
        <v>4411</v>
      </c>
      <c r="C11" s="580"/>
      <c r="D11" s="580"/>
      <c r="E11" s="581">
        <f>+IF('Scope 1 and 2 Data'!C72&lt;&gt;'Scope 1 and 2 Data'!$B$6,'Scope 1 and 2 Data'!C72,'Scope 1 and 2 Data'!E78/1000)</f>
        <v>0</v>
      </c>
      <c r="F11" s="582">
        <f>+IF($E$6&lt;&gt;0,H11/$E$6,0)</f>
        <v>0</v>
      </c>
      <c r="G11" s="1410" t="b">
        <f>+ISNUMBER(E11)</f>
        <v>1</v>
      </c>
      <c r="H11" s="1411">
        <f>+IF(G11=TRUE,E11,0)</f>
        <v>0</v>
      </c>
      <c r="I11" s="1410"/>
      <c r="J11" s="562"/>
      <c r="K11" s="562"/>
      <c r="L11" s="562" t="s">
        <v>7</v>
      </c>
      <c r="M11" s="579" t="str">
        <f>+B21</f>
        <v>Purchased electricity</v>
      </c>
      <c r="N11" s="1407">
        <f>E21</f>
        <v>0</v>
      </c>
      <c r="O11" s="750"/>
      <c r="P11" s="750"/>
      <c r="Q11" s="579" t="str">
        <f>+B12</f>
        <v>Inhaled anesthetic gases</v>
      </c>
      <c r="R11" s="579">
        <f>+H12</f>
        <v>0</v>
      </c>
      <c r="S11" s="579"/>
      <c r="T11" s="579"/>
      <c r="U11" s="579"/>
      <c r="V11" s="579"/>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562"/>
      <c r="BW11" s="562"/>
      <c r="BX11" s="562"/>
      <c r="BY11" s="562"/>
      <c r="BZ11" s="562"/>
      <c r="CA11" s="562"/>
      <c r="CB11" s="562"/>
      <c r="CC11" s="562"/>
      <c r="CD11" s="562"/>
      <c r="CE11" s="562"/>
      <c r="CF11" s="562"/>
      <c r="CG11" s="562"/>
      <c r="CH11" s="562"/>
      <c r="CI11" s="562"/>
      <c r="CJ11" s="562"/>
      <c r="CK11" s="562"/>
      <c r="CL11" s="562"/>
      <c r="CM11" s="562"/>
      <c r="CN11" s="562"/>
      <c r="CO11" s="562"/>
      <c r="CP11" s="562"/>
      <c r="CQ11" s="562"/>
      <c r="CR11" s="562"/>
      <c r="CS11" s="562"/>
      <c r="CT11" s="562"/>
      <c r="CU11" s="562"/>
      <c r="CV11" s="562"/>
      <c r="CW11" s="562"/>
      <c r="CX11" s="562"/>
      <c r="CY11" s="562"/>
      <c r="CZ11" s="562"/>
      <c r="DA11" s="562"/>
      <c r="DB11" s="562"/>
      <c r="DC11" s="562"/>
      <c r="DD11" s="562"/>
      <c r="DE11" s="562"/>
      <c r="DF11" s="562"/>
      <c r="DG11" s="562"/>
      <c r="DH11" s="562"/>
      <c r="DI11" s="562"/>
      <c r="DJ11" s="562"/>
    </row>
    <row r="12" spans="1:122" s="565" customFormat="1" ht="21" customHeight="1">
      <c r="A12" s="1427" t="str">
        <f>+'Scope 1 and 2 Data'!A215</f>
        <v>1.3.2</v>
      </c>
      <c r="B12" s="583" t="s">
        <v>4410</v>
      </c>
      <c r="C12" s="580"/>
      <c r="D12" s="580"/>
      <c r="E12" s="581">
        <f>+IF('Scope 1 and 2 Data'!C219&lt;&gt;'Scope 1 and 2 Data'!$B$6,'Scope 1 and 2 Data'!C219,'Scope 1 and 2 Data'!D227/1000)</f>
        <v>0</v>
      </c>
      <c r="F12" s="582">
        <f>+IF($E$6&lt;&gt;0,H12/$E$6,0)</f>
        <v>0</v>
      </c>
      <c r="G12" s="1410" t="b">
        <f>+ISNUMBER(E12)</f>
        <v>1</v>
      </c>
      <c r="H12" s="1411">
        <f>+IF(G12=TRUE,E12,0)</f>
        <v>0</v>
      </c>
      <c r="I12" s="1410"/>
      <c r="J12" s="562"/>
      <c r="K12" s="562"/>
      <c r="L12" s="562" t="s">
        <v>7</v>
      </c>
      <c r="M12" s="579" t="str">
        <f>+B22</f>
        <v>Purchased steam, hot and chilled water</v>
      </c>
      <c r="N12" s="1407">
        <f>E22</f>
        <v>0</v>
      </c>
      <c r="O12" s="750"/>
      <c r="P12" s="750"/>
      <c r="Q12" s="562" t="str">
        <f>+B21</f>
        <v>Purchased electricity</v>
      </c>
      <c r="R12" s="562">
        <f>+H21</f>
        <v>0</v>
      </c>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562"/>
      <c r="CT12" s="562"/>
      <c r="CU12" s="562"/>
      <c r="CV12" s="562"/>
      <c r="CW12" s="562"/>
      <c r="CX12" s="562"/>
      <c r="CY12" s="562"/>
      <c r="CZ12" s="562"/>
      <c r="DA12" s="562"/>
      <c r="DB12" s="562"/>
      <c r="DC12" s="562"/>
      <c r="DD12" s="562"/>
      <c r="DE12" s="562"/>
      <c r="DF12" s="562"/>
      <c r="DG12" s="562"/>
      <c r="DH12" s="562"/>
      <c r="DI12" s="562"/>
      <c r="DJ12" s="562"/>
    </row>
    <row r="13" spans="1:122" s="565" customFormat="1" ht="18.95" customHeight="1">
      <c r="A13" s="1427"/>
      <c r="B13" s="575"/>
      <c r="C13" s="576"/>
      <c r="D13" s="576"/>
      <c r="E13" s="577"/>
      <c r="F13" s="578"/>
      <c r="G13" s="1410"/>
      <c r="H13" s="1410"/>
      <c r="I13" s="1410"/>
      <c r="J13" s="562"/>
      <c r="K13" s="562"/>
      <c r="L13" s="562" t="str">
        <f>+$B$23</f>
        <v>Scope 3</v>
      </c>
      <c r="M13" s="579" t="str">
        <f>+B24</f>
        <v>Purchased goods &amp; services</v>
      </c>
      <c r="N13" s="1407">
        <f>E24</f>
        <v>0</v>
      </c>
      <c r="O13" s="750"/>
      <c r="P13" s="750"/>
      <c r="Q13" s="562" t="str">
        <f>+B22</f>
        <v>Purchased steam, hot and chilled water</v>
      </c>
      <c r="R13" s="562">
        <f>+H22</f>
        <v>0</v>
      </c>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row>
    <row r="14" spans="1:122" s="565" customFormat="1" ht="18.95" customHeight="1">
      <c r="A14" s="1427"/>
      <c r="B14" s="583"/>
      <c r="C14" s="576"/>
      <c r="D14" s="576"/>
      <c r="E14" s="584"/>
      <c r="F14" s="582"/>
      <c r="G14" s="1410"/>
      <c r="H14" s="1410"/>
      <c r="I14" s="1410"/>
      <c r="J14" s="562"/>
      <c r="K14" s="562"/>
      <c r="L14" s="562" t="str">
        <f t="shared" ref="L14:L24" si="1">+$B$23</f>
        <v>Scope 3</v>
      </c>
      <c r="M14" s="579" t="str">
        <f t="shared" ref="M14:M21" si="2">+B25</f>
        <v>Capital goods</v>
      </c>
      <c r="N14" s="1407">
        <f t="shared" ref="N14:N21" si="3">E25</f>
        <v>0</v>
      </c>
      <c r="O14" s="750"/>
      <c r="P14" s="750"/>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row>
    <row r="15" spans="1:122" s="565" customFormat="1" ht="18.95" customHeight="1">
      <c r="A15" s="1427"/>
      <c r="B15" s="585"/>
      <c r="C15" s="576"/>
      <c r="D15" s="576"/>
      <c r="E15" s="581"/>
      <c r="F15" s="582"/>
      <c r="G15" s="1410"/>
      <c r="H15" s="1410"/>
      <c r="I15" s="1410"/>
      <c r="J15" s="562"/>
      <c r="K15" s="562"/>
      <c r="L15" s="562" t="str">
        <f t="shared" si="1"/>
        <v>Scope 3</v>
      </c>
      <c r="M15" s="579" t="str">
        <f t="shared" si="2"/>
        <v>Fuel- &amp; energy-related emissions</v>
      </c>
      <c r="N15" s="1407">
        <f t="shared" si="3"/>
        <v>0</v>
      </c>
      <c r="O15" s="750"/>
      <c r="P15" s="750"/>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row>
    <row r="16" spans="1:122" s="565" customFormat="1" ht="18.95" customHeight="1">
      <c r="A16" s="1427"/>
      <c r="B16" s="583"/>
      <c r="C16" s="576"/>
      <c r="D16" s="576"/>
      <c r="E16" s="584"/>
      <c r="F16" s="582"/>
      <c r="G16" s="1410"/>
      <c r="H16" s="1410"/>
      <c r="I16" s="1410"/>
      <c r="J16" s="562"/>
      <c r="K16" s="562"/>
      <c r="L16" s="562" t="str">
        <f t="shared" si="1"/>
        <v>Scope 3</v>
      </c>
      <c r="M16" s="579" t="str">
        <f t="shared" si="2"/>
        <v>Upstream transportation &amp; distribution</v>
      </c>
      <c r="N16" s="1407">
        <f t="shared" si="3"/>
        <v>0</v>
      </c>
      <c r="O16" s="750"/>
      <c r="P16" s="750"/>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row>
    <row r="17" spans="1:63" s="565" customFormat="1" ht="18.95" customHeight="1">
      <c r="A17" s="1427"/>
      <c r="B17" s="586"/>
      <c r="C17" s="576"/>
      <c r="D17" s="576"/>
      <c r="E17" s="587"/>
      <c r="F17" s="588"/>
      <c r="G17" s="1410"/>
      <c r="H17" s="1410"/>
      <c r="I17" s="1410"/>
      <c r="J17" s="562"/>
      <c r="K17" s="562"/>
      <c r="L17" s="562" t="str">
        <f t="shared" si="1"/>
        <v>Scope 3</v>
      </c>
      <c r="M17" s="579" t="str">
        <f t="shared" si="2"/>
        <v>Waste generated in operations</v>
      </c>
      <c r="N17" s="1407">
        <f t="shared" si="3"/>
        <v>0</v>
      </c>
      <c r="O17" s="750"/>
      <c r="P17" s="750"/>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row>
    <row r="18" spans="1:63" s="565" customFormat="1" ht="15">
      <c r="A18" s="1427"/>
      <c r="B18" s="589"/>
      <c r="C18" s="590"/>
      <c r="D18" s="576"/>
      <c r="E18" s="587"/>
      <c r="F18" s="588"/>
      <c r="G18" s="1410"/>
      <c r="H18" s="1410"/>
      <c r="I18" s="1410"/>
      <c r="J18" s="562"/>
      <c r="K18" s="562"/>
      <c r="L18" s="562" t="str">
        <f t="shared" si="1"/>
        <v>Scope 3</v>
      </c>
      <c r="M18" s="579" t="str">
        <f t="shared" si="2"/>
        <v>Business travel</v>
      </c>
      <c r="N18" s="1407">
        <f t="shared" si="3"/>
        <v>0</v>
      </c>
      <c r="O18" s="750"/>
      <c r="P18" s="750"/>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row>
    <row r="19" spans="1:63" s="565" customFormat="1" ht="15">
      <c r="A19" s="1427"/>
      <c r="B19" s="589"/>
      <c r="C19" s="576"/>
      <c r="D19" s="590"/>
      <c r="E19" s="591"/>
      <c r="F19" s="588"/>
      <c r="G19" s="1410"/>
      <c r="H19" s="1410"/>
      <c r="I19" s="1410"/>
      <c r="J19" s="562"/>
      <c r="K19" s="562"/>
      <c r="L19" s="562" t="str">
        <f t="shared" si="1"/>
        <v>Scope 3</v>
      </c>
      <c r="M19" s="579" t="str">
        <f t="shared" si="2"/>
        <v>Employee commuting</v>
      </c>
      <c r="N19" s="1407">
        <f t="shared" si="3"/>
        <v>0</v>
      </c>
      <c r="O19" s="750"/>
      <c r="P19" s="750"/>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row>
    <row r="20" spans="1:63" s="565" customFormat="1" ht="24.95" customHeight="1">
      <c r="A20" s="1428"/>
      <c r="B20" s="592" t="str">
        <f>+'Scope 1 and 2 Data'!A235</f>
        <v>Scope 2</v>
      </c>
      <c r="C20" s="593"/>
      <c r="D20" s="1530">
        <f>+SUM(H21:H22)</f>
        <v>0</v>
      </c>
      <c r="E20" s="1530"/>
      <c r="F20" s="594">
        <f>+IF($E$6&lt;&gt;0,D20/$E$6,0)</f>
        <v>0</v>
      </c>
      <c r="G20" s="1410"/>
      <c r="H20" s="1410"/>
      <c r="I20" s="1410"/>
      <c r="J20" s="562"/>
      <c r="K20" s="562"/>
      <c r="L20" s="562" t="str">
        <f t="shared" si="1"/>
        <v>Scope 3</v>
      </c>
      <c r="M20" s="579" t="str">
        <f t="shared" si="2"/>
        <v>Upstream leased assets</v>
      </c>
      <c r="N20" s="1407">
        <f t="shared" si="3"/>
        <v>0</v>
      </c>
      <c r="O20" s="750"/>
      <c r="P20" s="750"/>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row>
    <row r="21" spans="1:63" s="565" customFormat="1" ht="21" customHeight="1">
      <c r="A21" s="1429" t="str">
        <f>+'Scope 1 and 2 Data'!A238</f>
        <v>2.1</v>
      </c>
      <c r="B21" s="595" t="s">
        <v>4404</v>
      </c>
      <c r="C21" s="596"/>
      <c r="D21" s="596"/>
      <c r="E21" s="1440">
        <f>+IF('Scope 1 and 2 Data'!C242&lt;&gt;'Scope 1 and 2 Data'!$B$6,'Scope 1 and 2 Data'!C242,SUM('Scope 1 and 2 Data'!F248/1000,'Scope 1 and 2 Data'!F249/1000))</f>
        <v>0</v>
      </c>
      <c r="F21" s="597">
        <f>+IF($E$6&lt;&gt;0,H21/$E$6,0)</f>
        <v>0</v>
      </c>
      <c r="G21" s="1410" t="b">
        <f>+ISNUMBER(E21)</f>
        <v>1</v>
      </c>
      <c r="H21" s="1410">
        <f>+IF(G21=TRUE,E21,0)</f>
        <v>0</v>
      </c>
      <c r="I21" s="1410"/>
      <c r="J21" s="562"/>
      <c r="K21" s="562"/>
      <c r="L21" s="562" t="str">
        <f t="shared" si="1"/>
        <v>Scope 3</v>
      </c>
      <c r="M21" s="579" t="str">
        <f t="shared" si="2"/>
        <v>Downstream transportation &amp; distribution
[Patient Visits &amp; Telehealth]</v>
      </c>
      <c r="N21" s="1407">
        <f t="shared" si="3"/>
        <v>0</v>
      </c>
      <c r="O21" s="750"/>
      <c r="P21" s="750"/>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row>
    <row r="22" spans="1:63" s="565" customFormat="1" ht="21" customHeight="1">
      <c r="A22" s="1429" t="str">
        <f>+'Scope 1 and 2 Data'!A251</f>
        <v>2.2</v>
      </c>
      <c r="B22" s="595" t="s">
        <v>4405</v>
      </c>
      <c r="C22" s="596"/>
      <c r="D22" s="596"/>
      <c r="E22" s="1440">
        <f>+IF('Scope 1 and 2 Data'!C255&lt;&gt;'Scope 1 and 2 Data'!$B$6,'Scope 1 and 2 Data'!C255,'Scope 1 and 2 Data'!E263/1000)</f>
        <v>0</v>
      </c>
      <c r="F22" s="597">
        <f>+IF($E$6&lt;&gt;0,H22/$E$6,0)</f>
        <v>0</v>
      </c>
      <c r="G22" s="1410" t="b">
        <f>+ISNUMBER(E22)</f>
        <v>1</v>
      </c>
      <c r="H22" s="1410">
        <f>+IF(G22=TRUE,E22,0)</f>
        <v>0</v>
      </c>
      <c r="I22" s="562"/>
      <c r="J22" s="562"/>
      <c r="K22" s="562"/>
      <c r="L22" s="562" t="str">
        <f t="shared" si="1"/>
        <v>Scope 3</v>
      </c>
      <c r="M22" s="579" t="str">
        <f>+B34</f>
        <v>Use of sold products</v>
      </c>
      <c r="N22" s="1407">
        <f>E34</f>
        <v>0</v>
      </c>
      <c r="O22" s="750"/>
      <c r="P22" s="750"/>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row>
    <row r="23" spans="1:63" s="565" customFormat="1" ht="24.95" customHeight="1">
      <c r="A23" s="1430"/>
      <c r="B23" s="598" t="s">
        <v>1211</v>
      </c>
      <c r="C23" s="599"/>
      <c r="D23" s="1529">
        <f>SUM(E24:E38)</f>
        <v>0</v>
      </c>
      <c r="E23" s="1529"/>
      <c r="F23" s="600">
        <f>+IF($E$6&lt;&gt;0,D23/$E$6,0)</f>
        <v>0</v>
      </c>
      <c r="G23" s="1410"/>
      <c r="H23" s="1410"/>
      <c r="I23" s="1410"/>
      <c r="J23" s="562"/>
      <c r="K23" s="562"/>
      <c r="L23" s="562" t="str">
        <f t="shared" si="1"/>
        <v>Scope 3</v>
      </c>
      <c r="M23" s="579" t="str">
        <f>+B36</f>
        <v>Downstream leased assets</v>
      </c>
      <c r="N23" s="1407">
        <f>E36</f>
        <v>0</v>
      </c>
      <c r="O23" s="750"/>
      <c r="P23" s="750"/>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row>
    <row r="24" spans="1:63" s="565" customFormat="1" ht="21" customHeight="1">
      <c r="A24" s="1431">
        <v>3.1</v>
      </c>
      <c r="B24" s="601" t="str">
        <f>'Scope 3 Summary'!D20</f>
        <v>Purchased goods &amp; services</v>
      </c>
      <c r="C24" s="602"/>
      <c r="D24" s="602"/>
      <c r="E24" s="721">
        <f>'Scope 3 Summary'!E20</f>
        <v>0</v>
      </c>
      <c r="F24" s="603">
        <f>+IF($E$6&lt;&gt;0,E24/$E$6,0)</f>
        <v>0</v>
      </c>
      <c r="G24" s="1410"/>
      <c r="H24" s="1410"/>
      <c r="I24" s="1410"/>
      <c r="J24" s="562"/>
      <c r="K24" s="562"/>
      <c r="L24" s="562" t="str">
        <f t="shared" si="1"/>
        <v>Scope 3</v>
      </c>
      <c r="M24" s="579" t="str">
        <f>+B38</f>
        <v>Investments</v>
      </c>
      <c r="N24" s="1407">
        <f>E38</f>
        <v>0</v>
      </c>
      <c r="O24" s="750"/>
      <c r="P24" s="750"/>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row>
    <row r="25" spans="1:63" s="565" customFormat="1" ht="21" customHeight="1">
      <c r="A25" s="1431">
        <v>3.2</v>
      </c>
      <c r="B25" s="601" t="str">
        <f>'Scope 3 Summary'!D21</f>
        <v>Capital goods</v>
      </c>
      <c r="C25" s="602"/>
      <c r="D25" s="602"/>
      <c r="E25" s="721">
        <f>'Scope 3 Summary'!E21</f>
        <v>0</v>
      </c>
      <c r="F25" s="603">
        <f t="shared" ref="F25:F38" si="4">+IF($E$6&lt;&gt;0,E25/$E$6,0)</f>
        <v>0</v>
      </c>
      <c r="G25" s="1410"/>
      <c r="H25" s="1410"/>
      <c r="I25" s="1410"/>
      <c r="J25" s="562"/>
      <c r="K25" s="562"/>
      <c r="L25" s="562"/>
      <c r="M25" s="579"/>
      <c r="N25" s="750"/>
      <c r="O25" s="750"/>
      <c r="P25" s="750"/>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row>
    <row r="26" spans="1:63" s="565" customFormat="1" ht="21" customHeight="1">
      <c r="A26" s="1431">
        <v>3.3</v>
      </c>
      <c r="B26" s="601" t="str">
        <f>'Scope 3 Summary'!D22</f>
        <v>Fuel- &amp; energy-related emissions</v>
      </c>
      <c r="C26" s="602"/>
      <c r="D26" s="602"/>
      <c r="E26" s="721">
        <f>'Scope 3 Summary'!E22</f>
        <v>0</v>
      </c>
      <c r="F26" s="603">
        <f t="shared" si="4"/>
        <v>0</v>
      </c>
      <c r="G26" s="1410"/>
      <c r="H26" s="1410"/>
      <c r="I26" s="1410"/>
      <c r="J26" s="562"/>
      <c r="K26" s="562"/>
      <c r="L26" s="562"/>
      <c r="M26" s="562"/>
      <c r="N26" s="750"/>
      <c r="O26" s="750"/>
      <c r="P26" s="750"/>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row>
    <row r="27" spans="1:63" s="565" customFormat="1" ht="21" customHeight="1">
      <c r="A27" s="1432">
        <v>3.4</v>
      </c>
      <c r="B27" s="601" t="str">
        <f>'Scope 3 Summary'!D23</f>
        <v>Upstream transportation &amp; distribution</v>
      </c>
      <c r="C27" s="604"/>
      <c r="D27" s="602"/>
      <c r="E27" s="721">
        <f>'Scope 3 Summary'!E23</f>
        <v>0</v>
      </c>
      <c r="F27" s="603">
        <f t="shared" si="4"/>
        <v>0</v>
      </c>
      <c r="G27" s="1410"/>
      <c r="H27" s="1410"/>
      <c r="I27" s="1410"/>
      <c r="J27" s="562"/>
      <c r="K27" s="562"/>
      <c r="L27" s="562"/>
      <c r="M27" s="562"/>
      <c r="N27" s="750"/>
      <c r="O27" s="750"/>
      <c r="P27" s="750"/>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row>
    <row r="28" spans="1:63" s="565" customFormat="1" ht="21" customHeight="1">
      <c r="A28" s="1431">
        <v>3.5</v>
      </c>
      <c r="B28" s="601" t="str">
        <f>'Scope 3 Summary'!D24</f>
        <v>Waste generated in operations</v>
      </c>
      <c r="C28" s="602"/>
      <c r="D28" s="601"/>
      <c r="E28" s="721">
        <f>'Scope 3 Summary'!E24</f>
        <v>0</v>
      </c>
      <c r="F28" s="603">
        <f t="shared" si="4"/>
        <v>0</v>
      </c>
      <c r="G28" s="1410"/>
      <c r="H28" s="1410"/>
      <c r="I28" s="1410"/>
      <c r="J28" s="562"/>
      <c r="K28" s="562"/>
      <c r="L28" s="562"/>
      <c r="M28" s="562"/>
      <c r="N28" s="750"/>
      <c r="O28" s="750"/>
      <c r="P28" s="750"/>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row>
    <row r="29" spans="1:63" s="565" customFormat="1" ht="21" customHeight="1">
      <c r="A29" s="1433">
        <v>3.6</v>
      </c>
      <c r="B29" s="601" t="str">
        <f>'Scope 3 Summary'!D25</f>
        <v>Business travel</v>
      </c>
      <c r="C29" s="604"/>
      <c r="D29" s="605"/>
      <c r="E29" s="721">
        <f>'Scope 3 Summary'!E25</f>
        <v>0</v>
      </c>
      <c r="F29" s="603">
        <f t="shared" si="4"/>
        <v>0</v>
      </c>
      <c r="G29" s="1410"/>
      <c r="H29" s="1410"/>
      <c r="I29" s="1410"/>
      <c r="J29" s="562"/>
      <c r="K29" s="562"/>
      <c r="L29" s="562"/>
      <c r="M29" s="562"/>
      <c r="N29" s="750"/>
      <c r="O29" s="750"/>
      <c r="P29" s="750"/>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row>
    <row r="30" spans="1:63" s="565" customFormat="1" ht="21" customHeight="1">
      <c r="A30" s="1433">
        <v>3.7</v>
      </c>
      <c r="B30" s="601" t="str">
        <f>'Scope 3 Summary'!D26</f>
        <v>Employee commuting</v>
      </c>
      <c r="C30" s="602"/>
      <c r="D30" s="601"/>
      <c r="E30" s="721">
        <f>'Scope 3 Summary'!E26</f>
        <v>0</v>
      </c>
      <c r="F30" s="603">
        <f t="shared" si="4"/>
        <v>0</v>
      </c>
      <c r="G30" s="1410"/>
      <c r="H30" s="1410"/>
      <c r="I30" s="1410"/>
      <c r="J30" s="562"/>
      <c r="K30" s="562"/>
      <c r="L30" s="562"/>
      <c r="M30" s="562"/>
      <c r="N30" s="750"/>
      <c r="O30" s="750"/>
      <c r="P30" s="750"/>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row>
    <row r="31" spans="1:63" s="565" customFormat="1" ht="21" customHeight="1">
      <c r="A31" s="1431">
        <v>3.8</v>
      </c>
      <c r="B31" s="601" t="str">
        <f>'Scope 3 Summary'!D27</f>
        <v>Upstream leased assets</v>
      </c>
      <c r="C31" s="604"/>
      <c r="D31" s="604"/>
      <c r="E31" s="721">
        <f>'Scope 3 Summary'!E27</f>
        <v>0</v>
      </c>
      <c r="F31" s="603">
        <f t="shared" si="4"/>
        <v>0</v>
      </c>
      <c r="G31" s="1410"/>
      <c r="H31" s="1410"/>
      <c r="I31" s="1410"/>
      <c r="J31" s="562"/>
      <c r="K31" s="562"/>
      <c r="L31" s="562"/>
      <c r="M31" s="1412">
        <f>+D7</f>
        <v>0</v>
      </c>
      <c r="N31" s="750"/>
      <c r="O31" s="750"/>
      <c r="P31" s="750"/>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row>
    <row r="32" spans="1:63" s="565" customFormat="1" ht="21" customHeight="1">
      <c r="A32" s="1432">
        <v>3.9</v>
      </c>
      <c r="B32" s="1439" t="str">
        <f>'Scope 3 Summary'!D28</f>
        <v>Downstream transportation &amp; distribution
[Patient Visits &amp; Telehealth]</v>
      </c>
      <c r="C32" s="602"/>
      <c r="D32" s="602"/>
      <c r="E32" s="721">
        <f>'Scope 3 Summary'!E28</f>
        <v>0</v>
      </c>
      <c r="F32" s="603">
        <f t="shared" si="4"/>
        <v>0</v>
      </c>
      <c r="G32" s="1410"/>
      <c r="H32" s="1410"/>
      <c r="I32" s="1410"/>
      <c r="J32" s="562"/>
      <c r="K32" s="562"/>
      <c r="L32" s="562"/>
      <c r="M32" s="1412">
        <f>+D20</f>
        <v>0</v>
      </c>
      <c r="N32" s="750"/>
      <c r="O32" s="750"/>
      <c r="P32" s="750"/>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row>
    <row r="33" spans="1:63" s="565" customFormat="1" ht="21" customHeight="1">
      <c r="A33" s="1434" t="s">
        <v>4362</v>
      </c>
      <c r="B33" s="601" t="str">
        <f>'Scope 3 Summary'!D29</f>
        <v>Processing of sold products</v>
      </c>
      <c r="C33" s="602"/>
      <c r="D33" s="602"/>
      <c r="E33" s="721" t="str">
        <f>'Scope 3 Summary'!E29</f>
        <v>not relevant for healthcare</v>
      </c>
      <c r="F33" s="606"/>
      <c r="G33" s="1410"/>
      <c r="H33" s="1410" t="str">
        <f>B7</f>
        <v>Scope 1</v>
      </c>
      <c r="I33" s="1413">
        <f>+F7</f>
        <v>0</v>
      </c>
      <c r="J33" s="562"/>
      <c r="K33" s="562"/>
      <c r="L33" s="562"/>
      <c r="M33" s="1412">
        <f>+D23-H24</f>
        <v>0</v>
      </c>
      <c r="N33" s="750" t="s">
        <v>4363</v>
      </c>
      <c r="O33" s="750"/>
      <c r="P33" s="750"/>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row>
    <row r="34" spans="1:63" s="565" customFormat="1" ht="21" customHeight="1">
      <c r="A34" s="1433">
        <v>3.11</v>
      </c>
      <c r="B34" s="601" t="str">
        <f>'Scope 3 Summary'!D30</f>
        <v>Use of sold products</v>
      </c>
      <c r="C34" s="602"/>
      <c r="D34" s="602"/>
      <c r="E34" s="721">
        <f>'Scope 3 Summary'!E30</f>
        <v>0</v>
      </c>
      <c r="F34" s="603">
        <f t="shared" si="4"/>
        <v>0</v>
      </c>
      <c r="G34" s="1410"/>
      <c r="H34" s="1410" t="str">
        <f>+B20</f>
        <v>Scope 2</v>
      </c>
      <c r="I34" s="1413">
        <f>+F20</f>
        <v>0</v>
      </c>
      <c r="J34" s="562"/>
      <c r="K34" s="562"/>
      <c r="L34" s="562"/>
      <c r="M34" s="1412">
        <f>+H24</f>
        <v>0</v>
      </c>
      <c r="N34" s="750"/>
      <c r="O34" s="750"/>
      <c r="P34" s="750"/>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row>
    <row r="35" spans="1:63" s="565" customFormat="1" ht="21" customHeight="1">
      <c r="A35" s="1433">
        <v>3.12</v>
      </c>
      <c r="B35" s="601" t="str">
        <f>'Scope 3 Summary'!D31</f>
        <v>End-of-life treatment of sold products</v>
      </c>
      <c r="C35" s="602"/>
      <c r="D35" s="602"/>
      <c r="E35" s="721" t="str">
        <f>'Scope 3 Summary'!E31</f>
        <v>not relevant for healthcare</v>
      </c>
      <c r="F35" s="606"/>
      <c r="G35" s="1410"/>
      <c r="H35" s="1410" t="str">
        <f>+B23</f>
        <v>Scope 3</v>
      </c>
      <c r="I35" s="1413">
        <f>+F23</f>
        <v>0</v>
      </c>
      <c r="J35" s="562"/>
      <c r="K35" s="562"/>
      <c r="L35" s="562"/>
      <c r="M35" s="562"/>
      <c r="N35" s="750"/>
      <c r="O35" s="750"/>
      <c r="P35" s="750"/>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row>
    <row r="36" spans="1:63" s="565" customFormat="1" ht="21" customHeight="1">
      <c r="A36" s="1433">
        <v>3.13</v>
      </c>
      <c r="B36" s="601" t="str">
        <f>'Scope 3 Summary'!D32</f>
        <v>Downstream leased assets</v>
      </c>
      <c r="C36" s="602"/>
      <c r="D36" s="602"/>
      <c r="E36" s="721">
        <f>'Scope 3 Summary'!E32</f>
        <v>0</v>
      </c>
      <c r="F36" s="603">
        <f t="shared" si="4"/>
        <v>0</v>
      </c>
      <c r="G36" s="1410"/>
      <c r="H36" s="1410"/>
      <c r="I36" s="1410"/>
      <c r="J36" s="562"/>
      <c r="K36" s="562"/>
      <c r="L36" s="562"/>
      <c r="M36" s="562"/>
      <c r="N36" s="750"/>
      <c r="O36" s="750"/>
      <c r="P36" s="750"/>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row>
    <row r="37" spans="1:63" s="565" customFormat="1" ht="21" customHeight="1">
      <c r="A37" s="1433">
        <v>3.14</v>
      </c>
      <c r="B37" s="601" t="str">
        <f>'Scope 3 Summary'!D33</f>
        <v>Franchises</v>
      </c>
      <c r="C37" s="604"/>
      <c r="D37" s="604"/>
      <c r="E37" s="721" t="str">
        <f>'Scope 3 Summary'!E33</f>
        <v>not relevant for healthcare</v>
      </c>
      <c r="F37" s="607"/>
      <c r="G37" s="1410"/>
      <c r="H37" s="1410"/>
      <c r="I37" s="1410"/>
      <c r="J37" s="562"/>
      <c r="K37" s="562"/>
      <c r="L37" s="562"/>
      <c r="M37" s="562"/>
      <c r="N37" s="750"/>
      <c r="O37" s="750"/>
      <c r="P37" s="750"/>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row>
    <row r="38" spans="1:63" ht="21" customHeight="1">
      <c r="A38" s="1433">
        <v>3.15</v>
      </c>
      <c r="B38" s="601" t="str">
        <f>'Scope 3 Summary'!D34</f>
        <v>Investments</v>
      </c>
      <c r="C38" s="608"/>
      <c r="D38" s="608"/>
      <c r="E38" s="721">
        <f>'Scope 3 Summary'!E34</f>
        <v>0</v>
      </c>
      <c r="F38" s="603">
        <f t="shared" si="4"/>
        <v>0</v>
      </c>
      <c r="G38" s="1410"/>
      <c r="H38" s="1410"/>
      <c r="I38" s="1410"/>
    </row>
    <row r="39" spans="1:63" ht="20.25">
      <c r="B39" s="609"/>
      <c r="C39" s="610"/>
      <c r="D39" s="611" t="s">
        <v>2770</v>
      </c>
      <c r="E39" s="1441">
        <f>D23+D20+D7</f>
        <v>0</v>
      </c>
      <c r="F39" s="1442" t="s">
        <v>4409</v>
      </c>
      <c r="G39" s="1410"/>
      <c r="H39" s="1410"/>
    </row>
    <row r="40" spans="1:63" ht="5.45" customHeight="1">
      <c r="A40" s="1523"/>
      <c r="B40" s="1523"/>
      <c r="C40" s="1523"/>
      <c r="D40" s="1523"/>
      <c r="E40" s="1523"/>
      <c r="F40" s="1523"/>
    </row>
    <row r="41" spans="1:63" ht="15.6" hidden="1" customHeight="1">
      <c r="A41" s="1435"/>
      <c r="B41" s="612"/>
      <c r="C41" s="612"/>
      <c r="D41" s="612"/>
      <c r="E41" s="612"/>
      <c r="F41" s="612"/>
    </row>
    <row r="42" spans="1:63" ht="15.6" hidden="1" customHeight="1">
      <c r="A42" s="1435"/>
      <c r="B42" s="612"/>
      <c r="C42" s="612"/>
      <c r="D42" s="612"/>
      <c r="E42" s="612"/>
      <c r="F42" s="612"/>
    </row>
    <row r="43" spans="1:63" ht="15.6" hidden="1" customHeight="1">
      <c r="A43" s="1435"/>
      <c r="B43" s="612"/>
      <c r="C43" s="612"/>
      <c r="D43" s="612"/>
      <c r="E43" s="765">
        <f>+E27+E32</f>
        <v>0</v>
      </c>
      <c r="F43" s="612"/>
    </row>
    <row r="44" spans="1:63" ht="15" hidden="1">
      <c r="B44" s="766"/>
      <c r="C44" s="767"/>
      <c r="D44" s="767"/>
      <c r="E44" s="765">
        <f>+E34+E38</f>
        <v>0</v>
      </c>
      <c r="F44" s="768"/>
    </row>
    <row r="45" spans="1:63" ht="15" hidden="1">
      <c r="B45" s="766"/>
      <c r="C45" s="767"/>
      <c r="D45" s="767"/>
      <c r="E45" s="765"/>
      <c r="F45" s="768"/>
    </row>
    <row r="46" spans="1:63" ht="15" hidden="1">
      <c r="B46" s="766"/>
      <c r="C46" s="767"/>
      <c r="D46" s="767"/>
      <c r="E46" s="765"/>
      <c r="F46" s="768"/>
    </row>
    <row r="47" spans="1:63" ht="15" hidden="1">
      <c r="B47" s="766"/>
      <c r="C47" s="767"/>
      <c r="D47" s="767"/>
      <c r="E47" s="765"/>
      <c r="F47" s="768"/>
    </row>
    <row r="48" spans="1:63">
      <c r="B48" s="769"/>
      <c r="C48" s="769"/>
      <c r="D48" s="769"/>
      <c r="E48" s="769"/>
      <c r="F48" s="769"/>
    </row>
    <row r="49" spans="2:10" ht="20.45" customHeight="1">
      <c r="B49" s="1444" t="s">
        <v>4401</v>
      </c>
      <c r="C49" s="1445"/>
      <c r="D49" s="1445"/>
      <c r="E49" s="1445"/>
      <c r="F49" s="614"/>
    </row>
    <row r="50" spans="2:10" ht="20.45" customHeight="1">
      <c r="B50" s="1524" t="str">
        <f>+'Facility or System Data'!$C$3&amp;" - Year " &amp; Instructions!$C$6</f>
        <v xml:space="preserve"> - Year </v>
      </c>
      <c r="C50" s="1524"/>
      <c r="D50" s="1524"/>
      <c r="E50" s="1524"/>
      <c r="F50" s="563"/>
    </row>
    <row r="51" spans="2:10" ht="20.45" customHeight="1">
      <c r="B51" s="1525"/>
      <c r="C51" s="1525"/>
      <c r="D51" s="1525"/>
      <c r="E51" s="1525"/>
      <c r="F51" s="614"/>
    </row>
    <row r="53" spans="2:10" ht="25.5">
      <c r="E53" s="1526" t="s">
        <v>2771</v>
      </c>
      <c r="F53" s="1526"/>
    </row>
    <row r="54" spans="2:10" ht="23.25">
      <c r="D54" s="616"/>
      <c r="E54" s="616"/>
      <c r="F54" s="616"/>
    </row>
    <row r="55" spans="2:10" ht="69.95" customHeight="1">
      <c r="E55" s="1521" t="str">
        <f>IF('Facility or System Data'!$C$11&lt;&gt;0,ROUND($E$6*1000/'Facility or System Data'!$C$11,0)&amp;" kg CO2e/FTE","Fill in the quantity of employees in the 'Facility or System Data' sheet")</f>
        <v>Fill in the quantity of employees in the 'Facility or System Data' sheet</v>
      </c>
      <c r="F55" s="1521"/>
    </row>
    <row r="56" spans="2:10" ht="9.4" customHeight="1">
      <c r="D56" s="616"/>
      <c r="E56" s="616"/>
      <c r="F56" s="616"/>
      <c r="J56" s="562" t="s">
        <v>1737</v>
      </c>
    </row>
    <row r="57" spans="2:10" ht="7.9" customHeight="1">
      <c r="E57" s="348"/>
    </row>
    <row r="58" spans="2:10" ht="72" customHeight="1">
      <c r="E58" s="1521" t="str">
        <f>IF('Facility or System Data'!$C$12&lt;&gt;0,(ROUND($E$6*1000/'Facility or System Data'!$C$12,0)&amp;" kg CO2e/patient day"),"Fill in the quantity of patients in the 'Facility or System Data' sheet")</f>
        <v>Fill in the quantity of patients in the 'Facility or System Data' sheet</v>
      </c>
      <c r="F58" s="1521"/>
    </row>
    <row r="59" spans="2:10" ht="15" customHeight="1">
      <c r="E59" s="617"/>
      <c r="F59" s="617"/>
    </row>
    <row r="60" spans="2:10" ht="63.75" customHeight="1">
      <c r="E60" s="1521" t="str">
        <f>IF('Facility or System Data'!$C$13&lt;&gt;0,(ROUND($E$6*1000/'Facility or System Data'!$C$13,0)&amp;" kg CO2e/adjusted patient day"),"Fill in the quantity of patients in the 'Facility or System Data' sheet")</f>
        <v>Fill in the quantity of patients in the 'Facility or System Data' sheet</v>
      </c>
      <c r="F60" s="1521"/>
    </row>
    <row r="62" spans="2:10" ht="8.4499999999999993" customHeight="1"/>
    <row r="63" spans="2:10" ht="68.25" customHeight="1">
      <c r="E63" s="1521" t="str">
        <f>IF('Facility or System Data'!$C$16&lt;&gt;0,ROUND($E$6*1000/'Facility or System Data'!$C$16,0)&amp;" kg CO2e/operating room","Fill in the quantity of beds in the 'Facility or System Data' sheet")</f>
        <v>Fill in the quantity of beds in the 'Facility or System Data' sheet</v>
      </c>
      <c r="F63" s="1521"/>
    </row>
    <row r="65" spans="2:6" ht="6.95" customHeight="1"/>
    <row r="66" spans="2:6" ht="21" customHeight="1">
      <c r="B66" s="1443" t="s">
        <v>4412</v>
      </c>
      <c r="C66" s="613"/>
      <c r="D66" s="613"/>
      <c r="E66" s="613"/>
      <c r="F66" s="614"/>
    </row>
    <row r="67" spans="2:6" ht="21" customHeight="1">
      <c r="B67" s="1443" t="str">
        <f>+'Facility or System Data'!$C$3&amp;" - Year " &amp; Instructions!$C$6</f>
        <v xml:space="preserve"> - Year </v>
      </c>
      <c r="C67" s="615"/>
      <c r="D67" s="615"/>
      <c r="E67" s="615"/>
      <c r="F67" s="563"/>
    </row>
    <row r="68" spans="2:6" ht="21" customHeight="1">
      <c r="B68" s="615"/>
      <c r="C68" s="615"/>
      <c r="D68" s="615"/>
      <c r="E68" s="615"/>
      <c r="F68" s="614"/>
    </row>
    <row r="98" spans="2:6" ht="20.45" customHeight="1">
      <c r="B98" s="1444" t="s">
        <v>4400</v>
      </c>
      <c r="C98" s="613"/>
      <c r="D98" s="613"/>
      <c r="E98" s="613"/>
      <c r="F98" s="614"/>
    </row>
    <row r="99" spans="2:6" ht="20.45" customHeight="1">
      <c r="B99" s="1443" t="str">
        <f>+'Facility or System Data'!$C$3&amp;" - Year " &amp; Instructions!$C$6</f>
        <v xml:space="preserve"> - Year </v>
      </c>
      <c r="C99" s="615"/>
      <c r="D99" s="615"/>
      <c r="E99" s="615"/>
      <c r="F99" s="563"/>
    </row>
    <row r="100" spans="2:6" ht="20.45" customHeight="1">
      <c r="B100" s="615"/>
      <c r="C100" s="615"/>
      <c r="D100" s="615"/>
      <c r="E100" s="615"/>
      <c r="F100" s="614"/>
    </row>
    <row r="126" spans="12:14">
      <c r="L126" s="565"/>
      <c r="M126" s="565"/>
      <c r="N126" s="752"/>
    </row>
    <row r="127" spans="12:14">
      <c r="L127" s="565"/>
      <c r="M127" s="565"/>
      <c r="N127" s="752"/>
    </row>
    <row r="128" spans="12:14">
      <c r="L128" s="565"/>
      <c r="M128" s="565"/>
      <c r="N128" s="752"/>
    </row>
    <row r="129" spans="1:16" s="565" customFormat="1" ht="20.45" customHeight="1">
      <c r="A129" s="618"/>
      <c r="B129" s="618"/>
      <c r="C129" s="618"/>
      <c r="D129" s="618"/>
      <c r="E129" s="618"/>
      <c r="F129" s="618"/>
      <c r="L129" s="562"/>
      <c r="M129" s="562"/>
      <c r="N129" s="750"/>
      <c r="O129" s="752"/>
      <c r="P129" s="752"/>
    </row>
    <row r="130" spans="1:16" s="565" customFormat="1" ht="20.45" customHeight="1">
      <c r="A130" s="619"/>
      <c r="B130" s="619"/>
      <c r="C130" s="619"/>
      <c r="D130" s="619"/>
      <c r="E130" s="619"/>
      <c r="F130" s="619"/>
      <c r="L130" s="562"/>
      <c r="M130" s="562"/>
      <c r="N130" s="750"/>
      <c r="O130" s="752"/>
      <c r="P130" s="752"/>
    </row>
    <row r="131" spans="1:16" s="565" customFormat="1" ht="20.45" customHeight="1">
      <c r="A131" s="620"/>
      <c r="B131" s="620"/>
      <c r="C131" s="620"/>
      <c r="D131" s="620"/>
      <c r="E131" s="620"/>
      <c r="F131" s="620"/>
      <c r="L131" s="562"/>
      <c r="M131" s="562"/>
      <c r="N131" s="750"/>
      <c r="O131" s="752"/>
      <c r="P131" s="752"/>
    </row>
    <row r="158" spans="1:14" ht="30" customHeight="1">
      <c r="A158" s="1435"/>
      <c r="B158" s="612"/>
      <c r="C158" s="612"/>
      <c r="D158" s="612"/>
      <c r="E158" s="612"/>
      <c r="F158" s="612"/>
      <c r="L158" s="565"/>
      <c r="M158" s="565"/>
      <c r="N158" s="752"/>
    </row>
    <row r="159" spans="1:14" ht="6.95" customHeight="1">
      <c r="L159" s="565"/>
      <c r="M159" s="565"/>
      <c r="N159" s="752"/>
    </row>
    <row r="160" spans="1:14" ht="6.6" customHeight="1">
      <c r="L160" s="565"/>
      <c r="M160" s="565"/>
      <c r="N160" s="752"/>
    </row>
    <row r="161" spans="1:16" s="565" customFormat="1" ht="20.45" customHeight="1">
      <c r="A161" s="618"/>
      <c r="B161" s="618"/>
      <c r="C161" s="618"/>
      <c r="D161" s="618"/>
      <c r="E161" s="618"/>
      <c r="F161" s="618"/>
      <c r="L161" s="562"/>
      <c r="M161" s="562"/>
      <c r="N161" s="750"/>
      <c r="O161" s="752"/>
      <c r="P161" s="752"/>
    </row>
    <row r="162" spans="1:16" s="565" customFormat="1" ht="20.45" customHeight="1">
      <c r="A162" s="619"/>
      <c r="B162" s="619"/>
      <c r="C162" s="619"/>
      <c r="D162" s="619"/>
      <c r="E162" s="619"/>
      <c r="F162" s="619"/>
      <c r="L162" s="562"/>
      <c r="M162" s="562"/>
      <c r="N162" s="750"/>
      <c r="O162" s="752"/>
      <c r="P162" s="752"/>
    </row>
    <row r="163" spans="1:16" s="565" customFormat="1" ht="20.45" customHeight="1">
      <c r="A163" s="620"/>
      <c r="B163" s="620"/>
      <c r="C163" s="620"/>
      <c r="D163" s="620"/>
      <c r="E163" s="620"/>
      <c r="F163" s="620"/>
      <c r="L163" s="562"/>
      <c r="M163" s="562"/>
      <c r="N163" s="750"/>
      <c r="O163" s="752"/>
      <c r="P163" s="752"/>
    </row>
    <row r="190" spans="12:14">
      <c r="L190" s="565"/>
      <c r="M190" s="565"/>
      <c r="N190" s="752"/>
    </row>
    <row r="191" spans="12:14">
      <c r="L191" s="565"/>
      <c r="M191" s="565"/>
      <c r="N191" s="752"/>
    </row>
    <row r="192" spans="12:14">
      <c r="L192" s="565"/>
      <c r="M192" s="565"/>
      <c r="N192" s="752"/>
    </row>
    <row r="193" spans="1:16" s="565" customFormat="1" ht="21" customHeight="1">
      <c r="A193" s="1436"/>
      <c r="B193" s="618"/>
      <c r="C193" s="618"/>
      <c r="D193" s="618"/>
      <c r="E193" s="618"/>
      <c r="F193" s="618"/>
      <c r="L193" s="562"/>
      <c r="M193" s="562"/>
      <c r="N193" s="750"/>
      <c r="O193" s="752"/>
      <c r="P193" s="752"/>
    </row>
    <row r="194" spans="1:16" s="565" customFormat="1" ht="21" customHeight="1">
      <c r="A194" s="1436"/>
      <c r="B194" s="619"/>
      <c r="C194" s="619"/>
      <c r="D194" s="619"/>
      <c r="E194" s="619"/>
      <c r="F194" s="619"/>
      <c r="L194" s="562"/>
      <c r="M194" s="562"/>
      <c r="N194" s="750"/>
      <c r="O194" s="752"/>
      <c r="P194" s="752"/>
    </row>
    <row r="195" spans="1:16" s="565" customFormat="1" ht="21" customHeight="1">
      <c r="A195" s="1436"/>
      <c r="B195" s="620"/>
      <c r="C195" s="620"/>
      <c r="D195" s="620"/>
      <c r="E195" s="620"/>
      <c r="F195" s="620"/>
      <c r="L195" s="562"/>
      <c r="M195" s="562"/>
      <c r="N195" s="750"/>
      <c r="O195" s="752"/>
      <c r="P195" s="752"/>
    </row>
    <row r="219" spans="1:16" ht="27" customHeight="1"/>
    <row r="221" spans="1:16">
      <c r="L221" s="565"/>
      <c r="M221" s="565"/>
      <c r="N221" s="752"/>
    </row>
    <row r="222" spans="1:16">
      <c r="L222" s="565"/>
      <c r="M222" s="565"/>
      <c r="N222" s="752"/>
    </row>
    <row r="223" spans="1:16">
      <c r="L223" s="565"/>
      <c r="M223" s="565"/>
      <c r="N223" s="752"/>
    </row>
    <row r="224" spans="1:16" s="565" customFormat="1" ht="26.25">
      <c r="A224" s="618"/>
      <c r="B224" s="618"/>
      <c r="C224" s="618"/>
      <c r="D224" s="618"/>
      <c r="E224" s="618"/>
      <c r="F224" s="618"/>
      <c r="L224" s="562"/>
      <c r="M224" s="562"/>
      <c r="N224" s="750"/>
      <c r="O224" s="752"/>
      <c r="P224" s="752"/>
    </row>
    <row r="225" spans="1:16" s="565" customFormat="1" ht="26.25">
      <c r="A225" s="619"/>
      <c r="B225" s="619"/>
      <c r="C225" s="619"/>
      <c r="D225" s="619"/>
      <c r="E225" s="619"/>
      <c r="F225" s="619"/>
      <c r="L225" s="562"/>
      <c r="M225" s="562"/>
      <c r="N225" s="750"/>
      <c r="O225" s="752"/>
      <c r="P225" s="752"/>
    </row>
    <row r="226" spans="1:16" s="565" customFormat="1" ht="25.5">
      <c r="A226" s="621"/>
      <c r="B226" s="621"/>
      <c r="C226" s="621"/>
      <c r="D226" s="621"/>
      <c r="E226" s="621"/>
      <c r="F226" s="621"/>
      <c r="L226" s="562"/>
      <c r="M226" s="562"/>
      <c r="N226" s="750"/>
      <c r="O226" s="752"/>
      <c r="P226" s="752"/>
    </row>
    <row r="249" spans="1:16">
      <c r="L249" s="1414"/>
      <c r="M249" s="1415"/>
    </row>
    <row r="250" spans="1:16">
      <c r="L250" s="1414"/>
      <c r="M250" s="1415"/>
    </row>
    <row r="251" spans="1:16">
      <c r="L251" s="1414"/>
      <c r="M251" s="1415"/>
    </row>
    <row r="252" spans="1:16">
      <c r="L252" s="1416"/>
      <c r="M252" s="1417"/>
      <c r="N252" s="752"/>
    </row>
    <row r="253" spans="1:16">
      <c r="L253" s="1416"/>
      <c r="M253" s="1417"/>
      <c r="N253" s="752"/>
    </row>
    <row r="254" spans="1:16">
      <c r="L254" s="1416"/>
      <c r="M254" s="1417"/>
      <c r="N254" s="752"/>
    </row>
    <row r="255" spans="1:16" s="565" customFormat="1" ht="20.45" customHeight="1">
      <c r="A255" s="618"/>
      <c r="B255" s="618"/>
      <c r="C255" s="618"/>
      <c r="D255" s="618"/>
      <c r="E255" s="618"/>
      <c r="F255" s="618"/>
      <c r="L255" s="1414"/>
      <c r="M255" s="1415"/>
      <c r="N255" s="750"/>
      <c r="O255" s="752"/>
      <c r="P255" s="752"/>
    </row>
    <row r="256" spans="1:16" s="565" customFormat="1" ht="20.45" customHeight="1">
      <c r="A256" s="619"/>
      <c r="B256" s="619"/>
      <c r="C256" s="619"/>
      <c r="D256" s="619"/>
      <c r="E256" s="619"/>
      <c r="F256" s="619"/>
      <c r="L256" s="1418"/>
      <c r="M256" s="1418"/>
      <c r="N256" s="750"/>
      <c r="O256" s="752"/>
      <c r="P256" s="752"/>
    </row>
    <row r="257" spans="1:16" s="565" customFormat="1" ht="20.45" customHeight="1">
      <c r="A257" s="620"/>
      <c r="B257" s="620"/>
      <c r="C257" s="620"/>
      <c r="D257" s="620"/>
      <c r="E257" s="620"/>
      <c r="F257" s="620"/>
      <c r="L257" s="1414"/>
      <c r="M257" s="1415"/>
      <c r="N257" s="750"/>
      <c r="O257" s="752"/>
      <c r="P257" s="752"/>
    </row>
    <row r="258" spans="1:16">
      <c r="A258" s="1437"/>
      <c r="B258" s="4"/>
      <c r="C258" s="4"/>
      <c r="D258" s="4"/>
      <c r="E258" s="4"/>
      <c r="F258" s="4"/>
      <c r="L258" s="1414"/>
      <c r="M258" s="1415"/>
    </row>
    <row r="259" spans="1:16" ht="18">
      <c r="A259" s="1438"/>
      <c r="B259" s="622"/>
      <c r="C259" s="623"/>
      <c r="D259" s="624"/>
      <c r="E259" s="625"/>
      <c r="F259" s="624"/>
      <c r="K259" s="1419"/>
      <c r="L259" s="1414"/>
      <c r="M259" s="1415"/>
    </row>
    <row r="260" spans="1:16">
      <c r="A260" s="1437"/>
      <c r="B260" s="4"/>
      <c r="C260" s="4"/>
      <c r="D260" s="626"/>
      <c r="E260" s="627"/>
      <c r="F260" s="626"/>
      <c r="L260" s="1414"/>
      <c r="M260" s="1415"/>
    </row>
    <row r="261" spans="1:16">
      <c r="A261" s="1437"/>
      <c r="B261" s="4"/>
      <c r="C261" s="4"/>
      <c r="D261" s="626"/>
      <c r="E261" s="627"/>
      <c r="F261" s="626"/>
      <c r="L261" s="1414"/>
      <c r="M261" s="1415"/>
    </row>
    <row r="262" spans="1:16">
      <c r="A262" s="1437"/>
      <c r="B262" s="4"/>
      <c r="C262" s="4"/>
      <c r="D262" s="626"/>
      <c r="E262" s="627"/>
      <c r="F262" s="626"/>
      <c r="L262" s="1414"/>
      <c r="M262" s="1415"/>
    </row>
    <row r="263" spans="1:16">
      <c r="A263" s="1437"/>
      <c r="B263" s="4"/>
      <c r="C263" s="4"/>
      <c r="D263" s="626"/>
      <c r="E263" s="627"/>
      <c r="F263" s="626"/>
      <c r="L263" s="1414"/>
      <c r="M263" s="1415"/>
    </row>
    <row r="264" spans="1:16">
      <c r="A264" s="1437"/>
      <c r="B264" s="4"/>
      <c r="C264" s="4"/>
      <c r="D264" s="626"/>
      <c r="E264" s="627"/>
      <c r="F264" s="626"/>
      <c r="L264" s="1414"/>
      <c r="M264" s="1415"/>
    </row>
    <row r="265" spans="1:16">
      <c r="A265" s="1437"/>
      <c r="B265" s="4"/>
      <c r="C265" s="4"/>
      <c r="D265" s="626"/>
      <c r="E265" s="627"/>
      <c r="F265" s="626"/>
      <c r="L265" s="1414"/>
      <c r="M265" s="1415"/>
    </row>
    <row r="266" spans="1:16">
      <c r="A266" s="1437"/>
      <c r="B266" s="4"/>
      <c r="C266" s="4"/>
      <c r="D266" s="626"/>
      <c r="E266" s="627"/>
      <c r="F266" s="626"/>
      <c r="L266" s="1414"/>
      <c r="M266" s="1415"/>
    </row>
    <row r="267" spans="1:16">
      <c r="A267" s="1437"/>
      <c r="B267" s="4"/>
      <c r="C267" s="4"/>
      <c r="D267" s="626"/>
      <c r="E267" s="627"/>
      <c r="F267" s="626"/>
      <c r="L267" s="1414"/>
      <c r="M267" s="1415"/>
    </row>
    <row r="268" spans="1:16">
      <c r="A268" s="1437"/>
      <c r="B268" s="4"/>
      <c r="C268" s="4"/>
      <c r="D268" s="626"/>
      <c r="E268" s="627"/>
      <c r="F268" s="626"/>
      <c r="L268" s="1414"/>
      <c r="M268" s="1415"/>
    </row>
    <row r="269" spans="1:16">
      <c r="A269" s="1437"/>
      <c r="B269" s="4"/>
      <c r="C269" s="4"/>
      <c r="D269" s="626"/>
      <c r="E269" s="627"/>
      <c r="F269" s="626"/>
    </row>
    <row r="270" spans="1:16">
      <c r="A270" s="1437"/>
      <c r="B270" s="4"/>
      <c r="C270" s="4"/>
      <c r="D270" s="626"/>
      <c r="E270" s="627"/>
      <c r="F270" s="626"/>
    </row>
    <row r="271" spans="1:16">
      <c r="A271" s="1437"/>
      <c r="B271" s="4"/>
      <c r="C271" s="4"/>
      <c r="D271" s="626"/>
      <c r="E271" s="627"/>
      <c r="F271" s="626"/>
    </row>
    <row r="272" spans="1:16">
      <c r="A272" s="1437"/>
      <c r="B272" s="4"/>
      <c r="C272" s="4"/>
      <c r="D272" s="626"/>
      <c r="E272" s="627"/>
      <c r="F272" s="626"/>
    </row>
    <row r="273" spans="1:16">
      <c r="A273" s="1437"/>
      <c r="B273" s="4"/>
      <c r="C273" s="4"/>
      <c r="D273" s="4"/>
      <c r="E273" s="4"/>
      <c r="F273" s="4"/>
    </row>
    <row r="274" spans="1:16">
      <c r="A274" s="1437"/>
      <c r="B274" s="4"/>
      <c r="C274" s="4"/>
      <c r="D274" s="4"/>
      <c r="E274" s="4"/>
      <c r="F274" s="4"/>
    </row>
    <row r="275" spans="1:16" ht="14.1" customHeight="1">
      <c r="A275" s="1437"/>
      <c r="B275" s="4"/>
      <c r="C275" s="4"/>
      <c r="D275" s="4"/>
      <c r="E275" s="628"/>
      <c r="F275" s="628"/>
    </row>
    <row r="276" spans="1:16" ht="14.1" customHeight="1">
      <c r="A276" s="1437"/>
      <c r="B276" s="4"/>
      <c r="C276" s="4"/>
      <c r="D276" s="4"/>
      <c r="E276" s="628"/>
      <c r="F276" s="628"/>
    </row>
    <row r="277" spans="1:16" ht="14.1" customHeight="1">
      <c r="A277" s="1437"/>
      <c r="B277" s="4"/>
      <c r="C277" s="4"/>
      <c r="D277" s="4"/>
      <c r="E277" s="628"/>
      <c r="F277" s="628"/>
    </row>
    <row r="278" spans="1:16" ht="14.1" customHeight="1">
      <c r="A278" s="1437"/>
      <c r="B278" s="4"/>
      <c r="C278" s="4"/>
      <c r="D278" s="4"/>
      <c r="E278" s="628"/>
      <c r="F278" s="628"/>
    </row>
    <row r="279" spans="1:16" ht="14.1" customHeight="1">
      <c r="A279" s="1437"/>
      <c r="B279" s="4"/>
      <c r="C279" s="4"/>
      <c r="D279" s="4"/>
      <c r="E279" s="628"/>
      <c r="F279" s="628"/>
    </row>
    <row r="280" spans="1:16" ht="14.1" customHeight="1">
      <c r="A280" s="1437"/>
      <c r="B280" s="4"/>
      <c r="C280" s="4"/>
      <c r="D280" s="4"/>
      <c r="E280" s="628"/>
      <c r="F280" s="628"/>
    </row>
    <row r="281" spans="1:16">
      <c r="A281" s="1437"/>
      <c r="B281" s="4"/>
      <c r="C281" s="4"/>
      <c r="D281" s="4"/>
      <c r="E281" s="4"/>
      <c r="F281" s="4"/>
    </row>
    <row r="282" spans="1:16">
      <c r="A282" s="1437"/>
      <c r="B282" s="4"/>
      <c r="C282" s="4"/>
      <c r="D282" s="4"/>
      <c r="E282" s="4"/>
      <c r="F282" s="4"/>
    </row>
    <row r="283" spans="1:16">
      <c r="A283" s="1437"/>
      <c r="B283" s="4"/>
      <c r="C283" s="4"/>
      <c r="D283" s="4"/>
      <c r="E283" s="4"/>
      <c r="F283" s="4"/>
      <c r="L283" s="565"/>
      <c r="M283" s="565"/>
      <c r="N283" s="752"/>
    </row>
    <row r="284" spans="1:16">
      <c r="A284" s="1437"/>
      <c r="B284" s="4"/>
      <c r="C284" s="4"/>
      <c r="D284" s="4"/>
      <c r="E284" s="4"/>
      <c r="F284" s="4"/>
      <c r="L284" s="565"/>
      <c r="M284" s="565"/>
      <c r="N284" s="752"/>
    </row>
    <row r="285" spans="1:16">
      <c r="A285" s="1437"/>
      <c r="B285" s="4"/>
      <c r="C285" s="4"/>
      <c r="D285" s="4"/>
      <c r="E285" s="4"/>
      <c r="F285" s="4"/>
      <c r="L285" s="565"/>
      <c r="M285" s="565"/>
      <c r="N285" s="752"/>
    </row>
    <row r="286" spans="1:16" s="565" customFormat="1" ht="27.75">
      <c r="A286" s="629"/>
      <c r="B286" s="629"/>
      <c r="C286" s="629"/>
      <c r="D286" s="629"/>
      <c r="E286" s="629"/>
      <c r="F286" s="629"/>
      <c r="L286" s="562"/>
      <c r="M286" s="562"/>
      <c r="N286" s="750"/>
      <c r="O286" s="752"/>
      <c r="P286" s="752"/>
    </row>
    <row r="287" spans="1:16" s="565" customFormat="1" ht="20.25">
      <c r="A287" s="630"/>
      <c r="B287" s="630"/>
      <c r="C287" s="630"/>
      <c r="D287" s="630"/>
      <c r="E287" s="630"/>
      <c r="F287" s="630"/>
      <c r="L287" s="562"/>
      <c r="M287" s="562"/>
      <c r="N287" s="750"/>
      <c r="O287" s="752"/>
      <c r="P287" s="752"/>
    </row>
    <row r="288" spans="1:16" s="565" customFormat="1" ht="25.5">
      <c r="A288" s="620"/>
      <c r="B288" s="620"/>
      <c r="C288" s="620"/>
      <c r="D288" s="620"/>
      <c r="E288" s="620"/>
      <c r="F288" s="620"/>
      <c r="L288" s="562"/>
      <c r="M288" s="562"/>
      <c r="N288" s="750"/>
      <c r="O288" s="752"/>
      <c r="P288" s="752"/>
    </row>
    <row r="289" spans="1:6">
      <c r="A289" s="1437"/>
      <c r="B289" s="4"/>
      <c r="C289" s="4"/>
      <c r="D289" s="4"/>
      <c r="E289" s="4"/>
      <c r="F289" s="4"/>
    </row>
    <row r="290" spans="1:6">
      <c r="A290" s="1437"/>
      <c r="B290" s="4"/>
      <c r="C290" s="4"/>
      <c r="D290" s="4"/>
      <c r="E290" s="4"/>
      <c r="F290" s="4"/>
    </row>
    <row r="291" spans="1:6">
      <c r="A291" s="1437"/>
      <c r="B291" s="4"/>
      <c r="C291" s="4"/>
      <c r="D291" s="4"/>
      <c r="E291" s="4"/>
      <c r="F291" s="4"/>
    </row>
    <row r="292" spans="1:6">
      <c r="A292" s="1437"/>
      <c r="B292" s="4"/>
      <c r="C292" s="4"/>
      <c r="D292" s="4"/>
      <c r="E292" s="4"/>
      <c r="F292" s="4"/>
    </row>
    <row r="293" spans="1:6" ht="21" customHeight="1">
      <c r="A293" s="1437"/>
      <c r="B293" s="4"/>
      <c r="C293" s="4"/>
      <c r="D293" s="4"/>
      <c r="E293" s="4"/>
      <c r="F293" s="4"/>
    </row>
    <row r="294" spans="1:6" ht="14.45" customHeight="1">
      <c r="A294" s="1437"/>
      <c r="B294" s="4"/>
      <c r="C294" s="4"/>
      <c r="D294" s="4"/>
      <c r="E294" s="4"/>
      <c r="F294" s="4"/>
    </row>
    <row r="295" spans="1:6" ht="14.45" customHeight="1">
      <c r="A295" s="1437"/>
      <c r="B295" s="4"/>
      <c r="C295" s="4"/>
      <c r="D295" s="4"/>
      <c r="E295" s="4"/>
      <c r="F295" s="4"/>
    </row>
    <row r="296" spans="1:6" ht="14.45" customHeight="1"/>
    <row r="297" spans="1:6" ht="14.45" customHeight="1"/>
    <row r="300" spans="1:6">
      <c r="E300" s="4"/>
      <c r="F300" s="4"/>
    </row>
    <row r="301" spans="1:6">
      <c r="E301" s="4"/>
      <c r="F301" s="4"/>
    </row>
    <row r="302" spans="1:6">
      <c r="E302" s="4"/>
      <c r="F302" s="4"/>
    </row>
    <row r="303" spans="1:6">
      <c r="E303" s="4"/>
      <c r="F303" s="4"/>
    </row>
    <row r="304" spans="1:6">
      <c r="E304" s="4"/>
      <c r="F304" s="4"/>
    </row>
    <row r="305" spans="5:6">
      <c r="E305" s="4"/>
      <c r="F305" s="4"/>
    </row>
  </sheetData>
  <sheetProtection algorithmName="SHA-512" hashValue="nUSujWG/gffVqK9y8GUsLBMxgqt2sa0EEf4fUBh7va7JI9hcvrqcavoOmazLa6d0aFXN0qy/mvwnwHWC64+D0w==" saltValue="rK9wuUQXEucP01wUKE+tXg==" spinCount="100000" sheet="1" selectLockedCells="1"/>
  <mergeCells count="13">
    <mergeCell ref="E55:F55"/>
    <mergeCell ref="E58:F58"/>
    <mergeCell ref="E60:F60"/>
    <mergeCell ref="E63:F63"/>
    <mergeCell ref="C1:F1"/>
    <mergeCell ref="A40:F40"/>
    <mergeCell ref="B50:E50"/>
    <mergeCell ref="B51:E51"/>
    <mergeCell ref="E53:F53"/>
    <mergeCell ref="D8:E8"/>
    <mergeCell ref="D7:E7"/>
    <mergeCell ref="D23:E23"/>
    <mergeCell ref="D20:E20"/>
  </mergeCells>
  <pageMargins left="0.25" right="0.25" top="0.75" bottom="0.75" header="0.3" footer="0.3"/>
  <pageSetup paperSize="9" scale="54" orientation="landscape" horizontalDpi="360" verticalDpi="360" r:id="rId1"/>
  <rowBreaks count="6" manualBreakCount="6">
    <brk id="48" max="16383" man="1"/>
    <brk id="65" max="16383" man="1"/>
    <brk id="97" max="16383" man="1"/>
    <brk id="128" max="16383" man="1"/>
    <brk id="160" max="16383" man="1"/>
    <brk id="254" max="16383" man="1"/>
  </rowBreaks>
  <ignoredErrors>
    <ignoredError sqref="F1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9BC0-97AB-4D13-9B60-35D8002367EB}">
  <sheetPr codeName="Sheet9">
    <tabColor rgb="FF94E494"/>
  </sheetPr>
  <dimension ref="A1:G58"/>
  <sheetViews>
    <sheetView showGridLines="0" zoomScaleNormal="100" workbookViewId="0">
      <pane xSplit="1" ySplit="3" topLeftCell="C38" activePane="bottomRight" state="frozen"/>
      <selection activeCell="C8" sqref="C8"/>
      <selection pane="topRight" activeCell="C8" sqref="C8"/>
      <selection pane="bottomLeft" activeCell="C8" sqref="C8"/>
      <selection pane="bottomRight" activeCell="F56" sqref="F56:F58"/>
    </sheetView>
  </sheetViews>
  <sheetFormatPr defaultColWidth="10.5" defaultRowHeight="14.25"/>
  <cols>
    <col min="1" max="1" width="6.625" style="348" customWidth="1"/>
    <col min="2" max="2" width="25.625" style="6" customWidth="1"/>
    <col min="3" max="3" width="49" style="6" customWidth="1"/>
    <col min="4" max="4" width="15.125" style="6" bestFit="1" customWidth="1"/>
    <col min="5" max="5" width="13.625" style="348" customWidth="1"/>
    <col min="6" max="6" width="67.875" style="6" bestFit="1" customWidth="1"/>
    <col min="7" max="7" width="69" style="6" customWidth="1"/>
    <col min="8" max="16384" width="10.5" style="6"/>
  </cols>
  <sheetData>
    <row r="1" spans="1:7" ht="156" customHeight="1">
      <c r="A1" s="657"/>
      <c r="B1" s="657" t="s">
        <v>26</v>
      </c>
      <c r="D1" s="658" t="str">
        <f>+Instructions!B2</f>
        <v>Health Care Emissions Impact Calculator-Facility</v>
      </c>
      <c r="E1" s="346"/>
    </row>
    <row r="2" spans="1:7" ht="6" customHeight="1"/>
    <row r="3" spans="1:7" s="353" customFormat="1" ht="12.75">
      <c r="A3" s="659" t="s">
        <v>1738</v>
      </c>
      <c r="B3" s="660" t="s">
        <v>2792</v>
      </c>
      <c r="C3" s="661" t="s">
        <v>2793</v>
      </c>
      <c r="D3" s="661" t="s">
        <v>2794</v>
      </c>
      <c r="E3" s="662" t="s">
        <v>1739</v>
      </c>
      <c r="F3" s="661" t="s">
        <v>2795</v>
      </c>
      <c r="G3" s="663" t="s">
        <v>1896</v>
      </c>
    </row>
    <row r="4" spans="1:7" s="353" customFormat="1">
      <c r="A4" s="664">
        <v>1</v>
      </c>
      <c r="B4" s="665" t="s">
        <v>2796</v>
      </c>
      <c r="C4" s="666" t="s">
        <v>2797</v>
      </c>
      <c r="D4" s="666" t="s">
        <v>2798</v>
      </c>
      <c r="E4" s="667">
        <v>2006</v>
      </c>
      <c r="F4" s="733" t="s">
        <v>2799</v>
      </c>
      <c r="G4" s="735" t="s">
        <v>2935</v>
      </c>
    </row>
    <row r="5" spans="1:7" s="353" customFormat="1">
      <c r="A5" s="664">
        <v>2</v>
      </c>
      <c r="B5" s="670" t="s">
        <v>2796</v>
      </c>
      <c r="C5" s="666" t="s">
        <v>2800</v>
      </c>
      <c r="D5" s="666" t="s">
        <v>2801</v>
      </c>
      <c r="E5" s="667">
        <v>2006</v>
      </c>
      <c r="F5" s="733" t="s">
        <v>2918</v>
      </c>
      <c r="G5" s="669"/>
    </row>
    <row r="6" spans="1:7" s="353" customFormat="1" ht="12.75">
      <c r="A6" s="664">
        <v>3</v>
      </c>
      <c r="B6" s="670" t="s">
        <v>2796</v>
      </c>
      <c r="C6" s="666" t="s">
        <v>2802</v>
      </c>
      <c r="D6" s="666" t="s">
        <v>2803</v>
      </c>
      <c r="E6" s="667">
        <v>2006</v>
      </c>
      <c r="F6" s="668" t="s">
        <v>2799</v>
      </c>
      <c r="G6" s="669"/>
    </row>
    <row r="7" spans="1:7" s="353" customFormat="1" ht="12.75">
      <c r="A7" s="664">
        <v>4</v>
      </c>
      <c r="B7" s="670" t="s">
        <v>2796</v>
      </c>
      <c r="C7" s="666" t="s">
        <v>2802</v>
      </c>
      <c r="D7" s="666" t="s">
        <v>2804</v>
      </c>
      <c r="E7" s="667">
        <v>2006</v>
      </c>
      <c r="F7" s="668" t="s">
        <v>2799</v>
      </c>
      <c r="G7" s="669"/>
    </row>
    <row r="8" spans="1:7" s="353" customFormat="1" ht="12.75">
      <c r="A8" s="664">
        <v>5</v>
      </c>
      <c r="B8" s="670" t="s">
        <v>2796</v>
      </c>
      <c r="C8" s="666" t="s">
        <v>2805</v>
      </c>
      <c r="D8" s="666" t="s">
        <v>2806</v>
      </c>
      <c r="E8" s="667">
        <v>2007</v>
      </c>
      <c r="F8" s="671" t="s">
        <v>2807</v>
      </c>
      <c r="G8" s="672" t="s">
        <v>2808</v>
      </c>
    </row>
    <row r="9" spans="1:7" s="353" customFormat="1" ht="12.75">
      <c r="A9" s="664">
        <v>6</v>
      </c>
      <c r="B9" s="670" t="s">
        <v>2809</v>
      </c>
      <c r="C9" s="666" t="s">
        <v>2810</v>
      </c>
      <c r="D9" s="666"/>
      <c r="E9" s="667">
        <v>2010</v>
      </c>
      <c r="F9" s="668"/>
      <c r="G9" s="669"/>
    </row>
    <row r="10" spans="1:7" s="353" customFormat="1" ht="36.75" customHeight="1">
      <c r="A10" s="664">
        <v>7</v>
      </c>
      <c r="B10" s="670" t="s">
        <v>2811</v>
      </c>
      <c r="C10" s="666" t="s">
        <v>2812</v>
      </c>
      <c r="D10" s="666"/>
      <c r="E10" s="673">
        <v>42236</v>
      </c>
      <c r="F10" s="668" t="s">
        <v>2813</v>
      </c>
      <c r="G10" s="669"/>
    </row>
    <row r="11" spans="1:7" s="353" customFormat="1" ht="25.5">
      <c r="A11" s="664">
        <v>8</v>
      </c>
      <c r="B11" s="670" t="s">
        <v>2814</v>
      </c>
      <c r="C11" s="666" t="s">
        <v>2815</v>
      </c>
      <c r="D11" s="666" t="s">
        <v>2816</v>
      </c>
      <c r="E11" s="674">
        <v>42795</v>
      </c>
      <c r="F11" s="671" t="s">
        <v>2817</v>
      </c>
      <c r="G11" s="669"/>
    </row>
    <row r="12" spans="1:7" s="353" customFormat="1" ht="25.5">
      <c r="A12" s="664">
        <v>9</v>
      </c>
      <c r="B12" s="670" t="s">
        <v>2814</v>
      </c>
      <c r="C12" s="666" t="s">
        <v>2815</v>
      </c>
      <c r="D12" s="666" t="s">
        <v>2818</v>
      </c>
      <c r="E12" s="674">
        <v>42795</v>
      </c>
      <c r="F12" s="668" t="s">
        <v>2817</v>
      </c>
      <c r="G12" s="669"/>
    </row>
    <row r="13" spans="1:7" s="353" customFormat="1" ht="102" customHeight="1">
      <c r="A13" s="664">
        <v>10</v>
      </c>
      <c r="B13" s="670" t="s">
        <v>2819</v>
      </c>
      <c r="C13" s="666" t="s">
        <v>2820</v>
      </c>
      <c r="D13" s="670" t="s">
        <v>2821</v>
      </c>
      <c r="E13" s="667"/>
      <c r="F13" s="668"/>
      <c r="G13" s="675" t="s">
        <v>2822</v>
      </c>
    </row>
    <row r="14" spans="1:7" s="353" customFormat="1" ht="25.5">
      <c r="A14" s="664">
        <v>11</v>
      </c>
      <c r="B14" s="670" t="s">
        <v>2823</v>
      </c>
      <c r="C14" s="670" t="s">
        <v>2824</v>
      </c>
      <c r="D14" s="666"/>
      <c r="E14" s="674">
        <v>42339</v>
      </c>
      <c r="F14" s="668" t="s">
        <v>2825</v>
      </c>
      <c r="G14" s="669"/>
    </row>
    <row r="15" spans="1:7" s="353" customFormat="1" ht="108.6" customHeight="1">
      <c r="A15" s="664">
        <v>12</v>
      </c>
      <c r="B15" s="670" t="s">
        <v>2796</v>
      </c>
      <c r="C15" s="666" t="s">
        <v>2826</v>
      </c>
      <c r="D15" s="666" t="s">
        <v>2827</v>
      </c>
      <c r="E15" s="667">
        <v>2006</v>
      </c>
      <c r="F15" s="668" t="s">
        <v>2799</v>
      </c>
      <c r="G15" s="675" t="s">
        <v>2828</v>
      </c>
    </row>
    <row r="16" spans="1:7" s="353" customFormat="1" ht="12.75">
      <c r="A16" s="664">
        <v>13</v>
      </c>
      <c r="B16" s="670" t="s">
        <v>2829</v>
      </c>
      <c r="C16" s="666" t="s">
        <v>2830</v>
      </c>
      <c r="D16" s="666" t="s">
        <v>2831</v>
      </c>
      <c r="E16" s="674">
        <v>42339</v>
      </c>
      <c r="F16" s="668" t="s">
        <v>2832</v>
      </c>
      <c r="G16" s="669"/>
    </row>
    <row r="17" spans="1:7" s="353" customFormat="1" ht="25.5">
      <c r="A17" s="664">
        <v>14</v>
      </c>
      <c r="B17" s="670" t="s">
        <v>2833</v>
      </c>
      <c r="C17" s="670" t="s">
        <v>2834</v>
      </c>
      <c r="D17" s="666"/>
      <c r="E17" s="676">
        <v>2012</v>
      </c>
      <c r="F17" s="668" t="s">
        <v>2835</v>
      </c>
      <c r="G17" s="669"/>
    </row>
    <row r="18" spans="1:7" s="353" customFormat="1" ht="38.25">
      <c r="A18" s="664">
        <v>15</v>
      </c>
      <c r="B18" s="670" t="s">
        <v>2836</v>
      </c>
      <c r="C18" s="670" t="s">
        <v>2837</v>
      </c>
      <c r="D18" s="670" t="s">
        <v>2838</v>
      </c>
      <c r="E18" s="677" t="s">
        <v>2839</v>
      </c>
      <c r="F18" s="678" t="s">
        <v>2840</v>
      </c>
      <c r="G18" s="675" t="s">
        <v>2841</v>
      </c>
    </row>
    <row r="19" spans="1:7" s="353" customFormat="1" ht="12.75">
      <c r="A19" s="664">
        <v>16</v>
      </c>
      <c r="B19" s="670" t="s">
        <v>2796</v>
      </c>
      <c r="C19" s="666" t="s">
        <v>2842</v>
      </c>
      <c r="D19" s="666" t="s">
        <v>2843</v>
      </c>
      <c r="E19" s="667">
        <v>2006</v>
      </c>
      <c r="F19" s="668" t="s">
        <v>2799</v>
      </c>
      <c r="G19" s="669" t="s">
        <v>2844</v>
      </c>
    </row>
    <row r="20" spans="1:7" s="353" customFormat="1" ht="12.75">
      <c r="A20" s="664">
        <v>17</v>
      </c>
      <c r="B20" s="670" t="s">
        <v>2796</v>
      </c>
      <c r="C20" s="666" t="s">
        <v>2845</v>
      </c>
      <c r="D20" s="666" t="s">
        <v>2846</v>
      </c>
      <c r="E20" s="667">
        <v>2006</v>
      </c>
      <c r="F20" s="668" t="s">
        <v>2799</v>
      </c>
      <c r="G20" s="669"/>
    </row>
    <row r="21" spans="1:7" s="353" customFormat="1" ht="25.5">
      <c r="A21" s="664">
        <v>18</v>
      </c>
      <c r="B21" s="670" t="s">
        <v>2796</v>
      </c>
      <c r="C21" s="666" t="s">
        <v>2845</v>
      </c>
      <c r="D21" s="666" t="s">
        <v>2847</v>
      </c>
      <c r="E21" s="667">
        <v>2006</v>
      </c>
      <c r="F21" s="668" t="s">
        <v>2799</v>
      </c>
      <c r="G21" s="675" t="s">
        <v>2848</v>
      </c>
    </row>
    <row r="22" spans="1:7" s="353" customFormat="1" ht="12.75">
      <c r="A22" s="664">
        <v>19</v>
      </c>
      <c r="B22" s="670" t="s">
        <v>2796</v>
      </c>
      <c r="C22" s="666" t="s">
        <v>2845</v>
      </c>
      <c r="D22" s="666" t="s">
        <v>2849</v>
      </c>
      <c r="E22" s="667">
        <v>2006</v>
      </c>
      <c r="F22" s="668" t="s">
        <v>2799</v>
      </c>
      <c r="G22" s="675"/>
    </row>
    <row r="23" spans="1:7" s="353" customFormat="1" ht="12.75">
      <c r="A23" s="664">
        <v>20</v>
      </c>
      <c r="B23" s="670" t="s">
        <v>2796</v>
      </c>
      <c r="C23" s="666" t="s">
        <v>2826</v>
      </c>
      <c r="D23" s="666" t="s">
        <v>2801</v>
      </c>
      <c r="E23" s="667">
        <v>2006</v>
      </c>
      <c r="F23" s="668" t="s">
        <v>2799</v>
      </c>
      <c r="G23" s="675"/>
    </row>
    <row r="24" spans="1:7" s="353" customFormat="1" ht="12.75">
      <c r="A24" s="664">
        <v>21</v>
      </c>
      <c r="B24" s="670" t="s">
        <v>2796</v>
      </c>
      <c r="C24" s="666" t="s">
        <v>2826</v>
      </c>
      <c r="D24" s="666" t="s">
        <v>2850</v>
      </c>
      <c r="E24" s="667">
        <v>2006</v>
      </c>
      <c r="F24" s="668" t="s">
        <v>2799</v>
      </c>
      <c r="G24" s="675"/>
    </row>
    <row r="25" spans="1:7" s="353" customFormat="1">
      <c r="A25" s="664">
        <v>22</v>
      </c>
      <c r="B25" s="670" t="s">
        <v>2796</v>
      </c>
      <c r="C25" s="666" t="s">
        <v>2826</v>
      </c>
      <c r="D25" s="666" t="s">
        <v>2831</v>
      </c>
      <c r="E25" s="667">
        <v>2006</v>
      </c>
      <c r="F25" s="733" t="s">
        <v>2799</v>
      </c>
      <c r="G25" s="675"/>
    </row>
    <row r="26" spans="1:7" s="353" customFormat="1" ht="12.75">
      <c r="A26" s="664">
        <v>23</v>
      </c>
      <c r="B26" s="666" t="s">
        <v>2851</v>
      </c>
      <c r="C26" s="666" t="s">
        <v>2852</v>
      </c>
      <c r="D26" s="666" t="s">
        <v>2853</v>
      </c>
      <c r="E26" s="667">
        <v>2016</v>
      </c>
      <c r="F26" s="668"/>
      <c r="G26" s="669"/>
    </row>
    <row r="27" spans="1:7" s="353" customFormat="1" ht="25.5">
      <c r="A27" s="664">
        <v>24</v>
      </c>
      <c r="B27" s="670" t="s">
        <v>2814</v>
      </c>
      <c r="C27" s="666" t="s">
        <v>2815</v>
      </c>
      <c r="D27" s="666" t="s">
        <v>2854</v>
      </c>
      <c r="E27" s="674">
        <v>42795</v>
      </c>
      <c r="F27" s="671" t="s">
        <v>2817</v>
      </c>
      <c r="G27" s="675"/>
    </row>
    <row r="28" spans="1:7" s="353" customFormat="1" ht="46.5" customHeight="1">
      <c r="A28" s="664">
        <v>25</v>
      </c>
      <c r="B28" s="670" t="s">
        <v>2811</v>
      </c>
      <c r="C28" s="670" t="s">
        <v>2855</v>
      </c>
      <c r="D28" s="670" t="s">
        <v>2856</v>
      </c>
      <c r="E28" s="679">
        <v>2010</v>
      </c>
      <c r="F28" s="678" t="s">
        <v>2857</v>
      </c>
      <c r="G28" s="675" t="s">
        <v>2858</v>
      </c>
    </row>
    <row r="29" spans="1:7" s="353" customFormat="1" ht="27" customHeight="1">
      <c r="A29" s="664">
        <v>26</v>
      </c>
      <c r="B29" s="670" t="s">
        <v>2859</v>
      </c>
      <c r="C29" s="670" t="s">
        <v>2860</v>
      </c>
      <c r="D29" s="666"/>
      <c r="E29" s="677"/>
      <c r="F29" s="734" t="s">
        <v>2861</v>
      </c>
      <c r="G29" s="675" t="s">
        <v>2808</v>
      </c>
    </row>
    <row r="30" spans="1:7" s="353" customFormat="1" ht="27" customHeight="1">
      <c r="A30" s="664">
        <v>27</v>
      </c>
      <c r="B30" s="670" t="s">
        <v>2862</v>
      </c>
      <c r="C30" s="670" t="s">
        <v>2863</v>
      </c>
      <c r="D30" s="666"/>
      <c r="E30" s="677"/>
      <c r="F30" s="734" t="s">
        <v>2864</v>
      </c>
      <c r="G30" s="675"/>
    </row>
    <row r="31" spans="1:7" s="353" customFormat="1" ht="12.75">
      <c r="A31" s="664">
        <v>28</v>
      </c>
      <c r="B31" s="670" t="s">
        <v>2796</v>
      </c>
      <c r="C31" s="666" t="s">
        <v>2865</v>
      </c>
      <c r="D31" s="666" t="s">
        <v>2866</v>
      </c>
      <c r="E31" s="667">
        <v>2007</v>
      </c>
      <c r="F31" s="668" t="s">
        <v>2807</v>
      </c>
      <c r="G31" s="675" t="s">
        <v>2808</v>
      </c>
    </row>
    <row r="32" spans="1:7" s="353" customFormat="1" ht="27" customHeight="1">
      <c r="A32" s="664">
        <v>29</v>
      </c>
      <c r="B32" s="670" t="s">
        <v>2867</v>
      </c>
      <c r="C32" s="670" t="s">
        <v>2868</v>
      </c>
      <c r="D32" s="670" t="s">
        <v>72</v>
      </c>
      <c r="E32" s="680">
        <v>41030</v>
      </c>
      <c r="F32" s="734" t="s">
        <v>3277</v>
      </c>
      <c r="G32" s="675"/>
    </row>
    <row r="33" spans="1:7" s="353" customFormat="1" ht="27" customHeight="1">
      <c r="A33" s="664">
        <v>30</v>
      </c>
      <c r="B33" s="670" t="s">
        <v>2869</v>
      </c>
      <c r="C33" s="670" t="s">
        <v>2870</v>
      </c>
      <c r="D33" s="670"/>
      <c r="E33" s="680"/>
      <c r="F33" s="678" t="s">
        <v>2871</v>
      </c>
      <c r="G33" s="675"/>
    </row>
    <row r="34" spans="1:7" s="353" customFormat="1" ht="27" customHeight="1">
      <c r="A34" s="664">
        <v>31</v>
      </c>
      <c r="B34" s="670" t="s">
        <v>2869</v>
      </c>
      <c r="C34" s="670" t="s">
        <v>2872</v>
      </c>
      <c r="D34" s="670"/>
      <c r="E34" s="680"/>
      <c r="F34" s="678" t="s">
        <v>2873</v>
      </c>
      <c r="G34" s="675"/>
    </row>
    <row r="35" spans="1:7" s="353" customFormat="1" ht="25.5">
      <c r="A35" s="681">
        <v>32</v>
      </c>
      <c r="B35" s="670" t="s">
        <v>2874</v>
      </c>
      <c r="C35" s="670" t="s">
        <v>2875</v>
      </c>
      <c r="D35" s="670" t="s">
        <v>2876</v>
      </c>
      <c r="E35" s="679">
        <v>2022</v>
      </c>
      <c r="F35" s="670"/>
      <c r="G35" s="675" t="s">
        <v>2877</v>
      </c>
    </row>
    <row r="36" spans="1:7" s="353" customFormat="1">
      <c r="A36" s="681">
        <v>33</v>
      </c>
      <c r="B36" s="670" t="s">
        <v>2874</v>
      </c>
      <c r="C36" s="670" t="s">
        <v>2878</v>
      </c>
      <c r="D36" s="670" t="s">
        <v>2879</v>
      </c>
      <c r="E36" s="679">
        <v>2022</v>
      </c>
      <c r="F36" s="8" t="s">
        <v>2880</v>
      </c>
      <c r="G36" s="675"/>
    </row>
    <row r="37" spans="1:7" s="353" customFormat="1" ht="45.75" customHeight="1">
      <c r="A37" s="664">
        <v>33</v>
      </c>
      <c r="B37" s="670" t="s">
        <v>2796</v>
      </c>
      <c r="C37" s="666" t="s">
        <v>2826</v>
      </c>
      <c r="D37" s="666" t="s">
        <v>2801</v>
      </c>
      <c r="E37" s="667">
        <v>2006</v>
      </c>
      <c r="F37" s="668" t="s">
        <v>2799</v>
      </c>
      <c r="G37" s="675"/>
    </row>
    <row r="38" spans="1:7" s="353" customFormat="1" ht="45.75" customHeight="1">
      <c r="A38" s="664">
        <v>34</v>
      </c>
      <c r="B38" s="670" t="s">
        <v>2881</v>
      </c>
      <c r="C38" s="666" t="s">
        <v>2882</v>
      </c>
      <c r="D38" s="666"/>
      <c r="E38" s="682">
        <v>44075</v>
      </c>
      <c r="F38" s="683" t="s">
        <v>2883</v>
      </c>
      <c r="G38" s="675"/>
    </row>
    <row r="39" spans="1:7" ht="42.75">
      <c r="A39" s="684">
        <v>35</v>
      </c>
      <c r="B39" s="685"/>
      <c r="C39" s="685" t="s">
        <v>2884</v>
      </c>
      <c r="D39" s="686" t="s">
        <v>2885</v>
      </c>
      <c r="E39" s="687">
        <v>2021</v>
      </c>
      <c r="F39" s="688" t="s">
        <v>2886</v>
      </c>
      <c r="G39" s="689"/>
    </row>
    <row r="40" spans="1:7" ht="42.75">
      <c r="A40" s="684">
        <v>36</v>
      </c>
      <c r="B40" s="685"/>
      <c r="C40" s="685" t="s">
        <v>2887</v>
      </c>
      <c r="D40" s="686" t="s">
        <v>2885</v>
      </c>
      <c r="E40" s="687">
        <v>2021</v>
      </c>
      <c r="F40" s="688" t="s">
        <v>2888</v>
      </c>
      <c r="G40" s="689"/>
    </row>
    <row r="41" spans="1:7">
      <c r="A41" s="684">
        <v>37</v>
      </c>
      <c r="B41" s="685"/>
      <c r="C41" s="685"/>
      <c r="D41" s="685"/>
      <c r="E41" s="687"/>
      <c r="F41" s="685"/>
      <c r="G41" s="689"/>
    </row>
    <row r="42" spans="1:7" ht="57">
      <c r="A42" s="684">
        <v>38</v>
      </c>
      <c r="B42" s="685"/>
      <c r="C42" s="685" t="s">
        <v>2889</v>
      </c>
      <c r="D42" s="686" t="s">
        <v>2890</v>
      </c>
      <c r="E42" s="687">
        <v>2021</v>
      </c>
      <c r="F42" s="688" t="s">
        <v>2891</v>
      </c>
      <c r="G42" s="689"/>
    </row>
    <row r="43" spans="1:7">
      <c r="A43" s="684">
        <v>39</v>
      </c>
      <c r="B43" s="670" t="s">
        <v>2796</v>
      </c>
      <c r="C43" s="666" t="s">
        <v>2926</v>
      </c>
      <c r="D43" s="666" t="s">
        <v>2927</v>
      </c>
      <c r="E43" s="667">
        <v>2024</v>
      </c>
      <c r="F43" s="733" t="s">
        <v>2928</v>
      </c>
      <c r="G43" s="672" t="s">
        <v>2808</v>
      </c>
    </row>
    <row r="44" spans="1:7">
      <c r="A44" s="684">
        <v>40</v>
      </c>
      <c r="B44" s="685"/>
      <c r="C44" s="666" t="s">
        <v>3279</v>
      </c>
      <c r="D44" s="685"/>
      <c r="E44" s="687">
        <v>2023</v>
      </c>
      <c r="F44" s="1401" t="s">
        <v>3278</v>
      </c>
      <c r="G44" s="689"/>
    </row>
    <row r="45" spans="1:7">
      <c r="A45" s="684">
        <v>41</v>
      </c>
      <c r="B45" s="685" t="s">
        <v>3301</v>
      </c>
      <c r="C45" s="685" t="s">
        <v>3302</v>
      </c>
      <c r="D45" s="685" t="s">
        <v>3305</v>
      </c>
      <c r="E45" s="687">
        <v>2023</v>
      </c>
      <c r="F45" s="685" t="s">
        <v>3303</v>
      </c>
      <c r="G45" s="672" t="s">
        <v>3304</v>
      </c>
    </row>
    <row r="46" spans="1:7" ht="28.5">
      <c r="A46" s="684">
        <v>42</v>
      </c>
      <c r="B46" s="685" t="s">
        <v>2874</v>
      </c>
      <c r="C46" s="686" t="s">
        <v>4365</v>
      </c>
      <c r="D46" s="685" t="s">
        <v>4364</v>
      </c>
      <c r="E46" s="687">
        <v>2023</v>
      </c>
      <c r="F46" s="1401" t="s">
        <v>3303</v>
      </c>
      <c r="G46" s="672" t="s">
        <v>4366</v>
      </c>
    </row>
    <row r="47" spans="1:7">
      <c r="A47" s="684"/>
      <c r="B47" s="685"/>
      <c r="C47" s="685"/>
      <c r="D47" s="685"/>
      <c r="E47" s="687"/>
      <c r="F47" s="685"/>
      <c r="G47" s="689"/>
    </row>
    <row r="48" spans="1:7">
      <c r="A48" s="684"/>
      <c r="B48" s="685"/>
      <c r="C48" s="685"/>
      <c r="D48" s="685"/>
      <c r="E48" s="687"/>
      <c r="F48" s="685"/>
      <c r="G48" s="689"/>
    </row>
    <row r="49" spans="1:7">
      <c r="A49" s="684"/>
      <c r="B49" s="685"/>
      <c r="C49" s="685"/>
      <c r="D49" s="685"/>
      <c r="E49" s="687"/>
      <c r="F49" s="685"/>
      <c r="G49" s="689"/>
    </row>
    <row r="50" spans="1:7">
      <c r="A50" s="684"/>
      <c r="B50" s="685"/>
      <c r="C50" s="685"/>
      <c r="D50" s="685"/>
      <c r="E50" s="687"/>
      <c r="F50" s="685"/>
      <c r="G50" s="689"/>
    </row>
    <row r="51" spans="1:7">
      <c r="A51" s="684"/>
      <c r="B51" s="685"/>
      <c r="C51" s="685"/>
      <c r="D51" s="685"/>
      <c r="E51" s="687"/>
      <c r="F51" s="685"/>
      <c r="G51" s="689"/>
    </row>
    <row r="52" spans="1:7">
      <c r="A52" s="684"/>
      <c r="B52" s="685"/>
      <c r="C52" s="685"/>
      <c r="D52" s="685"/>
      <c r="E52" s="687"/>
      <c r="F52" s="685"/>
      <c r="G52" s="689"/>
    </row>
    <row r="53" spans="1:7">
      <c r="A53" s="684"/>
      <c r="B53" s="685"/>
      <c r="C53" s="685"/>
      <c r="D53" s="685"/>
      <c r="E53" s="687"/>
      <c r="F53" s="685"/>
      <c r="G53" s="689"/>
    </row>
    <row r="54" spans="1:7">
      <c r="A54" s="684"/>
      <c r="B54" s="685"/>
      <c r="C54" s="685"/>
      <c r="D54" s="685"/>
      <c r="E54" s="687"/>
      <c r="F54" s="685"/>
      <c r="G54" s="689"/>
    </row>
    <row r="55" spans="1:7">
      <c r="A55" s="684"/>
      <c r="B55" s="685"/>
      <c r="C55" s="685"/>
      <c r="D55" s="685"/>
      <c r="E55" s="687"/>
      <c r="F55" s="685"/>
      <c r="G55" s="689"/>
    </row>
    <row r="56" spans="1:7">
      <c r="A56" s="684"/>
      <c r="B56" s="685"/>
      <c r="C56" s="685"/>
      <c r="D56" s="685"/>
      <c r="E56" s="687"/>
      <c r="F56" s="685"/>
      <c r="G56" s="689"/>
    </row>
    <row r="57" spans="1:7">
      <c r="A57" s="684"/>
      <c r="B57" s="685"/>
      <c r="C57" s="685"/>
      <c r="D57" s="685"/>
      <c r="E57" s="687"/>
      <c r="F57" s="685"/>
      <c r="G57" s="689"/>
    </row>
    <row r="58" spans="1:7">
      <c r="A58" s="690"/>
      <c r="B58" s="691"/>
      <c r="C58" s="691"/>
      <c r="D58" s="691"/>
      <c r="E58" s="692"/>
      <c r="F58" s="691"/>
      <c r="G58" s="693"/>
    </row>
  </sheetData>
  <sheetProtection algorithmName="SHA-512" hashValue="2RbhNISSj/oHIcD95ODU73NA6ZQrLcoA+/2OdvOgiXsG2E73N8+lzk0Mv+WWi6fx5qx9n9nWAbQBPBdMJTrKSg==" saltValue="eguPN9VXkMCElmdD2uYDlw==" spinCount="100000" sheet="1" objects="1" scenarios="1"/>
  <hyperlinks>
    <hyperlink ref="F11" r:id="rId1" xr:uid="{6F8AE1FA-B622-4E5B-96F5-D92CE408D4B5}"/>
    <hyperlink ref="F8" r:id="rId2" xr:uid="{696BE876-A889-4852-B450-4174977A1D09}"/>
    <hyperlink ref="F27" r:id="rId3" xr:uid="{CE493356-251B-422F-93A1-2E11FFEE1AB1}"/>
    <hyperlink ref="F34" r:id="rId4" display="https://www.bochealthcare.co.uk/en/images/HLC_506810-MGDS Medical carbon dioxide%28web%29_tcm409-61147.pdf" xr:uid="{55EF7EDA-91D2-4831-BA26-0A86F613DA74}"/>
    <hyperlink ref="F39" r:id="rId5" display="https://www.eia.gov/energyexplained/biofuels/ethanol-use.php" xr:uid="{F0EEDB27-A720-4712-B7B7-061AD41EC59A}"/>
    <hyperlink ref="F40" r:id="rId6" display="https://www.eia.gov/energyexplained/biofuels/biodiesel-rd-other-use-supply.php" xr:uid="{54B5D1BA-9B24-4703-8107-7D207A01058D}"/>
    <hyperlink ref="F42" r:id="rId7" display="https://www.epa.gov/ghgemissions/understanding-global-warming-potentials" xr:uid="{9ED024C5-50C7-4FE5-B221-C0E6DA4553F7}"/>
    <hyperlink ref="F36" r:id="rId8" display="https://www.epa.gov/egrid/summary-data" xr:uid="{3BD7A66C-E4AF-4EA2-BBA9-CD846F11714B}"/>
    <hyperlink ref="F29" r:id="rId9" xr:uid="{48E78405-BD71-4481-B7DF-719DD22A6B92}"/>
    <hyperlink ref="F43" r:id="rId10" xr:uid="{35671FD2-7454-4270-85E8-DED9DBF5D55B}"/>
    <hyperlink ref="F4" r:id="rId11" xr:uid="{9DC774FC-48EA-40E0-9FC6-8D7C0696C651}"/>
    <hyperlink ref="G4" r:id="rId12" xr:uid="{DF9FEA9E-B1A6-4FF8-9E28-B05AB069883C}"/>
    <hyperlink ref="F5" r:id="rId13" xr:uid="{E85EF91D-3A09-4E69-8EF1-3378143DB550}"/>
    <hyperlink ref="F32" r:id="rId14" xr:uid="{0F0852E4-94AA-431E-84F0-2A13FFC00885}"/>
    <hyperlink ref="F25" r:id="rId15" xr:uid="{C9F58320-B88A-44D1-AF54-62011144887B}"/>
    <hyperlink ref="F30" r:id="rId16" xr:uid="{85E1214D-4440-4CFA-BDAA-923A4C00B01D}"/>
    <hyperlink ref="F46" r:id="rId17" xr:uid="{36E6767F-19C8-4538-A0DD-8165ECCCBFFB}"/>
    <hyperlink ref="F44" r:id="rId18" xr:uid="{AF3EEF8E-B914-415C-98F2-F537B5483CDF}"/>
  </hyperlinks>
  <pageMargins left="0.7" right="0.7" top="0.75" bottom="0.75" header="0.3" footer="0.3"/>
  <pageSetup paperSize="9" scale="31" orientation="portrait" r:id="rId19"/>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AB74-D8B1-4D3A-9922-B60841AB2EA2}">
  <sheetPr codeName="Sheet11">
    <tabColor rgb="FF94E494"/>
  </sheetPr>
  <dimension ref="A1:G359"/>
  <sheetViews>
    <sheetView showGridLines="0" zoomScaleNormal="100" workbookViewId="0">
      <pane ySplit="10" topLeftCell="A11" activePane="bottomLeft" state="frozen"/>
      <selection pane="bottomLeft" activeCell="F34" sqref="F34"/>
    </sheetView>
  </sheetViews>
  <sheetFormatPr defaultColWidth="10.5" defaultRowHeight="14.25"/>
  <cols>
    <col min="1" max="1" width="14.875" style="718" bestFit="1" customWidth="1"/>
    <col min="2" max="2" width="11.375" style="718" customWidth="1"/>
    <col min="3" max="3" width="11.875" style="718" customWidth="1"/>
    <col min="4" max="4" width="44.625" style="718" customWidth="1"/>
    <col min="5" max="5" width="11.125" style="718" bestFit="1" customWidth="1"/>
    <col min="6" max="6" width="34.125" style="718" customWidth="1"/>
    <col min="7" max="7" width="58.875" style="718" customWidth="1"/>
    <col min="8" max="16384" width="10.5" style="719"/>
  </cols>
  <sheetData>
    <row r="1" spans="1:7" s="1" customFormat="1" ht="23.25">
      <c r="D1" s="710" t="str">
        <f>+Instructions!B2</f>
        <v>Health Care Emissions Impact Calculator-Facility</v>
      </c>
    </row>
    <row r="2" spans="1:7" s="1" customFormat="1"/>
    <row r="3" spans="1:7" s="1" customFormat="1"/>
    <row r="4" spans="1:7" s="1" customFormat="1"/>
    <row r="5" spans="1:7" s="1" customFormat="1"/>
    <row r="6" spans="1:7" s="1" customFormat="1" ht="15">
      <c r="A6" s="711" t="s">
        <v>1844</v>
      </c>
      <c r="B6" s="498"/>
      <c r="C6" s="12"/>
    </row>
    <row r="7" spans="1:7" s="1" customFormat="1">
      <c r="A7" s="1531" t="s">
        <v>2909</v>
      </c>
      <c r="B7" s="1531"/>
      <c r="C7" s="1531"/>
      <c r="D7" s="1531"/>
      <c r="E7" s="1531"/>
      <c r="F7" s="1531"/>
    </row>
    <row r="8" spans="1:7" s="1" customFormat="1" ht="30.6" customHeight="1">
      <c r="A8" s="1459" t="s">
        <v>2910</v>
      </c>
      <c r="B8" s="1459"/>
      <c r="C8" s="1459"/>
      <c r="D8" s="1459"/>
      <c r="E8" s="1459"/>
      <c r="F8" s="1459"/>
    </row>
    <row r="9" spans="1:7" s="1" customFormat="1"/>
    <row r="10" spans="1:7" s="713" customFormat="1" ht="25.5">
      <c r="A10" s="712" t="s">
        <v>2911</v>
      </c>
      <c r="B10" s="712" t="s">
        <v>1956</v>
      </c>
      <c r="C10" s="712" t="s">
        <v>0</v>
      </c>
      <c r="D10" s="712" t="s">
        <v>2912</v>
      </c>
      <c r="E10" s="712" t="s">
        <v>2913</v>
      </c>
      <c r="F10" s="712" t="s">
        <v>1943</v>
      </c>
      <c r="G10" s="712" t="s">
        <v>2914</v>
      </c>
    </row>
    <row r="11" spans="1:7" s="717" customFormat="1">
      <c r="A11" s="714"/>
      <c r="B11" s="715"/>
      <c r="C11" s="715"/>
      <c r="D11" s="715"/>
      <c r="E11" s="716"/>
      <c r="F11" s="715"/>
      <c r="G11" s="715"/>
    </row>
    <row r="12" spans="1:7" s="717" customFormat="1">
      <c r="A12" s="714"/>
      <c r="B12" s="715"/>
      <c r="C12" s="715"/>
      <c r="D12" s="715"/>
      <c r="E12" s="716"/>
      <c r="F12" s="715"/>
      <c r="G12" s="715"/>
    </row>
    <row r="13" spans="1:7" s="717" customFormat="1">
      <c r="A13" s="714"/>
      <c r="B13" s="715"/>
      <c r="C13" s="715"/>
      <c r="D13" s="715"/>
      <c r="E13" s="716"/>
      <c r="F13" s="715"/>
      <c r="G13" s="715"/>
    </row>
    <row r="14" spans="1:7">
      <c r="D14" s="715"/>
    </row>
    <row r="15" spans="1:7">
      <c r="D15" s="715"/>
    </row>
    <row r="16" spans="1:7">
      <c r="D16" s="715"/>
    </row>
    <row r="17" spans="4:4">
      <c r="D17" s="715"/>
    </row>
    <row r="18" spans="4:4">
      <c r="D18" s="715"/>
    </row>
    <row r="19" spans="4:4">
      <c r="D19" s="715"/>
    </row>
    <row r="20" spans="4:4">
      <c r="D20" s="715"/>
    </row>
    <row r="21" spans="4:4">
      <c r="D21" s="715"/>
    </row>
    <row r="22" spans="4:4">
      <c r="D22" s="715"/>
    </row>
    <row r="23" spans="4:4">
      <c r="D23" s="715"/>
    </row>
    <row r="24" spans="4:4">
      <c r="D24" s="715"/>
    </row>
    <row r="25" spans="4:4">
      <c r="D25" s="715"/>
    </row>
    <row r="26" spans="4:4">
      <c r="D26" s="715"/>
    </row>
    <row r="27" spans="4:4">
      <c r="D27" s="715"/>
    </row>
    <row r="28" spans="4:4">
      <c r="D28" s="715"/>
    </row>
    <row r="29" spans="4:4">
      <c r="D29" s="715"/>
    </row>
    <row r="30" spans="4:4">
      <c r="D30" s="715"/>
    </row>
    <row r="31" spans="4:4">
      <c r="D31" s="715"/>
    </row>
    <row r="32" spans="4:4">
      <c r="D32" s="715"/>
    </row>
    <row r="33" spans="4:4">
      <c r="D33" s="715"/>
    </row>
    <row r="34" spans="4:4">
      <c r="D34" s="715"/>
    </row>
    <row r="35" spans="4:4">
      <c r="D35" s="715"/>
    </row>
    <row r="36" spans="4:4">
      <c r="D36" s="715"/>
    </row>
    <row r="37" spans="4:4">
      <c r="D37" s="715"/>
    </row>
    <row r="38" spans="4:4">
      <c r="D38" s="715"/>
    </row>
    <row r="39" spans="4:4">
      <c r="D39" s="715"/>
    </row>
    <row r="40" spans="4:4">
      <c r="D40" s="715"/>
    </row>
    <row r="41" spans="4:4">
      <c r="D41" s="715"/>
    </row>
    <row r="42" spans="4:4">
      <c r="D42" s="715"/>
    </row>
    <row r="43" spans="4:4">
      <c r="D43" s="715"/>
    </row>
    <row r="44" spans="4:4">
      <c r="D44" s="715"/>
    </row>
    <row r="45" spans="4:4">
      <c r="D45" s="715"/>
    </row>
    <row r="46" spans="4:4">
      <c r="D46" s="715"/>
    </row>
    <row r="47" spans="4:4">
      <c r="D47" s="715"/>
    </row>
    <row r="48" spans="4:4">
      <c r="D48" s="715"/>
    </row>
    <row r="49" spans="4:4">
      <c r="D49" s="715"/>
    </row>
    <row r="50" spans="4:4">
      <c r="D50" s="715"/>
    </row>
    <row r="51" spans="4:4">
      <c r="D51" s="715"/>
    </row>
    <row r="52" spans="4:4">
      <c r="D52" s="715"/>
    </row>
    <row r="53" spans="4:4">
      <c r="D53" s="715"/>
    </row>
    <row r="54" spans="4:4">
      <c r="D54" s="715"/>
    </row>
    <row r="55" spans="4:4">
      <c r="D55" s="715"/>
    </row>
    <row r="56" spans="4:4">
      <c r="D56" s="715"/>
    </row>
    <row r="57" spans="4:4">
      <c r="D57" s="715"/>
    </row>
    <row r="58" spans="4:4">
      <c r="D58" s="715"/>
    </row>
    <row r="59" spans="4:4">
      <c r="D59" s="715"/>
    </row>
    <row r="60" spans="4:4">
      <c r="D60" s="715"/>
    </row>
    <row r="61" spans="4:4">
      <c r="D61" s="715"/>
    </row>
    <row r="62" spans="4:4">
      <c r="D62" s="715"/>
    </row>
    <row r="63" spans="4:4">
      <c r="D63" s="715"/>
    </row>
    <row r="64" spans="4:4">
      <c r="D64" s="715"/>
    </row>
    <row r="65" spans="4:4">
      <c r="D65" s="715"/>
    </row>
    <row r="66" spans="4:4">
      <c r="D66" s="715"/>
    </row>
    <row r="67" spans="4:4">
      <c r="D67" s="715"/>
    </row>
    <row r="68" spans="4:4">
      <c r="D68" s="715"/>
    </row>
    <row r="69" spans="4:4">
      <c r="D69" s="715"/>
    </row>
    <row r="70" spans="4:4">
      <c r="D70" s="715"/>
    </row>
    <row r="71" spans="4:4">
      <c r="D71" s="715"/>
    </row>
    <row r="72" spans="4:4">
      <c r="D72" s="715"/>
    </row>
    <row r="73" spans="4:4">
      <c r="D73" s="715"/>
    </row>
    <row r="74" spans="4:4">
      <c r="D74" s="715"/>
    </row>
    <row r="75" spans="4:4">
      <c r="D75" s="715"/>
    </row>
    <row r="76" spans="4:4">
      <c r="D76" s="715"/>
    </row>
    <row r="77" spans="4:4">
      <c r="D77" s="715"/>
    </row>
    <row r="78" spans="4:4">
      <c r="D78" s="715"/>
    </row>
    <row r="79" spans="4:4">
      <c r="D79" s="715"/>
    </row>
    <row r="80" spans="4:4">
      <c r="D80" s="715"/>
    </row>
    <row r="81" spans="4:4">
      <c r="D81" s="715"/>
    </row>
    <row r="82" spans="4:4">
      <c r="D82" s="715"/>
    </row>
    <row r="83" spans="4:4">
      <c r="D83" s="715"/>
    </row>
    <row r="84" spans="4:4">
      <c r="D84" s="715"/>
    </row>
    <row r="85" spans="4:4">
      <c r="D85" s="715"/>
    </row>
    <row r="86" spans="4:4">
      <c r="D86" s="715"/>
    </row>
    <row r="87" spans="4:4">
      <c r="D87" s="715"/>
    </row>
    <row r="88" spans="4:4">
      <c r="D88" s="715"/>
    </row>
    <row r="89" spans="4:4">
      <c r="D89" s="715"/>
    </row>
    <row r="90" spans="4:4">
      <c r="D90" s="715"/>
    </row>
    <row r="91" spans="4:4">
      <c r="D91" s="715"/>
    </row>
    <row r="92" spans="4:4">
      <c r="D92" s="715"/>
    </row>
    <row r="93" spans="4:4">
      <c r="D93" s="715"/>
    </row>
    <row r="94" spans="4:4">
      <c r="D94" s="715"/>
    </row>
    <row r="95" spans="4:4">
      <c r="D95" s="715"/>
    </row>
    <row r="96" spans="4:4">
      <c r="D96" s="715"/>
    </row>
    <row r="97" spans="4:4">
      <c r="D97" s="715"/>
    </row>
    <row r="98" spans="4:4">
      <c r="D98" s="715"/>
    </row>
    <row r="99" spans="4:4">
      <c r="D99" s="715"/>
    </row>
    <row r="100" spans="4:4">
      <c r="D100" s="715"/>
    </row>
    <row r="101" spans="4:4">
      <c r="D101" s="715"/>
    </row>
    <row r="102" spans="4:4">
      <c r="D102" s="715"/>
    </row>
    <row r="103" spans="4:4">
      <c r="D103" s="715"/>
    </row>
    <row r="104" spans="4:4">
      <c r="D104" s="715"/>
    </row>
    <row r="105" spans="4:4">
      <c r="D105" s="715"/>
    </row>
    <row r="106" spans="4:4">
      <c r="D106" s="715"/>
    </row>
    <row r="107" spans="4:4">
      <c r="D107" s="715"/>
    </row>
    <row r="108" spans="4:4">
      <c r="D108" s="715"/>
    </row>
    <row r="109" spans="4:4">
      <c r="D109" s="715"/>
    </row>
    <row r="110" spans="4:4">
      <c r="D110" s="715"/>
    </row>
    <row r="111" spans="4:4">
      <c r="D111" s="715"/>
    </row>
    <row r="112" spans="4:4">
      <c r="D112" s="715"/>
    </row>
    <row r="113" spans="4:4">
      <c r="D113" s="715"/>
    </row>
    <row r="114" spans="4:4">
      <c r="D114" s="715"/>
    </row>
    <row r="115" spans="4:4">
      <c r="D115" s="715"/>
    </row>
    <row r="116" spans="4:4">
      <c r="D116" s="715"/>
    </row>
    <row r="117" spans="4:4">
      <c r="D117" s="715"/>
    </row>
    <row r="118" spans="4:4">
      <c r="D118" s="715"/>
    </row>
    <row r="119" spans="4:4">
      <c r="D119" s="715"/>
    </row>
    <row r="120" spans="4:4">
      <c r="D120" s="715"/>
    </row>
    <row r="121" spans="4:4">
      <c r="D121" s="715"/>
    </row>
    <row r="122" spans="4:4">
      <c r="D122" s="715"/>
    </row>
    <row r="123" spans="4:4">
      <c r="D123" s="715"/>
    </row>
    <row r="124" spans="4:4">
      <c r="D124" s="715"/>
    </row>
    <row r="125" spans="4:4">
      <c r="D125" s="715"/>
    </row>
    <row r="126" spans="4:4">
      <c r="D126" s="715"/>
    </row>
    <row r="127" spans="4:4">
      <c r="D127" s="715"/>
    </row>
    <row r="128" spans="4:4">
      <c r="D128" s="715"/>
    </row>
    <row r="129" spans="4:4">
      <c r="D129" s="715"/>
    </row>
    <row r="130" spans="4:4">
      <c r="D130" s="715"/>
    </row>
    <row r="131" spans="4:4">
      <c r="D131" s="715"/>
    </row>
    <row r="132" spans="4:4">
      <c r="D132" s="715"/>
    </row>
    <row r="133" spans="4:4">
      <c r="D133" s="715"/>
    </row>
    <row r="134" spans="4:4">
      <c r="D134" s="715"/>
    </row>
    <row r="135" spans="4:4">
      <c r="D135" s="715"/>
    </row>
    <row r="136" spans="4:4">
      <c r="D136" s="715"/>
    </row>
    <row r="137" spans="4:4">
      <c r="D137" s="715"/>
    </row>
    <row r="138" spans="4:4">
      <c r="D138" s="715"/>
    </row>
    <row r="139" spans="4:4">
      <c r="D139" s="715"/>
    </row>
    <row r="140" spans="4:4">
      <c r="D140" s="715"/>
    </row>
    <row r="141" spans="4:4">
      <c r="D141" s="715"/>
    </row>
    <row r="142" spans="4:4">
      <c r="D142" s="715"/>
    </row>
    <row r="143" spans="4:4">
      <c r="D143" s="715"/>
    </row>
    <row r="144" spans="4:4">
      <c r="D144" s="715"/>
    </row>
    <row r="145" spans="4:4">
      <c r="D145" s="715"/>
    </row>
    <row r="146" spans="4:4">
      <c r="D146" s="715"/>
    </row>
    <row r="147" spans="4:4">
      <c r="D147" s="715"/>
    </row>
    <row r="148" spans="4:4">
      <c r="D148" s="715"/>
    </row>
    <row r="149" spans="4:4">
      <c r="D149" s="715"/>
    </row>
    <row r="150" spans="4:4">
      <c r="D150" s="715"/>
    </row>
    <row r="151" spans="4:4">
      <c r="D151" s="715"/>
    </row>
    <row r="152" spans="4:4">
      <c r="D152" s="715"/>
    </row>
    <row r="153" spans="4:4">
      <c r="D153" s="715"/>
    </row>
    <row r="154" spans="4:4">
      <c r="D154" s="715"/>
    </row>
    <row r="155" spans="4:4">
      <c r="D155" s="715"/>
    </row>
    <row r="156" spans="4:4">
      <c r="D156" s="715"/>
    </row>
    <row r="157" spans="4:4">
      <c r="D157" s="715"/>
    </row>
    <row r="158" spans="4:4">
      <c r="D158" s="715"/>
    </row>
    <row r="159" spans="4:4">
      <c r="D159" s="715"/>
    </row>
    <row r="160" spans="4:4">
      <c r="D160" s="715"/>
    </row>
    <row r="161" spans="4:4">
      <c r="D161" s="715"/>
    </row>
    <row r="162" spans="4:4">
      <c r="D162" s="715"/>
    </row>
    <row r="163" spans="4:4">
      <c r="D163" s="715"/>
    </row>
    <row r="164" spans="4:4">
      <c r="D164" s="715"/>
    </row>
    <row r="165" spans="4:4">
      <c r="D165" s="715"/>
    </row>
    <row r="166" spans="4:4">
      <c r="D166" s="715"/>
    </row>
    <row r="167" spans="4:4">
      <c r="D167" s="715"/>
    </row>
    <row r="168" spans="4:4">
      <c r="D168" s="715"/>
    </row>
    <row r="169" spans="4:4">
      <c r="D169" s="715"/>
    </row>
    <row r="170" spans="4:4">
      <c r="D170" s="715"/>
    </row>
    <row r="171" spans="4:4">
      <c r="D171" s="715"/>
    </row>
    <row r="172" spans="4:4">
      <c r="D172" s="715"/>
    </row>
    <row r="173" spans="4:4">
      <c r="D173" s="715"/>
    </row>
    <row r="174" spans="4:4">
      <c r="D174" s="715"/>
    </row>
    <row r="175" spans="4:4">
      <c r="D175" s="715"/>
    </row>
    <row r="176" spans="4:4">
      <c r="D176" s="715"/>
    </row>
    <row r="177" spans="4:4">
      <c r="D177" s="715"/>
    </row>
    <row r="178" spans="4:4">
      <c r="D178" s="715"/>
    </row>
    <row r="179" spans="4:4">
      <c r="D179" s="715"/>
    </row>
    <row r="180" spans="4:4">
      <c r="D180" s="715"/>
    </row>
    <row r="181" spans="4:4">
      <c r="D181" s="715"/>
    </row>
    <row r="182" spans="4:4">
      <c r="D182" s="715"/>
    </row>
    <row r="183" spans="4:4">
      <c r="D183" s="715"/>
    </row>
    <row r="184" spans="4:4">
      <c r="D184" s="715"/>
    </row>
    <row r="185" spans="4:4">
      <c r="D185" s="715"/>
    </row>
    <row r="186" spans="4:4">
      <c r="D186" s="715"/>
    </row>
    <row r="187" spans="4:4">
      <c r="D187" s="715"/>
    </row>
    <row r="188" spans="4:4">
      <c r="D188" s="715"/>
    </row>
    <row r="189" spans="4:4">
      <c r="D189" s="715"/>
    </row>
    <row r="190" spans="4:4">
      <c r="D190" s="715"/>
    </row>
    <row r="191" spans="4:4">
      <c r="D191" s="715"/>
    </row>
    <row r="192" spans="4:4">
      <c r="D192" s="715"/>
    </row>
    <row r="193" spans="4:4">
      <c r="D193" s="715"/>
    </row>
    <row r="194" spans="4:4">
      <c r="D194" s="715"/>
    </row>
    <row r="195" spans="4:4">
      <c r="D195" s="715"/>
    </row>
    <row r="196" spans="4:4">
      <c r="D196" s="715"/>
    </row>
    <row r="197" spans="4:4">
      <c r="D197" s="715"/>
    </row>
    <row r="198" spans="4:4">
      <c r="D198" s="715"/>
    </row>
    <row r="199" spans="4:4">
      <c r="D199" s="715"/>
    </row>
    <row r="200" spans="4:4">
      <c r="D200" s="715"/>
    </row>
    <row r="201" spans="4:4">
      <c r="D201" s="715"/>
    </row>
    <row r="202" spans="4:4">
      <c r="D202" s="715"/>
    </row>
    <row r="203" spans="4:4">
      <c r="D203" s="715"/>
    </row>
    <row r="204" spans="4:4">
      <c r="D204" s="715"/>
    </row>
    <row r="205" spans="4:4">
      <c r="D205" s="715"/>
    </row>
    <row r="206" spans="4:4">
      <c r="D206" s="715"/>
    </row>
    <row r="207" spans="4:4">
      <c r="D207" s="715"/>
    </row>
    <row r="208" spans="4:4">
      <c r="D208" s="715"/>
    </row>
    <row r="209" spans="4:4">
      <c r="D209" s="715"/>
    </row>
    <row r="210" spans="4:4">
      <c r="D210" s="715"/>
    </row>
    <row r="211" spans="4:4">
      <c r="D211" s="715"/>
    </row>
    <row r="212" spans="4:4">
      <c r="D212" s="715"/>
    </row>
    <row r="213" spans="4:4">
      <c r="D213" s="715"/>
    </row>
    <row r="214" spans="4:4">
      <c r="D214" s="715"/>
    </row>
    <row r="215" spans="4:4">
      <c r="D215" s="715"/>
    </row>
    <row r="216" spans="4:4">
      <c r="D216" s="715"/>
    </row>
    <row r="217" spans="4:4">
      <c r="D217" s="715"/>
    </row>
    <row r="218" spans="4:4">
      <c r="D218" s="715"/>
    </row>
    <row r="219" spans="4:4">
      <c r="D219" s="715"/>
    </row>
    <row r="220" spans="4:4">
      <c r="D220" s="715"/>
    </row>
    <row r="221" spans="4:4">
      <c r="D221" s="715"/>
    </row>
    <row r="222" spans="4:4">
      <c r="D222" s="715"/>
    </row>
    <row r="223" spans="4:4">
      <c r="D223" s="715"/>
    </row>
    <row r="224" spans="4:4">
      <c r="D224" s="715"/>
    </row>
    <row r="225" spans="4:4">
      <c r="D225" s="715"/>
    </row>
    <row r="226" spans="4:4">
      <c r="D226" s="715"/>
    </row>
    <row r="227" spans="4:4">
      <c r="D227" s="715"/>
    </row>
    <row r="228" spans="4:4">
      <c r="D228" s="715"/>
    </row>
    <row r="229" spans="4:4">
      <c r="D229" s="715"/>
    </row>
    <row r="230" spans="4:4">
      <c r="D230" s="715"/>
    </row>
    <row r="231" spans="4:4">
      <c r="D231" s="715"/>
    </row>
    <row r="232" spans="4:4">
      <c r="D232" s="715"/>
    </row>
    <row r="233" spans="4:4">
      <c r="D233" s="715"/>
    </row>
    <row r="234" spans="4:4">
      <c r="D234" s="715"/>
    </row>
    <row r="235" spans="4:4">
      <c r="D235" s="715"/>
    </row>
    <row r="236" spans="4:4">
      <c r="D236" s="715"/>
    </row>
    <row r="237" spans="4:4">
      <c r="D237" s="715"/>
    </row>
    <row r="238" spans="4:4">
      <c r="D238" s="715"/>
    </row>
    <row r="239" spans="4:4">
      <c r="D239" s="715"/>
    </row>
    <row r="240" spans="4:4">
      <c r="D240" s="715"/>
    </row>
    <row r="241" spans="4:4">
      <c r="D241" s="715"/>
    </row>
    <row r="242" spans="4:4">
      <c r="D242" s="715"/>
    </row>
    <row r="243" spans="4:4">
      <c r="D243" s="715"/>
    </row>
    <row r="244" spans="4:4">
      <c r="D244" s="715"/>
    </row>
    <row r="245" spans="4:4">
      <c r="D245" s="715"/>
    </row>
    <row r="246" spans="4:4">
      <c r="D246" s="715"/>
    </row>
    <row r="247" spans="4:4">
      <c r="D247" s="715"/>
    </row>
    <row r="248" spans="4:4">
      <c r="D248" s="715"/>
    </row>
    <row r="249" spans="4:4">
      <c r="D249" s="715"/>
    </row>
    <row r="250" spans="4:4">
      <c r="D250" s="715"/>
    </row>
    <row r="251" spans="4:4">
      <c r="D251" s="715"/>
    </row>
    <row r="252" spans="4:4">
      <c r="D252" s="715"/>
    </row>
    <row r="253" spans="4:4">
      <c r="D253" s="715"/>
    </row>
    <row r="254" spans="4:4">
      <c r="D254" s="715"/>
    </row>
    <row r="255" spans="4:4">
      <c r="D255" s="715"/>
    </row>
    <row r="256" spans="4:4">
      <c r="D256" s="715"/>
    </row>
    <row r="257" spans="4:4">
      <c r="D257" s="715"/>
    </row>
    <row r="258" spans="4:4">
      <c r="D258" s="715"/>
    </row>
    <row r="259" spans="4:4">
      <c r="D259" s="715"/>
    </row>
    <row r="260" spans="4:4">
      <c r="D260" s="715"/>
    </row>
    <row r="261" spans="4:4">
      <c r="D261" s="715"/>
    </row>
    <row r="262" spans="4:4">
      <c r="D262" s="715"/>
    </row>
    <row r="263" spans="4:4">
      <c r="D263" s="715"/>
    </row>
    <row r="264" spans="4:4">
      <c r="D264" s="715"/>
    </row>
    <row r="265" spans="4:4">
      <c r="D265" s="715"/>
    </row>
    <row r="266" spans="4:4">
      <c r="D266" s="715"/>
    </row>
    <row r="267" spans="4:4">
      <c r="D267" s="715"/>
    </row>
    <row r="268" spans="4:4">
      <c r="D268" s="715"/>
    </row>
    <row r="269" spans="4:4">
      <c r="D269" s="715"/>
    </row>
    <row r="270" spans="4:4">
      <c r="D270" s="715"/>
    </row>
    <row r="271" spans="4:4">
      <c r="D271" s="715"/>
    </row>
    <row r="272" spans="4:4">
      <c r="D272" s="715"/>
    </row>
    <row r="273" spans="4:4">
      <c r="D273" s="715"/>
    </row>
    <row r="274" spans="4:4">
      <c r="D274" s="715"/>
    </row>
    <row r="275" spans="4:4">
      <c r="D275" s="715"/>
    </row>
    <row r="276" spans="4:4">
      <c r="D276" s="715"/>
    </row>
    <row r="277" spans="4:4">
      <c r="D277" s="715"/>
    </row>
    <row r="278" spans="4:4">
      <c r="D278" s="715"/>
    </row>
    <row r="279" spans="4:4">
      <c r="D279" s="715"/>
    </row>
    <row r="280" spans="4:4">
      <c r="D280" s="715"/>
    </row>
    <row r="281" spans="4:4">
      <c r="D281" s="715"/>
    </row>
    <row r="282" spans="4:4">
      <c r="D282" s="715"/>
    </row>
    <row r="283" spans="4:4">
      <c r="D283" s="715"/>
    </row>
    <row r="284" spans="4:4">
      <c r="D284" s="715"/>
    </row>
    <row r="285" spans="4:4">
      <c r="D285" s="715"/>
    </row>
    <row r="286" spans="4:4">
      <c r="D286" s="715"/>
    </row>
    <row r="287" spans="4:4">
      <c r="D287" s="715"/>
    </row>
    <row r="288" spans="4:4">
      <c r="D288" s="715"/>
    </row>
    <row r="289" spans="4:4">
      <c r="D289" s="715"/>
    </row>
    <row r="290" spans="4:4">
      <c r="D290" s="715"/>
    </row>
    <row r="291" spans="4:4">
      <c r="D291" s="715"/>
    </row>
    <row r="292" spans="4:4">
      <c r="D292" s="715"/>
    </row>
    <row r="293" spans="4:4">
      <c r="D293" s="715"/>
    </row>
    <row r="294" spans="4:4">
      <c r="D294" s="715"/>
    </row>
    <row r="295" spans="4:4">
      <c r="D295" s="715"/>
    </row>
    <row r="296" spans="4:4">
      <c r="D296" s="715"/>
    </row>
    <row r="297" spans="4:4">
      <c r="D297" s="715"/>
    </row>
    <row r="298" spans="4:4">
      <c r="D298" s="715"/>
    </row>
    <row r="299" spans="4:4">
      <c r="D299" s="715"/>
    </row>
    <row r="300" spans="4:4">
      <c r="D300" s="715"/>
    </row>
    <row r="301" spans="4:4">
      <c r="D301" s="715"/>
    </row>
    <row r="302" spans="4:4">
      <c r="D302" s="715"/>
    </row>
    <row r="303" spans="4:4">
      <c r="D303" s="715"/>
    </row>
    <row r="304" spans="4:4">
      <c r="D304" s="715"/>
    </row>
    <row r="305" spans="4:4">
      <c r="D305" s="715"/>
    </row>
    <row r="306" spans="4:4">
      <c r="D306" s="715"/>
    </row>
    <row r="307" spans="4:4">
      <c r="D307" s="715"/>
    </row>
    <row r="308" spans="4:4">
      <c r="D308" s="715"/>
    </row>
    <row r="309" spans="4:4">
      <c r="D309" s="715"/>
    </row>
    <row r="310" spans="4:4">
      <c r="D310" s="715"/>
    </row>
    <row r="311" spans="4:4">
      <c r="D311" s="715"/>
    </row>
    <row r="312" spans="4:4">
      <c r="D312" s="715"/>
    </row>
    <row r="313" spans="4:4">
      <c r="D313" s="715"/>
    </row>
    <row r="314" spans="4:4">
      <c r="D314" s="715"/>
    </row>
    <row r="315" spans="4:4">
      <c r="D315" s="715"/>
    </row>
    <row r="316" spans="4:4">
      <c r="D316" s="715"/>
    </row>
    <row r="317" spans="4:4">
      <c r="D317" s="715"/>
    </row>
    <row r="318" spans="4:4">
      <c r="D318" s="715"/>
    </row>
    <row r="319" spans="4:4">
      <c r="D319" s="715"/>
    </row>
    <row r="320" spans="4:4">
      <c r="D320" s="715"/>
    </row>
    <row r="321" spans="4:4">
      <c r="D321" s="715"/>
    </row>
    <row r="322" spans="4:4">
      <c r="D322" s="715"/>
    </row>
    <row r="323" spans="4:4">
      <c r="D323" s="715"/>
    </row>
    <row r="324" spans="4:4">
      <c r="D324" s="715"/>
    </row>
    <row r="325" spans="4:4">
      <c r="D325" s="715"/>
    </row>
    <row r="326" spans="4:4">
      <c r="D326" s="715"/>
    </row>
    <row r="327" spans="4:4">
      <c r="D327" s="715"/>
    </row>
    <row r="328" spans="4:4">
      <c r="D328" s="715"/>
    </row>
    <row r="329" spans="4:4">
      <c r="D329" s="715"/>
    </row>
    <row r="330" spans="4:4">
      <c r="D330" s="715"/>
    </row>
    <row r="331" spans="4:4">
      <c r="D331" s="715"/>
    </row>
    <row r="332" spans="4:4">
      <c r="D332" s="715"/>
    </row>
    <row r="333" spans="4:4">
      <c r="D333" s="715"/>
    </row>
    <row r="334" spans="4:4">
      <c r="D334" s="715"/>
    </row>
    <row r="335" spans="4:4">
      <c r="D335" s="715"/>
    </row>
    <row r="336" spans="4:4">
      <c r="D336" s="715"/>
    </row>
    <row r="337" spans="4:4">
      <c r="D337" s="715"/>
    </row>
    <row r="338" spans="4:4">
      <c r="D338" s="715"/>
    </row>
    <row r="339" spans="4:4">
      <c r="D339" s="715"/>
    </row>
    <row r="340" spans="4:4">
      <c r="D340" s="715"/>
    </row>
    <row r="341" spans="4:4">
      <c r="D341" s="715"/>
    </row>
    <row r="342" spans="4:4">
      <c r="D342" s="715"/>
    </row>
    <row r="343" spans="4:4">
      <c r="D343" s="715"/>
    </row>
    <row r="344" spans="4:4">
      <c r="D344" s="715"/>
    </row>
    <row r="345" spans="4:4">
      <c r="D345" s="715"/>
    </row>
    <row r="346" spans="4:4">
      <c r="D346" s="715"/>
    </row>
    <row r="347" spans="4:4">
      <c r="D347" s="715"/>
    </row>
    <row r="348" spans="4:4">
      <c r="D348" s="715"/>
    </row>
    <row r="349" spans="4:4">
      <c r="D349" s="715"/>
    </row>
    <row r="350" spans="4:4">
      <c r="D350" s="715"/>
    </row>
    <row r="351" spans="4:4">
      <c r="D351" s="715"/>
    </row>
    <row r="352" spans="4:4">
      <c r="D352" s="715"/>
    </row>
    <row r="353" spans="4:4">
      <c r="D353" s="715"/>
    </row>
    <row r="354" spans="4:4">
      <c r="D354" s="715"/>
    </row>
    <row r="355" spans="4:4">
      <c r="D355" s="715"/>
    </row>
    <row r="356" spans="4:4">
      <c r="D356" s="715"/>
    </row>
    <row r="357" spans="4:4">
      <c r="D357" s="715"/>
    </row>
    <row r="358" spans="4:4">
      <c r="D358" s="715"/>
    </row>
    <row r="359" spans="4:4">
      <c r="D359" s="715"/>
    </row>
  </sheetData>
  <sheetProtection algorithmName="SHA-512" hashValue="BMb1Ldf1IG7/Fm3FXOjSear506OUX1lWjppHU9XriedKeXvJGGIMr5tah6o1uhDX7xkmsMNrUgKRaOAj2PHsHw==" saltValue="lf+X07yJiDPLPHf0hwZhMQ==" spinCount="100000" sheet="1" objects="1" scenarios="1"/>
  <mergeCells count="2">
    <mergeCell ref="A7:F7"/>
    <mergeCell ref="A8:F8"/>
  </mergeCells>
  <pageMargins left="0.7" right="0.7" top="0.82291666666666663" bottom="0.75" header="0.3" footer="0.3"/>
  <pageSetup orientation="portrait"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A08DDDAD-3888-454F-BEB0-DC5A0835EEE5}">
          <x14:formula1>
            <xm:f>'S1&amp;2 Lists'!$CK$3:$CK$17</xm:f>
          </x14:formula1>
          <xm:sqref>D11:D359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07ED-04D7-4220-9C27-7CA20A72E438}">
  <sheetPr codeName="Sheet14">
    <tabColor rgb="FFFFFFCC"/>
  </sheetPr>
  <dimension ref="B1:AB46"/>
  <sheetViews>
    <sheetView showGridLines="0" zoomScaleNormal="100" workbookViewId="0">
      <selection activeCell="B5" sqref="B5"/>
    </sheetView>
  </sheetViews>
  <sheetFormatPr defaultColWidth="8.875" defaultRowHeight="14.25"/>
  <cols>
    <col min="1" max="1" width="3" style="30" customWidth="1"/>
    <col min="2" max="2" width="27.625" style="30" customWidth="1"/>
    <col min="3" max="3" width="37" style="30" customWidth="1"/>
    <col min="4" max="4" width="12" style="30" customWidth="1"/>
    <col min="5" max="11" width="8.875" style="30"/>
    <col min="12" max="12" width="10" style="30" customWidth="1"/>
    <col min="13" max="13" width="2.75" style="30" customWidth="1"/>
    <col min="14" max="14" width="8.875" style="30"/>
    <col min="15" max="15" width="10.875" style="30" customWidth="1"/>
    <col min="16" max="16384" width="8.875" style="30"/>
  </cols>
  <sheetData>
    <row r="1" spans="2:21" ht="25.7" customHeight="1">
      <c r="B1" s="1532" t="s">
        <v>4093</v>
      </c>
      <c r="C1" s="1533"/>
      <c r="D1" s="1533"/>
      <c r="E1" s="1533"/>
      <c r="F1" s="1533"/>
      <c r="G1" s="1533"/>
      <c r="H1" s="1533"/>
      <c r="I1" s="1533"/>
      <c r="J1" s="1533"/>
      <c r="K1" s="1533"/>
      <c r="L1" s="1533"/>
      <c r="M1" s="1533"/>
      <c r="N1" s="1533"/>
      <c r="O1" s="1534"/>
      <c r="P1"/>
    </row>
    <row r="2" spans="2:21" ht="9" customHeight="1">
      <c r="B2" s="868"/>
      <c r="C2" s="869"/>
      <c r="D2" s="869"/>
      <c r="E2" s="869"/>
      <c r="F2" s="869"/>
      <c r="G2" s="869"/>
      <c r="H2" s="869"/>
      <c r="I2" s="869"/>
      <c r="J2" s="869"/>
      <c r="K2" s="869"/>
      <c r="L2" s="869"/>
      <c r="M2" s="869"/>
      <c r="N2" s="869"/>
      <c r="O2" s="870"/>
      <c r="P2"/>
    </row>
    <row r="3" spans="2:21" ht="15.95" customHeight="1">
      <c r="B3" s="867" t="s">
        <v>4096</v>
      </c>
      <c r="C3" s="846"/>
      <c r="D3" s="846"/>
      <c r="E3" s="846"/>
      <c r="F3" s="846"/>
      <c r="G3" s="846"/>
      <c r="H3" s="846"/>
      <c r="I3" s="846"/>
      <c r="J3" s="846"/>
      <c r="K3" s="846"/>
      <c r="L3" s="846"/>
      <c r="M3" s="846"/>
      <c r="N3" s="846"/>
      <c r="O3" s="850"/>
    </row>
    <row r="4" spans="2:21" ht="15.95" customHeight="1">
      <c r="B4" s="867" t="s">
        <v>4217</v>
      </c>
      <c r="C4" s="846"/>
      <c r="D4" s="846"/>
      <c r="E4" s="846"/>
      <c r="F4" s="846"/>
      <c r="G4" s="846"/>
      <c r="H4" s="846"/>
      <c r="I4" s="846"/>
      <c r="J4" s="846"/>
      <c r="K4" s="846"/>
      <c r="L4" s="846"/>
      <c r="M4" s="846"/>
      <c r="N4" s="846"/>
      <c r="O4" s="850"/>
    </row>
    <row r="5" spans="2:21" ht="15.95" customHeight="1">
      <c r="B5" s="867" t="s">
        <v>4218</v>
      </c>
      <c r="C5" s="846"/>
      <c r="D5" s="846"/>
      <c r="E5" s="846"/>
      <c r="F5" s="846"/>
      <c r="G5" s="846"/>
      <c r="H5" s="846"/>
      <c r="I5" s="846"/>
      <c r="J5" s="846"/>
      <c r="K5" s="846"/>
      <c r="L5" s="846"/>
      <c r="M5" s="846"/>
      <c r="N5" s="846"/>
      <c r="O5" s="850"/>
    </row>
    <row r="6" spans="2:21" ht="15.95" customHeight="1" thickBot="1">
      <c r="B6" s="867" t="s">
        <v>4224</v>
      </c>
      <c r="E6" s="851"/>
      <c r="F6" s="851"/>
      <c r="G6" s="851"/>
      <c r="H6" s="851"/>
      <c r="I6" s="851"/>
      <c r="J6" s="851"/>
      <c r="K6" s="851"/>
      <c r="L6" s="103"/>
      <c r="M6" s="103"/>
      <c r="O6" s="859"/>
      <c r="P6" s="842"/>
      <c r="Q6" s="842"/>
      <c r="R6" s="842"/>
      <c r="S6" s="842"/>
      <c r="T6" s="842"/>
    </row>
    <row r="7" spans="2:21" ht="27" thickBot="1">
      <c r="B7" s="853"/>
      <c r="E7" s="912" t="s">
        <v>4221</v>
      </c>
      <c r="F7" s="911">
        <v>2025</v>
      </c>
      <c r="G7" s="910" t="s">
        <v>4219</v>
      </c>
      <c r="L7"/>
      <c r="M7"/>
      <c r="N7" s="842"/>
      <c r="O7" s="854"/>
      <c r="P7" s="842"/>
      <c r="Q7" s="842"/>
      <c r="R7" s="842"/>
      <c r="S7" s="842"/>
      <c r="T7" s="842"/>
      <c r="U7" s="41"/>
    </row>
    <row r="8" spans="2:21" ht="15.75" customHeight="1" thickBot="1">
      <c r="B8" s="853"/>
      <c r="E8" s="913"/>
      <c r="G8" s="909"/>
      <c r="K8" s="858"/>
      <c r="L8"/>
      <c r="M8"/>
      <c r="N8" s="842"/>
      <c r="O8" s="854"/>
      <c r="P8" s="842"/>
      <c r="Q8" s="842"/>
      <c r="R8" s="842"/>
      <c r="S8" s="842"/>
      <c r="T8" s="842"/>
      <c r="U8" s="41"/>
    </row>
    <row r="9" spans="2:21" ht="26.25" thickBot="1">
      <c r="B9" s="853"/>
      <c r="E9" s="912" t="s">
        <v>4222</v>
      </c>
      <c r="F9" s="857">
        <v>0.97</v>
      </c>
      <c r="G9" s="910" t="s">
        <v>4220</v>
      </c>
      <c r="L9" s="103"/>
      <c r="M9" s="103"/>
      <c r="N9" s="103"/>
      <c r="O9" s="852"/>
      <c r="P9" s="103"/>
      <c r="U9" s="41"/>
    </row>
    <row r="10" spans="2:21">
      <c r="B10" s="853"/>
      <c r="F10" s="103"/>
      <c r="G10" s="103"/>
      <c r="H10" s="103"/>
      <c r="I10" s="103"/>
      <c r="J10" s="103"/>
      <c r="K10" s="103"/>
      <c r="L10" s="103"/>
      <c r="M10" s="103"/>
      <c r="N10" s="103"/>
      <c r="O10" s="852"/>
      <c r="P10" s="103"/>
      <c r="Q10" s="103"/>
      <c r="R10" s="103"/>
      <c r="S10" s="103"/>
      <c r="T10" s="103"/>
      <c r="U10" s="41"/>
    </row>
    <row r="11" spans="2:21" ht="30.75" customHeight="1">
      <c r="B11" s="915" t="s">
        <v>4223</v>
      </c>
      <c r="C11" s="914"/>
      <c r="D11"/>
      <c r="E11"/>
      <c r="F11"/>
      <c r="G11"/>
      <c r="H11"/>
      <c r="I11"/>
      <c r="L11"/>
      <c r="M11" s="842"/>
      <c r="O11" s="854"/>
      <c r="U11" s="41"/>
    </row>
    <row r="12" spans="2:21" s="918" customFormat="1" ht="29.25" customHeight="1" thickBot="1">
      <c r="B12" s="923" t="s">
        <v>1204</v>
      </c>
      <c r="C12" s="916"/>
      <c r="D12" s="917"/>
      <c r="E12" s="917"/>
      <c r="F12" s="917"/>
      <c r="G12" s="917"/>
      <c r="H12" s="917"/>
      <c r="I12" s="917"/>
      <c r="K12" s="919"/>
      <c r="L12" s="917"/>
      <c r="M12" s="920"/>
      <c r="O12" s="921"/>
      <c r="U12" s="922"/>
    </row>
    <row r="13" spans="2:21" ht="21" customHeight="1" thickBot="1">
      <c r="B13" s="847" t="s">
        <v>4227</v>
      </c>
      <c r="C13" s="848" t="s">
        <v>1205</v>
      </c>
      <c r="D13" s="863" t="s">
        <v>4095</v>
      </c>
      <c r="E13" s="864"/>
      <c r="F13" s="864"/>
      <c r="G13" s="864"/>
      <c r="H13" s="864"/>
      <c r="I13" s="864"/>
      <c r="K13"/>
      <c r="L13"/>
      <c r="M13" s="842"/>
      <c r="O13" s="854"/>
    </row>
    <row r="14" spans="2:21" ht="105" customHeight="1" thickBot="1">
      <c r="B14" s="847" t="s">
        <v>1206</v>
      </c>
      <c r="C14" s="849" t="s">
        <v>4092</v>
      </c>
      <c r="D14" s="866" t="s">
        <v>4098</v>
      </c>
      <c r="E14" s="864"/>
      <c r="F14" s="864"/>
      <c r="G14" s="864"/>
      <c r="H14" s="864"/>
      <c r="I14" s="865"/>
      <c r="J14" s="843"/>
      <c r="O14" s="854"/>
    </row>
    <row r="15" spans="2:21" ht="151.5" customHeight="1" thickBot="1">
      <c r="B15" s="847" t="s">
        <v>1207</v>
      </c>
      <c r="C15" s="849" t="s">
        <v>4228</v>
      </c>
      <c r="D15" s="1535" t="s">
        <v>4094</v>
      </c>
      <c r="E15" s="1536"/>
      <c r="F15" s="1536"/>
      <c r="G15" s="1536"/>
      <c r="H15" s="1536"/>
      <c r="I15" s="1536"/>
      <c r="J15" s="844"/>
      <c r="K15"/>
      <c r="L15"/>
      <c r="M15" s="845"/>
      <c r="O15" s="854"/>
    </row>
    <row r="16" spans="2:21" ht="10.5" customHeight="1">
      <c r="B16" s="860"/>
      <c r="C16" s="845"/>
      <c r="D16" s="845"/>
      <c r="E16" s="845"/>
      <c r="F16" s="845"/>
      <c r="G16" s="845"/>
      <c r="H16" s="845"/>
      <c r="I16" s="845"/>
      <c r="J16" s="845"/>
      <c r="K16" s="845"/>
      <c r="L16" s="845"/>
      <c r="M16" s="845"/>
      <c r="O16" s="854"/>
    </row>
    <row r="17" spans="2:28">
      <c r="B17" s="867" t="s">
        <v>4225</v>
      </c>
      <c r="L17" s="842"/>
      <c r="M17" s="842"/>
      <c r="O17" s="854"/>
    </row>
    <row r="18" spans="2:28">
      <c r="B18" s="867" t="s">
        <v>4226</v>
      </c>
      <c r="L18" s="842"/>
      <c r="M18" s="842"/>
      <c r="O18" s="854"/>
    </row>
    <row r="19" spans="2:28" ht="29.25" customHeight="1" thickBot="1">
      <c r="B19" s="861" t="s">
        <v>1202</v>
      </c>
      <c r="C19" s="855"/>
      <c r="D19" s="855"/>
      <c r="E19" s="855"/>
      <c r="F19" s="855"/>
      <c r="G19" s="855"/>
      <c r="H19" s="855"/>
      <c r="I19" s="855"/>
      <c r="J19" s="855"/>
      <c r="K19" s="855"/>
      <c r="L19" s="862"/>
      <c r="M19" s="862"/>
      <c r="N19" s="855"/>
      <c r="O19" s="856"/>
    </row>
    <row r="20" spans="2:28">
      <c r="B20" s="103"/>
      <c r="L20" s="103"/>
      <c r="M20" s="103"/>
      <c r="U20" s="41"/>
      <c r="V20" s="41"/>
      <c r="W20" s="41"/>
      <c r="X20" s="41"/>
      <c r="Y20" s="41"/>
      <c r="Z20" s="41"/>
      <c r="AA20" s="41"/>
      <c r="AB20" s="41"/>
    </row>
    <row r="21" spans="2:28" ht="15" customHeight="1">
      <c r="B21" s="103"/>
      <c r="L21" s="103"/>
      <c r="M21" s="103"/>
    </row>
    <row r="22" spans="2:28">
      <c r="B22" s="103"/>
      <c r="L22" s="103"/>
      <c r="M22" s="103"/>
    </row>
    <row r="23" spans="2:28">
      <c r="B23" s="103"/>
      <c r="L23" s="103"/>
      <c r="M23" s="103"/>
    </row>
    <row r="24" spans="2:28">
      <c r="B24" s="103"/>
      <c r="L24" s="103"/>
      <c r="M24" s="103"/>
    </row>
    <row r="31" spans="2:28" ht="5.25" customHeight="1"/>
    <row r="32" spans="2:28" ht="19.5" customHeight="1">
      <c r="B32" s="103"/>
    </row>
    <row r="33" spans="2:2">
      <c r="B33" s="103"/>
    </row>
    <row r="34" spans="2:2">
      <c r="B34" s="103"/>
    </row>
    <row r="35" spans="2:2">
      <c r="B35" s="103"/>
    </row>
    <row r="36" spans="2:2">
      <c r="B36" s="103"/>
    </row>
    <row r="37" spans="2:2">
      <c r="B37" s="103"/>
    </row>
    <row r="38" spans="2:2">
      <c r="B38" s="103"/>
    </row>
    <row r="39" spans="2:2">
      <c r="B39" s="103"/>
    </row>
    <row r="40" spans="2:2">
      <c r="B40" s="103"/>
    </row>
    <row r="41" spans="2:2">
      <c r="B41" s="103"/>
    </row>
    <row r="42" spans="2:2">
      <c r="B42" s="103"/>
    </row>
    <row r="43" spans="2:2">
      <c r="B43" s="103"/>
    </row>
    <row r="44" spans="2:2">
      <c r="B44" s="103"/>
    </row>
    <row r="45" spans="2:2">
      <c r="B45" s="103"/>
    </row>
    <row r="46" spans="2:2">
      <c r="B46" s="103"/>
    </row>
  </sheetData>
  <sheetProtection algorithmName="SHA-512" hashValue="7MP6FF4qvH6fTAFGPnLojeWMlGgG9WGmSkrhJYxJ7X1nAUjzuMIPxsRpUyfewP6MKd7DpvmMjgfQGZSM5y1aNw==" saltValue="zt//KUY1XFqY/iuOn8sq9g==" spinCount="100000" sheet="1" objects="1" scenarios="1"/>
  <mergeCells count="2">
    <mergeCell ref="B1:O1"/>
    <mergeCell ref="D15:I15"/>
  </mergeCells>
  <hyperlinks>
    <hyperlink ref="B12" r:id="rId1" xr:uid="{4EF3926B-A798-4EAC-90D1-CC5DF8778FE6}"/>
    <hyperlink ref="B19" location="References!A1" display="See the References tab for links to these resources." xr:uid="{9434A2A3-6919-432B-BB22-186D9E601963}"/>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BF64-48C6-4582-A004-80274A155EA3}">
  <sheetPr codeName="Sheet12">
    <tabColor theme="3" tint="0.59999389629810485"/>
  </sheetPr>
  <dimension ref="B1:N57"/>
  <sheetViews>
    <sheetView showGridLines="0" tabSelected="1" workbookViewId="0">
      <pane ySplit="1" topLeftCell="A2" activePane="bottomLeft" state="frozen"/>
      <selection pane="bottomLeft" sqref="A1:XFD1048576"/>
    </sheetView>
  </sheetViews>
  <sheetFormatPr defaultRowHeight="14.25"/>
  <cols>
    <col min="1" max="1" width="11.5" style="30" customWidth="1"/>
    <col min="2" max="2" width="197.625" style="30" customWidth="1"/>
    <col min="3" max="3" width="15.625" style="30" customWidth="1"/>
    <col min="4" max="8" width="34" style="30" customWidth="1"/>
    <col min="9" max="16384" width="9" style="30"/>
  </cols>
  <sheetData>
    <row r="1" spans="2:2" ht="20.25">
      <c r="B1" s="23" t="s">
        <v>1123</v>
      </c>
    </row>
    <row r="3" spans="2:2">
      <c r="B3" s="1381" t="s">
        <v>1124</v>
      </c>
    </row>
    <row r="4" spans="2:2">
      <c r="B4" s="1040"/>
    </row>
    <row r="5" spans="2:2" ht="15">
      <c r="B5" s="1382" t="s">
        <v>1125</v>
      </c>
    </row>
    <row r="6" spans="2:2">
      <c r="B6" s="1381" t="s">
        <v>1126</v>
      </c>
    </row>
    <row r="7" spans="2:2">
      <c r="B7" s="1381" t="s">
        <v>1127</v>
      </c>
    </row>
    <row r="8" spans="2:2">
      <c r="B8" s="1381" t="s">
        <v>1128</v>
      </c>
    </row>
    <row r="10" spans="2:2" ht="15">
      <c r="B10" s="1381" t="s">
        <v>1129</v>
      </c>
    </row>
    <row r="11" spans="2:2">
      <c r="B11" s="1383" t="s">
        <v>1130</v>
      </c>
    </row>
    <row r="12" spans="2:2">
      <c r="B12" s="1383" t="s">
        <v>1131</v>
      </c>
    </row>
    <row r="14" spans="2:2" ht="15">
      <c r="B14" s="30" t="s">
        <v>1132</v>
      </c>
    </row>
    <row r="15" spans="2:2">
      <c r="B15" s="1216" t="s">
        <v>1133</v>
      </c>
    </row>
    <row r="16" spans="2:2">
      <c r="B16" s="1216" t="s">
        <v>1134</v>
      </c>
    </row>
    <row r="17" spans="2:14">
      <c r="B17" s="1216" t="s">
        <v>1135</v>
      </c>
    </row>
    <row r="18" spans="2:14">
      <c r="B18" s="1216" t="s">
        <v>1136</v>
      </c>
    </row>
    <row r="19" spans="2:14">
      <c r="B19" s="1216" t="s">
        <v>1137</v>
      </c>
    </row>
    <row r="21" spans="2:14" ht="15">
      <c r="B21" s="30" t="s">
        <v>1138</v>
      </c>
    </row>
    <row r="22" spans="2:14">
      <c r="B22" s="1216" t="s">
        <v>1139</v>
      </c>
    </row>
    <row r="24" spans="2:14" ht="15">
      <c r="B24" s="30" t="s">
        <v>1140</v>
      </c>
    </row>
    <row r="25" spans="2:14">
      <c r="B25" s="1216" t="s">
        <v>3309</v>
      </c>
    </row>
    <row r="26" spans="2:14">
      <c r="B26" s="1216" t="s">
        <v>1141</v>
      </c>
    </row>
    <row r="27" spans="2:14" ht="32.25" customHeight="1">
      <c r="B27" s="1384" t="s">
        <v>4200</v>
      </c>
      <c r="C27" s="1384"/>
      <c r="D27" s="1384"/>
      <c r="E27" s="1384"/>
      <c r="F27" s="1384"/>
      <c r="G27" s="1384"/>
      <c r="H27" s="1384"/>
      <c r="I27" s="1384"/>
      <c r="J27" s="1384"/>
      <c r="K27" s="1384"/>
      <c r="L27" s="1384"/>
      <c r="M27" s="1384"/>
      <c r="N27" s="1384"/>
    </row>
    <row r="28" spans="2:14">
      <c r="B28" s="1385" t="s">
        <v>4201</v>
      </c>
    </row>
    <row r="29" spans="2:14">
      <c r="B29" s="1216" t="s">
        <v>1142</v>
      </c>
    </row>
    <row r="30" spans="2:14">
      <c r="B30" s="1216" t="s">
        <v>1143</v>
      </c>
    </row>
    <row r="31" spans="2:14">
      <c r="B31" s="1216" t="s">
        <v>1144</v>
      </c>
    </row>
    <row r="33" spans="2:2" ht="15">
      <c r="B33" s="30" t="s">
        <v>3308</v>
      </c>
    </row>
    <row r="34" spans="2:2">
      <c r="B34" s="1216" t="s">
        <v>4202</v>
      </c>
    </row>
    <row r="35" spans="2:2">
      <c r="B35" s="1216" t="s">
        <v>4075</v>
      </c>
    </row>
    <row r="36" spans="2:2">
      <c r="B36" s="1386" t="s">
        <v>4076</v>
      </c>
    </row>
    <row r="37" spans="2:2">
      <c r="B37" s="1386" t="s">
        <v>4189</v>
      </c>
    </row>
    <row r="38" spans="2:2">
      <c r="B38" s="1386" t="s">
        <v>4190</v>
      </c>
    </row>
    <row r="39" spans="2:2">
      <c r="B39" s="1386" t="s">
        <v>4215</v>
      </c>
    </row>
    <row r="40" spans="2:2">
      <c r="B40" s="1386" t="s">
        <v>4191</v>
      </c>
    </row>
    <row r="41" spans="2:2">
      <c r="B41" s="1386" t="s">
        <v>4086</v>
      </c>
    </row>
    <row r="42" spans="2:2" ht="31.5" customHeight="1">
      <c r="B42" s="1387" t="s">
        <v>4199</v>
      </c>
    </row>
    <row r="43" spans="2:2">
      <c r="B43" s="1386" t="s">
        <v>4078</v>
      </c>
    </row>
    <row r="44" spans="2:2">
      <c r="B44" s="1388" t="s">
        <v>4079</v>
      </c>
    </row>
    <row r="45" spans="2:2">
      <c r="B45" s="1386" t="s">
        <v>4080</v>
      </c>
    </row>
    <row r="46" spans="2:2">
      <c r="B46" s="1389" t="s">
        <v>4081</v>
      </c>
    </row>
    <row r="47" spans="2:2" ht="28.5">
      <c r="B47" s="1390" t="s">
        <v>4077</v>
      </c>
    </row>
    <row r="48" spans="2:2">
      <c r="B48" s="1386" t="s">
        <v>4082</v>
      </c>
    </row>
    <row r="49" spans="2:2">
      <c r="B49" s="1386" t="s">
        <v>4083</v>
      </c>
    </row>
    <row r="50" spans="2:2">
      <c r="B50" s="1387" t="s">
        <v>4084</v>
      </c>
    </row>
    <row r="51" spans="2:2">
      <c r="B51" s="1386" t="s">
        <v>4085</v>
      </c>
    </row>
    <row r="52" spans="2:2">
      <c r="B52" s="1386" t="s">
        <v>4192</v>
      </c>
    </row>
    <row r="53" spans="2:2">
      <c r="B53" s="1216"/>
    </row>
    <row r="54" spans="2:2" ht="15">
      <c r="B54" s="30" t="s">
        <v>4341</v>
      </c>
    </row>
    <row r="55" spans="2:2">
      <c r="B55" s="1216" t="s">
        <v>4216</v>
      </c>
    </row>
    <row r="56" spans="2:2">
      <c r="B56" s="1216" t="s">
        <v>4229</v>
      </c>
    </row>
    <row r="57" spans="2:2">
      <c r="B57" s="1216" t="s">
        <v>4340</v>
      </c>
    </row>
  </sheetData>
  <sheetProtection algorithmName="SHA-512" hashValue="AfoQSOD2ekOsM4iHiEodrRQI6V77/64zx297chkA/4+9xU2fG12c9nWhpQZ0JgE3whWrCWhgxBFbnXEGF8KAww==" saltValue="LkMkyUVfTqOOraqwdnXqZA==" spinCount="100000" sheet="1" objects="1" scenarios="1" selectLockedCells="1" selectUnlockedCells="1"/>
  <hyperlinks>
    <hyperlink ref="B1" r:id="rId1" xr:uid="{D9153599-98EC-46BB-9944-0CF7EC9EED84}"/>
  </hyperlinks>
  <pageMargins left="0.7" right="0.7" top="0.75" bottom="0.75" header="0.3" footer="0.3"/>
  <pageSetup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0162-7C43-431C-8D49-F2E50E035D60}">
  <sheetPr codeName="Sheet13">
    <tabColor theme="3" tint="0.59999389629810485"/>
  </sheetPr>
  <dimension ref="B3:H31"/>
  <sheetViews>
    <sheetView showGridLines="0" zoomScale="90" zoomScaleNormal="90" workbookViewId="0">
      <selection activeCell="B1" sqref="B1"/>
    </sheetView>
  </sheetViews>
  <sheetFormatPr defaultColWidth="9.125" defaultRowHeight="14.25"/>
  <cols>
    <col min="1" max="1" width="2.625" style="4" customWidth="1"/>
    <col min="2" max="2" width="7.125" style="4" customWidth="1"/>
    <col min="3" max="3" width="50.5" style="4" bestFit="1" customWidth="1"/>
    <col min="4" max="4" width="30.125" style="80" customWidth="1"/>
    <col min="5" max="5" width="84.625" style="4" customWidth="1"/>
    <col min="6" max="6" width="37" style="4" customWidth="1"/>
    <col min="7" max="7" width="62.375" style="4" customWidth="1"/>
    <col min="8" max="19" width="9.125" style="4"/>
    <col min="20" max="20" width="9.125" style="4" customWidth="1"/>
    <col min="21" max="16384" width="9.125" style="4"/>
  </cols>
  <sheetData>
    <row r="3" spans="2:8">
      <c r="D3" s="9"/>
      <c r="E3"/>
    </row>
    <row r="4" spans="2:8">
      <c r="D4" s="9"/>
      <c r="E4"/>
    </row>
    <row r="5" spans="2:8">
      <c r="D5" s="9"/>
      <c r="E5"/>
    </row>
    <row r="6" spans="2:8">
      <c r="D6" s="9"/>
      <c r="E6"/>
    </row>
    <row r="7" spans="2:8">
      <c r="D7" s="9"/>
      <c r="E7"/>
    </row>
    <row r="8" spans="2:8">
      <c r="D8" s="9"/>
      <c r="E8"/>
    </row>
    <row r="10" spans="2:8" s="6" customFormat="1" ht="27.75">
      <c r="B10" s="76" t="s">
        <v>1145</v>
      </c>
      <c r="C10" s="77"/>
      <c r="D10" s="77"/>
      <c r="E10" s="78" t="s">
        <v>4342</v>
      </c>
      <c r="F10" s="77"/>
      <c r="G10" s="77"/>
      <c r="H10" s="79"/>
    </row>
    <row r="11" spans="2:8" ht="12" customHeight="1">
      <c r="C11" s="79"/>
    </row>
    <row r="12" spans="2:8" ht="26.25" thickBot="1">
      <c r="B12" s="22" t="s">
        <v>1146</v>
      </c>
      <c r="C12" s="79"/>
      <c r="D12" s="81"/>
    </row>
    <row r="13" spans="2:8" s="82" customFormat="1" ht="141.75" customHeight="1" thickBot="1">
      <c r="B13" s="1537" t="s">
        <v>1147</v>
      </c>
      <c r="C13" s="1538"/>
      <c r="D13" s="1538"/>
      <c r="E13" s="1539"/>
      <c r="F13"/>
      <c r="G13"/>
    </row>
    <row r="14" spans="2:8" customFormat="1" ht="9" customHeight="1"/>
    <row r="15" spans="2:8" ht="46.5" customHeight="1">
      <c r="C15" s="83" t="s">
        <v>1148</v>
      </c>
      <c r="D15" s="84" t="s">
        <v>1149</v>
      </c>
      <c r="E15" s="84" t="s">
        <v>4110</v>
      </c>
      <c r="F15" s="84" t="s">
        <v>1150</v>
      </c>
      <c r="G15" s="85" t="s">
        <v>1151</v>
      </c>
    </row>
    <row r="16" spans="2:8" s="89" customFormat="1" ht="38.25">
      <c r="B16" s="1540" t="s">
        <v>1152</v>
      </c>
      <c r="C16" s="887" t="s">
        <v>1153</v>
      </c>
      <c r="D16" s="86" t="s">
        <v>1154</v>
      </c>
      <c r="E16" s="87" t="s">
        <v>1155</v>
      </c>
      <c r="F16" s="87" t="s">
        <v>1156</v>
      </c>
      <c r="G16" s="88" t="s">
        <v>1157</v>
      </c>
    </row>
    <row r="17" spans="2:7" s="89" customFormat="1" ht="38.25">
      <c r="B17" s="1541"/>
      <c r="C17" s="888" t="s">
        <v>1158</v>
      </c>
      <c r="D17" s="90" t="s">
        <v>1159</v>
      </c>
      <c r="E17" s="91" t="s">
        <v>1160</v>
      </c>
      <c r="F17" s="91" t="s">
        <v>1156</v>
      </c>
      <c r="G17" s="92" t="s">
        <v>1157</v>
      </c>
    </row>
    <row r="18" spans="2:7" s="89" customFormat="1" ht="25.5">
      <c r="B18" s="1541"/>
      <c r="C18" s="889" t="s">
        <v>1161</v>
      </c>
      <c r="D18" s="90" t="s">
        <v>1162</v>
      </c>
      <c r="E18" s="93" t="s">
        <v>1163</v>
      </c>
      <c r="F18" s="93" t="s">
        <v>1164</v>
      </c>
      <c r="G18" s="94"/>
    </row>
    <row r="19" spans="2:7" s="89" customFormat="1" ht="63.75">
      <c r="B19" s="1541"/>
      <c r="C19" s="889" t="s">
        <v>1165</v>
      </c>
      <c r="D19" s="90" t="s">
        <v>1166</v>
      </c>
      <c r="E19" s="93" t="s">
        <v>1167</v>
      </c>
      <c r="F19" s="93" t="s">
        <v>1156</v>
      </c>
      <c r="G19" s="94"/>
    </row>
    <row r="20" spans="2:7" s="89" customFormat="1" ht="25.5">
      <c r="B20" s="1541"/>
      <c r="C20" s="889" t="s">
        <v>1168</v>
      </c>
      <c r="D20" s="90" t="s">
        <v>1169</v>
      </c>
      <c r="E20" s="93" t="s">
        <v>1170</v>
      </c>
      <c r="F20" s="93" t="s">
        <v>1164</v>
      </c>
      <c r="G20" s="94"/>
    </row>
    <row r="21" spans="2:7" s="89" customFormat="1" ht="25.5">
      <c r="B21" s="1541"/>
      <c r="C21" s="889" t="s">
        <v>1171</v>
      </c>
      <c r="D21" s="90" t="s">
        <v>1172</v>
      </c>
      <c r="E21" s="93" t="s">
        <v>1173</v>
      </c>
      <c r="F21" s="93" t="s">
        <v>1156</v>
      </c>
      <c r="G21" s="94"/>
    </row>
    <row r="22" spans="2:7" s="89" customFormat="1" ht="25.5">
      <c r="B22" s="1541"/>
      <c r="C22" s="889" t="s">
        <v>1174</v>
      </c>
      <c r="D22" s="90" t="s">
        <v>1175</v>
      </c>
      <c r="E22" s="93" t="s">
        <v>1176</v>
      </c>
      <c r="F22" s="93" t="s">
        <v>1164</v>
      </c>
      <c r="G22" s="94"/>
    </row>
    <row r="23" spans="2:7" s="89" customFormat="1" ht="29.25" customHeight="1">
      <c r="B23" s="1542"/>
      <c r="C23" s="890" t="s">
        <v>1177</v>
      </c>
      <c r="D23" s="90" t="s">
        <v>1178</v>
      </c>
      <c r="E23" s="93" t="s">
        <v>1179</v>
      </c>
      <c r="F23" s="93" t="s">
        <v>1164</v>
      </c>
      <c r="G23" s="94"/>
    </row>
    <row r="24" spans="2:7" s="89" customFormat="1" ht="38.25">
      <c r="B24" s="1540" t="s">
        <v>1180</v>
      </c>
      <c r="C24" s="891" t="s">
        <v>1181</v>
      </c>
      <c r="D24" s="90" t="s">
        <v>1182</v>
      </c>
      <c r="E24" s="93" t="s">
        <v>1183</v>
      </c>
      <c r="F24" s="93" t="s">
        <v>1164</v>
      </c>
      <c r="G24" s="94"/>
    </row>
    <row r="25" spans="2:7" s="89" customFormat="1" ht="38.25">
      <c r="B25" s="1541"/>
      <c r="C25" s="892" t="s">
        <v>1184</v>
      </c>
      <c r="D25" s="95" t="s">
        <v>4314</v>
      </c>
      <c r="E25" s="93" t="s">
        <v>1185</v>
      </c>
      <c r="F25" s="95" t="s">
        <v>4314</v>
      </c>
      <c r="G25" s="96" t="s">
        <v>1186</v>
      </c>
    </row>
    <row r="26" spans="2:7" s="89" customFormat="1" ht="38.25">
      <c r="B26" s="1541"/>
      <c r="C26" s="889" t="s">
        <v>1187</v>
      </c>
      <c r="D26" s="90" t="s">
        <v>1188</v>
      </c>
      <c r="E26" s="93" t="s">
        <v>1189</v>
      </c>
      <c r="F26" s="93" t="s">
        <v>1190</v>
      </c>
      <c r="G26" s="94" t="s">
        <v>1191</v>
      </c>
    </row>
    <row r="27" spans="2:7" s="89" customFormat="1" ht="38.25">
      <c r="B27" s="1541"/>
      <c r="C27" s="892" t="s">
        <v>1192</v>
      </c>
      <c r="D27" s="95" t="s">
        <v>4314</v>
      </c>
      <c r="E27" s="93" t="s">
        <v>1193</v>
      </c>
      <c r="F27" s="95" t="s">
        <v>4314</v>
      </c>
      <c r="G27" s="96" t="s">
        <v>1186</v>
      </c>
    </row>
    <row r="28" spans="2:7" s="89" customFormat="1" ht="23.25" customHeight="1">
      <c r="B28" s="1541"/>
      <c r="C28" s="889" t="s">
        <v>1194</v>
      </c>
      <c r="D28" s="90" t="s">
        <v>1178</v>
      </c>
      <c r="E28" s="97" t="s">
        <v>1195</v>
      </c>
      <c r="F28" s="93" t="s">
        <v>1164</v>
      </c>
      <c r="G28" s="94"/>
    </row>
    <row r="29" spans="2:7" s="89" customFormat="1" ht="38.25">
      <c r="B29" s="1541"/>
      <c r="C29" s="892" t="s">
        <v>1196</v>
      </c>
      <c r="D29" s="95" t="s">
        <v>4314</v>
      </c>
      <c r="E29" s="93" t="s">
        <v>1197</v>
      </c>
      <c r="F29" s="95" t="s">
        <v>4314</v>
      </c>
      <c r="G29" s="96" t="s">
        <v>1186</v>
      </c>
    </row>
    <row r="30" spans="2:7" s="89" customFormat="1" ht="25.5">
      <c r="B30" s="1542"/>
      <c r="C30" s="890" t="s">
        <v>1198</v>
      </c>
      <c r="D30" s="98" t="s">
        <v>1199</v>
      </c>
      <c r="E30" s="99" t="s">
        <v>1200</v>
      </c>
      <c r="F30" s="99" t="s">
        <v>1201</v>
      </c>
      <c r="G30" s="100"/>
    </row>
    <row r="31" spans="2:7" ht="18">
      <c r="C31" s="101"/>
      <c r="E31" s="101"/>
      <c r="F31" s="102"/>
    </row>
  </sheetData>
  <sheetProtection algorithmName="SHA-512" hashValue="wIpScYI9W7sCdgsIZfQppNXlaXrN8N0kVk6CU1GHiqNYTYwoMTH/pbX67NW5fDY8kwKXc1cbWJFCXwIK3YxLLg==" saltValue="GmhHMAPparVHRN9c7lfMUw==" spinCount="100000" sheet="1" objects="1" scenarios="1"/>
  <mergeCells count="3">
    <mergeCell ref="B13:E13"/>
    <mergeCell ref="B16:B23"/>
    <mergeCell ref="B24:B30"/>
  </mergeCells>
  <hyperlinks>
    <hyperlink ref="C16" location="'Cat 1 (Goods &amp; Services)'!A1" display="Category 1: Purchased Goods and Services" xr:uid="{E3435889-08D1-4F9D-A441-1DF29C4D8708}"/>
    <hyperlink ref="C17" location="'Cat 2 (Capital Goods)'!A1" display="Category 2: Capital Goods" xr:uid="{0EBB0AE0-E4DF-460C-8022-512CC6242CB6}"/>
    <hyperlink ref="C20" location="'Cat 5 Waste'!A1" display="Category 5: Waste Generated in Operations" xr:uid="{D9D7C3D4-D55F-4BAD-AAD8-4B5188DC042E}"/>
    <hyperlink ref="C21" location="'Cat 6 Business Trav. (spend)'!A1" display="Category 6: Business Travel" xr:uid="{A40FBD4F-C6EF-464A-957E-70AF222CE8DC}"/>
    <hyperlink ref="C22" location="'Cat 7 Employee Commuting'!A1" display="Category 7: Employee commuting" xr:uid="{E0A7B96D-B17E-448E-B3D4-6025B3A51FF0}"/>
    <hyperlink ref="C30" location="'Cat 15 Investments'!A1" display="Category 15: Investments" xr:uid="{29861C57-E945-4635-8A30-B37F709E4D62}"/>
    <hyperlink ref="C19" location="'Cat 4 Upstream Trans &amp; Dist'!A1" display="Category 4: Upstream transportation and distribution" xr:uid="{A9A47C57-4A56-40A6-987E-45D3449D3E9A}"/>
    <hyperlink ref="C26" location="'Cat 11 Use of Sold Products'!A1" display="Category 11: Use of Sold Products" xr:uid="{70036B6C-961D-4ACB-B40F-4DA8B100D8E0}"/>
    <hyperlink ref="C18" location="'Cat 3 Fuel &amp; Energy'!A1" display="Category 3: Fuel- and energy related activities" xr:uid="{8CB76BBC-7CB9-4697-8221-0347CEE581A5}"/>
    <hyperlink ref="C24" location="'Cat 9 (Patient Visits)'!A1" display="Category 9: Downstream Transportation and Distribution [Patient Visits &amp; Telehealth)" xr:uid="{2BAA36AE-6CD9-40CF-977B-B96BCFAECDBF}"/>
    <hyperlink ref="C23" location="'Cat 8 &amp; Cat 13 Leased Assets'!A1" display="Category 8: Upstream Leased Assets" xr:uid="{6702B809-18B2-4FA1-9114-CC38A6A68428}"/>
    <hyperlink ref="C28" location="'Cat 8 &amp; Cat 13 Leased Assets'!A1" display="Category 13: Downstream leased assets" xr:uid="{55FF07FF-C337-4A02-82AC-E3D0CF73F41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F5DC7-C7A5-4F1E-B49B-813D9838560E}">
  <sheetPr codeName="Sheet15">
    <tabColor rgb="FF00B0F0"/>
  </sheetPr>
  <dimension ref="B2:T37"/>
  <sheetViews>
    <sheetView showGridLines="0" topLeftCell="D17" zoomScaleNormal="100" workbookViewId="0">
      <selection activeCell="F19" sqref="F19"/>
    </sheetView>
  </sheetViews>
  <sheetFormatPr defaultColWidth="8.875" defaultRowHeight="14.25"/>
  <cols>
    <col min="1" max="1" width="2.125" style="30" customWidth="1"/>
    <col min="2" max="2" width="7.125" style="30" customWidth="1"/>
    <col min="3" max="3" width="10.375" style="30" customWidth="1"/>
    <col min="4" max="4" width="38.75" style="30" customWidth="1"/>
    <col min="5" max="5" width="11.875" style="30" customWidth="1"/>
    <col min="6" max="6" width="12" style="30" customWidth="1"/>
    <col min="7" max="19" width="8.875" style="30"/>
    <col min="20" max="20" width="6.5" style="30" customWidth="1"/>
    <col min="21" max="16384" width="8.875" style="30"/>
  </cols>
  <sheetData>
    <row r="2" spans="2:20" s="104" customFormat="1">
      <c r="E2" s="105"/>
    </row>
    <row r="3" spans="2:20" s="104" customFormat="1">
      <c r="E3" s="105"/>
    </row>
    <row r="4" spans="2:20" s="104" customFormat="1">
      <c r="E4" s="105"/>
    </row>
    <row r="5" spans="2:20" s="104" customFormat="1">
      <c r="E5" s="105"/>
    </row>
    <row r="6" spans="2:20" s="104" customFormat="1">
      <c r="E6" s="105"/>
    </row>
    <row r="7" spans="2:20" s="104" customFormat="1">
      <c r="E7" s="105"/>
    </row>
    <row r="8" spans="2:20" s="104" customFormat="1">
      <c r="E8" s="105"/>
    </row>
    <row r="9" spans="2:20" s="104" customFormat="1">
      <c r="E9" s="30"/>
      <c r="F9" s="30"/>
      <c r="G9" s="30"/>
      <c r="H9" s="30"/>
    </row>
    <row r="10" spans="2:20" ht="20.25">
      <c r="B10" s="74" t="str">
        <f>"Summary of "&amp;'Reporting Year &amp; Inflation Adj.'!F7&amp;" Scope 3 Emissions Results"</f>
        <v>Summary of 2025 Scope 3 Emissions Results</v>
      </c>
      <c r="C10" s="24"/>
      <c r="D10" s="24"/>
      <c r="E10" s="24"/>
      <c r="F10" s="24"/>
      <c r="G10" s="24"/>
      <c r="H10" s="24"/>
      <c r="I10" s="24"/>
      <c r="J10" s="24"/>
      <c r="K10" s="24"/>
      <c r="L10" s="24"/>
      <c r="M10" s="24"/>
      <c r="N10" s="24"/>
      <c r="O10" s="24"/>
      <c r="P10" s="24"/>
      <c r="Q10" s="24"/>
      <c r="R10" s="24"/>
      <c r="S10" s="24"/>
      <c r="T10" s="24"/>
    </row>
    <row r="12" spans="2:20" ht="30">
      <c r="D12" s="872" t="s">
        <v>1209</v>
      </c>
      <c r="E12" s="872" t="s">
        <v>1210</v>
      </c>
    </row>
    <row r="13" spans="2:20">
      <c r="D13" s="881" t="s">
        <v>6</v>
      </c>
      <c r="E13" s="882">
        <f>'Results &amp; Summary'!$D$7</f>
        <v>0</v>
      </c>
      <c r="F13" s="1543"/>
    </row>
    <row r="14" spans="2:20">
      <c r="D14" s="881" t="s">
        <v>7</v>
      </c>
      <c r="E14" s="882">
        <f>'Results &amp; Summary'!$D$20</f>
        <v>0</v>
      </c>
      <c r="F14" s="1543"/>
    </row>
    <row r="15" spans="2:20">
      <c r="D15" s="881" t="s">
        <v>1211</v>
      </c>
      <c r="E15" s="874">
        <f>$E$35</f>
        <v>0</v>
      </c>
    </row>
    <row r="16" spans="2:20" ht="15">
      <c r="D16" s="883" t="s">
        <v>8</v>
      </c>
      <c r="E16" s="884">
        <f>SUM(E13:E15)</f>
        <v>0</v>
      </c>
    </row>
    <row r="19" spans="2:6" ht="45">
      <c r="B19"/>
      <c r="C19" s="872" t="s">
        <v>1212</v>
      </c>
      <c r="D19" s="872" t="s">
        <v>1213</v>
      </c>
      <c r="E19" s="872" t="s">
        <v>1214</v>
      </c>
      <c r="F19" s="872" t="s">
        <v>3311</v>
      </c>
    </row>
    <row r="20" spans="2:6" ht="15.75" customHeight="1">
      <c r="B20" s="1544" t="s">
        <v>1152</v>
      </c>
      <c r="C20" s="873">
        <v>1</v>
      </c>
      <c r="D20" s="938" t="s">
        <v>1215</v>
      </c>
      <c r="E20" s="877">
        <f>SUM('Cat 1 (Goods &amp; Services)'!$G$17,'Category 1 and 2 (custom input)'!$G$45,'Category 1 and 2 (custom input)'!$G$63,'Category 1 and 2 (custom input)'!$E$91)</f>
        <v>0</v>
      </c>
      <c r="F20" s="939" t="e">
        <f>E20/$E$35</f>
        <v>#DIV/0!</v>
      </c>
    </row>
    <row r="21" spans="2:6" ht="15.75">
      <c r="B21" s="1544"/>
      <c r="C21" s="873">
        <v>2</v>
      </c>
      <c r="D21" s="938" t="s">
        <v>1216</v>
      </c>
      <c r="E21" s="877">
        <f>SUM('Cat 2 (Capital Goods)'!$G$17,'Category 1 and 2 (custom input)'!$N$45,'Category 1 and 2 (custom input)'!$N$63)</f>
        <v>0</v>
      </c>
      <c r="F21" s="939" t="e">
        <f t="shared" ref="F21:F32" si="0">E21/$E$35</f>
        <v>#DIV/0!</v>
      </c>
    </row>
    <row r="22" spans="2:6" ht="15.75">
      <c r="B22" s="1544"/>
      <c r="C22" s="873">
        <v>3</v>
      </c>
      <c r="D22" s="938" t="s">
        <v>1217</v>
      </c>
      <c r="E22" s="877">
        <f>SUM('Cat 3 Fuel &amp; Energy'!G29,'Cat 3 Fuel &amp; Energy'!G36,'Cat 3 Fuel &amp; Energy'!G43,'Cat 3 Fuel &amp; Energy'!F51,'Cat 3 Fuel &amp; Energy'!E59)</f>
        <v>0</v>
      </c>
      <c r="F22" s="939" t="e">
        <f t="shared" si="0"/>
        <v>#DIV/0!</v>
      </c>
    </row>
    <row r="23" spans="2:6" ht="15.75">
      <c r="B23" s="1544"/>
      <c r="C23" s="873">
        <v>4</v>
      </c>
      <c r="D23" s="938" t="s">
        <v>1218</v>
      </c>
      <c r="E23" s="877">
        <f>SUM('Cat 4 Upstream Trans &amp; Dist'!$E$12,'Custom Emissions Inputs - other'!$H$27)</f>
        <v>0</v>
      </c>
      <c r="F23" s="939" t="e">
        <f t="shared" si="0"/>
        <v>#DIV/0!</v>
      </c>
    </row>
    <row r="24" spans="2:6" ht="15.75">
      <c r="B24" s="1544"/>
      <c r="C24" s="873">
        <v>5</v>
      </c>
      <c r="D24" s="938" t="s">
        <v>1219</v>
      </c>
      <c r="E24" s="940">
        <f>SUM('Cat 5 Waste'!$G$46,'Cat 5 Waste'!$G$48,'Cat 5 Waste'!$D$73,'Cat 5 Waste'!$D$75,'Cat 5 Waste'!$E$102,'Cat 5 Waste'!$E$104,'Cat 5 Waste'!$D$135,'Cat 5 Waste'!$D$137,'Cat 5 Waste'!$D$168,'Cat 5 Waste'!$D$170,'Cat 5 Waste'!$G$198,'Cat 5 Waste'!$G$200,'Custom Emissions Inputs - other'!$H$50)</f>
        <v>0</v>
      </c>
      <c r="F24" s="939" t="e">
        <f t="shared" si="0"/>
        <v>#DIV/0!</v>
      </c>
    </row>
    <row r="25" spans="2:6" ht="15.75">
      <c r="B25" s="1544"/>
      <c r="C25" s="873">
        <v>6</v>
      </c>
      <c r="D25" s="938" t="s">
        <v>1220</v>
      </c>
      <c r="E25" s="877">
        <f>SUM('Cat 6 Business Trav. (spend)'!$E$20,'Cat 6 Business Trav. (distance)'!$G$58,'Cat 6 Business Trav. (distance)'!$H$86,'Cat 6 Business Trav. (distance)'!$F$113,'Custom Emissions Inputs - other'!$H$76)</f>
        <v>0</v>
      </c>
      <c r="F25" s="939" t="e">
        <f t="shared" si="0"/>
        <v>#DIV/0!</v>
      </c>
    </row>
    <row r="26" spans="2:6" ht="15.75">
      <c r="B26" s="1544"/>
      <c r="C26" s="873">
        <v>7</v>
      </c>
      <c r="D26" s="938" t="s">
        <v>1221</v>
      </c>
      <c r="E26" s="877">
        <f>SUM('Cat 7 Employee Commuting'!$F$94:$F$95,'Cat 7 Employee Commuting'!$G$66:$G$67,'Cat 7 Employee Commuting'!$G$41:$G$42,'Custom Emissions Inputs - other'!$H$104)</f>
        <v>0</v>
      </c>
      <c r="F26" s="939" t="e">
        <f t="shared" si="0"/>
        <v>#DIV/0!</v>
      </c>
    </row>
    <row r="27" spans="2:6" ht="15.75">
      <c r="B27" s="1544"/>
      <c r="C27" s="873">
        <v>8</v>
      </c>
      <c r="D27" s="938" t="s">
        <v>1222</v>
      </c>
      <c r="E27" s="877">
        <f>SUM('Cat 8 &amp; Cat 13 Leased Assets'!$G$48:$H$48,'Cat 8 &amp; Cat 13 Leased Assets'!$H$76:$I$76,'Cat 8 &amp; Cat 13 Leased Assets'!$P$48:$Q$48,'Cat 8 &amp; Cat 13 Leased Assets'!$Q$76:$R$76)</f>
        <v>0</v>
      </c>
      <c r="F27" s="939" t="e">
        <f t="shared" si="0"/>
        <v>#DIV/0!</v>
      </c>
    </row>
    <row r="28" spans="2:6" ht="28.5" customHeight="1">
      <c r="B28" s="1545" t="s">
        <v>1180</v>
      </c>
      <c r="C28" s="875">
        <v>9</v>
      </c>
      <c r="D28" s="876" t="s">
        <v>1223</v>
      </c>
      <c r="E28" s="877">
        <f>SUM('Cat 9 (Patient Visits)'!$E$45:$E$46,'Cat 9 (Patient Visits)'!$E$73:$E$74,'Cat 9 (Patient Visits)'!$G$97:$G$98,'Custom Emissions Inputs - other'!$D$122,'Custom Emissions Inputs - other'!$E$140)</f>
        <v>0</v>
      </c>
      <c r="F28" s="939" t="e">
        <f t="shared" si="0"/>
        <v>#DIV/0!</v>
      </c>
    </row>
    <row r="29" spans="2:6" ht="15.75">
      <c r="B29" s="1545"/>
      <c r="C29" s="875">
        <v>10</v>
      </c>
      <c r="D29" s="938" t="s">
        <v>1224</v>
      </c>
      <c r="E29" s="1546" t="s">
        <v>4314</v>
      </c>
      <c r="F29" s="1546"/>
    </row>
    <row r="30" spans="2:6" ht="15.75">
      <c r="B30" s="1545"/>
      <c r="C30" s="875">
        <v>11</v>
      </c>
      <c r="D30" s="938" t="s">
        <v>1225</v>
      </c>
      <c r="E30" s="877">
        <f>SUM('Cat 11 Use of Sold Products'!$F$42,'Cat 11 Use of Sold Products'!$F$68)</f>
        <v>0</v>
      </c>
      <c r="F30" s="939" t="e">
        <f t="shared" si="0"/>
        <v>#DIV/0!</v>
      </c>
    </row>
    <row r="31" spans="2:6" ht="15.75">
      <c r="B31" s="1545"/>
      <c r="C31" s="875">
        <v>12</v>
      </c>
      <c r="D31" s="938" t="s">
        <v>1226</v>
      </c>
      <c r="E31" s="1546" t="s">
        <v>4314</v>
      </c>
      <c r="F31" s="1546"/>
    </row>
    <row r="32" spans="2:6" ht="15.75">
      <c r="B32" s="1545"/>
      <c r="C32" s="875">
        <v>13</v>
      </c>
      <c r="D32" s="938" t="s">
        <v>1227</v>
      </c>
      <c r="E32" s="877">
        <f>SUM('Cat 8 &amp; Cat 13 Leased Assets'!$G$103:$H$103,'Cat 8 &amp; Cat 13 Leased Assets'!$H$131:$I$131,'Cat 8 &amp; Cat 13 Leased Assets'!$P$103:$Q$103,'Cat 8 &amp; Cat 13 Leased Assets'!$Q$131:$R$131)</f>
        <v>0</v>
      </c>
      <c r="F32" s="939" t="e">
        <f t="shared" si="0"/>
        <v>#DIV/0!</v>
      </c>
    </row>
    <row r="33" spans="2:6" ht="15.75">
      <c r="B33" s="1545"/>
      <c r="C33" s="875">
        <v>14</v>
      </c>
      <c r="D33" s="938" t="s">
        <v>1228</v>
      </c>
      <c r="E33" s="1546" t="s">
        <v>4314</v>
      </c>
      <c r="F33" s="1546"/>
    </row>
    <row r="34" spans="2:6" ht="15.75">
      <c r="B34" s="1545"/>
      <c r="C34" s="875">
        <v>15</v>
      </c>
      <c r="D34" s="938" t="s">
        <v>1229</v>
      </c>
      <c r="E34" s="877">
        <f>SUM('Cat 15 Investments'!$J$70,'Custom Emissions Inputs - other'!$D$155)</f>
        <v>0</v>
      </c>
      <c r="F34" s="939" t="e">
        <f>E34/$E$35</f>
        <v>#DIV/0!</v>
      </c>
    </row>
    <row r="35" spans="2:6" ht="15">
      <c r="B35" s="886"/>
      <c r="C35" s="885"/>
      <c r="D35" s="878" t="s">
        <v>8</v>
      </c>
      <c r="E35" s="879">
        <f>SUM($E$20:$E$34)</f>
        <v>0</v>
      </c>
      <c r="F35" s="880" t="e">
        <f>SUM(F20:F34)</f>
        <v>#DIV/0!</v>
      </c>
    </row>
    <row r="37" spans="2:6">
      <c r="B37" s="106" t="s">
        <v>3310</v>
      </c>
    </row>
  </sheetData>
  <sheetProtection algorithmName="SHA-512" hashValue="4DwgTPXBOQeK/80XbIpcQB6jKWC4ZnWu82wXhQRd8ao4MlLEz4zApHINPapij/BQ3vG5vA+Ng60t2+YmkJcWpA==" saltValue="o8QsHyC1YWKbEDGO8cdZow==" spinCount="100000" sheet="1" objects="1" scenarios="1"/>
  <mergeCells count="6">
    <mergeCell ref="F13:F14"/>
    <mergeCell ref="B20:B27"/>
    <mergeCell ref="B28:B34"/>
    <mergeCell ref="E29:F29"/>
    <mergeCell ref="E31:F31"/>
    <mergeCell ref="E33:F33"/>
  </mergeCells>
  <conditionalFormatting sqref="F20:F28 F30 F32 F34">
    <cfRule type="colorScale" priority="1">
      <colorScale>
        <cfvo type="min"/>
        <cfvo type="max"/>
        <color rgb="FFFCFCFF"/>
        <color rgb="FFF8696B"/>
      </colorScale>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134A-023E-497F-9446-E2701B49A4CD}">
  <sheetPr codeName="Sheet16">
    <tabColor theme="3" tint="0.59999389629810485"/>
  </sheetPr>
  <dimension ref="A1:X413"/>
  <sheetViews>
    <sheetView showGridLines="0" zoomScale="70" zoomScaleNormal="70" workbookViewId="0"/>
  </sheetViews>
  <sheetFormatPr defaultColWidth="9" defaultRowHeight="15"/>
  <cols>
    <col min="1" max="1" width="35" style="30" customWidth="1"/>
    <col min="2" max="2" width="39.25" style="30" customWidth="1"/>
    <col min="3" max="3" width="31" style="30" customWidth="1"/>
    <col min="4" max="4" width="33.125" style="71" customWidth="1"/>
    <col min="5" max="5" width="18.375" style="44" customWidth="1"/>
    <col min="6" max="6" width="28.625" style="30" customWidth="1"/>
    <col min="7" max="7" width="20.875" style="41" customWidth="1"/>
    <col min="8" max="8" width="25.625" style="42" customWidth="1"/>
    <col min="9" max="9" width="26.625" style="42" customWidth="1"/>
    <col min="10" max="10" width="11.125" style="42" customWidth="1"/>
    <col min="11" max="11" width="21.625" style="51" hidden="1" customWidth="1"/>
    <col min="12" max="12" width="76.625" customWidth="1"/>
    <col min="13" max="13" width="68.625" style="41" hidden="1" customWidth="1"/>
    <col min="14" max="14" width="19.125" style="30" hidden="1" customWidth="1"/>
    <col min="15" max="15" width="21.875" style="30" hidden="1" customWidth="1"/>
    <col min="16" max="16" width="18" style="30" hidden="1" customWidth="1"/>
    <col min="17" max="17" width="16.125" style="30" hidden="1" customWidth="1"/>
    <col min="18" max="18" width="14.125" style="30" customWidth="1"/>
    <col min="19" max="16384" width="9" style="30"/>
  </cols>
  <sheetData>
    <row r="1" spans="1:24" ht="20.25">
      <c r="A1" s="23" t="s">
        <v>3730</v>
      </c>
      <c r="B1" s="24"/>
      <c r="C1" s="25"/>
      <c r="D1" s="26"/>
      <c r="E1" s="25"/>
      <c r="F1" s="24"/>
      <c r="G1" s="24"/>
      <c r="H1" s="27"/>
      <c r="I1" s="27"/>
      <c r="J1" s="28"/>
      <c r="K1" s="29"/>
      <c r="L1" s="24"/>
      <c r="M1" s="24"/>
      <c r="N1" s="24"/>
      <c r="O1" s="24"/>
      <c r="P1" s="24"/>
      <c r="Q1" s="24"/>
    </row>
    <row r="2" spans="1:24">
      <c r="A2" s="31" t="s">
        <v>304</v>
      </c>
      <c r="B2" s="32"/>
      <c r="C2" s="33"/>
      <c r="D2" s="34"/>
      <c r="E2" s="33"/>
      <c r="F2" s="32"/>
      <c r="G2" s="32"/>
      <c r="H2" s="35"/>
      <c r="I2" s="35"/>
      <c r="J2" s="36"/>
      <c r="K2" s="37"/>
      <c r="L2" s="32"/>
      <c r="M2" s="32"/>
      <c r="N2" s="32"/>
      <c r="O2" s="32"/>
      <c r="P2" s="32"/>
      <c r="Q2" s="32"/>
    </row>
    <row r="3" spans="1:24">
      <c r="A3" s="38" t="s">
        <v>305</v>
      </c>
      <c r="B3" s="32"/>
      <c r="C3" s="33"/>
      <c r="D3" s="34"/>
      <c r="E3" s="33"/>
      <c r="F3" s="32"/>
      <c r="G3" s="32"/>
      <c r="H3" s="35"/>
      <c r="I3" s="35"/>
      <c r="J3" s="36"/>
      <c r="K3" s="37"/>
      <c r="L3" s="32"/>
      <c r="M3" s="32"/>
      <c r="N3" s="32"/>
      <c r="O3" s="32"/>
      <c r="P3" s="32"/>
      <c r="Q3" s="32"/>
    </row>
    <row r="4" spans="1:24" ht="8.25" customHeight="1">
      <c r="A4" s="38"/>
      <c r="B4" s="32"/>
      <c r="C4" s="33"/>
      <c r="D4" s="34"/>
      <c r="E4" s="33"/>
      <c r="F4" s="32"/>
      <c r="G4" s="32"/>
      <c r="H4" s="35"/>
      <c r="I4" s="35"/>
      <c r="J4" s="36"/>
      <c r="K4" s="37"/>
      <c r="L4" s="32"/>
      <c r="M4" s="32"/>
      <c r="N4" s="32"/>
      <c r="O4" s="32"/>
      <c r="P4" s="32"/>
      <c r="Q4" s="32"/>
    </row>
    <row r="5" spans="1:24">
      <c r="A5" s="38" t="s">
        <v>306</v>
      </c>
      <c r="B5" s="32"/>
      <c r="C5" s="33"/>
      <c r="D5" s="34"/>
      <c r="E5" s="33"/>
      <c r="F5" s="32"/>
      <c r="G5" s="32"/>
      <c r="H5" s="35"/>
      <c r="I5" s="35"/>
      <c r="J5" s="36"/>
      <c r="K5" s="37"/>
      <c r="L5" s="32"/>
      <c r="M5" s="32"/>
      <c r="N5" s="32"/>
      <c r="O5" s="32"/>
      <c r="P5" s="32"/>
      <c r="Q5" s="32"/>
    </row>
    <row r="6" spans="1:24">
      <c r="A6" s="38" t="s">
        <v>307</v>
      </c>
      <c r="B6" s="32"/>
      <c r="C6" s="33"/>
      <c r="D6" s="34"/>
      <c r="E6" s="33"/>
      <c r="F6" s="32"/>
      <c r="G6" s="32"/>
      <c r="H6" s="35"/>
      <c r="I6" s="35"/>
      <c r="J6" s="36"/>
      <c r="K6" s="37"/>
      <c r="L6" s="32"/>
      <c r="M6" s="32"/>
      <c r="N6" s="32"/>
      <c r="O6" s="32"/>
      <c r="P6" s="32"/>
      <c r="Q6" s="32"/>
    </row>
    <row r="7" spans="1:24" ht="18" customHeight="1">
      <c r="A7" s="1547" t="s">
        <v>308</v>
      </c>
      <c r="B7" s="1547"/>
      <c r="C7" s="1547"/>
      <c r="D7" s="1547"/>
      <c r="E7" s="1547"/>
      <c r="F7" s="1547"/>
      <c r="G7" s="1547"/>
      <c r="H7" s="1547"/>
      <c r="I7" s="1547"/>
      <c r="J7" s="1547"/>
      <c r="K7" s="1547"/>
      <c r="L7" s="1547"/>
      <c r="M7" s="1547"/>
      <c r="N7" s="32"/>
      <c r="O7" s="32"/>
      <c r="P7" s="32"/>
      <c r="Q7" s="32"/>
      <c r="V7" s="39"/>
    </row>
    <row r="8" spans="1:24" ht="14.25">
      <c r="A8" s="1547"/>
      <c r="B8" s="1547"/>
      <c r="C8" s="1547"/>
      <c r="D8" s="1547"/>
      <c r="E8" s="1547"/>
      <c r="F8" s="1547"/>
      <c r="G8" s="1547"/>
      <c r="H8" s="1547"/>
      <c r="I8" s="1547"/>
      <c r="J8" s="1547"/>
      <c r="K8" s="1547"/>
      <c r="L8" s="1547"/>
      <c r="M8" s="1547"/>
      <c r="N8" s="32"/>
      <c r="O8" s="32"/>
      <c r="P8" s="32"/>
      <c r="Q8" s="32"/>
    </row>
    <row r="9" spans="1:24" ht="14.25">
      <c r="A9" s="40"/>
      <c r="B9" s="40"/>
      <c r="C9" s="40"/>
      <c r="D9" s="40"/>
      <c r="E9" s="40"/>
      <c r="F9" s="40"/>
      <c r="G9" s="40"/>
      <c r="H9" s="40"/>
      <c r="I9" s="40"/>
      <c r="J9" s="40"/>
      <c r="K9" s="40"/>
      <c r="L9" s="40"/>
      <c r="N9" s="42"/>
      <c r="O9" s="42"/>
      <c r="P9" s="42"/>
      <c r="Q9" s="42"/>
      <c r="T9" s="41"/>
      <c r="W9" s="41"/>
      <c r="X9" s="41"/>
    </row>
    <row r="10" spans="1:24" ht="14.25">
      <c r="A10" s="40"/>
      <c r="B10" s="40"/>
      <c r="C10" s="40"/>
      <c r="D10" s="40"/>
      <c r="E10" s="40"/>
      <c r="F10" s="40"/>
      <c r="G10" s="40"/>
      <c r="H10" s="40"/>
      <c r="I10" s="40"/>
      <c r="J10" s="40"/>
      <c r="K10" s="40"/>
      <c r="L10" s="30"/>
      <c r="N10" s="42"/>
      <c r="O10" s="42"/>
      <c r="P10" s="42"/>
      <c r="Q10" s="42"/>
      <c r="T10" s="41"/>
      <c r="W10" s="41"/>
      <c r="X10" s="41"/>
    </row>
    <row r="11" spans="1:24">
      <c r="A11" s="40"/>
      <c r="B11" s="40"/>
      <c r="C11" s="40"/>
      <c r="D11" s="40"/>
      <c r="E11" s="40"/>
      <c r="F11" s="40"/>
      <c r="G11" s="40"/>
      <c r="H11" s="40"/>
      <c r="I11" s="40"/>
      <c r="J11" s="40"/>
      <c r="K11" s="40"/>
      <c r="L11" s="30"/>
      <c r="N11" s="42"/>
      <c r="O11" s="42"/>
      <c r="P11" s="42"/>
      <c r="Q11" s="42"/>
      <c r="T11" s="41"/>
      <c r="U11" s="43"/>
      <c r="W11" s="41"/>
      <c r="X11" s="41"/>
    </row>
    <row r="12" spans="1:24">
      <c r="C12" s="44"/>
      <c r="D12" s="45"/>
      <c r="K12" s="46"/>
      <c r="L12" s="30"/>
      <c r="N12" s="42"/>
      <c r="O12" s="42"/>
      <c r="P12" s="42"/>
      <c r="Q12" s="42"/>
      <c r="T12" s="41"/>
      <c r="W12" s="41"/>
      <c r="X12" s="41"/>
    </row>
    <row r="13" spans="1:24">
      <c r="C13" s="44"/>
      <c r="D13" s="45"/>
      <c r="K13" s="46"/>
      <c r="L13" s="30"/>
      <c r="N13" s="42"/>
      <c r="O13" s="42"/>
      <c r="P13" s="42"/>
      <c r="Q13" s="42"/>
      <c r="T13" s="41"/>
      <c r="W13" s="41"/>
      <c r="X13" s="41"/>
    </row>
    <row r="14" spans="1:24">
      <c r="C14" s="44"/>
      <c r="D14" s="45"/>
      <c r="K14" s="46"/>
      <c r="L14" s="30"/>
      <c r="N14" s="42"/>
      <c r="O14" s="42"/>
      <c r="P14" s="42"/>
      <c r="Q14" s="42"/>
      <c r="T14" s="41"/>
      <c r="W14" s="41"/>
      <c r="X14" s="41"/>
    </row>
    <row r="15" spans="1:24">
      <c r="C15" s="44"/>
      <c r="D15" s="45"/>
      <c r="K15" s="46"/>
      <c r="L15" s="30"/>
      <c r="N15" s="42"/>
      <c r="O15" s="42"/>
      <c r="P15" s="42"/>
      <c r="Q15" s="42"/>
      <c r="T15" s="41"/>
      <c r="W15" s="41"/>
      <c r="X15" s="41"/>
    </row>
    <row r="16" spans="1:24" ht="41.25" customHeight="1">
      <c r="A16" s="1548" t="s">
        <v>4088</v>
      </c>
      <c r="B16" s="1548"/>
      <c r="D16" s="47"/>
      <c r="E16" s="47"/>
      <c r="F16" s="48"/>
      <c r="G16" s="49" t="s">
        <v>310</v>
      </c>
      <c r="J16" s="50"/>
      <c r="L16" s="41"/>
      <c r="M16" s="30"/>
      <c r="O16" s="30" t="s">
        <v>311</v>
      </c>
    </row>
    <row r="17" spans="1:17" ht="43.5">
      <c r="A17" s="1548"/>
      <c r="B17" s="1548"/>
      <c r="D17" s="52" t="s">
        <v>312</v>
      </c>
      <c r="E17" s="52" t="s">
        <v>312</v>
      </c>
      <c r="F17" s="53" t="s">
        <v>312</v>
      </c>
      <c r="G17" s="54">
        <f>SUM(Table310[Emissions (MTCO2e)])</f>
        <v>0</v>
      </c>
      <c r="H17" s="55" t="s">
        <v>313</v>
      </c>
      <c r="I17" s="55" t="s">
        <v>314</v>
      </c>
      <c r="L17" s="30"/>
      <c r="M17" s="30"/>
      <c r="O17" s="56" t="s">
        <v>315</v>
      </c>
      <c r="P17" s="56" t="s">
        <v>316</v>
      </c>
      <c r="Q17" s="56" t="s">
        <v>317</v>
      </c>
    </row>
    <row r="18" spans="1:17" ht="96.75" customHeight="1">
      <c r="A18" s="57"/>
      <c r="B18" s="57"/>
      <c r="C18" s="58" t="s">
        <v>318</v>
      </c>
      <c r="D18" s="59" t="s">
        <v>319</v>
      </c>
      <c r="E18" s="59" t="s">
        <v>320</v>
      </c>
      <c r="F18" s="60" t="s">
        <v>321</v>
      </c>
      <c r="G18" s="61" t="s">
        <v>322</v>
      </c>
      <c r="H18" s="62" t="s">
        <v>4237</v>
      </c>
      <c r="I18" s="62" t="s">
        <v>4238</v>
      </c>
      <c r="J18" s="63" t="s">
        <v>323</v>
      </c>
      <c r="K18" s="64" t="s">
        <v>324</v>
      </c>
      <c r="L18" s="65" t="s">
        <v>325</v>
      </c>
      <c r="M18" s="66" t="s">
        <v>258</v>
      </c>
      <c r="N18" s="66" t="s">
        <v>326</v>
      </c>
      <c r="O18" s="67" t="s">
        <v>327</v>
      </c>
      <c r="P18" s="67" t="s">
        <v>328</v>
      </c>
      <c r="Q18" s="67" t="s">
        <v>329</v>
      </c>
    </row>
    <row r="19" spans="1:17" ht="57">
      <c r="C19" s="321" t="s">
        <v>611</v>
      </c>
      <c r="D19" s="322"/>
      <c r="E19" s="784"/>
      <c r="F19" s="325" t="s">
        <v>3306</v>
      </c>
      <c r="G19" s="319" t="str">
        <f>IFERROR(IF(E19="","",IF(F19="Direct-from-manufacturer",(E19*H19/1000*'Reporting Year &amp; Inflation Adj.'!$F$9),(E19*I19/1000*'Reporting Year &amp; Inflation Adj.'!$F$9))),"")</f>
        <v/>
      </c>
      <c r="H19" s="805">
        <v>0.11449005737</v>
      </c>
      <c r="I19" s="806">
        <v>0.16404952447999993</v>
      </c>
      <c r="J19" s="807">
        <v>0.30391308471045447</v>
      </c>
      <c r="K19" s="807">
        <v>0</v>
      </c>
      <c r="L19" s="68" t="s">
        <v>3328</v>
      </c>
      <c r="M19" s="69" t="s">
        <v>440</v>
      </c>
      <c r="N19" s="69" t="s">
        <v>613</v>
      </c>
      <c r="O19" s="70">
        <v>0.13525018490999996</v>
      </c>
      <c r="P19" s="70">
        <v>5.3779387559999996E-2</v>
      </c>
      <c r="Q19" s="70">
        <v>0.18821409093000005</v>
      </c>
    </row>
    <row r="20" spans="1:17" ht="57">
      <c r="C20" s="321" t="s">
        <v>983</v>
      </c>
      <c r="D20" s="322"/>
      <c r="E20" s="784"/>
      <c r="F20" s="323" t="s">
        <v>366</v>
      </c>
      <c r="G20" s="319" t="str">
        <f>IFERROR(IF(E20="","",IF(F20="Direct-from-manufacturer",(E20*H20/1000*'Reporting Year &amp; Inflation Adj.'!$F$9),(E20*I20/1000*'Reporting Year &amp; Inflation Adj.'!$F$9))),"")</f>
        <v/>
      </c>
      <c r="H20" s="805">
        <v>4.8505107754999999E-2</v>
      </c>
      <c r="I20" s="806">
        <v>4.8505107754999999E-2</v>
      </c>
      <c r="J20" s="807">
        <v>0</v>
      </c>
      <c r="K20" s="68">
        <v>541200</v>
      </c>
      <c r="L20" s="68" t="s">
        <v>3329</v>
      </c>
      <c r="M20" s="69" t="s">
        <v>981</v>
      </c>
      <c r="N20" s="69" t="s">
        <v>985</v>
      </c>
      <c r="O20" s="70">
        <v>5.4856132568000003E-2</v>
      </c>
      <c r="P20" s="70">
        <v>0</v>
      </c>
      <c r="Q20" s="70">
        <v>5.4856132568000003E-2</v>
      </c>
    </row>
    <row r="21" spans="1:17" ht="42.75">
      <c r="C21" s="321" t="s">
        <v>572</v>
      </c>
      <c r="D21" s="322"/>
      <c r="E21" s="784"/>
      <c r="F21" s="325"/>
      <c r="G21" s="319" t="str">
        <f>IFERROR(IF(E21="","",IF(F21="Direct-from-manufacturer",(E21*H21/1000*'Reporting Year &amp; Inflation Adj.'!$F$9),(E21*I21/1000*'Reporting Year &amp; Inflation Adj.'!$F$9))),"")</f>
        <v/>
      </c>
      <c r="H21" s="805">
        <v>0.44420921354999998</v>
      </c>
      <c r="I21" s="806">
        <v>0.47228549019999994</v>
      </c>
      <c r="J21" s="807">
        <v>5.8665950997704414E-2</v>
      </c>
      <c r="K21" s="68">
        <v>325520</v>
      </c>
      <c r="L21" s="68" t="s">
        <v>3330</v>
      </c>
      <c r="M21" s="69" t="s">
        <v>440</v>
      </c>
      <c r="N21" s="69" t="s">
        <v>571</v>
      </c>
      <c r="O21" s="70">
        <v>0.50508868622000003</v>
      </c>
      <c r="P21" s="70">
        <v>2.9101464459999997E-2</v>
      </c>
      <c r="Q21" s="70">
        <v>0.53356357142999977</v>
      </c>
    </row>
    <row r="22" spans="1:17" ht="57">
      <c r="C22" s="321" t="s">
        <v>999</v>
      </c>
      <c r="D22" s="322"/>
      <c r="E22" s="784"/>
      <c r="F22" s="323" t="s">
        <v>366</v>
      </c>
      <c r="G22" s="319" t="str">
        <f>IFERROR(IF(E22="","",IF(F22="Direct-from-manufacturer",(E22*H22/1000*'Reporting Year &amp; Inflation Adj.'!$F$9),(E22*I22/1000*'Reporting Year &amp; Inflation Adj.'!$F$9))),"")</f>
        <v/>
      </c>
      <c r="H22" s="805">
        <v>8.3390507975E-2</v>
      </c>
      <c r="I22" s="806">
        <v>8.3390507975E-2</v>
      </c>
      <c r="J22" s="807">
        <v>0</v>
      </c>
      <c r="K22" s="68">
        <v>541800</v>
      </c>
      <c r="L22" s="68" t="s">
        <v>3331</v>
      </c>
      <c r="M22" s="69" t="s">
        <v>981</v>
      </c>
      <c r="N22" s="69" t="s">
        <v>1651</v>
      </c>
      <c r="O22" s="70">
        <v>8.5939754049999983E-2</v>
      </c>
      <c r="P22" s="70">
        <v>0</v>
      </c>
      <c r="Q22" s="70">
        <v>8.5939754049999983E-2</v>
      </c>
    </row>
    <row r="23" spans="1:17" ht="99.75">
      <c r="C23" s="321" t="s">
        <v>365</v>
      </c>
      <c r="D23" s="322"/>
      <c r="E23" s="784"/>
      <c r="F23" s="323" t="s">
        <v>366</v>
      </c>
      <c r="G23" s="319" t="str">
        <f>IFERROR(IF(E23="","",IF(F23="Direct-from-manufacturer",(E23*H23/1000*'Reporting Year &amp; Inflation Adj.'!$F$9),(E23*I23/1000*'Reporting Year &amp; Inflation Adj.'!$F$9))),"")</f>
        <v/>
      </c>
      <c r="H23" s="805">
        <v>0.31584531492500001</v>
      </c>
      <c r="I23" s="806">
        <v>0.31584531492500001</v>
      </c>
      <c r="J23" s="807">
        <v>0</v>
      </c>
      <c r="K23" s="68">
        <v>115000</v>
      </c>
      <c r="L23" s="68" t="s">
        <v>3332</v>
      </c>
      <c r="M23" s="69" t="s">
        <v>332</v>
      </c>
      <c r="N23" s="69" t="s">
        <v>368</v>
      </c>
      <c r="O23" s="70">
        <v>0.39219021406000004</v>
      </c>
      <c r="P23" s="70">
        <v>0</v>
      </c>
      <c r="Q23" s="70">
        <v>0.39219021406000004</v>
      </c>
    </row>
    <row r="24" spans="1:17" ht="57">
      <c r="C24" s="321" t="s">
        <v>713</v>
      </c>
      <c r="D24" s="322"/>
      <c r="E24" s="784"/>
      <c r="F24" s="325"/>
      <c r="G24" s="319" t="str">
        <f>IFERROR(IF(E24="","",IF(F24="Direct-from-manufacturer",(E24*H24/1000*'Reporting Year &amp; Inflation Adj.'!$F$9),(E24*I24/1000*'Reporting Year &amp; Inflation Adj.'!$F$9))),"")</f>
        <v/>
      </c>
      <c r="H24" s="805">
        <v>0.12802140084000002</v>
      </c>
      <c r="I24" s="806">
        <v>0.14459936384500002</v>
      </c>
      <c r="J24" s="807">
        <v>0.11533539890173365</v>
      </c>
      <c r="K24" s="68">
        <v>333912</v>
      </c>
      <c r="L24" s="68" t="s">
        <v>3333</v>
      </c>
      <c r="M24" s="69" t="s">
        <v>440</v>
      </c>
      <c r="N24" s="69" t="s">
        <v>715</v>
      </c>
      <c r="O24" s="70">
        <v>0.15839953312999999</v>
      </c>
      <c r="P24" s="70">
        <v>1.9712300529999997E-2</v>
      </c>
      <c r="Q24" s="70">
        <v>0.17873595745999998</v>
      </c>
    </row>
    <row r="25" spans="1:17" ht="99.75">
      <c r="C25" s="321" t="s">
        <v>699</v>
      </c>
      <c r="D25" s="322"/>
      <c r="E25" s="784"/>
      <c r="F25" s="325"/>
      <c r="G25" s="319" t="str">
        <f>IFERROR(IF(E25="","",IF(F25="Direct-from-manufacturer",(E25*H25/1000*'Reporting Year &amp; Inflation Adj.'!$F$9),(E25*I25/1000*'Reporting Year &amp; Inflation Adj.'!$F$9))),"")</f>
        <v/>
      </c>
      <c r="H25" s="805">
        <v>0.15041488132000005</v>
      </c>
      <c r="I25" s="806">
        <v>0.17434141682500001</v>
      </c>
      <c r="J25" s="807">
        <v>0.13977132711075746</v>
      </c>
      <c r="K25" s="68">
        <v>333415</v>
      </c>
      <c r="L25" s="68" t="s">
        <v>3334</v>
      </c>
      <c r="M25" s="69" t="s">
        <v>440</v>
      </c>
      <c r="N25" s="69" t="s">
        <v>697</v>
      </c>
      <c r="O25" s="70">
        <v>0.15945569237000004</v>
      </c>
      <c r="P25" s="70">
        <v>2.8402677830000004E-2</v>
      </c>
      <c r="Q25" s="70">
        <v>0.18819985696999997</v>
      </c>
    </row>
    <row r="26" spans="1:17" ht="99.75">
      <c r="C26" s="321" t="s">
        <v>695</v>
      </c>
      <c r="D26" s="322"/>
      <c r="E26" s="784"/>
      <c r="F26" s="325"/>
      <c r="G26" s="319" t="str">
        <f>IFERROR(IF(E26="","",IF(F26="Direct-from-manufacturer",(E26*H26/1000*'Reporting Year &amp; Inflation Adj.'!$F$9),(E26*I26/1000*'Reporting Year &amp; Inflation Adj.'!$F$9))),"")</f>
        <v/>
      </c>
      <c r="H26" s="805">
        <v>0.16221502102499999</v>
      </c>
      <c r="I26" s="806">
        <v>0.18498200331</v>
      </c>
      <c r="J26" s="807">
        <v>0.12357977057741272</v>
      </c>
      <c r="K26" s="68">
        <v>333413</v>
      </c>
      <c r="L26" s="68" t="s">
        <v>3335</v>
      </c>
      <c r="M26" s="69" t="s">
        <v>440</v>
      </c>
      <c r="N26" s="69" t="s">
        <v>697</v>
      </c>
      <c r="O26" s="70">
        <v>0.18522373465</v>
      </c>
      <c r="P26" s="70">
        <v>2.545976719E-2</v>
      </c>
      <c r="Q26" s="70">
        <v>0.21067470106000002</v>
      </c>
    </row>
    <row r="27" spans="1:17" ht="71.25">
      <c r="C27" s="321" t="s">
        <v>800</v>
      </c>
      <c r="D27" s="322"/>
      <c r="E27" s="784"/>
      <c r="F27" s="325"/>
      <c r="G27" s="319" t="str">
        <f>IFERROR(IF(E27="","",IF(F27="Direct-from-manufacturer",(E27*H27/1000*'Reporting Year &amp; Inflation Adj.'!$F$9),(E27*I27/1000*'Reporting Year &amp; Inflation Adj.'!$F$9))),"")</f>
        <v/>
      </c>
      <c r="H27" s="805">
        <v>0.11809334772499998</v>
      </c>
      <c r="I27" s="806">
        <v>0.12625637168500001</v>
      </c>
      <c r="J27" s="807">
        <v>6.5457923795871828E-2</v>
      </c>
      <c r="K27" s="68">
        <v>336411</v>
      </c>
      <c r="L27" s="68" t="s">
        <v>3336</v>
      </c>
      <c r="M27" s="69" t="s">
        <v>440</v>
      </c>
      <c r="N27" s="69" t="s">
        <v>802</v>
      </c>
      <c r="O27" s="70">
        <v>0.13127988367999999</v>
      </c>
      <c r="P27" s="70">
        <v>8.6784493709999994E-3</v>
      </c>
      <c r="Q27" s="70">
        <v>0.14061782380999996</v>
      </c>
    </row>
    <row r="28" spans="1:17" ht="85.5">
      <c r="C28" s="321" t="s">
        <v>803</v>
      </c>
      <c r="D28" s="322"/>
      <c r="E28" s="784"/>
      <c r="F28" s="325"/>
      <c r="G28" s="319" t="str">
        <f>IFERROR(IF(E28="","",IF(F28="Direct-from-manufacturer",(E28*H28/1000*'Reporting Year &amp; Inflation Adj.'!$F$9),(E28*I28/1000*'Reporting Year &amp; Inflation Adj.'!$F$9))),"")</f>
        <v/>
      </c>
      <c r="H28" s="805">
        <v>0.13375543767</v>
      </c>
      <c r="I28" s="806">
        <v>0.13847475140999999</v>
      </c>
      <c r="J28" s="807">
        <v>3.6946879477340815E-2</v>
      </c>
      <c r="K28" s="68">
        <v>336412</v>
      </c>
      <c r="L28" s="68" t="s">
        <v>3337</v>
      </c>
      <c r="M28" s="69" t="s">
        <v>440</v>
      </c>
      <c r="N28" s="69" t="s">
        <v>802</v>
      </c>
      <c r="O28" s="70">
        <v>0.15142851339999999</v>
      </c>
      <c r="P28" s="70">
        <v>5.3536557469999997E-3</v>
      </c>
      <c r="Q28" s="70">
        <v>0.15727684065</v>
      </c>
    </row>
    <row r="29" spans="1:17" ht="57">
      <c r="C29" s="321" t="s">
        <v>537</v>
      </c>
      <c r="D29" s="322"/>
      <c r="E29" s="784"/>
      <c r="F29" s="325"/>
      <c r="G29" s="319" t="str">
        <f>IFERROR(IF(E29="","",IF(F29="Direct-from-manufacturer",(E29*H29/1000*'Reporting Year &amp; Inflation Adj.'!$F$9),(E29*I29/1000*'Reporting Year &amp; Inflation Adj.'!$F$9))),"")</f>
        <v/>
      </c>
      <c r="H29" s="805">
        <v>0.27356487213000003</v>
      </c>
      <c r="I29" s="806">
        <v>0.31060490289000003</v>
      </c>
      <c r="J29" s="807">
        <v>0.1176180451437947</v>
      </c>
      <c r="K29" s="68">
        <v>322299</v>
      </c>
      <c r="L29" s="68" t="s">
        <v>3338</v>
      </c>
      <c r="M29" s="69" t="s">
        <v>440</v>
      </c>
      <c r="N29" s="69" t="s">
        <v>533</v>
      </c>
      <c r="O29" s="70">
        <v>0.30617577430999998</v>
      </c>
      <c r="P29" s="70">
        <v>3.7947984089999998E-2</v>
      </c>
      <c r="Q29" s="70">
        <v>0.34489314041999997</v>
      </c>
    </row>
    <row r="30" spans="1:17" ht="85.5">
      <c r="C30" s="321" t="s">
        <v>1090</v>
      </c>
      <c r="D30" s="322"/>
      <c r="E30" s="784"/>
      <c r="F30" s="323" t="s">
        <v>366</v>
      </c>
      <c r="G30" s="319" t="str">
        <f>IFERROR(IF(E30="","",IF(F30="Direct-from-manufacturer",(E30*H30/1000*'Reporting Year &amp; Inflation Adj.'!$F$9),(E30*I30/1000*'Reporting Year &amp; Inflation Adj.'!$F$9))),"")</f>
        <v/>
      </c>
      <c r="H30" s="805">
        <v>0.116546127835</v>
      </c>
      <c r="I30" s="806">
        <v>0.116546127835</v>
      </c>
      <c r="J30" s="807">
        <v>0</v>
      </c>
      <c r="K30" s="68" t="s">
        <v>1091</v>
      </c>
      <c r="L30" s="68" t="s">
        <v>3339</v>
      </c>
      <c r="M30" s="69" t="s">
        <v>1088</v>
      </c>
      <c r="N30" s="69" t="s">
        <v>1092</v>
      </c>
      <c r="O30" s="70">
        <v>0.13447425789499998</v>
      </c>
      <c r="P30" s="70">
        <v>0</v>
      </c>
      <c r="Q30" s="70">
        <v>0.13447425789499998</v>
      </c>
    </row>
    <row r="31" spans="1:17" ht="99.75">
      <c r="C31" s="321" t="s">
        <v>483</v>
      </c>
      <c r="D31" s="322"/>
      <c r="E31" s="784"/>
      <c r="F31" s="325"/>
      <c r="G31" s="319" t="str">
        <f>IFERROR(IF(E31="","",IF(F31="Direct-from-manufacturer",(E31*H31/1000*'Reporting Year &amp; Inflation Adj.'!$F$9),(E31*I31/1000*'Reporting Year &amp; Inflation Adj.'!$F$9))),"")</f>
        <v/>
      </c>
      <c r="H31" s="805">
        <v>0.32842554768999999</v>
      </c>
      <c r="I31" s="806">
        <v>0.36880524214999999</v>
      </c>
      <c r="J31" s="807">
        <v>0.11131091379200997</v>
      </c>
      <c r="K31" s="68">
        <v>311990</v>
      </c>
      <c r="L31" s="68" t="s">
        <v>3340</v>
      </c>
      <c r="M31" s="69" t="s">
        <v>440</v>
      </c>
      <c r="N31" s="69" t="s">
        <v>479</v>
      </c>
      <c r="O31" s="70">
        <v>0.36685837658999998</v>
      </c>
      <c r="P31" s="70">
        <v>4.2517632369999996E-2</v>
      </c>
      <c r="Q31" s="70">
        <v>0.40958153941000003</v>
      </c>
    </row>
    <row r="32" spans="1:17" ht="128.25">
      <c r="C32" s="321" t="s">
        <v>638</v>
      </c>
      <c r="D32" s="322"/>
      <c r="E32" s="784"/>
      <c r="F32" s="325"/>
      <c r="G32" s="319" t="str">
        <f>IFERROR(IF(E32="","",IF(F32="Direct-from-manufacturer",(E32*H32/1000*'Reporting Year &amp; Inflation Adj.'!$F$9),(E32*I32/1000*'Reporting Year &amp; Inflation Adj.'!$F$9))),"")</f>
        <v/>
      </c>
      <c r="H32" s="805">
        <v>0.44643721917999996</v>
      </c>
      <c r="I32" s="806">
        <v>0.46958829207000002</v>
      </c>
      <c r="J32" s="807">
        <v>4.8699807876792227E-2</v>
      </c>
      <c r="K32" s="68" t="s">
        <v>639</v>
      </c>
      <c r="L32" s="68" t="s">
        <v>3341</v>
      </c>
      <c r="M32" s="69" t="s">
        <v>440</v>
      </c>
      <c r="N32" s="69" t="s">
        <v>640</v>
      </c>
      <c r="O32" s="70">
        <v>0.47232229399000003</v>
      </c>
      <c r="P32" s="70">
        <v>2.3171647508000003E-2</v>
      </c>
      <c r="Q32" s="70">
        <v>0.49489836366000012</v>
      </c>
    </row>
    <row r="33" spans="3:17" ht="42.75">
      <c r="C33" s="321" t="s">
        <v>1053</v>
      </c>
      <c r="D33" s="322"/>
      <c r="E33" s="784"/>
      <c r="F33" s="323" t="s">
        <v>366</v>
      </c>
      <c r="G33" s="319" t="str">
        <f>IFERROR(IF(E33="","",IF(F33="Direct-from-manufacturer",(E33*H33/1000*'Reporting Year &amp; Inflation Adj.'!$F$9),(E33*I33/1000*'Reporting Year &amp; Inflation Adj.'!$F$9))),"")</f>
        <v/>
      </c>
      <c r="H33" s="805">
        <v>0.16426804695000002</v>
      </c>
      <c r="I33" s="806">
        <v>0.16426804695000002</v>
      </c>
      <c r="J33" s="807">
        <v>0</v>
      </c>
      <c r="K33" s="68">
        <v>621900</v>
      </c>
      <c r="L33" s="68" t="s">
        <v>3342</v>
      </c>
      <c r="M33" s="69" t="s">
        <v>1038</v>
      </c>
      <c r="N33" s="69" t="s">
        <v>1054</v>
      </c>
      <c r="O33" s="70">
        <v>0.18187063990999999</v>
      </c>
      <c r="P33" s="70">
        <v>0</v>
      </c>
      <c r="Q33" s="70">
        <v>0.18187063990999999</v>
      </c>
    </row>
    <row r="34" spans="3:17" ht="57">
      <c r="C34" s="321" t="s">
        <v>675</v>
      </c>
      <c r="D34" s="322"/>
      <c r="E34" s="784"/>
      <c r="F34" s="325"/>
      <c r="G34" s="319" t="str">
        <f>IFERROR(IF(E34="","",IF(F34="Direct-from-manufacturer",(E34*H34/1000*'Reporting Year &amp; Inflation Adj.'!$F$9),(E34*I34/1000*'Reporting Year &amp; Inflation Adj.'!$F$9))),"")</f>
        <v/>
      </c>
      <c r="H34" s="805">
        <v>0.10030904631</v>
      </c>
      <c r="I34" s="806">
        <v>0.14779812347499996</v>
      </c>
      <c r="J34" s="807">
        <v>0.32275952453529627</v>
      </c>
      <c r="K34" s="68" t="s">
        <v>676</v>
      </c>
      <c r="L34" s="68" t="s">
        <v>3343</v>
      </c>
      <c r="M34" s="69" t="s">
        <v>440</v>
      </c>
      <c r="N34" s="69" t="s">
        <v>671</v>
      </c>
      <c r="O34" s="70">
        <v>0.11538552659999997</v>
      </c>
      <c r="P34" s="70">
        <v>5.4065894479999994E-2</v>
      </c>
      <c r="Q34" s="70">
        <v>0.16914455318999996</v>
      </c>
    </row>
    <row r="35" spans="3:17" ht="28.5">
      <c r="C35" s="321" t="s">
        <v>1081</v>
      </c>
      <c r="D35" s="322"/>
      <c r="E35" s="784"/>
      <c r="F35" s="323" t="s">
        <v>366</v>
      </c>
      <c r="G35" s="319" t="str">
        <f>IFERROR(IF(E35="","",IF(F35="Direct-from-manufacturer",(E35*H35/1000*'Reporting Year &amp; Inflation Adj.'!$F$9),(E35*I35/1000*'Reporting Year &amp; Inflation Adj.'!$F$9))),"")</f>
        <v/>
      </c>
      <c r="H35" s="805">
        <v>0.14470422837500002</v>
      </c>
      <c r="I35" s="806">
        <v>0.14470422837500002</v>
      </c>
      <c r="J35" s="807">
        <v>0</v>
      </c>
      <c r="K35" s="68">
        <v>713100</v>
      </c>
      <c r="L35" s="68" t="s">
        <v>3344</v>
      </c>
      <c r="M35" s="69" t="s">
        <v>1071</v>
      </c>
      <c r="N35" s="69" t="s">
        <v>1082</v>
      </c>
      <c r="O35" s="70">
        <v>0.17024007172</v>
      </c>
      <c r="P35" s="70">
        <v>0</v>
      </c>
      <c r="Q35" s="70">
        <v>0.17024007172</v>
      </c>
    </row>
    <row r="36" spans="3:17" ht="71.25">
      <c r="C36" s="321" t="s">
        <v>751</v>
      </c>
      <c r="D36" s="322"/>
      <c r="E36" s="784"/>
      <c r="F36" s="325"/>
      <c r="G36" s="319" t="str">
        <f>IFERROR(IF(E36="","",IF(F36="Direct-from-manufacturer",(E36*H36/1000*'Reporting Year &amp; Inflation Adj.'!$F$9),(E36*I36/1000*'Reporting Year &amp; Inflation Adj.'!$F$9))),"")</f>
        <v/>
      </c>
      <c r="H36" s="805">
        <v>6.8393250025000019E-2</v>
      </c>
      <c r="I36" s="806">
        <v>9.0185718264999978E-2</v>
      </c>
      <c r="J36" s="807">
        <v>0.24282840544276058</v>
      </c>
      <c r="K36" s="68">
        <v>334516</v>
      </c>
      <c r="L36" s="68" t="s">
        <v>3345</v>
      </c>
      <c r="M36" s="69" t="s">
        <v>440</v>
      </c>
      <c r="N36" s="69" t="s">
        <v>745</v>
      </c>
      <c r="O36" s="70">
        <v>7.8518070209999999E-2</v>
      </c>
      <c r="P36" s="70">
        <v>2.4407085899999997E-2</v>
      </c>
      <c r="Q36" s="70">
        <v>0.10292345509</v>
      </c>
    </row>
    <row r="37" spans="3:17" ht="171">
      <c r="C37" s="321" t="s">
        <v>353</v>
      </c>
      <c r="D37" s="322"/>
      <c r="E37" s="784"/>
      <c r="F37" s="325"/>
      <c r="G37" s="319" t="str">
        <f>IFERROR(IF(E37="","",IF(F37="Direct-from-manufacturer",(E37*H37/1000*'Reporting Year &amp; Inflation Adj.'!$F$9),(E37*I37/1000*'Reporting Year &amp; Inflation Adj.'!$F$9))),"")</f>
        <v/>
      </c>
      <c r="H37" s="805">
        <v>0.86665402430000005</v>
      </c>
      <c r="I37" s="806">
        <v>0.90874800032499992</v>
      </c>
      <c r="J37" s="807">
        <v>4.8423000434952845E-2</v>
      </c>
      <c r="K37" s="68" t="s">
        <v>354</v>
      </c>
      <c r="L37" s="68" t="s">
        <v>3346</v>
      </c>
      <c r="M37" s="69" t="s">
        <v>332</v>
      </c>
      <c r="N37" s="69" t="s">
        <v>355</v>
      </c>
      <c r="O37" s="70">
        <v>1.1287846363560001</v>
      </c>
      <c r="P37" s="70">
        <v>5.1158783097999996E-2</v>
      </c>
      <c r="Q37" s="70">
        <v>1.1794123411699999</v>
      </c>
    </row>
    <row r="38" spans="3:17" ht="57">
      <c r="C38" s="321" t="s">
        <v>986</v>
      </c>
      <c r="D38" s="322"/>
      <c r="E38" s="784"/>
      <c r="F38" s="323" t="s">
        <v>366</v>
      </c>
      <c r="G38" s="319" t="str">
        <f>IFERROR(IF(E38="","",IF(F38="Direct-from-manufacturer",(E38*H38/1000*'Reporting Year &amp; Inflation Adj.'!$F$9),(E38*I38/1000*'Reporting Year &amp; Inflation Adj.'!$F$9))),"")</f>
        <v/>
      </c>
      <c r="H38" s="805">
        <v>9.3105252839999986E-2</v>
      </c>
      <c r="I38" s="806">
        <v>9.3105252839999986E-2</v>
      </c>
      <c r="J38" s="807">
        <v>0</v>
      </c>
      <c r="K38" s="68">
        <v>541300</v>
      </c>
      <c r="L38" s="68" t="s">
        <v>3347</v>
      </c>
      <c r="M38" s="69" t="s">
        <v>981</v>
      </c>
      <c r="N38" s="69" t="s">
        <v>988</v>
      </c>
      <c r="O38" s="70">
        <v>0.10430738123999997</v>
      </c>
      <c r="P38" s="70">
        <v>0</v>
      </c>
      <c r="Q38" s="70">
        <v>0.10430738123999997</v>
      </c>
    </row>
    <row r="39" spans="3:17" ht="42.75">
      <c r="C39" s="321" t="s">
        <v>545</v>
      </c>
      <c r="D39" s="322"/>
      <c r="E39" s="784"/>
      <c r="F39" s="325"/>
      <c r="G39" s="319" t="str">
        <f>IFERROR(IF(E39="","",IF(F39="Direct-from-manufacturer",(E39*H39/1000*'Reporting Year &amp; Inflation Adj.'!$F$9),(E39*I39/1000*'Reporting Year &amp; Inflation Adj.'!$F$9))),"")</f>
        <v/>
      </c>
      <c r="H39" s="805">
        <v>0.90236574558999993</v>
      </c>
      <c r="I39" s="806">
        <v>0.92828964729999996</v>
      </c>
      <c r="J39" s="807">
        <v>2.7323294915302457E-2</v>
      </c>
      <c r="K39" s="68">
        <v>324121</v>
      </c>
      <c r="L39" s="68" t="s">
        <v>3348</v>
      </c>
      <c r="M39" s="69" t="s">
        <v>440</v>
      </c>
      <c r="N39" s="69" t="s">
        <v>544</v>
      </c>
      <c r="O39" s="70">
        <v>1.1025855085700003</v>
      </c>
      <c r="P39" s="70">
        <v>2.794347959E-2</v>
      </c>
      <c r="Q39" s="70">
        <v>1.1269681298400001</v>
      </c>
    </row>
    <row r="40" spans="3:17" ht="57">
      <c r="C40" s="321" t="s">
        <v>546</v>
      </c>
      <c r="D40" s="322"/>
      <c r="E40" s="784"/>
      <c r="F40" s="325"/>
      <c r="G40" s="319" t="str">
        <f>IFERROR(IF(E40="","",IF(F40="Direct-from-manufacturer",(E40*H40/1000*'Reporting Year &amp; Inflation Adj.'!$F$9),(E40*I40/1000*'Reporting Year &amp; Inflation Adj.'!$F$9))),"")</f>
        <v/>
      </c>
      <c r="H40" s="805">
        <v>0.51873300056000005</v>
      </c>
      <c r="I40" s="806">
        <v>0.54975766621999989</v>
      </c>
      <c r="J40" s="807">
        <v>5.5683236416660897E-2</v>
      </c>
      <c r="K40" s="68">
        <v>324122</v>
      </c>
      <c r="L40" s="68" t="s">
        <v>3349</v>
      </c>
      <c r="M40" s="69" t="s">
        <v>440</v>
      </c>
      <c r="N40" s="69" t="s">
        <v>544</v>
      </c>
      <c r="O40" s="70">
        <v>0.57876085089000018</v>
      </c>
      <c r="P40" s="70">
        <v>3.182666540399999E-2</v>
      </c>
      <c r="Q40" s="70">
        <v>0.61045555746000013</v>
      </c>
    </row>
    <row r="41" spans="3:17" ht="71.25">
      <c r="C41" s="321" t="s">
        <v>734</v>
      </c>
      <c r="D41" s="322"/>
      <c r="E41" s="784"/>
      <c r="F41" s="325"/>
      <c r="G41" s="319" t="str">
        <f>IFERROR(IF(E41="","",IF(F41="Direct-from-manufacturer",(E41*H41/1000*'Reporting Year &amp; Inflation Adj.'!$F$9),(E41*I41/1000*'Reporting Year &amp; Inflation Adj.'!$F$9))),"")</f>
        <v/>
      </c>
      <c r="H41" s="805">
        <v>3.963316904500002E-2</v>
      </c>
      <c r="I41" s="806">
        <v>7.3974066564999982E-2</v>
      </c>
      <c r="J41" s="807">
        <v>0.46441986165263355</v>
      </c>
      <c r="K41" s="68">
        <v>334300</v>
      </c>
      <c r="L41" s="68" t="s">
        <v>3350</v>
      </c>
      <c r="M41" s="69" t="s">
        <v>440</v>
      </c>
      <c r="N41" s="69" t="s">
        <v>736</v>
      </c>
      <c r="O41" s="70">
        <v>4.3560860049999997E-2</v>
      </c>
      <c r="P41" s="70">
        <v>3.8550819220000004E-2</v>
      </c>
      <c r="Q41" s="70">
        <v>8.2115830600000009E-2</v>
      </c>
    </row>
    <row r="42" spans="3:17" ht="71.25">
      <c r="C42" s="321" t="s">
        <v>747</v>
      </c>
      <c r="D42" s="784"/>
      <c r="E42" s="784"/>
      <c r="F42" s="325"/>
      <c r="G42" s="785" t="str">
        <f>IFERROR(IF(E42="","",IF(F42="Direct-from-manufacturer",(E42*H42/1000*'Reporting Year &amp; Inflation Adj.'!$F$9),(E42*I42/1000*'Reporting Year &amp; Inflation Adj.'!$F$9))),"")</f>
        <v/>
      </c>
      <c r="H42" s="805">
        <v>4.1879130010000001E-2</v>
      </c>
      <c r="I42" s="806">
        <v>6.2839015090000006E-2</v>
      </c>
      <c r="J42" s="807">
        <v>0.33349938322529493</v>
      </c>
      <c r="K42" s="68">
        <v>334512</v>
      </c>
      <c r="L42" s="68" t="s">
        <v>3351</v>
      </c>
      <c r="M42" s="69" t="s">
        <v>440</v>
      </c>
      <c r="N42" s="69" t="s">
        <v>745</v>
      </c>
      <c r="O42" s="70">
        <v>4.7261545041000004E-2</v>
      </c>
      <c r="P42" s="70">
        <v>2.3088755809999997E-2</v>
      </c>
      <c r="Q42" s="70">
        <v>7.0354920909999993E-2</v>
      </c>
    </row>
    <row r="43" spans="3:17" ht="42.75">
      <c r="C43" s="321" t="s">
        <v>779</v>
      </c>
      <c r="D43" s="322"/>
      <c r="E43" s="784"/>
      <c r="F43" s="325"/>
      <c r="G43" s="319" t="str">
        <f>IFERROR(IF(E43="","",IF(F43="Direct-from-manufacturer",(E43*H43/1000*'Reporting Year &amp; Inflation Adj.'!$F$9),(E43*I43/1000*'Reporting Year &amp; Inflation Adj.'!$F$9))),"")</f>
        <v/>
      </c>
      <c r="H43" s="805">
        <v>0.18847009641500001</v>
      </c>
      <c r="I43" s="806">
        <v>0.23696765222499999</v>
      </c>
      <c r="J43" s="807">
        <v>0.20720193802392728</v>
      </c>
      <c r="K43" s="68">
        <v>336111</v>
      </c>
      <c r="L43" s="68" t="s">
        <v>3352</v>
      </c>
      <c r="M43" s="69" t="s">
        <v>440</v>
      </c>
      <c r="N43" s="69" t="s">
        <v>781</v>
      </c>
      <c r="O43" s="70">
        <v>0.19173530783000001</v>
      </c>
      <c r="P43" s="70">
        <v>5.0411641090000001E-2</v>
      </c>
      <c r="Q43" s="70">
        <v>0.24169422710000002</v>
      </c>
    </row>
    <row r="44" spans="3:17" ht="57">
      <c r="C44" s="321" t="s">
        <v>674</v>
      </c>
      <c r="D44" s="322"/>
      <c r="E44" s="784"/>
      <c r="F44" s="325"/>
      <c r="G44" s="319" t="str">
        <f>IFERROR(IF(E44="","",IF(F44="Direct-from-manufacturer",(E44*H44/1000*'Reporting Year &amp; Inflation Adj.'!$F$9),(E44*I44/1000*'Reporting Year &amp; Inflation Adj.'!$F$9))),"")</f>
        <v/>
      </c>
      <c r="H44" s="805">
        <v>0.16157557735999997</v>
      </c>
      <c r="I44" s="806">
        <v>0.18314192619</v>
      </c>
      <c r="J44" s="807">
        <v>0.12116207081375352</v>
      </c>
      <c r="K44" s="68">
        <v>332991</v>
      </c>
      <c r="L44" s="68" t="s">
        <v>3353</v>
      </c>
      <c r="M44" s="69" t="s">
        <v>440</v>
      </c>
      <c r="N44" s="69" t="s">
        <v>671</v>
      </c>
      <c r="O44" s="70">
        <v>0.18019062365000002</v>
      </c>
      <c r="P44" s="70">
        <v>2.4307178970000003E-2</v>
      </c>
      <c r="Q44" s="70">
        <v>0.20440302399000007</v>
      </c>
    </row>
    <row r="45" spans="3:17" ht="57">
      <c r="C45" s="321" t="s">
        <v>567</v>
      </c>
      <c r="D45" s="322"/>
      <c r="E45" s="784"/>
      <c r="F45" s="325"/>
      <c r="G45" s="319" t="str">
        <f>IFERROR(IF(E45="","",IF(F45="Direct-from-manufacturer",(E45*H45/1000*'Reporting Year &amp; Inflation Adj.'!$F$9),(E45*I45/1000*'Reporting Year &amp; Inflation Adj.'!$F$9))),"")</f>
        <v/>
      </c>
      <c r="H45" s="805">
        <v>0.14728228939499999</v>
      </c>
      <c r="I45" s="806">
        <v>0.16966179472999998</v>
      </c>
      <c r="J45" s="807">
        <v>0.12911790901341008</v>
      </c>
      <c r="K45" s="68">
        <v>325413</v>
      </c>
      <c r="L45" s="68" t="s">
        <v>3354</v>
      </c>
      <c r="M45" s="69" t="s">
        <v>440</v>
      </c>
      <c r="N45" s="69" t="s">
        <v>565</v>
      </c>
      <c r="O45" s="70">
        <v>0.16249880304</v>
      </c>
      <c r="P45" s="70">
        <v>2.2488066719999998E-2</v>
      </c>
      <c r="Q45" s="70">
        <v>0.18527496689</v>
      </c>
    </row>
    <row r="46" spans="3:17" ht="57">
      <c r="C46" s="321" t="s">
        <v>814</v>
      </c>
      <c r="D46" s="322"/>
      <c r="E46" s="784"/>
      <c r="F46" s="325"/>
      <c r="G46" s="319" t="str">
        <f>IFERROR(IF(E46="","",IF(F46="Direct-from-manufacturer",(E46*H46/1000*'Reporting Year &amp; Inflation Adj.'!$F$9),(E46*I46/1000*'Reporting Year &amp; Inflation Adj.'!$F$9))),"")</f>
        <v/>
      </c>
      <c r="H46" s="805">
        <v>0.13072818874</v>
      </c>
      <c r="I46" s="806">
        <v>0.15889679324499997</v>
      </c>
      <c r="J46" s="807">
        <v>0.17657955558447311</v>
      </c>
      <c r="K46" s="68">
        <v>336612</v>
      </c>
      <c r="L46" s="68" t="s">
        <v>3355</v>
      </c>
      <c r="M46" s="69" t="s">
        <v>440</v>
      </c>
      <c r="N46" s="69" t="s">
        <v>813</v>
      </c>
      <c r="O46" s="70">
        <v>0.15157205155</v>
      </c>
      <c r="P46" s="70">
        <v>3.2162848387000002E-2</v>
      </c>
      <c r="Q46" s="70">
        <v>0.18332743845999999</v>
      </c>
    </row>
    <row r="47" spans="3:17" ht="42.75">
      <c r="C47" s="321" t="s">
        <v>907</v>
      </c>
      <c r="D47" s="322"/>
      <c r="E47" s="784"/>
      <c r="F47" s="325"/>
      <c r="G47" s="319" t="str">
        <f>IFERROR(IF(E47="","",IF(F47="Direct-from-manufacturer",(E47*H47/1000*'Reporting Year &amp; Inflation Adj.'!$F$9),(E47*I47/1000*'Reporting Year &amp; Inflation Adj.'!$F$9))),"")</f>
        <v/>
      </c>
      <c r="H47" s="805">
        <v>6.2699455835000001E-2</v>
      </c>
      <c r="I47" s="806">
        <v>9.3146544900000017E-2</v>
      </c>
      <c r="J47" s="807">
        <v>0.32805535039228273</v>
      </c>
      <c r="K47" s="68">
        <v>511130</v>
      </c>
      <c r="L47" s="68" t="s">
        <v>3356</v>
      </c>
      <c r="M47" s="69" t="s">
        <v>904</v>
      </c>
      <c r="N47" s="69" t="s">
        <v>905</v>
      </c>
      <c r="O47" s="70">
        <v>7.2675180310000004E-2</v>
      </c>
      <c r="P47" s="70">
        <v>3.5434251899999991E-2</v>
      </c>
      <c r="Q47" s="70">
        <v>0.10806946460999999</v>
      </c>
    </row>
    <row r="48" spans="3:17" ht="85.5">
      <c r="C48" s="321" t="s">
        <v>538</v>
      </c>
      <c r="D48" s="322"/>
      <c r="E48" s="784"/>
      <c r="F48" s="325"/>
      <c r="G48" s="319" t="str">
        <f>IFERROR(IF(E48="","",IF(F48="Direct-from-manufacturer",(E48*H48/1000*'Reporting Year &amp; Inflation Adj.'!$F$9),(E48*I48/1000*'Reporting Year &amp; Inflation Adj.'!$F$9))),"")</f>
        <v/>
      </c>
      <c r="H48" s="805">
        <v>0.17906573107500001</v>
      </c>
      <c r="I48" s="806">
        <v>0.21055887039999999</v>
      </c>
      <c r="J48" s="807">
        <v>0.14811362366617256</v>
      </c>
      <c r="K48" s="68">
        <v>323110</v>
      </c>
      <c r="L48" s="68" t="s">
        <v>3357</v>
      </c>
      <c r="M48" s="69" t="s">
        <v>440</v>
      </c>
      <c r="N48" s="69" t="s">
        <v>540</v>
      </c>
      <c r="O48" s="70">
        <v>0.20291943952999994</v>
      </c>
      <c r="P48" s="70">
        <v>3.4342756360000004E-2</v>
      </c>
      <c r="Q48" s="70">
        <v>0.23723199728</v>
      </c>
    </row>
    <row r="49" spans="3:17" ht="28.5">
      <c r="C49" s="321" t="s">
        <v>472</v>
      </c>
      <c r="D49" s="322"/>
      <c r="E49" s="784"/>
      <c r="F49" s="325"/>
      <c r="G49" s="319" t="str">
        <f>IFERROR(IF(E49="","",IF(F49="Direct-from-manufacturer",(E49*H49/1000*'Reporting Year &amp; Inflation Adj.'!$F$9),(E49*I49/1000*'Reporting Year &amp; Inflation Adj.'!$F$9))),"")</f>
        <v/>
      </c>
      <c r="H49" s="805">
        <v>0.17239808645499999</v>
      </c>
      <c r="I49" s="806">
        <v>0.20550046686000001</v>
      </c>
      <c r="J49" s="807">
        <v>0.16060990339494158</v>
      </c>
      <c r="K49" s="68">
        <v>311810</v>
      </c>
      <c r="L49" s="68" t="s">
        <v>3358</v>
      </c>
      <c r="M49" s="69" t="s">
        <v>440</v>
      </c>
      <c r="N49" s="69" t="s">
        <v>474</v>
      </c>
      <c r="O49" s="70">
        <v>0.21719224828000006</v>
      </c>
      <c r="P49" s="70">
        <v>4.0317219759999995E-2</v>
      </c>
      <c r="Q49" s="70">
        <v>0.25669491394000005</v>
      </c>
    </row>
    <row r="50" spans="3:17" ht="28.5">
      <c r="C50" s="321" t="s">
        <v>449</v>
      </c>
      <c r="D50" s="322"/>
      <c r="E50" s="784"/>
      <c r="F50" s="325"/>
      <c r="G50" s="319" t="str">
        <f>IFERROR(IF(E50="","",IF(F50="Direct-from-manufacturer",(E50*H50/1000*'Reporting Year &amp; Inflation Adj.'!$F$9),(E50*I50/1000*'Reporting Year &amp; Inflation Adj.'!$F$9))),"")</f>
        <v/>
      </c>
      <c r="H50" s="805">
        <v>0.35689937112999998</v>
      </c>
      <c r="I50" s="806">
        <v>0.39594480620000011</v>
      </c>
      <c r="J50" s="807">
        <v>9.7856900086292872E-2</v>
      </c>
      <c r="K50" s="68">
        <v>311230</v>
      </c>
      <c r="L50" s="68" t="s">
        <v>3359</v>
      </c>
      <c r="M50" s="69" t="s">
        <v>440</v>
      </c>
      <c r="N50" s="69" t="s">
        <v>445</v>
      </c>
      <c r="O50" s="70">
        <v>0.42861508355</v>
      </c>
      <c r="P50" s="70">
        <v>5.0002900549999993E-2</v>
      </c>
      <c r="Q50" s="70">
        <v>0.47851964941999997</v>
      </c>
    </row>
    <row r="51" spans="3:17" ht="28.5">
      <c r="C51" s="321" t="s">
        <v>487</v>
      </c>
      <c r="D51" s="322"/>
      <c r="E51" s="784"/>
      <c r="F51" s="325"/>
      <c r="G51" s="319" t="str">
        <f>IFERROR(IF(E51="","",IF(F51="Direct-from-manufacturer",(E51*H51/1000*'Reporting Year &amp; Inflation Adj.'!$F$9),(E51*I51/1000*'Reporting Year &amp; Inflation Adj.'!$F$9))),"")</f>
        <v/>
      </c>
      <c r="H51" s="805">
        <v>0.19303958588</v>
      </c>
      <c r="I51" s="806">
        <v>0.25433793989000003</v>
      </c>
      <c r="J51" s="807">
        <v>0.24142690509153666</v>
      </c>
      <c r="K51" s="68">
        <v>312120</v>
      </c>
      <c r="L51" s="68" t="s">
        <v>3360</v>
      </c>
      <c r="M51" s="69" t="s">
        <v>440</v>
      </c>
      <c r="N51" s="69" t="s">
        <v>486</v>
      </c>
      <c r="O51" s="70">
        <v>0.21183697184</v>
      </c>
      <c r="P51" s="70">
        <v>6.6190759960000012E-2</v>
      </c>
      <c r="Q51" s="70">
        <v>0.27806699269999996</v>
      </c>
    </row>
    <row r="52" spans="3:17" ht="42.75">
      <c r="C52" s="321" t="s">
        <v>886</v>
      </c>
      <c r="D52" s="322"/>
      <c r="E52" s="784"/>
      <c r="F52" s="323" t="s">
        <v>366</v>
      </c>
      <c r="G52" s="319" t="str">
        <f>IFERROR(IF(E52="","",IF(F52="Direct-from-manufacturer",(E52*H52/1000*'Reporting Year &amp; Inflation Adj.'!$F$9),(E52*I52/1000*'Reporting Year &amp; Inflation Adj.'!$F$9))),"")</f>
        <v/>
      </c>
      <c r="H52" s="805">
        <v>8.5799871680000014E-2</v>
      </c>
      <c r="I52" s="806">
        <v>8.5799871680000014E-2</v>
      </c>
      <c r="J52" s="807">
        <v>0</v>
      </c>
      <c r="K52" s="68">
        <v>444000</v>
      </c>
      <c r="L52" s="68" t="s">
        <v>3361</v>
      </c>
      <c r="M52" s="69" t="s">
        <v>882</v>
      </c>
      <c r="N52" s="69" t="s">
        <v>887</v>
      </c>
      <c r="O52" s="70">
        <v>8.7619890393999991E-2</v>
      </c>
      <c r="P52" s="70">
        <v>0</v>
      </c>
      <c r="Q52" s="70">
        <v>8.7619890393999991E-2</v>
      </c>
    </row>
    <row r="53" spans="3:17" ht="42.75">
      <c r="C53" s="321" t="s">
        <v>1022</v>
      </c>
      <c r="D53" s="322"/>
      <c r="E53" s="784"/>
      <c r="F53" s="323" t="s">
        <v>366</v>
      </c>
      <c r="G53" s="319" t="str">
        <f>IFERROR(IF(E53="","",IF(F53="Direct-from-manufacturer",(E53*H53/1000*'Reporting Year &amp; Inflation Adj.'!$F$9),(E53*I53/1000*'Reporting Year &amp; Inflation Adj.'!$F$9))),"")</f>
        <v/>
      </c>
      <c r="H53" s="805">
        <v>0.18065831239999997</v>
      </c>
      <c r="I53" s="806">
        <v>0.18065831239999997</v>
      </c>
      <c r="J53" s="807">
        <v>0</v>
      </c>
      <c r="K53" s="68">
        <v>561700</v>
      </c>
      <c r="L53" s="68" t="s">
        <v>3362</v>
      </c>
      <c r="M53" s="69" t="s">
        <v>1006</v>
      </c>
      <c r="N53" s="69" t="s">
        <v>1024</v>
      </c>
      <c r="O53" s="70">
        <v>0.21772342498999997</v>
      </c>
      <c r="P53" s="70">
        <v>0</v>
      </c>
      <c r="Q53" s="70">
        <v>0.21772342498999997</v>
      </c>
    </row>
    <row r="54" spans="3:17" ht="28.5">
      <c r="C54" s="321" t="s">
        <v>1014</v>
      </c>
      <c r="D54" s="322"/>
      <c r="E54" s="784"/>
      <c r="F54" s="323" t="s">
        <v>366</v>
      </c>
      <c r="G54" s="319" t="str">
        <f>IFERROR(IF(E54="","",IF(F54="Direct-from-manufacturer",(E54*H54/1000*'Reporting Year &amp; Inflation Adj.'!$F$9),(E54*I54/1000*'Reporting Year &amp; Inflation Adj.'!$F$9))),"")</f>
        <v/>
      </c>
      <c r="H54" s="805">
        <v>0.100123204425</v>
      </c>
      <c r="I54" s="806">
        <v>0.100123204425</v>
      </c>
      <c r="J54" s="807">
        <v>0</v>
      </c>
      <c r="K54" s="68">
        <v>561400</v>
      </c>
      <c r="L54" s="68" t="s">
        <v>3363</v>
      </c>
      <c r="M54" s="69" t="s">
        <v>1006</v>
      </c>
      <c r="N54" s="69" t="s">
        <v>1016</v>
      </c>
      <c r="O54" s="70">
        <v>0.11237605167999995</v>
      </c>
      <c r="P54" s="70">
        <v>0</v>
      </c>
      <c r="Q54" s="70">
        <v>0.11237605167999995</v>
      </c>
    </row>
    <row r="55" spans="3:17" ht="99.75">
      <c r="C55" s="321" t="s">
        <v>922</v>
      </c>
      <c r="D55" s="322"/>
      <c r="E55" s="784"/>
      <c r="F55" s="323" t="s">
        <v>366</v>
      </c>
      <c r="G55" s="319" t="str">
        <f>IFERROR(IF(E55="","",IF(F55="Direct-from-manufacturer",(E55*H55/1000*'Reporting Year &amp; Inflation Adj.'!$F$9),(E55*I55/1000*'Reporting Year &amp; Inflation Adj.'!$F$9))),"")</f>
        <v/>
      </c>
      <c r="H55" s="805">
        <v>9.6461616525000002E-2</v>
      </c>
      <c r="I55" s="806">
        <v>9.6461616525000002E-2</v>
      </c>
      <c r="J55" s="807">
        <v>0</v>
      </c>
      <c r="K55" s="68">
        <v>515200</v>
      </c>
      <c r="L55" s="68" t="s">
        <v>3364</v>
      </c>
      <c r="M55" s="69" t="s">
        <v>904</v>
      </c>
      <c r="N55" s="69" t="s">
        <v>924</v>
      </c>
      <c r="O55" s="70">
        <v>9.711428557E-2</v>
      </c>
      <c r="P55" s="70">
        <v>0</v>
      </c>
      <c r="Q55" s="70">
        <v>9.711428557E-2</v>
      </c>
    </row>
    <row r="56" spans="3:17" ht="57">
      <c r="C56" s="321" t="s">
        <v>777</v>
      </c>
      <c r="D56" s="322"/>
      <c r="E56" s="784"/>
      <c r="F56" s="325"/>
      <c r="G56" s="319" t="str">
        <f>IFERROR(IF(E56="","",IF(F56="Direct-from-manufacturer",(E56*H56/1000*'Reporting Year &amp; Inflation Adj.'!$F$9),(E56*I56/1000*'Reporting Year &amp; Inflation Adj.'!$F$9))),"")</f>
        <v/>
      </c>
      <c r="H56" s="805">
        <v>0.27232037661999997</v>
      </c>
      <c r="I56" s="806">
        <v>0.28456732138000002</v>
      </c>
      <c r="J56" s="807">
        <v>4.5198357642143389E-2</v>
      </c>
      <c r="K56" s="68">
        <v>335991</v>
      </c>
      <c r="L56" s="68" t="s">
        <v>3365</v>
      </c>
      <c r="M56" s="69" t="s">
        <v>440</v>
      </c>
      <c r="N56" s="69" t="s">
        <v>773</v>
      </c>
      <c r="O56" s="70">
        <v>0.34851611674999999</v>
      </c>
      <c r="P56" s="70">
        <v>1.6530725480000001E-2</v>
      </c>
      <c r="Q56" s="70">
        <v>0.36553395382999998</v>
      </c>
    </row>
    <row r="57" spans="3:17" ht="42.75">
      <c r="C57" s="321" t="s">
        <v>530</v>
      </c>
      <c r="D57" s="322"/>
      <c r="E57" s="784"/>
      <c r="F57" s="325"/>
      <c r="G57" s="319" t="str">
        <f>IFERROR(IF(E57="","",IF(F57="Direct-from-manufacturer",(E57*H57/1000*'Reporting Year &amp; Inflation Adj.'!$F$9),(E57*I57/1000*'Reporting Year &amp; Inflation Adj.'!$F$9))),"")</f>
        <v/>
      </c>
      <c r="H57" s="805">
        <v>0.73774467975999991</v>
      </c>
      <c r="I57" s="806">
        <v>0.78021007167999989</v>
      </c>
      <c r="J57" s="807">
        <v>5.4617371560255326E-2</v>
      </c>
      <c r="K57" s="68">
        <v>322130</v>
      </c>
      <c r="L57" s="68" t="s">
        <v>3366</v>
      </c>
      <c r="M57" s="69" t="s">
        <v>440</v>
      </c>
      <c r="N57" s="69" t="s">
        <v>528</v>
      </c>
      <c r="O57" s="70">
        <v>0.79246599688999997</v>
      </c>
      <c r="P57" s="70">
        <v>4.0089732419999996E-2</v>
      </c>
      <c r="Q57" s="70">
        <v>0.83257661122000004</v>
      </c>
    </row>
    <row r="58" spans="3:17" ht="57">
      <c r="C58" s="321" t="s">
        <v>531</v>
      </c>
      <c r="D58" s="322"/>
      <c r="E58" s="784"/>
      <c r="F58" s="325"/>
      <c r="G58" s="319" t="str">
        <f>IFERROR(IF(E58="","",IF(F58="Direct-from-manufacturer",(E58*H58/1000*'Reporting Year &amp; Inflation Adj.'!$F$9),(E58*I58/1000*'Reporting Year &amp; Inflation Adj.'!$F$9))),"")</f>
        <v/>
      </c>
      <c r="H58" s="805">
        <v>0.43172117248000003</v>
      </c>
      <c r="I58" s="806">
        <v>0.46213957934999988</v>
      </c>
      <c r="J58" s="807">
        <v>6.6513782217558534E-2</v>
      </c>
      <c r="K58" s="68">
        <v>322210</v>
      </c>
      <c r="L58" s="68" t="s">
        <v>3367</v>
      </c>
      <c r="M58" s="69" t="s">
        <v>440</v>
      </c>
      <c r="N58" s="69" t="s">
        <v>533</v>
      </c>
      <c r="O58" s="70">
        <v>0.45128454300000004</v>
      </c>
      <c r="P58" s="70">
        <v>2.9942973559999999E-2</v>
      </c>
      <c r="Q58" s="70">
        <v>0.48101976617999997</v>
      </c>
    </row>
    <row r="59" spans="3:17" ht="57">
      <c r="C59" s="321" t="s">
        <v>502</v>
      </c>
      <c r="D59" s="322"/>
      <c r="E59" s="784"/>
      <c r="F59" s="325"/>
      <c r="G59" s="319" t="str">
        <f>IFERROR(IF(E59="","",IF(F59="Direct-from-manufacturer",(E59*H59/1000*'Reporting Year &amp; Inflation Adj.'!$F$9),(E59*I59/1000*'Reporting Year &amp; Inflation Adj.'!$F$9))),"")</f>
        <v/>
      </c>
      <c r="H59" s="805">
        <v>0.20033572662000007</v>
      </c>
      <c r="I59" s="806">
        <v>0.26515311263000002</v>
      </c>
      <c r="J59" s="807">
        <v>0.24263395734589976</v>
      </c>
      <c r="K59" s="68">
        <v>314110</v>
      </c>
      <c r="L59" s="68" t="s">
        <v>3368</v>
      </c>
      <c r="M59" s="69" t="s">
        <v>440</v>
      </c>
      <c r="N59" s="69" t="s">
        <v>504</v>
      </c>
      <c r="O59" s="70">
        <v>0.22507097126</v>
      </c>
      <c r="P59" s="70">
        <v>6.9038875E-2</v>
      </c>
      <c r="Q59" s="70">
        <v>0.29475249342999998</v>
      </c>
    </row>
    <row r="60" spans="3:17" ht="42.75">
      <c r="C60" s="321" t="s">
        <v>634</v>
      </c>
      <c r="D60" s="322"/>
      <c r="E60" s="784"/>
      <c r="F60" s="325"/>
      <c r="G60" s="319" t="str">
        <f>IFERROR(IF(E60="","",IF(F60="Direct-from-manufacturer",(E60*H60/1000*'Reporting Year &amp; Inflation Adj.'!$F$9),(E60*I60/1000*'Reporting Year &amp; Inflation Adj.'!$F$9))),"")</f>
        <v/>
      </c>
      <c r="H60" s="805">
        <v>0.310427625205</v>
      </c>
      <c r="I60" s="806">
        <v>0.3302662597499999</v>
      </c>
      <c r="J60" s="807">
        <v>6.1404985860048944E-2</v>
      </c>
      <c r="K60" s="68">
        <v>331510</v>
      </c>
      <c r="L60" s="68" t="s">
        <v>3369</v>
      </c>
      <c r="M60" s="69" t="s">
        <v>440</v>
      </c>
      <c r="N60" s="69" t="s">
        <v>636</v>
      </c>
      <c r="O60" s="70">
        <v>0.35048849429999995</v>
      </c>
      <c r="P60" s="70">
        <v>2.0893894230999997E-2</v>
      </c>
      <c r="Q60" s="70">
        <v>0.37179166199999997</v>
      </c>
    </row>
    <row r="61" spans="3:17" ht="28.5">
      <c r="C61" s="321" t="s">
        <v>348</v>
      </c>
      <c r="D61" s="322"/>
      <c r="E61" s="784"/>
      <c r="F61" s="325"/>
      <c r="G61" s="319" t="str">
        <f>IFERROR(IF(E61="","",IF(F61="Direct-from-manufacturer",(E61*H61/1000*'Reporting Year &amp; Inflation Adj.'!$F$9),(E61*I61/1000*'Reporting Year &amp; Inflation Adj.'!$F$9))),"")</f>
        <v/>
      </c>
      <c r="H61" s="805">
        <v>2.2206480048699997</v>
      </c>
      <c r="I61" s="806">
        <v>2.2591705531100001</v>
      </c>
      <c r="J61" s="807">
        <v>1.7421403178179463E-2</v>
      </c>
      <c r="K61" s="68" t="s">
        <v>349</v>
      </c>
      <c r="L61" s="68" t="s">
        <v>3370</v>
      </c>
      <c r="M61" s="69" t="s">
        <v>332</v>
      </c>
      <c r="N61" s="69" t="s">
        <v>350</v>
      </c>
      <c r="O61" s="70">
        <v>2.9839370134299994</v>
      </c>
      <c r="P61" s="70">
        <v>4.5576949279000002E-2</v>
      </c>
      <c r="Q61" s="70">
        <v>3.0268825067599998</v>
      </c>
    </row>
    <row r="62" spans="3:17" ht="42.75">
      <c r="C62" s="321" t="s">
        <v>602</v>
      </c>
      <c r="D62" s="322"/>
      <c r="E62" s="784"/>
      <c r="F62" s="325"/>
      <c r="G62" s="319" t="str">
        <f>IFERROR(IF(E62="","",IF(F62="Direct-from-manufacturer",(E62*H62/1000*'Reporting Year &amp; Inflation Adj.'!$F$9),(E62*I62/1000*'Reporting Year &amp; Inflation Adj.'!$F$9))),"")</f>
        <v/>
      </c>
      <c r="H62" s="805">
        <v>2.6761653873649993</v>
      </c>
      <c r="I62" s="806">
        <v>2.7340947360099999</v>
      </c>
      <c r="J62" s="807">
        <v>2.3842081639105863E-2</v>
      </c>
      <c r="K62" s="68">
        <v>327310</v>
      </c>
      <c r="L62" s="68" t="s">
        <v>3371</v>
      </c>
      <c r="M62" s="69" t="s">
        <v>440</v>
      </c>
      <c r="N62" s="69" t="s">
        <v>604</v>
      </c>
      <c r="O62" s="70">
        <v>3.8515269656500002</v>
      </c>
      <c r="P62" s="70">
        <v>7.9053461550000009E-2</v>
      </c>
      <c r="Q62" s="70">
        <v>3.9324714299999997</v>
      </c>
    </row>
    <row r="63" spans="3:17" ht="42.75">
      <c r="C63" s="321" t="s">
        <v>460</v>
      </c>
      <c r="D63" s="322"/>
      <c r="E63" s="784"/>
      <c r="F63" s="325"/>
      <c r="G63" s="319" t="str">
        <f>IFERROR(IF(E63="","",IF(F63="Direct-from-manufacturer",(E63*H63/1000*'Reporting Year &amp; Inflation Adj.'!$F$9),(E63*I63/1000*'Reporting Year &amp; Inflation Adj.'!$F$9))),"")</f>
        <v/>
      </c>
      <c r="H63" s="805">
        <v>0.96546482090000008</v>
      </c>
      <c r="I63" s="806">
        <v>1.0033215049499999</v>
      </c>
      <c r="J63" s="807">
        <v>3.4752977916822039E-2</v>
      </c>
      <c r="K63" s="68">
        <v>311513</v>
      </c>
      <c r="L63" s="68" t="s">
        <v>3372</v>
      </c>
      <c r="M63" s="69" t="s">
        <v>440</v>
      </c>
      <c r="N63" s="69" t="s">
        <v>459</v>
      </c>
      <c r="O63" s="70">
        <v>0.97556053530999987</v>
      </c>
      <c r="P63" s="70">
        <v>3.376815842E-2</v>
      </c>
      <c r="Q63" s="70">
        <v>1.0095657952499999</v>
      </c>
    </row>
    <row r="64" spans="3:17" ht="75">
      <c r="C64" s="321" t="s">
        <v>580</v>
      </c>
      <c r="D64" s="322"/>
      <c r="E64" s="784"/>
      <c r="F64" s="325"/>
      <c r="G64" s="319" t="str">
        <f>IFERROR(IF(E64="","",IF(F64="Direct-from-manufacturer",(E64*H64/1000*'Reporting Year &amp; Inflation Adj.'!$F$9),(E64*I64/1000*'Reporting Year &amp; Inflation Adj.'!$F$9))),"")</f>
        <v/>
      </c>
      <c r="H64" s="805">
        <v>0.41450977410000001</v>
      </c>
      <c r="I64" s="806">
        <v>0.44189436029999996</v>
      </c>
      <c r="J64" s="807">
        <v>6.1986349432937099E-2</v>
      </c>
      <c r="K64" s="68" t="s">
        <v>581</v>
      </c>
      <c r="L64" s="68" t="s">
        <v>3373</v>
      </c>
      <c r="M64" s="69" t="s">
        <v>440</v>
      </c>
      <c r="N64" s="69" t="s">
        <v>579</v>
      </c>
      <c r="O64" s="70">
        <v>0.47456737944999994</v>
      </c>
      <c r="P64" s="70">
        <v>2.8659220780000005E-2</v>
      </c>
      <c r="Q64" s="70">
        <v>0.50341828476999995</v>
      </c>
    </row>
    <row r="65" spans="3:17" ht="42.75">
      <c r="C65" s="321" t="s">
        <v>1068</v>
      </c>
      <c r="D65" s="322"/>
      <c r="E65" s="784"/>
      <c r="F65" s="323" t="s">
        <v>366</v>
      </c>
      <c r="G65" s="319" t="str">
        <f>IFERROR(IF(E65="","",IF(F65="Direct-from-manufacturer",(E65*H65/1000*'Reporting Year &amp; Inflation Adj.'!$F$9),(E65*I65/1000*'Reporting Year &amp; Inflation Adj.'!$F$9))),"")</f>
        <v/>
      </c>
      <c r="H65" s="805">
        <v>0.18596061630000002</v>
      </c>
      <c r="I65" s="806">
        <v>0.18596061630000002</v>
      </c>
      <c r="J65" s="807">
        <v>0</v>
      </c>
      <c r="K65" s="68">
        <v>624400</v>
      </c>
      <c r="L65" s="68" t="s">
        <v>3374</v>
      </c>
      <c r="M65" s="69" t="s">
        <v>1038</v>
      </c>
      <c r="N65" s="69" t="s">
        <v>1069</v>
      </c>
      <c r="O65" s="70">
        <v>0.21935017194</v>
      </c>
      <c r="P65" s="70">
        <v>0</v>
      </c>
      <c r="Q65" s="70">
        <v>0.21935017194</v>
      </c>
    </row>
    <row r="66" spans="3:17" ht="156.75">
      <c r="C66" s="321" t="s">
        <v>1120</v>
      </c>
      <c r="D66" s="322"/>
      <c r="E66" s="784"/>
      <c r="F66" s="323" t="s">
        <v>366</v>
      </c>
      <c r="G66" s="319" t="str">
        <f>IFERROR(IF(E66="","",IF(F66="Direct-from-manufacturer",(E66*H66/1000*'Reporting Year &amp; Inflation Adj.'!$F$9),(E66*I66/1000*'Reporting Year &amp; Inflation Adj.'!$F$9))),"")</f>
        <v/>
      </c>
      <c r="H66" s="805">
        <v>0.10586041694999999</v>
      </c>
      <c r="I66" s="806">
        <v>0.10586041694999999</v>
      </c>
      <c r="J66" s="807">
        <v>0</v>
      </c>
      <c r="K66" s="68" t="s">
        <v>1121</v>
      </c>
      <c r="L66" s="68" t="s">
        <v>3375</v>
      </c>
      <c r="M66" s="69" t="s">
        <v>1098</v>
      </c>
      <c r="N66" s="69" t="s">
        <v>1122</v>
      </c>
      <c r="O66" s="70">
        <v>0.12995198104000003</v>
      </c>
      <c r="P66" s="70">
        <v>0</v>
      </c>
      <c r="Q66" s="70">
        <v>0.12995198104000003</v>
      </c>
    </row>
    <row r="67" spans="3:17" ht="42.75">
      <c r="C67" s="321" t="s">
        <v>596</v>
      </c>
      <c r="D67" s="322"/>
      <c r="E67" s="784"/>
      <c r="F67" s="325"/>
      <c r="G67" s="319" t="str">
        <f>IFERROR(IF(E67="","",IF(F67="Direct-from-manufacturer",(E67*H67/1000*'Reporting Year &amp; Inflation Adj.'!$F$9),(E67*I67/1000*'Reporting Year &amp; Inflation Adj.'!$F$9))),"")</f>
        <v/>
      </c>
      <c r="H67" s="805">
        <v>0.36092163839000002</v>
      </c>
      <c r="I67" s="806">
        <v>0.40940086375499996</v>
      </c>
      <c r="J67" s="807">
        <v>0.11787726850981911</v>
      </c>
      <c r="K67" s="68">
        <v>327100</v>
      </c>
      <c r="L67" s="68" t="s">
        <v>3376</v>
      </c>
      <c r="M67" s="69" t="s">
        <v>440</v>
      </c>
      <c r="N67" s="69" t="s">
        <v>598</v>
      </c>
      <c r="O67" s="70">
        <v>0.40088700593999999</v>
      </c>
      <c r="P67" s="70">
        <v>5.2350679859999985E-2</v>
      </c>
      <c r="Q67" s="70">
        <v>0.45262988362000001</v>
      </c>
    </row>
    <row r="68" spans="3:17" ht="142.5">
      <c r="C68" s="321" t="s">
        <v>509</v>
      </c>
      <c r="D68" s="322"/>
      <c r="E68" s="784"/>
      <c r="F68" s="325"/>
      <c r="G68" s="319" t="str">
        <f>IFERROR(IF(E68="","",IF(F68="Direct-from-manufacturer",(E68*H68/1000*'Reporting Year &amp; Inflation Adj.'!$F$9),(E68*I68/1000*'Reporting Year &amp; Inflation Adj.'!$F$9))),"")</f>
        <v/>
      </c>
      <c r="H68" s="805">
        <v>5.1562989220000008E-2</v>
      </c>
      <c r="I68" s="806">
        <v>0.10382230684000002</v>
      </c>
      <c r="J68" s="807">
        <v>0.50337952537059982</v>
      </c>
      <c r="K68" s="68">
        <v>315000</v>
      </c>
      <c r="L68" s="68" t="s">
        <v>3377</v>
      </c>
      <c r="M68" s="69" t="s">
        <v>440</v>
      </c>
      <c r="N68" s="69" t="s">
        <v>511</v>
      </c>
      <c r="O68" s="70">
        <v>6.0490226460000011E-2</v>
      </c>
      <c r="P68" s="70">
        <v>6.0878879900000009E-2</v>
      </c>
      <c r="Q68" s="70">
        <v>0.12145351812000002</v>
      </c>
    </row>
    <row r="69" spans="3:17" ht="30">
      <c r="C69" s="321" t="s">
        <v>895</v>
      </c>
      <c r="D69" s="322"/>
      <c r="E69" s="784"/>
      <c r="F69" s="323" t="s">
        <v>366</v>
      </c>
      <c r="G69" s="319" t="str">
        <f>IFERROR(IF(E69="","",IF(F69="Direct-from-manufacturer",(E69*H69/1000*'Reporting Year &amp; Inflation Adj.'!$F$9),(E69*I69/1000*'Reporting Year &amp; Inflation Adj.'!$F$9))),"")</f>
        <v/>
      </c>
      <c r="H69" s="805">
        <v>0.12976641287000001</v>
      </c>
      <c r="I69" s="806">
        <v>0.12976641287000001</v>
      </c>
      <c r="J69" s="807">
        <v>0</v>
      </c>
      <c r="K69" s="68">
        <v>448000</v>
      </c>
      <c r="L69" s="68" t="s">
        <v>3378</v>
      </c>
      <c r="M69" s="69" t="s">
        <v>882</v>
      </c>
      <c r="N69" s="69" t="s">
        <v>896</v>
      </c>
      <c r="O69" s="70">
        <v>0.13919855871999998</v>
      </c>
      <c r="P69" s="70">
        <v>0</v>
      </c>
      <c r="Q69" s="70">
        <v>0.13919855871999998</v>
      </c>
    </row>
    <row r="70" spans="3:17" ht="71.25">
      <c r="C70" s="321" t="s">
        <v>19</v>
      </c>
      <c r="D70" s="322"/>
      <c r="E70" s="784"/>
      <c r="F70" s="325"/>
      <c r="G70" s="319" t="str">
        <f>IFERROR(IF(E70="","",IF(F70="Direct-from-manufacturer",(E70*H70/1000*'Reporting Year &amp; Inflation Adj.'!$F$9),(E70*I70/1000*'Reporting Year &amp; Inflation Adj.'!$F$9))),"")</f>
        <v/>
      </c>
      <c r="H70" s="805">
        <v>0.76551220193000002</v>
      </c>
      <c r="I70" s="806">
        <v>0.86475302702000023</v>
      </c>
      <c r="J70" s="807">
        <v>0.11413296934630716</v>
      </c>
      <c r="K70" s="68">
        <v>212100</v>
      </c>
      <c r="L70" s="68" t="s">
        <v>3379</v>
      </c>
      <c r="M70" s="69" t="s">
        <v>371</v>
      </c>
      <c r="N70" s="69" t="s">
        <v>374</v>
      </c>
      <c r="O70" s="70">
        <v>0.78505476366400007</v>
      </c>
      <c r="P70" s="70">
        <v>9.4634791216000005E-2</v>
      </c>
      <c r="Q70" s="70">
        <v>0.88015242420999995</v>
      </c>
    </row>
    <row r="71" spans="3:17" ht="57">
      <c r="C71" s="321" t="s">
        <v>480</v>
      </c>
      <c r="D71" s="322"/>
      <c r="E71" s="784"/>
      <c r="F71" s="325"/>
      <c r="G71" s="319" t="str">
        <f>IFERROR(IF(E71="","",IF(F71="Direct-from-manufacturer",(E71*H71/1000*'Reporting Year &amp; Inflation Adj.'!$F$9),(E71*I71/1000*'Reporting Year &amp; Inflation Adj.'!$F$9))),"")</f>
        <v/>
      </c>
      <c r="H71" s="805">
        <v>0.23572309742</v>
      </c>
      <c r="I71" s="806">
        <v>0.2666219058</v>
      </c>
      <c r="J71" s="807">
        <v>0.11680183884950686</v>
      </c>
      <c r="K71" s="68">
        <v>311920</v>
      </c>
      <c r="L71" s="68" t="s">
        <v>3380</v>
      </c>
      <c r="M71" s="69" t="s">
        <v>440</v>
      </c>
      <c r="N71" s="69" t="s">
        <v>479</v>
      </c>
      <c r="O71" s="70">
        <v>0.31765898099000001</v>
      </c>
      <c r="P71" s="70">
        <v>4.0556922019999997E-2</v>
      </c>
      <c r="Q71" s="70">
        <v>0.35804420259000003</v>
      </c>
    </row>
    <row r="72" spans="3:17" ht="199.5">
      <c r="C72" s="321" t="s">
        <v>1032</v>
      </c>
      <c r="D72" s="322"/>
      <c r="E72" s="784"/>
      <c r="F72" s="323" t="s">
        <v>366</v>
      </c>
      <c r="G72" s="319" t="str">
        <f>IFERROR(IF(E72="","",IF(F72="Direct-from-manufacturer",(E72*H72/1000*'Reporting Year &amp; Inflation Adj.'!$F$9),(E72*I72/1000*'Reporting Year &amp; Inflation Adj.'!$F$9))),"")</f>
        <v/>
      </c>
      <c r="H72" s="805">
        <v>0.12650926208000002</v>
      </c>
      <c r="I72" s="806">
        <v>0.12650926208000002</v>
      </c>
      <c r="J72" s="807">
        <v>0</v>
      </c>
      <c r="K72" s="68" t="s">
        <v>1033</v>
      </c>
      <c r="L72" s="68" t="s">
        <v>3381</v>
      </c>
      <c r="M72" s="69" t="s">
        <v>1030</v>
      </c>
      <c r="N72" s="69">
        <v>0</v>
      </c>
      <c r="O72" s="70">
        <v>0.14200823399999996</v>
      </c>
      <c r="P72" s="70">
        <v>0</v>
      </c>
      <c r="Q72" s="70">
        <v>0.14200823399999996</v>
      </c>
    </row>
    <row r="73" spans="3:17" ht="409.5">
      <c r="C73" s="321" t="s">
        <v>3312</v>
      </c>
      <c r="D73" s="322"/>
      <c r="E73" s="784"/>
      <c r="F73" s="323" t="s">
        <v>366</v>
      </c>
      <c r="G73" s="319" t="str">
        <f>IFERROR(IF(E73="","",IF(F73="Direct-from-manufacturer",(E73*H73/1000*'Reporting Year &amp; Inflation Adj.'!$F$9),(E73*I73/1000*'Reporting Year &amp; Inflation Adj.'!$F$9))),"")</f>
        <v/>
      </c>
      <c r="H73" s="805">
        <v>0.19704277615000007</v>
      </c>
      <c r="I73" s="806">
        <v>0.19704277615000007</v>
      </c>
      <c r="J73" s="807">
        <v>0</v>
      </c>
      <c r="K73" s="68" t="s">
        <v>3714</v>
      </c>
      <c r="L73" s="68" t="s">
        <v>3382</v>
      </c>
      <c r="M73" s="69" t="s">
        <v>397</v>
      </c>
      <c r="N73" s="69" t="s">
        <v>403</v>
      </c>
      <c r="O73" s="70">
        <v>0.22555460382</v>
      </c>
      <c r="P73" s="70">
        <v>0</v>
      </c>
      <c r="Q73" s="70">
        <v>0.22555460382</v>
      </c>
    </row>
    <row r="74" spans="3:17" ht="71.25">
      <c r="C74" s="321" t="s">
        <v>974</v>
      </c>
      <c r="D74" s="322"/>
      <c r="E74" s="784"/>
      <c r="F74" s="323" t="s">
        <v>366</v>
      </c>
      <c r="G74" s="319" t="str">
        <f>IFERROR(IF(E74="","",IF(F74="Direct-from-manufacturer",(E74*H74/1000*'Reporting Year &amp; Inflation Adj.'!$F$9),(E74*I74/1000*'Reporting Year &amp; Inflation Adj.'!$F$9))),"")</f>
        <v/>
      </c>
      <c r="H74" s="805">
        <v>9.9342342769999981E-2</v>
      </c>
      <c r="I74" s="806">
        <v>9.9342342769999981E-2</v>
      </c>
      <c r="J74" s="807">
        <v>0</v>
      </c>
      <c r="K74" s="68">
        <v>532400</v>
      </c>
      <c r="L74" s="68" t="s">
        <v>3383</v>
      </c>
      <c r="M74" s="69" t="s">
        <v>965</v>
      </c>
      <c r="N74" s="69" t="s">
        <v>975</v>
      </c>
      <c r="O74" s="70">
        <v>0.10771224754999999</v>
      </c>
      <c r="P74" s="70">
        <v>0</v>
      </c>
      <c r="Q74" s="70">
        <v>0.10771224754999999</v>
      </c>
    </row>
    <row r="75" spans="3:17" ht="99.75">
      <c r="C75" s="321" t="s">
        <v>1103</v>
      </c>
      <c r="D75" s="322"/>
      <c r="E75" s="784"/>
      <c r="F75" s="323" t="s">
        <v>366</v>
      </c>
      <c r="G75" s="319" t="str">
        <f>IFERROR(IF(E75="","",IF(F75="Direct-from-manufacturer",(E75*H75/1000*'Reporting Year &amp; Inflation Adj.'!$F$9),(E75*I75/1000*'Reporting Year &amp; Inflation Adj.'!$F$9))),"")</f>
        <v/>
      </c>
      <c r="H75" s="805">
        <v>0.11622462428000001</v>
      </c>
      <c r="I75" s="806">
        <v>0.11622462428000001</v>
      </c>
      <c r="J75" s="807">
        <v>0</v>
      </c>
      <c r="K75" s="68">
        <v>811300</v>
      </c>
      <c r="L75" s="68" t="s">
        <v>3384</v>
      </c>
      <c r="M75" s="69" t="s">
        <v>1098</v>
      </c>
      <c r="N75" s="69" t="s">
        <v>1104</v>
      </c>
      <c r="O75" s="70">
        <v>0.13932665493999999</v>
      </c>
      <c r="P75" s="70">
        <v>0</v>
      </c>
      <c r="Q75" s="70">
        <v>0.13932665493999999</v>
      </c>
    </row>
    <row r="76" spans="3:17" ht="57">
      <c r="C76" s="321" t="s">
        <v>775</v>
      </c>
      <c r="D76" s="322"/>
      <c r="E76" s="784"/>
      <c r="F76" s="325"/>
      <c r="G76" s="319" t="str">
        <f>IFERROR(IF(E76="","",IF(F76="Direct-from-manufacturer",(E76*H76/1000*'Reporting Year &amp; Inflation Adj.'!$F$9),(E76*I76/1000*'Reporting Year &amp; Inflation Adj.'!$F$9))),"")</f>
        <v/>
      </c>
      <c r="H76" s="805">
        <v>0.208247783455</v>
      </c>
      <c r="I76" s="806">
        <v>0.22291025427500002</v>
      </c>
      <c r="J76" s="807">
        <v>6.7111462878438735E-2</v>
      </c>
      <c r="K76" s="68">
        <v>335920</v>
      </c>
      <c r="L76" s="68" t="s">
        <v>3385</v>
      </c>
      <c r="M76" s="69" t="s">
        <v>440</v>
      </c>
      <c r="N76" s="69" t="s">
        <v>773</v>
      </c>
      <c r="O76" s="70">
        <v>0.22040170273000001</v>
      </c>
      <c r="P76" s="70">
        <v>1.6062350820000001E-2</v>
      </c>
      <c r="Q76" s="70">
        <v>0.23637851254000003</v>
      </c>
    </row>
    <row r="77" spans="3:17" ht="57">
      <c r="C77" s="321" t="s">
        <v>733</v>
      </c>
      <c r="D77" s="322"/>
      <c r="E77" s="784"/>
      <c r="F77" s="325"/>
      <c r="G77" s="319" t="str">
        <f>IFERROR(IF(E77="","",IF(F77="Direct-from-manufacturer",(E77*H77/1000*'Reporting Year &amp; Inflation Adj.'!$F$9),(E77*I77/1000*'Reporting Year &amp; Inflation Adj.'!$F$9))),"")</f>
        <v/>
      </c>
      <c r="H77" s="805">
        <v>3.2299684854999997E-2</v>
      </c>
      <c r="I77" s="806">
        <v>6.8270305710000007E-2</v>
      </c>
      <c r="J77" s="807">
        <v>0.52536962354258643</v>
      </c>
      <c r="K77" s="68">
        <v>334290</v>
      </c>
      <c r="L77" s="68" t="s">
        <v>3386</v>
      </c>
      <c r="M77" s="69" t="s">
        <v>440</v>
      </c>
      <c r="N77" s="69" t="s">
        <v>731</v>
      </c>
      <c r="O77" s="70">
        <v>3.8543534150000003E-2</v>
      </c>
      <c r="P77" s="70">
        <v>4.2353561619999994E-2</v>
      </c>
      <c r="Q77" s="70">
        <v>8.0890519870000011E-2</v>
      </c>
    </row>
    <row r="78" spans="3:17" ht="199.5">
      <c r="C78" s="321" t="s">
        <v>1065</v>
      </c>
      <c r="D78" s="322"/>
      <c r="E78" s="784"/>
      <c r="F78" s="323" t="s">
        <v>366</v>
      </c>
      <c r="G78" s="319" t="str">
        <f>IFERROR(IF(E78="","",IF(F78="Direct-from-manufacturer",(E78*H78/1000*'Reporting Year &amp; Inflation Adj.'!$F$9),(E78*I78/1000*'Reporting Year &amp; Inflation Adj.'!$F$9))),"")</f>
        <v/>
      </c>
      <c r="H78" s="805">
        <v>0.194715161365</v>
      </c>
      <c r="I78" s="806">
        <v>0.194715161365</v>
      </c>
      <c r="J78" s="807">
        <v>0</v>
      </c>
      <c r="K78" s="68" t="s">
        <v>1066</v>
      </c>
      <c r="L78" s="68" t="s">
        <v>3387</v>
      </c>
      <c r="M78" s="69" t="s">
        <v>1038</v>
      </c>
      <c r="N78" s="69" t="s">
        <v>1067</v>
      </c>
      <c r="O78" s="70">
        <v>0.22164653457</v>
      </c>
      <c r="P78" s="70">
        <v>0</v>
      </c>
      <c r="Q78" s="70">
        <v>0.22164653457</v>
      </c>
    </row>
    <row r="79" spans="3:17" ht="213.75">
      <c r="C79" s="321" t="s">
        <v>1003</v>
      </c>
      <c r="D79" s="322"/>
      <c r="E79" s="784"/>
      <c r="F79" s="323" t="s">
        <v>366</v>
      </c>
      <c r="G79" s="319" t="str">
        <f>IFERROR(IF(E79="","",IF(F79="Direct-from-manufacturer",(E79*H79/1000*'Reporting Year &amp; Inflation Adj.'!$F$9),(E79*I79/1000*'Reporting Year &amp; Inflation Adj.'!$F$9))),"")</f>
        <v/>
      </c>
      <c r="H79" s="805">
        <v>7.6042691770000004E-2</v>
      </c>
      <c r="I79" s="806">
        <v>7.6042691770000004E-2</v>
      </c>
      <c r="J79" s="807">
        <v>0</v>
      </c>
      <c r="K79" s="68">
        <v>550000</v>
      </c>
      <c r="L79" s="68" t="s">
        <v>3388</v>
      </c>
      <c r="M79" s="69" t="s">
        <v>3721</v>
      </c>
      <c r="N79" s="69" t="s">
        <v>1653</v>
      </c>
      <c r="O79" s="70">
        <v>8.489912249000002E-2</v>
      </c>
      <c r="P79" s="70">
        <v>0</v>
      </c>
      <c r="Q79" s="70">
        <v>8.489912249000002E-2</v>
      </c>
    </row>
    <row r="80" spans="3:17" ht="28.5">
      <c r="C80" s="321" t="s">
        <v>551</v>
      </c>
      <c r="D80" s="322"/>
      <c r="E80" s="784"/>
      <c r="F80" s="325"/>
      <c r="G80" s="319" t="str">
        <f>IFERROR(IF(E80="","",IF(F80="Direct-from-manufacturer",(E80*H80/1000*'Reporting Year &amp; Inflation Adj.'!$F$9),(E80*I80/1000*'Reporting Year &amp; Inflation Adj.'!$F$9))),"")</f>
        <v/>
      </c>
      <c r="H80" s="805">
        <v>0.9833318000850001</v>
      </c>
      <c r="I80" s="806">
        <v>1.0303873161899999</v>
      </c>
      <c r="J80" s="807">
        <v>4.5456067406951031E-2</v>
      </c>
      <c r="K80" s="68">
        <v>325120</v>
      </c>
      <c r="L80" s="68" t="s">
        <v>3389</v>
      </c>
      <c r="M80" s="69" t="s">
        <v>440</v>
      </c>
      <c r="N80" s="69" t="s">
        <v>550</v>
      </c>
      <c r="O80" s="70">
        <v>1.1809566171000001</v>
      </c>
      <c r="P80" s="70">
        <v>4.8557268860000002E-2</v>
      </c>
      <c r="Q80" s="70">
        <v>1.22790201006</v>
      </c>
    </row>
    <row r="81" spans="3:17" ht="57">
      <c r="C81" s="321" t="s">
        <v>727</v>
      </c>
      <c r="D81" s="322"/>
      <c r="E81" s="784"/>
      <c r="F81" s="325"/>
      <c r="G81" s="319" t="str">
        <f>IFERROR(IF(E81="","",IF(F81="Direct-from-manufacturer",(E81*H81/1000*'Reporting Year &amp; Inflation Adj.'!$F$9),(E81*I81/1000*'Reporting Year &amp; Inflation Adj.'!$F$9))),"")</f>
        <v/>
      </c>
      <c r="H81" s="805">
        <v>3.9150613745E-2</v>
      </c>
      <c r="I81" s="806">
        <v>6.9764233425000016E-2</v>
      </c>
      <c r="J81" s="807">
        <v>0.43884205640864882</v>
      </c>
      <c r="K81" s="68">
        <v>334112</v>
      </c>
      <c r="L81" s="68" t="s">
        <v>3390</v>
      </c>
      <c r="M81" s="69" t="s">
        <v>440</v>
      </c>
      <c r="N81" s="69" t="s">
        <v>726</v>
      </c>
      <c r="O81" s="70">
        <v>4.0468940490999999E-2</v>
      </c>
      <c r="P81" s="70">
        <v>3.1449022940000002E-2</v>
      </c>
      <c r="Q81" s="70">
        <v>7.2032959430000001E-2</v>
      </c>
    </row>
    <row r="82" spans="3:17" ht="71.25">
      <c r="C82" s="321" t="s">
        <v>995</v>
      </c>
      <c r="D82" s="322"/>
      <c r="E82" s="784"/>
      <c r="F82" s="323" t="s">
        <v>366</v>
      </c>
      <c r="G82" s="319" t="str">
        <f>IFERROR(IF(E82="","",IF(F82="Direct-from-manufacturer",(E82*H82/1000*'Reporting Year &amp; Inflation Adj.'!$F$9),(E82*I82/1000*'Reporting Year &amp; Inflation Adj.'!$F$9))),"")</f>
        <v/>
      </c>
      <c r="H82" s="805">
        <v>8.841870998000001E-2</v>
      </c>
      <c r="I82" s="806">
        <v>8.841870998000001E-2</v>
      </c>
      <c r="J82" s="807">
        <v>0</v>
      </c>
      <c r="K82" s="68">
        <v>541512</v>
      </c>
      <c r="L82" s="68" t="s">
        <v>3391</v>
      </c>
      <c r="M82" s="69" t="s">
        <v>981</v>
      </c>
      <c r="N82" s="69" t="s">
        <v>994</v>
      </c>
      <c r="O82" s="70">
        <v>9.0329390940000004E-2</v>
      </c>
      <c r="P82" s="70">
        <v>0</v>
      </c>
      <c r="Q82" s="70">
        <v>9.0329390940000004E-2</v>
      </c>
    </row>
    <row r="83" spans="3:17" ht="171">
      <c r="C83" s="321" t="s">
        <v>728</v>
      </c>
      <c r="D83" s="322"/>
      <c r="E83" s="784"/>
      <c r="F83" s="325"/>
      <c r="G83" s="319" t="str">
        <f>IFERROR(IF(E83="","",IF(F83="Direct-from-manufacturer",(E83*H83/1000*'Reporting Year &amp; Inflation Adj.'!$F$9),(E83*I83/1000*'Reporting Year &amp; Inflation Adj.'!$F$9))),"")</f>
        <v/>
      </c>
      <c r="H83" s="805">
        <v>0.10622854558</v>
      </c>
      <c r="I83" s="806">
        <v>0.13153315977999999</v>
      </c>
      <c r="J83" s="807">
        <v>0.19320480149268107</v>
      </c>
      <c r="K83" s="68">
        <v>334118</v>
      </c>
      <c r="L83" s="68" t="s">
        <v>3392</v>
      </c>
      <c r="M83" s="69" t="s">
        <v>440</v>
      </c>
      <c r="N83" s="69" t="s">
        <v>726</v>
      </c>
      <c r="O83" s="70">
        <v>0.11668957495</v>
      </c>
      <c r="P83" s="70">
        <v>2.7219157850000002E-2</v>
      </c>
      <c r="Q83" s="70">
        <v>0.14443019592</v>
      </c>
    </row>
    <row r="84" spans="3:17" ht="185.25">
      <c r="C84" s="321" t="s">
        <v>724</v>
      </c>
      <c r="D84" s="322"/>
      <c r="E84" s="784"/>
      <c r="F84" s="325"/>
      <c r="G84" s="319" t="str">
        <f>IFERROR(IF(E84="","",IF(F84="Direct-from-manufacturer",(E84*H84/1000*'Reporting Year &amp; Inflation Adj.'!$F$9),(E84*I84/1000*'Reporting Year &amp; Inflation Adj.'!$F$9))),"")</f>
        <v/>
      </c>
      <c r="H84" s="805">
        <v>2.8332989204999999E-2</v>
      </c>
      <c r="I84" s="806">
        <v>5.5424930055000002E-2</v>
      </c>
      <c r="J84" s="807">
        <v>0.48909368831137623</v>
      </c>
      <c r="K84" s="68">
        <v>334111</v>
      </c>
      <c r="L84" s="68" t="s">
        <v>3393</v>
      </c>
      <c r="M84" s="69" t="s">
        <v>440</v>
      </c>
      <c r="N84" s="69" t="s">
        <v>726</v>
      </c>
      <c r="O84" s="70">
        <v>3.0197229200000002E-2</v>
      </c>
      <c r="P84" s="70">
        <v>2.8751692029999998E-2</v>
      </c>
      <c r="Q84" s="70">
        <v>5.8929429019999986E-2</v>
      </c>
    </row>
    <row r="85" spans="3:17" ht="42.75">
      <c r="C85" s="321" t="s">
        <v>606</v>
      </c>
      <c r="D85" s="322"/>
      <c r="E85" s="784"/>
      <c r="F85" s="325"/>
      <c r="G85" s="319" t="str">
        <f>IFERROR(IF(E85="","",IF(F85="Direct-from-manufacturer",(E85*H85/1000*'Reporting Year &amp; Inflation Adj.'!$F$9),(E85*I85/1000*'Reporting Year &amp; Inflation Adj.'!$F$9))),"")</f>
        <v/>
      </c>
      <c r="H85" s="805">
        <v>0.19376598209000001</v>
      </c>
      <c r="I85" s="806">
        <v>0.24661203225500006</v>
      </c>
      <c r="J85" s="807">
        <v>0.21106598830173118</v>
      </c>
      <c r="K85" s="68">
        <v>327330</v>
      </c>
      <c r="L85" s="68" t="s">
        <v>3394</v>
      </c>
      <c r="M85" s="69" t="s">
        <v>440</v>
      </c>
      <c r="N85" s="69" t="s">
        <v>604</v>
      </c>
      <c r="O85" s="70">
        <v>0.26495564166000002</v>
      </c>
      <c r="P85" s="70">
        <v>6.3802448270000006E-2</v>
      </c>
      <c r="Q85" s="70">
        <v>0.32916277872999999</v>
      </c>
    </row>
    <row r="86" spans="3:17" ht="57">
      <c r="C86" s="321" t="s">
        <v>683</v>
      </c>
      <c r="D86" s="322"/>
      <c r="E86" s="784"/>
      <c r="F86" s="325"/>
      <c r="G86" s="319" t="str">
        <f>IFERROR(IF(E86="","",IF(F86="Direct-from-manufacturer",(E86*H86/1000*'Reporting Year &amp; Inflation Adj.'!$F$9),(E86*I86/1000*'Reporting Year &amp; Inflation Adj.'!$F$9))),"")</f>
        <v/>
      </c>
      <c r="H86" s="805">
        <v>0.16265907311</v>
      </c>
      <c r="I86" s="806">
        <v>0.18649170702499998</v>
      </c>
      <c r="J86" s="807">
        <v>0.12337693381677066</v>
      </c>
      <c r="K86" s="68">
        <v>333120</v>
      </c>
      <c r="L86" s="68" t="s">
        <v>3395</v>
      </c>
      <c r="M86" s="69" t="s">
        <v>440</v>
      </c>
      <c r="N86" s="69" t="s">
        <v>681</v>
      </c>
      <c r="O86" s="70">
        <v>0.20163499606999999</v>
      </c>
      <c r="P86" s="70">
        <v>2.7561102410000003E-2</v>
      </c>
      <c r="Q86" s="70">
        <v>0.22948276416999994</v>
      </c>
    </row>
    <row r="87" spans="3:17" ht="285">
      <c r="C87" s="321" t="s">
        <v>971</v>
      </c>
      <c r="D87" s="322"/>
      <c r="E87" s="784"/>
      <c r="F87" s="323" t="s">
        <v>366</v>
      </c>
      <c r="G87" s="319" t="str">
        <f>IFERROR(IF(E87="","",IF(F87="Direct-from-manufacturer",(E87*H87/1000*'Reporting Year &amp; Inflation Adj.'!$F$9),(E87*I87/1000*'Reporting Year &amp; Inflation Adj.'!$F$9))),"")</f>
        <v/>
      </c>
      <c r="H87" s="805">
        <v>9.3875567430000015E-2</v>
      </c>
      <c r="I87" s="806">
        <v>9.3875567430000015E-2</v>
      </c>
      <c r="J87" s="807">
        <v>0</v>
      </c>
      <c r="K87" s="68" t="s">
        <v>972</v>
      </c>
      <c r="L87" s="68" t="s">
        <v>3396</v>
      </c>
      <c r="M87" s="69" t="s">
        <v>965</v>
      </c>
      <c r="N87" s="69" t="s">
        <v>973</v>
      </c>
      <c r="O87" s="70">
        <v>0.10251628145000001</v>
      </c>
      <c r="P87" s="70">
        <v>0</v>
      </c>
      <c r="Q87" s="70">
        <v>0.10251628145000001</v>
      </c>
    </row>
    <row r="88" spans="3:17" ht="85.5">
      <c r="C88" s="321" t="s">
        <v>475</v>
      </c>
      <c r="D88" s="322"/>
      <c r="E88" s="784"/>
      <c r="F88" s="325"/>
      <c r="G88" s="319" t="str">
        <f>IFERROR(IF(E88="","",IF(F88="Direct-from-manufacturer",(E88*H88/1000*'Reporting Year &amp; Inflation Adj.'!$F$9),(E88*I88/1000*'Reporting Year &amp; Inflation Adj.'!$F$9))),"")</f>
        <v/>
      </c>
      <c r="H88" s="805">
        <v>0.25630375087000007</v>
      </c>
      <c r="I88" s="806">
        <v>0.29564966605000004</v>
      </c>
      <c r="J88" s="807">
        <v>0.13403698732167058</v>
      </c>
      <c r="K88" s="68" t="s">
        <v>476</v>
      </c>
      <c r="L88" s="68" t="s">
        <v>3397</v>
      </c>
      <c r="M88" s="69" t="s">
        <v>440</v>
      </c>
      <c r="N88" s="69" t="s">
        <v>474</v>
      </c>
      <c r="O88" s="70">
        <v>0.31600730878999994</v>
      </c>
      <c r="P88" s="70">
        <v>4.7197126790000009E-2</v>
      </c>
      <c r="Q88" s="70">
        <v>0.36317544822000003</v>
      </c>
    </row>
    <row r="89" spans="3:17" ht="57">
      <c r="C89" s="321" t="s">
        <v>629</v>
      </c>
      <c r="D89" s="322"/>
      <c r="E89" s="784"/>
      <c r="F89" s="325"/>
      <c r="G89" s="319" t="str">
        <f>IFERROR(IF(E89="","",IF(F89="Direct-from-manufacturer",(E89*H89/1000*'Reporting Year &amp; Inflation Adj.'!$F$9),(E89*I89/1000*'Reporting Year &amp; Inflation Adj.'!$F$9))),"")</f>
        <v/>
      </c>
      <c r="H89" s="805">
        <v>0.43943605552999992</v>
      </c>
      <c r="I89" s="806">
        <v>0.45459104362500002</v>
      </c>
      <c r="J89" s="807">
        <v>3.3760311441947626E-2</v>
      </c>
      <c r="K89" s="68">
        <v>331410</v>
      </c>
      <c r="L89" s="68" t="s">
        <v>3398</v>
      </c>
      <c r="M89" s="69" t="s">
        <v>440</v>
      </c>
      <c r="N89" s="69" t="s">
        <v>631</v>
      </c>
      <c r="O89" s="70">
        <v>0.40923198986000014</v>
      </c>
      <c r="P89" s="70">
        <v>1.5749122497000001E-2</v>
      </c>
      <c r="Q89" s="70">
        <v>0.42566276151000004</v>
      </c>
    </row>
    <row r="90" spans="3:17" ht="42.75">
      <c r="C90" s="321" t="s">
        <v>378</v>
      </c>
      <c r="D90" s="322"/>
      <c r="E90" s="784"/>
      <c r="F90" s="325"/>
      <c r="G90" s="319" t="str">
        <f>IFERROR(IF(E90="","",IF(F90="Direct-from-manufacturer",(E90*H90/1000*'Reporting Year &amp; Inflation Adj.'!$F$9),(E90*I90/1000*'Reporting Year &amp; Inflation Adj.'!$F$9))),"")</f>
        <v/>
      </c>
      <c r="H90" s="805">
        <v>0.27489975903999991</v>
      </c>
      <c r="I90" s="806">
        <v>0.33132069292000005</v>
      </c>
      <c r="J90" s="807">
        <v>0.17184168803862587</v>
      </c>
      <c r="K90" s="68">
        <v>212230</v>
      </c>
      <c r="L90" s="68" t="s">
        <v>3399</v>
      </c>
      <c r="M90" s="69" t="s">
        <v>371</v>
      </c>
      <c r="N90" s="69" t="s">
        <v>377</v>
      </c>
      <c r="O90" s="70">
        <v>0.27238940930000005</v>
      </c>
      <c r="P90" s="70">
        <v>5.3508391675000003E-2</v>
      </c>
      <c r="Q90" s="70">
        <v>0.32551515174999995</v>
      </c>
    </row>
    <row r="91" spans="3:17" ht="42.75">
      <c r="C91" s="321" t="s">
        <v>446</v>
      </c>
      <c r="D91" s="322"/>
      <c r="E91" s="784"/>
      <c r="F91" s="325"/>
      <c r="G91" s="319" t="str">
        <f>IFERROR(IF(E91="","",IF(F91="Direct-from-manufacturer",(E91*H91/1000*'Reporting Year &amp; Inflation Adj.'!$F$9),(E91*I91/1000*'Reporting Year &amp; Inflation Adj.'!$F$9))),"")</f>
        <v/>
      </c>
      <c r="H91" s="805">
        <v>0.89119044027000027</v>
      </c>
      <c r="I91" s="806">
        <v>0.92851713046000006</v>
      </c>
      <c r="J91" s="807">
        <v>4.1443437555035753E-2</v>
      </c>
      <c r="K91" s="68">
        <v>311221</v>
      </c>
      <c r="L91" s="68" t="s">
        <v>3400</v>
      </c>
      <c r="M91" s="69" t="s">
        <v>440</v>
      </c>
      <c r="N91" s="69" t="s">
        <v>445</v>
      </c>
      <c r="O91" s="70">
        <v>0.9688790880999999</v>
      </c>
      <c r="P91" s="70">
        <v>3.731725327999999E-2</v>
      </c>
      <c r="Q91" s="70">
        <v>1.0075101059000002</v>
      </c>
    </row>
    <row r="92" spans="3:17" ht="42.75">
      <c r="C92" s="321" t="s">
        <v>505</v>
      </c>
      <c r="D92" s="322"/>
      <c r="E92" s="784"/>
      <c r="F92" s="325"/>
      <c r="G92" s="319" t="str">
        <f>IFERROR(IF(E92="","",IF(F92="Direct-from-manufacturer",(E92*H92/1000*'Reporting Year &amp; Inflation Adj.'!$F$9),(E92*I92/1000*'Reporting Year &amp; Inflation Adj.'!$F$9))),"")</f>
        <v/>
      </c>
      <c r="H92" s="805">
        <v>0.19459913570000001</v>
      </c>
      <c r="I92" s="806">
        <v>0.25221427382</v>
      </c>
      <c r="J92" s="807">
        <v>0.22964258425094394</v>
      </c>
      <c r="K92" s="68">
        <v>314120</v>
      </c>
      <c r="L92" s="68" t="s">
        <v>3401</v>
      </c>
      <c r="M92" s="69" t="s">
        <v>440</v>
      </c>
      <c r="N92" s="69" t="s">
        <v>504</v>
      </c>
      <c r="O92" s="70">
        <v>0.20764953326999999</v>
      </c>
      <c r="P92" s="70">
        <v>6.1261307979999999E-2</v>
      </c>
      <c r="Q92" s="70">
        <v>0.26892962966</v>
      </c>
    </row>
    <row r="93" spans="3:17" ht="42.75">
      <c r="C93" s="321" t="s">
        <v>992</v>
      </c>
      <c r="D93" s="322"/>
      <c r="E93" s="784"/>
      <c r="F93" s="323" t="s">
        <v>366</v>
      </c>
      <c r="G93" s="319" t="str">
        <f>IFERROR(IF(E93="","",IF(F93="Direct-from-manufacturer",(E93*H93/1000*'Reporting Year &amp; Inflation Adj.'!$F$9),(E93*I93/1000*'Reporting Year &amp; Inflation Adj.'!$F$9))),"")</f>
        <v/>
      </c>
      <c r="H93" s="805">
        <v>8.1723255050000027E-2</v>
      </c>
      <c r="I93" s="806">
        <v>8.1723255050000027E-2</v>
      </c>
      <c r="J93" s="807">
        <v>0</v>
      </c>
      <c r="K93" s="68">
        <v>541511</v>
      </c>
      <c r="L93" s="68" t="s">
        <v>3402</v>
      </c>
      <c r="M93" s="69" t="s">
        <v>981</v>
      </c>
      <c r="N93" s="69" t="s">
        <v>994</v>
      </c>
      <c r="O93" s="70">
        <v>8.5311799849999995E-2</v>
      </c>
      <c r="P93" s="70">
        <v>0</v>
      </c>
      <c r="Q93" s="70">
        <v>8.5311799849999995E-2</v>
      </c>
    </row>
    <row r="94" spans="3:17" ht="28.5">
      <c r="C94" s="321" t="s">
        <v>641</v>
      </c>
      <c r="D94" s="322"/>
      <c r="E94" s="784"/>
      <c r="F94" s="325"/>
      <c r="G94" s="319" t="str">
        <f>IFERROR(IF(E94="","",IF(F94="Direct-from-manufacturer",(E94*H94/1000*'Reporting Year &amp; Inflation Adj.'!$F$9),(E94*I94/1000*'Reporting Year &amp; Inflation Adj.'!$F$9))),"")</f>
        <v/>
      </c>
      <c r="H94" s="805">
        <v>0.470238795825</v>
      </c>
      <c r="I94" s="806">
        <v>0.48896693464000002</v>
      </c>
      <c r="J94" s="807">
        <v>3.8915922421236371E-2</v>
      </c>
      <c r="K94" s="68">
        <v>332114</v>
      </c>
      <c r="L94" s="68" t="s">
        <v>3403</v>
      </c>
      <c r="M94" s="69" t="s">
        <v>440</v>
      </c>
      <c r="N94" s="69" t="s">
        <v>640</v>
      </c>
      <c r="O94" s="70">
        <v>0.35035225813000009</v>
      </c>
      <c r="P94" s="70">
        <v>1.3531304576999999E-2</v>
      </c>
      <c r="Q94" s="70">
        <v>0.36348472153</v>
      </c>
    </row>
    <row r="95" spans="3:17" ht="57">
      <c r="C95" s="321" t="s">
        <v>614</v>
      </c>
      <c r="D95" s="322"/>
      <c r="E95" s="784"/>
      <c r="F95" s="325"/>
      <c r="G95" s="319" t="str">
        <f>IFERROR(IF(E95="","",IF(F95="Direct-from-manufacturer",(E95*H95/1000*'Reporting Year &amp; Inflation Adj.'!$F$9),(E95*I95/1000*'Reporting Year &amp; Inflation Adj.'!$F$9))),"")</f>
        <v/>
      </c>
      <c r="H95" s="805">
        <v>0.12882853033</v>
      </c>
      <c r="I95" s="806">
        <v>0.17251540375999996</v>
      </c>
      <c r="J95" s="807">
        <v>0.2547776887572698</v>
      </c>
      <c r="K95" s="68">
        <v>327991</v>
      </c>
      <c r="L95" s="68" t="s">
        <v>3404</v>
      </c>
      <c r="M95" s="69" t="s">
        <v>440</v>
      </c>
      <c r="N95" s="69" t="s">
        <v>613</v>
      </c>
      <c r="O95" s="70">
        <v>0.14866862947000001</v>
      </c>
      <c r="P95" s="70">
        <v>4.7104198969999997E-2</v>
      </c>
      <c r="Q95" s="70">
        <v>0.19643764323999999</v>
      </c>
    </row>
    <row r="96" spans="3:17" ht="99.75">
      <c r="C96" s="321" t="s">
        <v>644</v>
      </c>
      <c r="D96" s="322"/>
      <c r="E96" s="784"/>
      <c r="F96" s="325"/>
      <c r="G96" s="319" t="str">
        <f>IFERROR(IF(E96="","",IF(F96="Direct-from-manufacturer",(E96*H96/1000*'Reporting Year &amp; Inflation Adj.'!$F$9),(E96*I96/1000*'Reporting Year &amp; Inflation Adj.'!$F$9))),"")</f>
        <v/>
      </c>
      <c r="H96" s="805">
        <v>0.148828028675</v>
      </c>
      <c r="I96" s="806">
        <v>0.19161272274999994</v>
      </c>
      <c r="J96" s="807">
        <v>0.22017409128434304</v>
      </c>
      <c r="K96" s="68">
        <v>332200</v>
      </c>
      <c r="L96" s="68" t="s">
        <v>3405</v>
      </c>
      <c r="M96" s="69" t="s">
        <v>440</v>
      </c>
      <c r="N96" s="69" t="s">
        <v>646</v>
      </c>
      <c r="O96" s="70">
        <v>0.17527054912999998</v>
      </c>
      <c r="P96" s="70">
        <v>4.9135878249999994E-2</v>
      </c>
      <c r="Q96" s="70">
        <v>0.22429077757000002</v>
      </c>
    </row>
    <row r="97" spans="3:17" ht="71.25">
      <c r="C97" s="321" t="s">
        <v>704</v>
      </c>
      <c r="D97" s="322"/>
      <c r="E97" s="784"/>
      <c r="F97" s="325"/>
      <c r="G97" s="319" t="str">
        <f>IFERROR(IF(E97="","",IF(F97="Direct-from-manufacturer",(E97*H97/1000*'Reporting Year &amp; Inflation Adj.'!$F$9),(E97*I97/1000*'Reporting Year &amp; Inflation Adj.'!$F$9))),"")</f>
        <v/>
      </c>
      <c r="H97" s="805">
        <v>0.16015430177500001</v>
      </c>
      <c r="I97" s="806">
        <v>0.18030807449499997</v>
      </c>
      <c r="J97" s="807">
        <v>0.11296214202855798</v>
      </c>
      <c r="K97" s="68" t="s">
        <v>705</v>
      </c>
      <c r="L97" s="68" t="s">
        <v>3406</v>
      </c>
      <c r="M97" s="69" t="s">
        <v>440</v>
      </c>
      <c r="N97" s="69" t="s">
        <v>702</v>
      </c>
      <c r="O97" s="70">
        <v>0.18467934672000003</v>
      </c>
      <c r="P97" s="70">
        <v>2.3084595209999996E-2</v>
      </c>
      <c r="Q97" s="70">
        <v>0.20855775213</v>
      </c>
    </row>
    <row r="98" spans="3:17" ht="28.5">
      <c r="C98" s="321" t="s">
        <v>351</v>
      </c>
      <c r="D98" s="322"/>
      <c r="E98" s="784"/>
      <c r="F98" s="325"/>
      <c r="G98" s="319" t="str">
        <f>IFERROR(IF(E98="","",IF(F98="Direct-from-manufacturer",(E98*H98/1000*'Reporting Year &amp; Inflation Adj.'!$F$9),(E98*I98/1000*'Reporting Year &amp; Inflation Adj.'!$F$9))),"")</f>
        <v/>
      </c>
      <c r="H98" s="805">
        <v>1.8925732254900001</v>
      </c>
      <c r="I98" s="806">
        <v>1.9458310481000001</v>
      </c>
      <c r="J98" s="807">
        <v>2.5987796126686748E-2</v>
      </c>
      <c r="K98" s="68">
        <v>112120</v>
      </c>
      <c r="L98" s="68" t="s">
        <v>3407</v>
      </c>
      <c r="M98" s="69" t="s">
        <v>332</v>
      </c>
      <c r="N98" s="69" t="s">
        <v>350</v>
      </c>
      <c r="O98" s="70">
        <v>1.7665675110000001</v>
      </c>
      <c r="P98" s="70">
        <v>4.1984165949999999E-2</v>
      </c>
      <c r="Q98" s="70">
        <v>1.8065133875799995</v>
      </c>
    </row>
    <row r="99" spans="3:17" ht="99.75">
      <c r="C99" s="321" t="s">
        <v>933</v>
      </c>
      <c r="D99" s="322"/>
      <c r="E99" s="784"/>
      <c r="F99" s="323" t="s">
        <v>366</v>
      </c>
      <c r="G99" s="319" t="str">
        <f>IFERROR(IF(E99="","",IF(F99="Direct-from-manufacturer",(E99*H99/1000*'Reporting Year &amp; Inflation Adj.'!$F$9),(E99*I99/1000*'Reporting Year &amp; Inflation Adj.'!$F$9))),"")</f>
        <v/>
      </c>
      <c r="H99" s="805">
        <v>8.8469481899999994E-2</v>
      </c>
      <c r="I99" s="806">
        <v>8.8469481899999994E-2</v>
      </c>
      <c r="J99" s="807">
        <v>0</v>
      </c>
      <c r="K99" s="68">
        <v>518200</v>
      </c>
      <c r="L99" s="68" t="s">
        <v>3408</v>
      </c>
      <c r="M99" s="69" t="s">
        <v>904</v>
      </c>
      <c r="N99" s="69" t="s">
        <v>935</v>
      </c>
      <c r="O99" s="70">
        <v>9.4416201590000026E-2</v>
      </c>
      <c r="P99" s="70">
        <v>0</v>
      </c>
      <c r="Q99" s="70">
        <v>9.4416201590000026E-2</v>
      </c>
    </row>
    <row r="100" spans="3:17" ht="57">
      <c r="C100" s="321" t="s">
        <v>840</v>
      </c>
      <c r="D100" s="322"/>
      <c r="E100" s="784"/>
      <c r="F100" s="325"/>
      <c r="G100" s="319" t="str">
        <f>IFERROR(IF(E100="","",IF(F100="Direct-from-manufacturer",(E100*H100/1000*'Reporting Year &amp; Inflation Adj.'!$F$9),(E100*I100/1000*'Reporting Year &amp; Inflation Adj.'!$F$9))),"")</f>
        <v/>
      </c>
      <c r="H100" s="805">
        <v>0.12144670933</v>
      </c>
      <c r="I100" s="806">
        <v>0.14720512093999999</v>
      </c>
      <c r="J100" s="807">
        <v>0.1757111652762588</v>
      </c>
      <c r="K100" s="68">
        <v>339114</v>
      </c>
      <c r="L100" s="68" t="s">
        <v>3409</v>
      </c>
      <c r="M100" s="69" t="s">
        <v>440</v>
      </c>
      <c r="N100" s="69" t="s">
        <v>838</v>
      </c>
      <c r="O100" s="70">
        <v>0.14388459436000006</v>
      </c>
      <c r="P100" s="70">
        <v>3.0493722039999997E-2</v>
      </c>
      <c r="Q100" s="70">
        <v>0.17471566247</v>
      </c>
    </row>
    <row r="101" spans="3:17" ht="57">
      <c r="C101" s="321" t="s">
        <v>842</v>
      </c>
      <c r="D101" s="322"/>
      <c r="E101" s="784"/>
      <c r="F101" s="325"/>
      <c r="G101" s="319" t="str">
        <f>IFERROR(IF(E101="","",IF(F101="Direct-from-manufacturer",(E101*H101/1000*'Reporting Year &amp; Inflation Adj.'!$F$9),(E101*I101/1000*'Reporting Year &amp; Inflation Adj.'!$F$9))),"")</f>
        <v/>
      </c>
      <c r="H101" s="805">
        <v>7.4362819135000036E-2</v>
      </c>
      <c r="I101" s="806">
        <v>0.104055119945</v>
      </c>
      <c r="J101" s="807">
        <v>0.28630349771108521</v>
      </c>
      <c r="K101" s="68">
        <v>339116</v>
      </c>
      <c r="L101" s="68" t="s">
        <v>3410</v>
      </c>
      <c r="M101" s="69" t="s">
        <v>440</v>
      </c>
      <c r="N101" s="69" t="s">
        <v>838</v>
      </c>
      <c r="O101" s="70">
        <v>8.3066336130000001E-2</v>
      </c>
      <c r="P101" s="70">
        <v>3.483316258E-2</v>
      </c>
      <c r="Q101" s="70">
        <v>0.11791401771</v>
      </c>
    </row>
    <row r="102" spans="3:17" ht="99.75">
      <c r="C102" s="321" t="s">
        <v>1040</v>
      </c>
      <c r="D102" s="322"/>
      <c r="E102" s="784"/>
      <c r="F102" s="323" t="s">
        <v>366</v>
      </c>
      <c r="G102" s="319" t="str">
        <f>IFERROR(IF(E102="","",IF(F102="Direct-from-manufacturer",(E102*H102/1000*'Reporting Year &amp; Inflation Adj.'!$F$9),(E102*I102/1000*'Reporting Year &amp; Inflation Adj.'!$F$9))),"")</f>
        <v/>
      </c>
      <c r="H102" s="805">
        <v>4.9948452570000003E-2</v>
      </c>
      <c r="I102" s="806">
        <v>4.9948452570000003E-2</v>
      </c>
      <c r="J102" s="807">
        <v>0</v>
      </c>
      <c r="K102" s="68">
        <v>621200</v>
      </c>
      <c r="L102" s="68" t="s">
        <v>3411</v>
      </c>
      <c r="M102" s="69" t="s">
        <v>1038</v>
      </c>
      <c r="N102" s="69" t="s">
        <v>1042</v>
      </c>
      <c r="O102" s="70">
        <v>5.7036124189999995E-2</v>
      </c>
      <c r="P102" s="70">
        <v>0</v>
      </c>
      <c r="Q102" s="70">
        <v>5.7036124189999995E-2</v>
      </c>
    </row>
    <row r="103" spans="3:17" ht="57">
      <c r="C103" s="321" t="s">
        <v>380</v>
      </c>
      <c r="D103" s="322"/>
      <c r="E103" s="784"/>
      <c r="F103" s="325"/>
      <c r="G103" s="319" t="str">
        <f>IFERROR(IF(E103="","",IF(F103="Direct-from-manufacturer",(E103*H103/1000*'Reporting Year &amp; Inflation Adj.'!$F$9),(E103*I103/1000*'Reporting Year &amp; Inflation Adj.'!$F$9))),"")</f>
        <v/>
      </c>
      <c r="H103" s="805">
        <v>0.14115530617500005</v>
      </c>
      <c r="I103" s="806">
        <v>0.21267717355999996</v>
      </c>
      <c r="J103" s="807">
        <v>0.33393481696315624</v>
      </c>
      <c r="K103" s="68">
        <v>212310</v>
      </c>
      <c r="L103" s="68" t="s">
        <v>3412</v>
      </c>
      <c r="M103" s="69" t="s">
        <v>371</v>
      </c>
      <c r="N103" s="69" t="s">
        <v>382</v>
      </c>
      <c r="O103" s="70">
        <v>0.19387115817</v>
      </c>
      <c r="P103" s="70">
        <v>8.6297871180000013E-2</v>
      </c>
      <c r="Q103" s="70">
        <v>0.28086228323000006</v>
      </c>
    </row>
    <row r="104" spans="3:17" ht="42.75">
      <c r="C104" s="321" t="s">
        <v>954</v>
      </c>
      <c r="D104" s="322"/>
      <c r="E104" s="784"/>
      <c r="F104" s="323" t="s">
        <v>366</v>
      </c>
      <c r="G104" s="319" t="str">
        <f>IFERROR(IF(E104="","",IF(F104="Direct-from-manufacturer",(E104*H104/1000*'Reporting Year &amp; Inflation Adj.'!$F$9),(E104*I104/1000*'Reporting Year &amp; Inflation Adj.'!$F$9))),"")</f>
        <v/>
      </c>
      <c r="H104" s="805">
        <v>5.2887159269999998E-2</v>
      </c>
      <c r="I104" s="806">
        <v>5.2887159269999998E-2</v>
      </c>
      <c r="J104" s="807">
        <v>0</v>
      </c>
      <c r="K104" s="68">
        <v>524113</v>
      </c>
      <c r="L104" s="68" t="s">
        <v>3413</v>
      </c>
      <c r="M104" s="69" t="s">
        <v>943</v>
      </c>
      <c r="N104" s="69" t="s">
        <v>957</v>
      </c>
      <c r="O104" s="70">
        <v>5.1678779441000001E-2</v>
      </c>
      <c r="P104" s="70">
        <v>0</v>
      </c>
      <c r="Q104" s="70">
        <v>5.1678779441000001E-2</v>
      </c>
    </row>
    <row r="105" spans="3:17" ht="71.25">
      <c r="C105" s="321" t="s">
        <v>908</v>
      </c>
      <c r="D105" s="322"/>
      <c r="E105" s="784"/>
      <c r="F105" s="325"/>
      <c r="G105" s="319" t="str">
        <f>IFERROR(IF(E105="","",IF(F105="Direct-from-manufacturer",(E105*H105/1000*'Reporting Year &amp; Inflation Adj.'!$F$9),(E105*I105/1000*'Reporting Year &amp; Inflation Adj.'!$F$9))),"")</f>
        <v/>
      </c>
      <c r="H105" s="805">
        <v>5.2654140975000006E-2</v>
      </c>
      <c r="I105" s="806">
        <v>0.10791888316500002</v>
      </c>
      <c r="J105" s="807">
        <v>0.51340484672444386</v>
      </c>
      <c r="K105" s="68" t="s">
        <v>909</v>
      </c>
      <c r="L105" s="68" t="s">
        <v>3414</v>
      </c>
      <c r="M105" s="69" t="s">
        <v>904</v>
      </c>
      <c r="N105" s="69" t="s">
        <v>905</v>
      </c>
      <c r="O105" s="70">
        <v>5.320343172E-2</v>
      </c>
      <c r="P105" s="70">
        <v>5.5705135419999996E-2</v>
      </c>
      <c r="Q105" s="70">
        <v>0.10895048353999999</v>
      </c>
    </row>
    <row r="106" spans="3:17" ht="42.75">
      <c r="C106" s="321" t="s">
        <v>489</v>
      </c>
      <c r="D106" s="322"/>
      <c r="E106" s="784"/>
      <c r="F106" s="325"/>
      <c r="G106" s="319" t="str">
        <f>IFERROR(IF(E106="","",IF(F106="Direct-from-manufacturer",(E106*H106/1000*'Reporting Year &amp; Inflation Adj.'!$F$9),(E106*I106/1000*'Reporting Year &amp; Inflation Adj.'!$F$9))),"")</f>
        <v/>
      </c>
      <c r="H106" s="805">
        <v>0.24541929060000003</v>
      </c>
      <c r="I106" s="806">
        <v>0.31270352589</v>
      </c>
      <c r="J106" s="807">
        <v>0.21499495673627117</v>
      </c>
      <c r="K106" s="68">
        <v>312140</v>
      </c>
      <c r="L106" s="68" t="s">
        <v>3415</v>
      </c>
      <c r="M106" s="69" t="s">
        <v>440</v>
      </c>
      <c r="N106" s="69" t="s">
        <v>486</v>
      </c>
      <c r="O106" s="70">
        <v>0.24444523884</v>
      </c>
      <c r="P106" s="70">
        <v>6.311049581E-2</v>
      </c>
      <c r="Q106" s="70">
        <v>0.30729512470999998</v>
      </c>
    </row>
    <row r="107" spans="3:17" ht="28.5">
      <c r="C107" s="321" t="s">
        <v>438</v>
      </c>
      <c r="D107" s="322"/>
      <c r="E107" s="784"/>
      <c r="F107" s="325"/>
      <c r="G107" s="319" t="str">
        <f>IFERROR(IF(E107="","",IF(F107="Direct-from-manufacturer",(E107*H107/1000*'Reporting Year &amp; Inflation Adj.'!$F$9),(E107*I107/1000*'Reporting Year &amp; Inflation Adj.'!$F$9))),"")</f>
        <v/>
      </c>
      <c r="H107" s="805">
        <v>0.22379070627</v>
      </c>
      <c r="I107" s="806">
        <v>0.26551249461499998</v>
      </c>
      <c r="J107" s="807">
        <v>0.15498377699576346</v>
      </c>
      <c r="K107" s="68">
        <v>311111</v>
      </c>
      <c r="L107" s="68" t="s">
        <v>3416</v>
      </c>
      <c r="M107" s="69" t="s">
        <v>440</v>
      </c>
      <c r="N107" s="69" t="s">
        <v>441</v>
      </c>
      <c r="O107" s="70">
        <v>0.28926736466000003</v>
      </c>
      <c r="P107" s="70">
        <v>5.1473092079999998E-2</v>
      </c>
      <c r="Q107" s="70">
        <v>0.34036728773000002</v>
      </c>
    </row>
    <row r="108" spans="3:17" ht="42.75">
      <c r="C108" s="321" t="s">
        <v>847</v>
      </c>
      <c r="D108" s="322"/>
      <c r="E108" s="784"/>
      <c r="F108" s="325"/>
      <c r="G108" s="319" t="str">
        <f>IFERROR(IF(E108="","",IF(F108="Direct-from-manufacturer",(E108*H108/1000*'Reporting Year &amp; Inflation Adj.'!$F$9),(E108*I108/1000*'Reporting Year &amp; Inflation Adj.'!$F$9))),"")</f>
        <v/>
      </c>
      <c r="H108" s="805">
        <v>7.6794358960000017E-2</v>
      </c>
      <c r="I108" s="806">
        <v>0.13371626241000001</v>
      </c>
      <c r="J108" s="807">
        <v>0.42856415885517868</v>
      </c>
      <c r="K108" s="68">
        <v>339930</v>
      </c>
      <c r="L108" s="68" t="s">
        <v>3417</v>
      </c>
      <c r="M108" s="69" t="s">
        <v>440</v>
      </c>
      <c r="N108" s="69" t="s">
        <v>845</v>
      </c>
      <c r="O108" s="70">
        <v>8.5100252519999989E-2</v>
      </c>
      <c r="P108" s="70">
        <v>6.1866526799999995E-2</v>
      </c>
      <c r="Q108" s="70">
        <v>0.14696301811999998</v>
      </c>
    </row>
    <row r="109" spans="3:17" ht="114.75">
      <c r="C109" s="321" t="s">
        <v>393</v>
      </c>
      <c r="D109" s="809" t="s">
        <v>3999</v>
      </c>
      <c r="E109" s="784"/>
      <c r="F109" s="323" t="s">
        <v>366</v>
      </c>
      <c r="G109" s="319" t="str">
        <f>IFERROR(IF(E109="","",IF(F109="Direct-from-manufacturer",(E109*H109/1000*'Reporting Year &amp; Inflation Adj.'!$F$9),(E109*I109/1000*'Reporting Year &amp; Inflation Adj.'!$F$9))),"")</f>
        <v/>
      </c>
      <c r="H109" s="805">
        <v>0.47490113912000015</v>
      </c>
      <c r="I109" s="806">
        <v>0.47490113912000015</v>
      </c>
      <c r="J109" s="807">
        <v>0</v>
      </c>
      <c r="K109" s="68">
        <v>221300</v>
      </c>
      <c r="L109" s="68" t="s">
        <v>3418</v>
      </c>
      <c r="M109" s="69" t="s">
        <v>391</v>
      </c>
      <c r="N109" s="69" t="s">
        <v>395</v>
      </c>
      <c r="O109" s="70">
        <v>0.59452432490000007</v>
      </c>
      <c r="P109" s="70">
        <v>0</v>
      </c>
      <c r="Q109" s="70">
        <v>0.59452432490000007</v>
      </c>
    </row>
    <row r="110" spans="3:17" ht="57">
      <c r="C110" s="321" t="s">
        <v>868</v>
      </c>
      <c r="D110" s="322"/>
      <c r="E110" s="784"/>
      <c r="F110" s="323" t="s">
        <v>366</v>
      </c>
      <c r="G110" s="319" t="str">
        <f>IFERROR(IF(E110="","",IF(F110="Direct-from-manufacturer",(E110*H110/1000*'Reporting Year &amp; Inflation Adj.'!$F$9),(E110*I110/1000*'Reporting Year &amp; Inflation Adj.'!$F$9))),"")</f>
        <v/>
      </c>
      <c r="H110" s="805">
        <v>8.8558756985000001E-2</v>
      </c>
      <c r="I110" s="806">
        <v>8.8558756985000001E-2</v>
      </c>
      <c r="J110" s="807">
        <v>0</v>
      </c>
      <c r="K110" s="68">
        <v>424200</v>
      </c>
      <c r="L110" s="68" t="s">
        <v>3419</v>
      </c>
      <c r="M110" s="69" t="s">
        <v>853</v>
      </c>
      <c r="N110" s="69" t="s">
        <v>870</v>
      </c>
      <c r="O110" s="70">
        <v>9.6307940100000017E-2</v>
      </c>
      <c r="P110" s="70">
        <v>0</v>
      </c>
      <c r="Q110" s="70">
        <v>9.6307940100000017E-2</v>
      </c>
    </row>
    <row r="111" spans="3:17" ht="30">
      <c r="C111" s="321" t="s">
        <v>462</v>
      </c>
      <c r="D111" s="322"/>
      <c r="E111" s="784"/>
      <c r="F111" s="325"/>
      <c r="G111" s="319" t="str">
        <f>IFERROR(IF(E111="","",IF(F111="Direct-from-manufacturer",(E111*H111/1000*'Reporting Year &amp; Inflation Adj.'!$F$9),(E111*I111/1000*'Reporting Year &amp; Inflation Adj.'!$F$9))),"")</f>
        <v/>
      </c>
      <c r="H111" s="805">
        <v>0.62213883170000006</v>
      </c>
      <c r="I111" s="806">
        <v>0.6593905777500001</v>
      </c>
      <c r="J111" s="807">
        <v>5.8300806035440793E-2</v>
      </c>
      <c r="K111" s="68">
        <v>311514</v>
      </c>
      <c r="L111" s="68" t="s">
        <v>3420</v>
      </c>
      <c r="M111" s="69" t="s">
        <v>440</v>
      </c>
      <c r="N111" s="69" t="s">
        <v>459</v>
      </c>
      <c r="O111" s="70">
        <v>0.62983422461000016</v>
      </c>
      <c r="P111" s="70">
        <v>3.7273338299999986E-2</v>
      </c>
      <c r="Q111" s="70">
        <v>0.66630551082</v>
      </c>
    </row>
    <row r="112" spans="3:17" ht="42.75">
      <c r="C112" s="321" t="s">
        <v>1111</v>
      </c>
      <c r="D112" s="322"/>
      <c r="E112" s="784"/>
      <c r="F112" s="323" t="s">
        <v>366</v>
      </c>
      <c r="G112" s="319" t="str">
        <f>IFERROR(IF(E112="","",IF(F112="Direct-from-manufacturer",(E112*H112/1000*'Reporting Year &amp; Inflation Adj.'!$F$9),(E112*I112/1000*'Reporting Year &amp; Inflation Adj.'!$F$9))),"")</f>
        <v/>
      </c>
      <c r="H112" s="805">
        <v>0.1339589819</v>
      </c>
      <c r="I112" s="806">
        <v>0.1339589819</v>
      </c>
      <c r="J112" s="807">
        <v>0</v>
      </c>
      <c r="K112" s="68">
        <v>812300</v>
      </c>
      <c r="L112" s="68" t="s">
        <v>3421</v>
      </c>
      <c r="M112" s="69" t="s">
        <v>1098</v>
      </c>
      <c r="N112" s="69" t="s">
        <v>1112</v>
      </c>
      <c r="O112" s="70">
        <v>0.15958226306000001</v>
      </c>
      <c r="P112" s="70">
        <v>0</v>
      </c>
      <c r="Q112" s="70">
        <v>0.15958226306000001</v>
      </c>
    </row>
    <row r="113" spans="3:17" ht="71.25">
      <c r="C113" s="321" t="s">
        <v>743</v>
      </c>
      <c r="D113" s="322"/>
      <c r="E113" s="784"/>
      <c r="F113" s="325"/>
      <c r="G113" s="319" t="str">
        <f>IFERROR(IF(E113="","",IF(F113="Direct-from-manufacturer",(E113*H113/1000*'Reporting Year &amp; Inflation Adj.'!$F$9),(E113*I113/1000*'Reporting Year &amp; Inflation Adj.'!$F$9))),"")</f>
        <v/>
      </c>
      <c r="H113" s="805">
        <v>7.4262517269999995E-2</v>
      </c>
      <c r="I113" s="806">
        <v>0.115219310105</v>
      </c>
      <c r="J113" s="807">
        <v>0.35890877698637996</v>
      </c>
      <c r="K113" s="68">
        <v>334510</v>
      </c>
      <c r="L113" s="68" t="s">
        <v>3422</v>
      </c>
      <c r="M113" s="69" t="s">
        <v>440</v>
      </c>
      <c r="N113" s="69" t="s">
        <v>745</v>
      </c>
      <c r="O113" s="70">
        <v>8.7373544659999997E-2</v>
      </c>
      <c r="P113" s="70">
        <v>4.8299902640000003E-2</v>
      </c>
      <c r="Q113" s="70">
        <v>0.13558058592</v>
      </c>
    </row>
    <row r="114" spans="3:17" ht="57">
      <c r="C114" s="321" t="s">
        <v>1100</v>
      </c>
      <c r="D114" s="322"/>
      <c r="E114" s="784"/>
      <c r="F114" s="323" t="s">
        <v>366</v>
      </c>
      <c r="G114" s="319" t="str">
        <f>IFERROR(IF(E114="","",IF(F114="Direct-from-manufacturer",(E114*H114/1000*'Reporting Year &amp; Inflation Adj.'!$F$9),(E114*I114/1000*'Reporting Year &amp; Inflation Adj.'!$F$9))),"")</f>
        <v/>
      </c>
      <c r="H114" s="805">
        <v>6.5746536814999978E-2</v>
      </c>
      <c r="I114" s="806">
        <v>6.5746536814999978E-2</v>
      </c>
      <c r="J114" s="807">
        <v>0</v>
      </c>
      <c r="K114" s="68">
        <v>811200</v>
      </c>
      <c r="L114" s="68" t="s">
        <v>3423</v>
      </c>
      <c r="M114" s="69" t="s">
        <v>1098</v>
      </c>
      <c r="N114" s="69" t="s">
        <v>1102</v>
      </c>
      <c r="O114" s="70">
        <v>7.6447231099999957E-2</v>
      </c>
      <c r="P114" s="70">
        <v>0</v>
      </c>
      <c r="Q114" s="70">
        <v>7.6447231099999957E-2</v>
      </c>
    </row>
    <row r="115" spans="3:17" ht="75">
      <c r="C115" s="321" t="s">
        <v>737</v>
      </c>
      <c r="D115" s="322"/>
      <c r="E115" s="784"/>
      <c r="F115" s="325"/>
      <c r="G115" s="319" t="str">
        <f>IFERROR(IF(E115="","",IF(F115="Direct-from-manufacturer",(E115*H115/1000*'Reporting Year &amp; Inflation Adj.'!$F$9),(E115*I115/1000*'Reporting Year &amp; Inflation Adj.'!$F$9))),"")</f>
        <v/>
      </c>
      <c r="H115" s="805">
        <v>6.9002795254999999E-2</v>
      </c>
      <c r="I115" s="806">
        <v>8.5524334325000007E-2</v>
      </c>
      <c r="J115" s="807">
        <v>0.1933143892377206</v>
      </c>
      <c r="K115" s="68" t="s">
        <v>738</v>
      </c>
      <c r="L115" s="68" t="s">
        <v>3424</v>
      </c>
      <c r="M115" s="69" t="s">
        <v>440</v>
      </c>
      <c r="N115" s="69" t="s">
        <v>739</v>
      </c>
      <c r="O115" s="70">
        <v>8.000109436999997E-2</v>
      </c>
      <c r="P115" s="70">
        <v>1.8703069456000004E-2</v>
      </c>
      <c r="Q115" s="70">
        <v>9.8701057379999999E-2</v>
      </c>
    </row>
    <row r="116" spans="3:17" ht="57">
      <c r="C116" s="321" t="s">
        <v>1028</v>
      </c>
      <c r="D116" s="322"/>
      <c r="E116" s="784"/>
      <c r="F116" s="323" t="s">
        <v>366</v>
      </c>
      <c r="G116" s="319" t="str">
        <f>IFERROR(IF(E116="","",IF(F116="Direct-from-manufacturer",(E116*H116/1000*'Reporting Year &amp; Inflation Adj.'!$F$9),(E116*I116/1000*'Reporting Year &amp; Inflation Adj.'!$F$9))),"")</f>
        <v/>
      </c>
      <c r="H116" s="805">
        <v>0.16279901746999995</v>
      </c>
      <c r="I116" s="806">
        <v>0.16279901746999995</v>
      </c>
      <c r="J116" s="807">
        <v>0</v>
      </c>
      <c r="K116" s="68">
        <v>611100</v>
      </c>
      <c r="L116" s="68" t="s">
        <v>3425</v>
      </c>
      <c r="M116" s="69" t="s">
        <v>1030</v>
      </c>
      <c r="N116" s="69" t="s">
        <v>1031</v>
      </c>
      <c r="O116" s="70">
        <v>0.18835691127000007</v>
      </c>
      <c r="P116" s="70">
        <v>0</v>
      </c>
      <c r="Q116" s="70">
        <v>0.18835691127000007</v>
      </c>
    </row>
    <row r="117" spans="3:17" ht="28.5">
      <c r="C117" s="321" t="s">
        <v>1011</v>
      </c>
      <c r="D117" s="322"/>
      <c r="E117" s="784"/>
      <c r="F117" s="323" t="s">
        <v>366</v>
      </c>
      <c r="G117" s="319" t="str">
        <f>IFERROR(IF(E117="","",IF(F117="Direct-from-manufacturer",(E117*H117/1000*'Reporting Year &amp; Inflation Adj.'!$F$9),(E117*I117/1000*'Reporting Year &amp; Inflation Adj.'!$F$9))),"")</f>
        <v/>
      </c>
      <c r="H117" s="805">
        <v>4.9303500899999998E-2</v>
      </c>
      <c r="I117" s="806">
        <v>4.9303500899999998E-2</v>
      </c>
      <c r="J117" s="807">
        <v>0</v>
      </c>
      <c r="K117" s="68">
        <v>561300</v>
      </c>
      <c r="L117" s="68" t="s">
        <v>3426</v>
      </c>
      <c r="M117" s="69" t="s">
        <v>1006</v>
      </c>
      <c r="N117" s="69" t="s">
        <v>1013</v>
      </c>
      <c r="O117" s="70">
        <v>5.1619940628000002E-2</v>
      </c>
      <c r="P117" s="70">
        <v>0</v>
      </c>
      <c r="Q117" s="70">
        <v>5.1619940628000002E-2</v>
      </c>
    </row>
    <row r="118" spans="3:17" ht="57">
      <c r="C118" s="321" t="s">
        <v>998</v>
      </c>
      <c r="D118" s="322"/>
      <c r="E118" s="784"/>
      <c r="F118" s="323" t="s">
        <v>366</v>
      </c>
      <c r="G118" s="319" t="str">
        <f>IFERROR(IF(E118="","",IF(F118="Direct-from-manufacturer",(E118*H118/1000*'Reporting Year &amp; Inflation Adj.'!$F$9),(E118*I118/1000*'Reporting Year &amp; Inflation Adj.'!$F$9))),"")</f>
        <v/>
      </c>
      <c r="H118" s="805">
        <v>8.3442227129999991E-2</v>
      </c>
      <c r="I118" s="806">
        <v>8.3442227129999991E-2</v>
      </c>
      <c r="J118" s="807">
        <v>0</v>
      </c>
      <c r="K118" s="68" t="s">
        <v>3715</v>
      </c>
      <c r="L118" s="68" t="s">
        <v>3427</v>
      </c>
      <c r="M118" s="69" t="s">
        <v>981</v>
      </c>
      <c r="N118" s="69" t="s">
        <v>1649</v>
      </c>
      <c r="O118" s="70">
        <v>9.0964913760000016E-2</v>
      </c>
      <c r="P118" s="70">
        <v>0</v>
      </c>
      <c r="Q118" s="70">
        <v>9.0964913760000016E-2</v>
      </c>
    </row>
    <row r="119" spans="3:17" ht="57">
      <c r="C119" s="321" t="s">
        <v>755</v>
      </c>
      <c r="D119" s="322"/>
      <c r="E119" s="784"/>
      <c r="F119" s="325"/>
      <c r="G119" s="319" t="str">
        <f>IFERROR(IF(E119="","",IF(F119="Direct-from-manufacturer",(E119*H119/1000*'Reporting Year &amp; Inflation Adj.'!$F$9),(E119*I119/1000*'Reporting Year &amp; Inflation Adj.'!$F$9))),"")</f>
        <v/>
      </c>
      <c r="H119" s="805">
        <v>3.5778996404999999E-2</v>
      </c>
      <c r="I119" s="806">
        <v>5.3769592900000003E-2</v>
      </c>
      <c r="J119" s="807">
        <v>0.33462865589224128</v>
      </c>
      <c r="K119" s="68">
        <v>334610</v>
      </c>
      <c r="L119" s="68" t="s">
        <v>3428</v>
      </c>
      <c r="M119" s="69" t="s">
        <v>440</v>
      </c>
      <c r="N119" s="69" t="s">
        <v>757</v>
      </c>
      <c r="O119" s="70">
        <v>4.3093872857999996E-2</v>
      </c>
      <c r="P119" s="70">
        <v>2.085211335E-2</v>
      </c>
      <c r="Q119" s="70">
        <v>6.3956508960000005E-2</v>
      </c>
    </row>
    <row r="120" spans="3:17" ht="42.75">
      <c r="C120" s="321" t="s">
        <v>496</v>
      </c>
      <c r="D120" s="322"/>
      <c r="E120" s="784"/>
      <c r="F120" s="325"/>
      <c r="G120" s="319" t="str">
        <f>IFERROR(IF(E120="","",IF(F120="Direct-from-manufacturer",(E120*H120/1000*'Reporting Year &amp; Inflation Adj.'!$F$9),(E120*I120/1000*'Reporting Year &amp; Inflation Adj.'!$F$9))),"")</f>
        <v/>
      </c>
      <c r="H120" s="805">
        <v>0.44740177244999996</v>
      </c>
      <c r="I120" s="806">
        <v>0.47447582514000003</v>
      </c>
      <c r="J120" s="807">
        <v>5.8145629847125742E-2</v>
      </c>
      <c r="K120" s="68">
        <v>313200</v>
      </c>
      <c r="L120" s="68" t="s">
        <v>3429</v>
      </c>
      <c r="M120" s="69" t="s">
        <v>440</v>
      </c>
      <c r="N120" s="69" t="s">
        <v>498</v>
      </c>
      <c r="O120" s="70">
        <v>0.48375158421999997</v>
      </c>
      <c r="P120" s="70">
        <v>2.7607151759999997E-2</v>
      </c>
      <c r="Q120" s="70">
        <v>0.51101681122000009</v>
      </c>
    </row>
    <row r="121" spans="3:17" ht="57">
      <c r="C121" s="321" t="s">
        <v>677</v>
      </c>
      <c r="D121" s="322"/>
      <c r="E121" s="784"/>
      <c r="F121" s="325"/>
      <c r="G121" s="319" t="str">
        <f>IFERROR(IF(E121="","",IF(F121="Direct-from-manufacturer",(E121*H121/1000*'Reporting Year &amp; Inflation Adj.'!$F$9),(E121*I121/1000*'Reporting Year &amp; Inflation Adj.'!$F$9))),"")</f>
        <v/>
      </c>
      <c r="H121" s="805">
        <v>0.18887338980000004</v>
      </c>
      <c r="I121" s="806">
        <v>0.21273809792999998</v>
      </c>
      <c r="J121" s="807">
        <v>0.11260907596288953</v>
      </c>
      <c r="K121" s="68">
        <v>332996</v>
      </c>
      <c r="L121" s="68" t="s">
        <v>3430</v>
      </c>
      <c r="M121" s="69" t="s">
        <v>440</v>
      </c>
      <c r="N121" s="69" t="s">
        <v>671</v>
      </c>
      <c r="O121" s="70">
        <v>0.21266438655</v>
      </c>
      <c r="P121" s="70">
        <v>2.5964019610000007E-2</v>
      </c>
      <c r="Q121" s="70">
        <v>0.23913367726000001</v>
      </c>
    </row>
    <row r="122" spans="3:17" ht="28.5">
      <c r="C122" s="321" t="s">
        <v>1008</v>
      </c>
      <c r="D122" s="322"/>
      <c r="E122" s="784"/>
      <c r="F122" s="323" t="s">
        <v>366</v>
      </c>
      <c r="G122" s="319" t="str">
        <f>IFERROR(IF(E122="","",IF(F122="Direct-from-manufacturer",(E122*H122/1000*'Reporting Year &amp; Inflation Adj.'!$F$9),(E122*I122/1000*'Reporting Year &amp; Inflation Adj.'!$F$9))),"")</f>
        <v/>
      </c>
      <c r="H122" s="805">
        <v>0.17086394489000001</v>
      </c>
      <c r="I122" s="806">
        <v>0.17086394489000001</v>
      </c>
      <c r="J122" s="807">
        <v>0</v>
      </c>
      <c r="K122" s="68">
        <v>561200</v>
      </c>
      <c r="L122" s="68" t="s">
        <v>3431</v>
      </c>
      <c r="M122" s="69" t="s">
        <v>1006</v>
      </c>
      <c r="N122" s="69" t="s">
        <v>1010</v>
      </c>
      <c r="O122" s="70">
        <v>0.20056975323999995</v>
      </c>
      <c r="P122" s="70">
        <v>0</v>
      </c>
      <c r="Q122" s="70">
        <v>0.20056975323999995</v>
      </c>
    </row>
    <row r="123" spans="3:17" ht="57">
      <c r="C123" s="321" t="s">
        <v>679</v>
      </c>
      <c r="D123" s="322"/>
      <c r="E123" s="784"/>
      <c r="F123" s="325"/>
      <c r="G123" s="319" t="str">
        <f>IFERROR(IF(E123="","",IF(F123="Direct-from-manufacturer",(E123*H123/1000*'Reporting Year &amp; Inflation Adj.'!$F$9),(E123*I123/1000*'Reporting Year &amp; Inflation Adj.'!$F$9))),"")</f>
        <v/>
      </c>
      <c r="H123" s="805">
        <v>0.16523829909500001</v>
      </c>
      <c r="I123" s="806">
        <v>0.19166852136499998</v>
      </c>
      <c r="J123" s="807">
        <v>0.13678488709720632</v>
      </c>
      <c r="K123" s="68">
        <v>333111</v>
      </c>
      <c r="L123" s="68" t="s">
        <v>3432</v>
      </c>
      <c r="M123" s="69" t="s">
        <v>440</v>
      </c>
      <c r="N123" s="69" t="s">
        <v>681</v>
      </c>
      <c r="O123" s="70">
        <v>0.19201392064</v>
      </c>
      <c r="P123" s="70">
        <v>2.9566364049999995E-2</v>
      </c>
      <c r="Q123" s="70">
        <v>0.22128906178999999</v>
      </c>
    </row>
    <row r="124" spans="3:17" ht="57">
      <c r="C124" s="321" t="s">
        <v>559</v>
      </c>
      <c r="D124" s="322"/>
      <c r="E124" s="784"/>
      <c r="F124" s="325"/>
      <c r="G124" s="319" t="str">
        <f>IFERROR(IF(E124="","",IF(F124="Direct-from-manufacturer",(E124*H124/1000*'Reporting Year &amp; Inflation Adj.'!$F$9),(E124*I124/1000*'Reporting Year &amp; Inflation Adj.'!$F$9))),"")</f>
        <v/>
      </c>
      <c r="H124" s="805">
        <v>1.3099347086950004</v>
      </c>
      <c r="I124" s="806">
        <v>1.3455778888800001</v>
      </c>
      <c r="J124" s="807">
        <v>2.6753623768271086E-2</v>
      </c>
      <c r="K124" s="68">
        <v>325310</v>
      </c>
      <c r="L124" s="68" t="s">
        <v>3433</v>
      </c>
      <c r="M124" s="69" t="s">
        <v>440</v>
      </c>
      <c r="N124" s="69" t="s">
        <v>561</v>
      </c>
      <c r="O124" s="70">
        <v>1.11994197091</v>
      </c>
      <c r="P124" s="70">
        <v>2.3147570039999999E-2</v>
      </c>
      <c r="Q124" s="70">
        <v>1.1429245046600001</v>
      </c>
    </row>
    <row r="125" spans="3:17" ht="57">
      <c r="C125" s="321" t="s">
        <v>493</v>
      </c>
      <c r="D125" s="322"/>
      <c r="E125" s="784"/>
      <c r="F125" s="325"/>
      <c r="G125" s="319" t="str">
        <f>IFERROR(IF(E125="","",IF(F125="Direct-from-manufacturer",(E125*H125/1000*'Reporting Year &amp; Inflation Adj.'!$F$9),(E125*I125/1000*'Reporting Year &amp; Inflation Adj.'!$F$9))),"")</f>
        <v/>
      </c>
      <c r="H125" s="805">
        <v>0.62471326400999994</v>
      </c>
      <c r="I125" s="806">
        <v>0.65013709774999995</v>
      </c>
      <c r="J125" s="807">
        <v>3.9169844480698227E-2</v>
      </c>
      <c r="K125" s="68">
        <v>313100</v>
      </c>
      <c r="L125" s="68" t="s">
        <v>3434</v>
      </c>
      <c r="M125" s="69" t="s">
        <v>440</v>
      </c>
      <c r="N125" s="69" t="s">
        <v>495</v>
      </c>
      <c r="O125" s="70">
        <v>0.64486332693000004</v>
      </c>
      <c r="P125" s="70">
        <v>2.3504613450000007E-2</v>
      </c>
      <c r="Q125" s="70">
        <v>0.66845795864000002</v>
      </c>
    </row>
    <row r="126" spans="3:17" ht="42.75">
      <c r="C126" s="321" t="s">
        <v>499</v>
      </c>
      <c r="D126" s="322"/>
      <c r="E126" s="784"/>
      <c r="F126" s="325"/>
      <c r="G126" s="319" t="str">
        <f>IFERROR(IF(E126="","",IF(F126="Direct-from-manufacturer",(E126*H126/1000*'Reporting Year &amp; Inflation Adj.'!$F$9),(E126*I126/1000*'Reporting Year &amp; Inflation Adj.'!$F$9))),"")</f>
        <v/>
      </c>
      <c r="H126" s="805">
        <v>0.3594383605</v>
      </c>
      <c r="I126" s="806">
        <v>0.38638344068999997</v>
      </c>
      <c r="J126" s="807">
        <v>6.9301156416491885E-2</v>
      </c>
      <c r="K126" s="68">
        <v>313300</v>
      </c>
      <c r="L126" s="68" t="s">
        <v>3435</v>
      </c>
      <c r="M126" s="69" t="s">
        <v>440</v>
      </c>
      <c r="N126" s="69" t="s">
        <v>501</v>
      </c>
      <c r="O126" s="70">
        <v>0.37237954463999995</v>
      </c>
      <c r="P126" s="70">
        <v>2.6681963839999996E-2</v>
      </c>
      <c r="Q126" s="70">
        <v>0.39956357308000001</v>
      </c>
    </row>
    <row r="127" spans="3:17" ht="28.5">
      <c r="C127" s="321" t="s">
        <v>481</v>
      </c>
      <c r="D127" s="322"/>
      <c r="E127" s="784"/>
      <c r="F127" s="325"/>
      <c r="G127" s="319" t="str">
        <f>IFERROR(IF(E127="","",IF(F127="Direct-from-manufacturer",(E127*H127/1000*'Reporting Year &amp; Inflation Adj.'!$F$9),(E127*I127/1000*'Reporting Year &amp; Inflation Adj.'!$F$9))),"")</f>
        <v/>
      </c>
      <c r="H127" s="805">
        <v>0.16973710874</v>
      </c>
      <c r="I127" s="806">
        <v>0.18867540801999999</v>
      </c>
      <c r="J127" s="807">
        <v>0.10066293768389119</v>
      </c>
      <c r="K127" s="68">
        <v>311930</v>
      </c>
      <c r="L127" s="68" t="s">
        <v>3436</v>
      </c>
      <c r="M127" s="69" t="s">
        <v>440</v>
      </c>
      <c r="N127" s="69" t="s">
        <v>479</v>
      </c>
      <c r="O127" s="70">
        <v>0.19744773803999999</v>
      </c>
      <c r="P127" s="70">
        <v>2.0888745559999998E-2</v>
      </c>
      <c r="Q127" s="70">
        <v>0.21900679161</v>
      </c>
    </row>
    <row r="128" spans="3:17" ht="57">
      <c r="C128" s="321" t="s">
        <v>443</v>
      </c>
      <c r="D128" s="322"/>
      <c r="E128" s="784"/>
      <c r="F128" s="325"/>
      <c r="G128" s="319" t="str">
        <f>IFERROR(IF(E128="","",IF(F128="Direct-from-manufacturer",(E128*H128/1000*'Reporting Year &amp; Inflation Adj.'!$F$9),(E128*I128/1000*'Reporting Year &amp; Inflation Adj.'!$F$9))),"")</f>
        <v/>
      </c>
      <c r="H128" s="805">
        <v>0.73162483297000003</v>
      </c>
      <c r="I128" s="806">
        <v>0.77293645171000014</v>
      </c>
      <c r="J128" s="807">
        <v>5.2538367585277392E-2</v>
      </c>
      <c r="K128" s="68">
        <v>311210</v>
      </c>
      <c r="L128" s="68" t="s">
        <v>3437</v>
      </c>
      <c r="M128" s="69" t="s">
        <v>440</v>
      </c>
      <c r="N128" s="69" t="s">
        <v>445</v>
      </c>
      <c r="O128" s="70">
        <v>0.75033713416999992</v>
      </c>
      <c r="P128" s="70">
        <v>3.7412983170000018E-2</v>
      </c>
      <c r="Q128" s="70">
        <v>0.78723504238000019</v>
      </c>
    </row>
    <row r="129" spans="3:17" ht="71.25">
      <c r="C129" s="321" t="s">
        <v>749</v>
      </c>
      <c r="D129" s="322"/>
      <c r="E129" s="784"/>
      <c r="F129" s="325"/>
      <c r="G129" s="319" t="str">
        <f>IFERROR(IF(E129="","",IF(F129="Direct-from-manufacturer",(E129*H129/1000*'Reporting Year &amp; Inflation Adj.'!$F$9),(E129*I129/1000*'Reporting Year &amp; Inflation Adj.'!$F$9))),"")</f>
        <v/>
      </c>
      <c r="H129" s="805">
        <v>5.3515247904999994E-2</v>
      </c>
      <c r="I129" s="806">
        <v>7.2353586954999993E-2</v>
      </c>
      <c r="J129" s="807">
        <v>0.26024261708975016</v>
      </c>
      <c r="K129" s="68">
        <v>334514</v>
      </c>
      <c r="L129" s="68" t="s">
        <v>3438</v>
      </c>
      <c r="M129" s="69" t="s">
        <v>440</v>
      </c>
      <c r="N129" s="69" t="s">
        <v>745</v>
      </c>
      <c r="O129" s="70">
        <v>6.3092087460000001E-2</v>
      </c>
      <c r="P129" s="70">
        <v>2.1643966609999999E-2</v>
      </c>
      <c r="Q129" s="70">
        <v>8.4830302770000018E-2</v>
      </c>
    </row>
    <row r="130" spans="3:17" ht="28.5">
      <c r="C130" s="321" t="s">
        <v>457</v>
      </c>
      <c r="D130" s="322"/>
      <c r="E130" s="784"/>
      <c r="F130" s="325"/>
      <c r="G130" s="319" t="str">
        <f>IFERROR(IF(E130="","",IF(F130="Direct-from-manufacturer",(E130*H130/1000*'Reporting Year &amp; Inflation Adj.'!$F$9),(E130*I130/1000*'Reporting Year &amp; Inflation Adj.'!$F$9))),"")</f>
        <v/>
      </c>
      <c r="H130" s="805">
        <v>0.72199348914999995</v>
      </c>
      <c r="I130" s="806">
        <v>0.75884298389999993</v>
      </c>
      <c r="J130" s="807">
        <v>4.6132631997310887E-2</v>
      </c>
      <c r="K130" s="68" t="s">
        <v>458</v>
      </c>
      <c r="L130" s="68" t="s">
        <v>3439</v>
      </c>
      <c r="M130" s="69" t="s">
        <v>440</v>
      </c>
      <c r="N130" s="69" t="s">
        <v>459</v>
      </c>
      <c r="O130" s="70">
        <v>0.79821296141999998</v>
      </c>
      <c r="P130" s="70">
        <v>3.7350309179999999E-2</v>
      </c>
      <c r="Q130" s="70">
        <v>0.83557245466000007</v>
      </c>
    </row>
    <row r="131" spans="3:17" ht="71.25">
      <c r="C131" s="321" t="s">
        <v>888</v>
      </c>
      <c r="D131" s="322"/>
      <c r="E131" s="784"/>
      <c r="F131" s="323" t="s">
        <v>366</v>
      </c>
      <c r="G131" s="319" t="str">
        <f>IFERROR(IF(E131="","",IF(F131="Direct-from-manufacturer",(E131*H131/1000*'Reporting Year &amp; Inflation Adj.'!$F$9),(E131*I131/1000*'Reporting Year &amp; Inflation Adj.'!$F$9))),"")</f>
        <v/>
      </c>
      <c r="H131" s="805">
        <v>0.157260273895</v>
      </c>
      <c r="I131" s="806">
        <v>0.157260273895</v>
      </c>
      <c r="J131" s="807">
        <v>0</v>
      </c>
      <c r="K131" s="68">
        <v>445000</v>
      </c>
      <c r="L131" s="68" t="s">
        <v>3440</v>
      </c>
      <c r="M131" s="69" t="s">
        <v>882</v>
      </c>
      <c r="N131" s="69" t="s">
        <v>890</v>
      </c>
      <c r="O131" s="70">
        <v>0.18798449519000002</v>
      </c>
      <c r="P131" s="70">
        <v>0</v>
      </c>
      <c r="Q131" s="70">
        <v>0.18798449519000002</v>
      </c>
    </row>
    <row r="132" spans="3:17" ht="28.5">
      <c r="C132" s="321" t="s">
        <v>339</v>
      </c>
      <c r="D132" s="322"/>
      <c r="E132" s="784"/>
      <c r="F132" s="325"/>
      <c r="G132" s="319" t="str">
        <f>IFERROR(IF(E132="","",IF(F132="Direct-from-manufacturer",(E132*H132/1000*'Reporting Year &amp; Inflation Adj.'!$F$9),(E132*I132/1000*'Reporting Year &amp; Inflation Adj.'!$F$9))),"")</f>
        <v/>
      </c>
      <c r="H132" s="805">
        <v>0.40740199861000009</v>
      </c>
      <c r="I132" s="806">
        <v>0.46434377347999994</v>
      </c>
      <c r="J132" s="807">
        <v>0.12563164402486088</v>
      </c>
      <c r="K132" s="68">
        <v>111300</v>
      </c>
      <c r="L132" s="68" t="s">
        <v>3441</v>
      </c>
      <c r="M132" s="69" t="s">
        <v>332</v>
      </c>
      <c r="N132" s="69" t="s">
        <v>341</v>
      </c>
      <c r="O132" s="70">
        <v>0.43735892061800008</v>
      </c>
      <c r="P132" s="70">
        <v>6.0013690140000006E-2</v>
      </c>
      <c r="Q132" s="70">
        <v>0.49744570762000007</v>
      </c>
    </row>
    <row r="133" spans="3:17" ht="30">
      <c r="C133" s="321" t="s">
        <v>330</v>
      </c>
      <c r="D133" s="322"/>
      <c r="E133" s="784"/>
      <c r="F133" s="325"/>
      <c r="G133" s="319" t="str">
        <f>IFERROR(IF(E133="","",IF(F133="Direct-from-manufacturer",(E133*H133/1000*'Reporting Year &amp; Inflation Adj.'!$F$9),(E133*I133/1000*'Reporting Year &amp; Inflation Adj.'!$F$9))),"")</f>
        <v/>
      </c>
      <c r="H133" s="805">
        <v>0.73694746538000011</v>
      </c>
      <c r="I133" s="806">
        <v>0.80362551221</v>
      </c>
      <c r="J133" s="807">
        <v>8.4565909042769616E-2</v>
      </c>
      <c r="K133" s="68" t="s">
        <v>331</v>
      </c>
      <c r="L133" s="68" t="s">
        <v>3442</v>
      </c>
      <c r="M133" s="69" t="s">
        <v>332</v>
      </c>
      <c r="N133" s="69" t="s">
        <v>333</v>
      </c>
      <c r="O133" s="70">
        <v>0.49971133522300004</v>
      </c>
      <c r="P133" s="70">
        <v>4.4538186399999999E-2</v>
      </c>
      <c r="Q133" s="70">
        <v>0.54337086544999991</v>
      </c>
    </row>
    <row r="134" spans="3:17" ht="71.25">
      <c r="C134" s="321" t="s">
        <v>336</v>
      </c>
      <c r="D134" s="322"/>
      <c r="E134" s="784"/>
      <c r="F134" s="325"/>
      <c r="G134" s="319" t="str">
        <f>IFERROR(IF(E134="","",IF(F134="Direct-from-manufacturer",(E134*H134/1000*'Reporting Year &amp; Inflation Adj.'!$F$9),(E134*I134/1000*'Reporting Year &amp; Inflation Adj.'!$F$9))),"")</f>
        <v/>
      </c>
      <c r="H134" s="805">
        <v>0.41878737544999994</v>
      </c>
      <c r="I134" s="806">
        <v>0.46227078850999997</v>
      </c>
      <c r="J134" s="807">
        <v>9.1011815651617534E-2</v>
      </c>
      <c r="K134" s="68">
        <v>111200</v>
      </c>
      <c r="L134" s="68" t="s">
        <v>3443</v>
      </c>
      <c r="M134" s="69" t="s">
        <v>332</v>
      </c>
      <c r="N134" s="69" t="s">
        <v>338</v>
      </c>
      <c r="O134" s="70">
        <v>0.60396127396400012</v>
      </c>
      <c r="P134" s="70">
        <v>4.0912098650000006E-2</v>
      </c>
      <c r="Q134" s="70">
        <v>0.64390814572999999</v>
      </c>
    </row>
    <row r="135" spans="3:17" ht="30">
      <c r="C135" s="321" t="s">
        <v>334</v>
      </c>
      <c r="D135" s="322"/>
      <c r="E135" s="784"/>
      <c r="F135" s="325"/>
      <c r="G135" s="319" t="str">
        <f>IFERROR(IF(E135="","",IF(F135="Direct-from-manufacturer",(E135*H135/1000*'Reporting Year &amp; Inflation Adj.'!$F$9),(E135*I135/1000*'Reporting Year &amp; Inflation Adj.'!$F$9))),"")</f>
        <v/>
      </c>
      <c r="H135" s="805">
        <v>1.3795130098600001</v>
      </c>
      <c r="I135" s="806">
        <v>1.45854374683</v>
      </c>
      <c r="J135" s="807">
        <v>5.299231301974016E-2</v>
      </c>
      <c r="K135" s="68" t="s">
        <v>335</v>
      </c>
      <c r="L135" s="68" t="s">
        <v>3444</v>
      </c>
      <c r="M135" s="69" t="s">
        <v>332</v>
      </c>
      <c r="N135" s="69" t="s">
        <v>333</v>
      </c>
      <c r="O135" s="70">
        <v>0.831760555372</v>
      </c>
      <c r="P135" s="70">
        <v>4.0082110390000002E-2</v>
      </c>
      <c r="Q135" s="70">
        <v>0.87090928132000001</v>
      </c>
    </row>
    <row r="136" spans="3:17" ht="57">
      <c r="C136" s="321" t="s">
        <v>453</v>
      </c>
      <c r="D136" s="322"/>
      <c r="E136" s="784"/>
      <c r="F136" s="325"/>
      <c r="G136" s="319" t="str">
        <f>IFERROR(IF(E136="","",IF(F136="Direct-from-manufacturer",(E136*H136/1000*'Reporting Year &amp; Inflation Adj.'!$F$9),(E136*I136/1000*'Reporting Year &amp; Inflation Adj.'!$F$9))),"")</f>
        <v/>
      </c>
      <c r="H136" s="805">
        <v>0.33421150703000002</v>
      </c>
      <c r="I136" s="806">
        <v>0.37222373735000003</v>
      </c>
      <c r="J136" s="807">
        <v>0.10206616242552213</v>
      </c>
      <c r="K136" s="68">
        <v>311410</v>
      </c>
      <c r="L136" s="68" t="s">
        <v>3445</v>
      </c>
      <c r="M136" s="69" t="s">
        <v>440</v>
      </c>
      <c r="N136" s="69" t="s">
        <v>455</v>
      </c>
      <c r="O136" s="70">
        <v>0.44854113328</v>
      </c>
      <c r="P136" s="70">
        <v>4.7603554069999998E-2</v>
      </c>
      <c r="Q136" s="70">
        <v>0.49599838604000002</v>
      </c>
    </row>
    <row r="137" spans="3:17" ht="99.75">
      <c r="C137" s="321" t="s">
        <v>456</v>
      </c>
      <c r="D137" s="322"/>
      <c r="E137" s="784"/>
      <c r="F137" s="325"/>
      <c r="G137" s="319" t="str">
        <f>IFERROR(IF(E137="","",IF(F137="Direct-from-manufacturer",(E137*H137/1000*'Reporting Year &amp; Inflation Adj.'!$F$9),(E137*I137/1000*'Reporting Year &amp; Inflation Adj.'!$F$9))),"")</f>
        <v/>
      </c>
      <c r="H137" s="805">
        <v>0.29365492437000001</v>
      </c>
      <c r="I137" s="806">
        <v>0.3257043581500001</v>
      </c>
      <c r="J137" s="807">
        <v>9.9975989007195259E-2</v>
      </c>
      <c r="K137" s="68">
        <v>311420</v>
      </c>
      <c r="L137" s="68" t="s">
        <v>3446</v>
      </c>
      <c r="M137" s="69" t="s">
        <v>440</v>
      </c>
      <c r="N137" s="69" t="s">
        <v>455</v>
      </c>
      <c r="O137" s="70">
        <v>0.35071231139999998</v>
      </c>
      <c r="P137" s="70">
        <v>3.8451002290000001E-2</v>
      </c>
      <c r="Q137" s="70">
        <v>0.38904766325000001</v>
      </c>
    </row>
    <row r="138" spans="3:17" ht="71.25">
      <c r="C138" s="321" t="s">
        <v>1093</v>
      </c>
      <c r="D138" s="322"/>
      <c r="E138" s="784"/>
      <c r="F138" s="323" t="s">
        <v>366</v>
      </c>
      <c r="G138" s="319" t="str">
        <f>IFERROR(IF(E138="","",IF(F138="Direct-from-manufacturer",(E138*H138/1000*'Reporting Year &amp; Inflation Adj.'!$F$9),(E138*I138/1000*'Reporting Year &amp; Inflation Adj.'!$F$9))),"")</f>
        <v/>
      </c>
      <c r="H138" s="805">
        <v>0.16725874305999999</v>
      </c>
      <c r="I138" s="806">
        <v>0.16725874305999999</v>
      </c>
      <c r="J138" s="807">
        <v>0</v>
      </c>
      <c r="K138" s="68">
        <v>722110</v>
      </c>
      <c r="L138" s="68" t="s">
        <v>3447</v>
      </c>
      <c r="M138" s="69" t="s">
        <v>1088</v>
      </c>
      <c r="N138" s="69" t="s">
        <v>1094</v>
      </c>
      <c r="O138" s="70">
        <v>0.19687769694999999</v>
      </c>
      <c r="P138" s="70">
        <v>0</v>
      </c>
      <c r="Q138" s="70">
        <v>0.19687769694999999</v>
      </c>
    </row>
    <row r="139" spans="3:17" ht="171">
      <c r="C139" s="321" t="s">
        <v>961</v>
      </c>
      <c r="D139" s="322"/>
      <c r="E139" s="784"/>
      <c r="F139" s="323" t="s">
        <v>366</v>
      </c>
      <c r="G139" s="319" t="str">
        <f>IFERROR(IF(E139="","",IF(F139="Direct-from-manufacturer",(E139*H139/1000*'Reporting Year &amp; Inflation Adj.'!$F$9),(E139*I139/1000*'Reporting Year &amp; Inflation Adj.'!$F$9))),"")</f>
        <v/>
      </c>
      <c r="H139" s="805">
        <v>0.14756371610499999</v>
      </c>
      <c r="I139" s="806">
        <v>0.14756371610499999</v>
      </c>
      <c r="J139" s="807">
        <v>0</v>
      </c>
      <c r="K139" s="68">
        <v>525000</v>
      </c>
      <c r="L139" s="68" t="s">
        <v>3448</v>
      </c>
      <c r="M139" s="69" t="s">
        <v>943</v>
      </c>
      <c r="N139" s="69" t="s">
        <v>963</v>
      </c>
      <c r="O139" s="70">
        <v>0.21945636550900002</v>
      </c>
      <c r="P139" s="70">
        <v>0</v>
      </c>
      <c r="Q139" s="70">
        <v>0.21945636550900002</v>
      </c>
    </row>
    <row r="140" spans="3:17" ht="28.5">
      <c r="C140" s="321" t="s">
        <v>1109</v>
      </c>
      <c r="D140" s="322"/>
      <c r="E140" s="784"/>
      <c r="F140" s="323" t="s">
        <v>366</v>
      </c>
      <c r="G140" s="319" t="str">
        <f>IFERROR(IF(E140="","",IF(F140="Direct-from-manufacturer",(E140*H140/1000*'Reporting Year &amp; Inflation Adj.'!$F$9),(E140*I140/1000*'Reporting Year &amp; Inflation Adj.'!$F$9))),"")</f>
        <v/>
      </c>
      <c r="H140" s="805">
        <v>4.1644370780000009E-2</v>
      </c>
      <c r="I140" s="806">
        <v>4.1644370780000009E-2</v>
      </c>
      <c r="J140" s="807">
        <v>0</v>
      </c>
      <c r="K140" s="68">
        <v>812200</v>
      </c>
      <c r="L140" s="68" t="s">
        <v>3449</v>
      </c>
      <c r="M140" s="69" t="s">
        <v>1098</v>
      </c>
      <c r="N140" s="69" t="s">
        <v>1110</v>
      </c>
      <c r="O140" s="70">
        <v>4.6973109132E-2</v>
      </c>
      <c r="P140" s="70">
        <v>0</v>
      </c>
      <c r="Q140" s="70">
        <v>4.6973109132E-2</v>
      </c>
    </row>
    <row r="141" spans="3:17" ht="57">
      <c r="C141" s="321" t="s">
        <v>1083</v>
      </c>
      <c r="D141" s="322"/>
      <c r="E141" s="784"/>
      <c r="F141" s="323" t="s">
        <v>366</v>
      </c>
      <c r="G141" s="319" t="str">
        <f>IFERROR(IF(E141="","",IF(F141="Direct-from-manufacturer",(E141*H141/1000*'Reporting Year &amp; Inflation Adj.'!$F$9),(E141*I141/1000*'Reporting Year &amp; Inflation Adj.'!$F$9))),"")</f>
        <v/>
      </c>
      <c r="H141" s="805">
        <v>0.14357612383000001</v>
      </c>
      <c r="I141" s="806">
        <v>0.14357612383000001</v>
      </c>
      <c r="J141" s="807">
        <v>0</v>
      </c>
      <c r="K141" s="68">
        <v>713200</v>
      </c>
      <c r="L141" s="68" t="s">
        <v>3450</v>
      </c>
      <c r="M141" s="69" t="s">
        <v>1071</v>
      </c>
      <c r="N141" s="69" t="s">
        <v>1084</v>
      </c>
      <c r="O141" s="70">
        <v>0.17613275116999993</v>
      </c>
      <c r="P141" s="70">
        <v>0</v>
      </c>
      <c r="Q141" s="70">
        <v>0.17613275116999993</v>
      </c>
    </row>
    <row r="142" spans="3:17" ht="60">
      <c r="C142" s="321" t="s">
        <v>850</v>
      </c>
      <c r="D142" s="322"/>
      <c r="E142" s="784"/>
      <c r="F142" s="325"/>
      <c r="G142" s="319" t="str">
        <f>IFERROR(IF(E142="","",IF(F142="Direct-from-manufacturer",(E142*H142/1000*'Reporting Year &amp; Inflation Adj.'!$F$9),(E142*I142/1000*'Reporting Year &amp; Inflation Adj.'!$F$9))),"")</f>
        <v/>
      </c>
      <c r="H142" s="805">
        <v>0.10371485095500001</v>
      </c>
      <c r="I142" s="806">
        <v>0.1588236193</v>
      </c>
      <c r="J142" s="807">
        <v>0.34567938161197664</v>
      </c>
      <c r="K142" s="68">
        <v>339990</v>
      </c>
      <c r="L142" s="68" t="s">
        <v>3451</v>
      </c>
      <c r="M142" s="69" t="s">
        <v>440</v>
      </c>
      <c r="N142" s="69" t="s">
        <v>845</v>
      </c>
      <c r="O142" s="70">
        <v>0.12198640546999996</v>
      </c>
      <c r="P142" s="70">
        <v>6.16590386E-2</v>
      </c>
      <c r="Q142" s="70">
        <v>0.18335963027000002</v>
      </c>
    </row>
    <row r="143" spans="3:17" ht="28.5">
      <c r="C143" s="321" t="s">
        <v>893</v>
      </c>
      <c r="D143" s="322"/>
      <c r="E143" s="784"/>
      <c r="F143" s="323" t="s">
        <v>366</v>
      </c>
      <c r="G143" s="319" t="str">
        <f>IFERROR(IF(E143="","",IF(F143="Direct-from-manufacturer",(E143*H143/1000*'Reporting Year &amp; Inflation Adj.'!$F$9),(E143*I143/1000*'Reporting Year &amp; Inflation Adj.'!$F$9))),"")</f>
        <v/>
      </c>
      <c r="H143" s="805">
        <v>0.16736485937500001</v>
      </c>
      <c r="I143" s="806">
        <v>0.16736485937500001</v>
      </c>
      <c r="J143" s="807">
        <v>0</v>
      </c>
      <c r="K143" s="68">
        <v>447000</v>
      </c>
      <c r="L143" s="68" t="s">
        <v>3452</v>
      </c>
      <c r="M143" s="69" t="s">
        <v>882</v>
      </c>
      <c r="N143" s="69" t="s">
        <v>894</v>
      </c>
      <c r="O143" s="70">
        <v>0.18477587400999998</v>
      </c>
      <c r="P143" s="70">
        <v>0</v>
      </c>
      <c r="Q143" s="70">
        <v>0.18477587400999998</v>
      </c>
    </row>
    <row r="144" spans="3:17" ht="42.75">
      <c r="C144" s="321" t="s">
        <v>542</v>
      </c>
      <c r="D144" s="322"/>
      <c r="E144" s="784"/>
      <c r="F144" s="325"/>
      <c r="G144" s="319" t="str">
        <f>IFERROR(IF(E144="","",IF(F144="Direct-from-manufacturer",(E144*H144/1000*'Reporting Year &amp; Inflation Adj.'!$F$9),(E144*I144/1000*'Reporting Year &amp; Inflation Adj.'!$F$9))),"")</f>
        <v/>
      </c>
      <c r="H144" s="805">
        <v>0.37961026754500005</v>
      </c>
      <c r="I144" s="806">
        <v>0.41401863525499999</v>
      </c>
      <c r="J144" s="807">
        <v>8.3536504241404949E-2</v>
      </c>
      <c r="K144" s="68">
        <v>324110</v>
      </c>
      <c r="L144" s="68" t="s">
        <v>3453</v>
      </c>
      <c r="M144" s="69" t="s">
        <v>440</v>
      </c>
      <c r="N144" s="69" t="s">
        <v>544</v>
      </c>
      <c r="O144" s="70">
        <v>0.25353676877199999</v>
      </c>
      <c r="P144" s="70">
        <v>2.1828799810000004E-2</v>
      </c>
      <c r="Q144" s="70">
        <v>0.27500488003999995</v>
      </c>
    </row>
    <row r="145" spans="3:17" ht="71.25">
      <c r="C145" s="321" t="s">
        <v>897</v>
      </c>
      <c r="D145" s="322"/>
      <c r="E145" s="784"/>
      <c r="F145" s="323" t="s">
        <v>366</v>
      </c>
      <c r="G145" s="319" t="str">
        <f>IFERROR(IF(E145="","",IF(F145="Direct-from-manufacturer",(E145*H145/1000*'Reporting Year &amp; Inflation Adj.'!$F$9),(E145*I145/1000*'Reporting Year &amp; Inflation Adj.'!$F$9))),"")</f>
        <v/>
      </c>
      <c r="H145" s="805">
        <v>0.14470529550000003</v>
      </c>
      <c r="I145" s="806">
        <v>0.14470529550000003</v>
      </c>
      <c r="J145" s="807">
        <v>0</v>
      </c>
      <c r="K145" s="68">
        <v>452000</v>
      </c>
      <c r="L145" s="68" t="s">
        <v>3454</v>
      </c>
      <c r="M145" s="69" t="s">
        <v>882</v>
      </c>
      <c r="N145" s="69" t="s">
        <v>899</v>
      </c>
      <c r="O145" s="70">
        <v>0.16523679402999999</v>
      </c>
      <c r="P145" s="70">
        <v>0</v>
      </c>
      <c r="Q145" s="70">
        <v>0.16523679402999999</v>
      </c>
    </row>
    <row r="146" spans="3:17" ht="42.75">
      <c r="C146" s="321" t="s">
        <v>599</v>
      </c>
      <c r="D146" s="322"/>
      <c r="E146" s="784"/>
      <c r="F146" s="325"/>
      <c r="G146" s="319" t="str">
        <f>IFERROR(IF(E146="","",IF(F146="Direct-from-manufacturer",(E146*H146/1000*'Reporting Year &amp; Inflation Adj.'!$F$9),(E146*I146/1000*'Reporting Year &amp; Inflation Adj.'!$F$9))),"")</f>
        <v/>
      </c>
      <c r="H146" s="805">
        <v>0.44045211016000008</v>
      </c>
      <c r="I146" s="806">
        <v>0.49574145361999999</v>
      </c>
      <c r="J146" s="807">
        <v>0.11053025303791014</v>
      </c>
      <c r="K146" s="68">
        <v>327200</v>
      </c>
      <c r="L146" s="68" t="s">
        <v>3455</v>
      </c>
      <c r="M146" s="69" t="s">
        <v>440</v>
      </c>
      <c r="N146" s="69" t="s">
        <v>601</v>
      </c>
      <c r="O146" s="70">
        <v>0.53889187302999997</v>
      </c>
      <c r="P146" s="70">
        <v>6.023604028E-2</v>
      </c>
      <c r="Q146" s="70">
        <v>0.59982620883000015</v>
      </c>
    </row>
    <row r="147" spans="3:17" ht="45">
      <c r="C147" s="321" t="s">
        <v>1085</v>
      </c>
      <c r="D147" s="322"/>
      <c r="E147" s="784"/>
      <c r="F147" s="323" t="s">
        <v>366</v>
      </c>
      <c r="G147" s="319" t="str">
        <f>IFERROR(IF(E147="","",IF(F147="Direct-from-manufacturer",(E147*H147/1000*'Reporting Year &amp; Inflation Adj.'!$F$9),(E147*I147/1000*'Reporting Year &amp; Inflation Adj.'!$F$9))),"")</f>
        <v/>
      </c>
      <c r="H147" s="805">
        <v>0.20184980294999996</v>
      </c>
      <c r="I147" s="806">
        <v>0.20184980294999996</v>
      </c>
      <c r="J147" s="807">
        <v>0</v>
      </c>
      <c r="K147" s="68">
        <v>713900</v>
      </c>
      <c r="L147" s="68" t="s">
        <v>3456</v>
      </c>
      <c r="M147" s="69" t="s">
        <v>1071</v>
      </c>
      <c r="N147" s="69" t="s">
        <v>1086</v>
      </c>
      <c r="O147" s="70">
        <v>0.23801425794</v>
      </c>
      <c r="P147" s="70">
        <v>0</v>
      </c>
      <c r="Q147" s="70">
        <v>0.23801425794</v>
      </c>
    </row>
    <row r="148" spans="3:17" ht="156.75">
      <c r="C148" s="321" t="s">
        <v>1117</v>
      </c>
      <c r="D148" s="322"/>
      <c r="E148" s="784"/>
      <c r="F148" s="323" t="s">
        <v>366</v>
      </c>
      <c r="G148" s="319" t="str">
        <f>IFERROR(IF(E148="","",IF(F148="Direct-from-manufacturer",(E148*H148/1000*'Reporting Year &amp; Inflation Adj.'!$F$9),(E148*I148/1000*'Reporting Year &amp; Inflation Adj.'!$F$9))),"")</f>
        <v/>
      </c>
      <c r="H148" s="805">
        <v>5.2428732545000002E-2</v>
      </c>
      <c r="I148" s="806">
        <v>5.2428732545000002E-2</v>
      </c>
      <c r="J148" s="807">
        <v>0</v>
      </c>
      <c r="K148" s="68" t="s">
        <v>1118</v>
      </c>
      <c r="L148" s="68" t="s">
        <v>3375</v>
      </c>
      <c r="M148" s="69" t="s">
        <v>1098</v>
      </c>
      <c r="N148" s="69" t="s">
        <v>1119</v>
      </c>
      <c r="O148" s="70">
        <v>5.9472141980000004E-2</v>
      </c>
      <c r="P148" s="70">
        <v>0</v>
      </c>
      <c r="Q148" s="70">
        <v>5.9472141980000004E-2</v>
      </c>
    </row>
    <row r="149" spans="3:17" ht="71.25">
      <c r="C149" s="321" t="s">
        <v>342</v>
      </c>
      <c r="D149" s="322"/>
      <c r="E149" s="784"/>
      <c r="F149" s="325"/>
      <c r="G149" s="319" t="str">
        <f>IFERROR(IF(E149="","",IF(F149="Direct-from-manufacturer",(E149*H149/1000*'Reporting Year &amp; Inflation Adj.'!$F$9),(E149*I149/1000*'Reporting Year &amp; Inflation Adj.'!$F$9))),"")</f>
        <v/>
      </c>
      <c r="H149" s="805">
        <v>0.33688063908000004</v>
      </c>
      <c r="I149" s="806">
        <v>0.39886341006500003</v>
      </c>
      <c r="J149" s="807">
        <v>0.15661688556445899</v>
      </c>
      <c r="K149" s="68">
        <v>111400</v>
      </c>
      <c r="L149" s="68" t="s">
        <v>3457</v>
      </c>
      <c r="M149" s="69" t="s">
        <v>332</v>
      </c>
      <c r="N149" s="69" t="s">
        <v>344</v>
      </c>
      <c r="O149" s="70">
        <v>0.27121002818100004</v>
      </c>
      <c r="P149" s="70">
        <v>4.1388523110000006E-2</v>
      </c>
      <c r="Q149" s="70">
        <v>0.31248065887999998</v>
      </c>
    </row>
    <row r="150" spans="3:17" ht="85.5">
      <c r="C150" s="321" t="s">
        <v>871</v>
      </c>
      <c r="D150" s="322"/>
      <c r="E150" s="784"/>
      <c r="F150" s="323" t="s">
        <v>366</v>
      </c>
      <c r="G150" s="319" t="str">
        <f>IFERROR(IF(E150="","",IF(F150="Direct-from-manufacturer",(E150*H150/1000*'Reporting Year &amp; Inflation Adj.'!$F$9),(E150*I150/1000*'Reporting Year &amp; Inflation Adj.'!$F$9))),"")</f>
        <v/>
      </c>
      <c r="H150" s="805">
        <v>0.12886679369999998</v>
      </c>
      <c r="I150" s="806">
        <v>0.12886679369999998</v>
      </c>
      <c r="J150" s="807">
        <v>0</v>
      </c>
      <c r="K150" s="68">
        <v>424400</v>
      </c>
      <c r="L150" s="68" t="s">
        <v>3458</v>
      </c>
      <c r="M150" s="69" t="s">
        <v>853</v>
      </c>
      <c r="N150" s="69" t="s">
        <v>873</v>
      </c>
      <c r="O150" s="70">
        <v>0.16242693879999995</v>
      </c>
      <c r="P150" s="70">
        <v>0</v>
      </c>
      <c r="Q150" s="70">
        <v>0.16242693879999995</v>
      </c>
    </row>
    <row r="151" spans="3:17" ht="57">
      <c r="C151" s="321" t="s">
        <v>615</v>
      </c>
      <c r="D151" s="322"/>
      <c r="E151" s="784"/>
      <c r="F151" s="325"/>
      <c r="G151" s="319" t="str">
        <f>IFERROR(IF(E151="","",IF(F151="Direct-from-manufacturer",(E151*H151/1000*'Reporting Year &amp; Inflation Adj.'!$F$9),(E151*I151/1000*'Reporting Year &amp; Inflation Adj.'!$F$9))),"")</f>
        <v/>
      </c>
      <c r="H151" s="805">
        <v>0.30971135005500006</v>
      </c>
      <c r="I151" s="806">
        <v>0.42770599726999997</v>
      </c>
      <c r="J151" s="807">
        <v>0.27387049001572678</v>
      </c>
      <c r="K151" s="68">
        <v>327992</v>
      </c>
      <c r="L151" s="68" t="s">
        <v>3459</v>
      </c>
      <c r="M151" s="69" t="s">
        <v>440</v>
      </c>
      <c r="N151" s="69" t="s">
        <v>613</v>
      </c>
      <c r="O151" s="70">
        <v>0.37749026132000002</v>
      </c>
      <c r="P151" s="70">
        <v>0.122086654819</v>
      </c>
      <c r="Q151" s="70">
        <v>0.49949013695</v>
      </c>
    </row>
    <row r="152" spans="3:17" ht="42.75">
      <c r="C152" s="321" t="s">
        <v>805</v>
      </c>
      <c r="D152" s="322"/>
      <c r="E152" s="784"/>
      <c r="F152" s="325"/>
      <c r="G152" s="319" t="str">
        <f>IFERROR(IF(E152="","",IF(F152="Direct-from-manufacturer",(E152*H152/1000*'Reporting Year &amp; Inflation Adj.'!$F$9),(E152*I152/1000*'Reporting Year &amp; Inflation Adj.'!$F$9))),"")</f>
        <v/>
      </c>
      <c r="H152" s="805">
        <v>0.12271119741</v>
      </c>
      <c r="I152" s="806">
        <v>0.13186056723000003</v>
      </c>
      <c r="J152" s="807">
        <v>6.3276694490828025E-2</v>
      </c>
      <c r="K152" s="68">
        <v>336414</v>
      </c>
      <c r="L152" s="68" t="s">
        <v>3460</v>
      </c>
      <c r="M152" s="69" t="s">
        <v>440</v>
      </c>
      <c r="N152" s="69" t="s">
        <v>802</v>
      </c>
      <c r="O152" s="70">
        <v>0.13428172276999997</v>
      </c>
      <c r="P152" s="70">
        <v>8.6316506249999973E-3</v>
      </c>
      <c r="Q152" s="70">
        <v>0.14262741947000002</v>
      </c>
    </row>
    <row r="153" spans="3:17" ht="28.5">
      <c r="C153" s="321" t="s">
        <v>891</v>
      </c>
      <c r="D153" s="322"/>
      <c r="E153" s="784"/>
      <c r="F153" s="323" t="s">
        <v>366</v>
      </c>
      <c r="G153" s="319" t="str">
        <f>IFERROR(IF(E153="","",IF(F153="Direct-from-manufacturer",(E153*H153/1000*'Reporting Year &amp; Inflation Adj.'!$F$9),(E153*I153/1000*'Reporting Year &amp; Inflation Adj.'!$F$9))),"")</f>
        <v/>
      </c>
      <c r="H153" s="805">
        <v>0.12587077056500001</v>
      </c>
      <c r="I153" s="806">
        <v>0.12587077056500001</v>
      </c>
      <c r="J153" s="807">
        <v>0</v>
      </c>
      <c r="K153" s="68">
        <v>446000</v>
      </c>
      <c r="L153" s="68" t="s">
        <v>3461</v>
      </c>
      <c r="M153" s="69" t="s">
        <v>882</v>
      </c>
      <c r="N153" s="69" t="s">
        <v>892</v>
      </c>
      <c r="O153" s="70">
        <v>0.13086501567999997</v>
      </c>
      <c r="P153" s="70">
        <v>0</v>
      </c>
      <c r="Q153" s="70">
        <v>0.13086501567999997</v>
      </c>
    </row>
    <row r="154" spans="3:17" ht="30">
      <c r="C154" s="321" t="s">
        <v>1043</v>
      </c>
      <c r="D154" s="322"/>
      <c r="E154" s="784"/>
      <c r="F154" s="323" t="s">
        <v>366</v>
      </c>
      <c r="G154" s="319" t="str">
        <f>IFERROR(IF(E154="","",IF(F154="Direct-from-manufacturer",(E154*H154/1000*'Reporting Year &amp; Inflation Adj.'!$F$9),(E154*I154/1000*'Reporting Year &amp; Inflation Adj.'!$F$9))),"")</f>
        <v/>
      </c>
      <c r="H154" s="805">
        <v>9.6783573419999991E-2</v>
      </c>
      <c r="I154" s="806">
        <v>9.6783573419999991E-2</v>
      </c>
      <c r="J154" s="807">
        <v>0</v>
      </c>
      <c r="K154" s="68">
        <v>621300</v>
      </c>
      <c r="L154" s="68" t="s">
        <v>3462</v>
      </c>
      <c r="M154" s="69" t="s">
        <v>1038</v>
      </c>
      <c r="N154" s="69" t="s">
        <v>1045</v>
      </c>
      <c r="O154" s="70">
        <v>0.10598779418999998</v>
      </c>
      <c r="P154" s="70">
        <v>0</v>
      </c>
      <c r="Q154" s="70">
        <v>0.10598779418999998</v>
      </c>
    </row>
    <row r="155" spans="3:17" ht="99.75">
      <c r="C155" s="321" t="s">
        <v>698</v>
      </c>
      <c r="D155" s="322"/>
      <c r="E155" s="784"/>
      <c r="F155" s="325"/>
      <c r="G155" s="319" t="str">
        <f>IFERROR(IF(E155="","",IF(F155="Direct-from-manufacturer",(E155*H155/1000*'Reporting Year &amp; Inflation Adj.'!$F$9),(E155*I155/1000*'Reporting Year &amp; Inflation Adj.'!$F$9))),"")</f>
        <v/>
      </c>
      <c r="H155" s="805">
        <v>0.11045900170499999</v>
      </c>
      <c r="I155" s="806">
        <v>0.14264472157499999</v>
      </c>
      <c r="J155" s="807">
        <v>0.22203466360546259</v>
      </c>
      <c r="K155" s="68">
        <v>333414</v>
      </c>
      <c r="L155" s="68" t="s">
        <v>3463</v>
      </c>
      <c r="M155" s="69" t="s">
        <v>440</v>
      </c>
      <c r="N155" s="69" t="s">
        <v>697</v>
      </c>
      <c r="O155" s="70">
        <v>0.13868294348999999</v>
      </c>
      <c r="P155" s="70">
        <v>3.8823331930000003E-2</v>
      </c>
      <c r="Q155" s="70">
        <v>0.17722039071000001</v>
      </c>
    </row>
    <row r="156" spans="3:17" ht="57">
      <c r="C156" s="321" t="s">
        <v>783</v>
      </c>
      <c r="D156" s="322"/>
      <c r="E156" s="784"/>
      <c r="F156" s="325"/>
      <c r="G156" s="319" t="str">
        <f>IFERROR(IF(E156="","",IF(F156="Direct-from-manufacturer",(E156*H156/1000*'Reporting Year &amp; Inflation Adj.'!$F$9),(E156*I156/1000*'Reporting Year &amp; Inflation Adj.'!$F$9))),"")</f>
        <v/>
      </c>
      <c r="H156" s="805">
        <v>0.23802552204999999</v>
      </c>
      <c r="I156" s="806">
        <v>0.24855214950000001</v>
      </c>
      <c r="J156" s="807">
        <v>4.0894398115032191E-2</v>
      </c>
      <c r="K156" s="68">
        <v>336120</v>
      </c>
      <c r="L156" s="68" t="s">
        <v>3464</v>
      </c>
      <c r="M156" s="69" t="s">
        <v>440</v>
      </c>
      <c r="N156" s="69" t="s">
        <v>781</v>
      </c>
      <c r="O156" s="70">
        <v>0.26406660048000002</v>
      </c>
      <c r="P156" s="70">
        <v>1.0717657366000001E-2</v>
      </c>
      <c r="Q156" s="70">
        <v>0.27482329713999992</v>
      </c>
    </row>
    <row r="157" spans="3:17" ht="57">
      <c r="C157" s="321" t="s">
        <v>654</v>
      </c>
      <c r="D157" s="322"/>
      <c r="E157" s="784"/>
      <c r="F157" s="325"/>
      <c r="G157" s="319" t="str">
        <f>IFERROR(IF(E157="","",IF(F157="Direct-from-manufacturer",(E157*H157/1000*'Reporting Year &amp; Inflation Adj.'!$F$9),(E157*I157/1000*'Reporting Year &amp; Inflation Adj.'!$F$9))),"")</f>
        <v/>
      </c>
      <c r="H157" s="805">
        <v>0.21624735343000001</v>
      </c>
      <c r="I157" s="806">
        <v>0.22665565005000005</v>
      </c>
      <c r="J157" s="807">
        <v>4.6667844632007217E-2</v>
      </c>
      <c r="K157" s="68">
        <v>332420</v>
      </c>
      <c r="L157" s="68" t="s">
        <v>3465</v>
      </c>
      <c r="M157" s="69" t="s">
        <v>440</v>
      </c>
      <c r="N157" s="69" t="s">
        <v>653</v>
      </c>
      <c r="O157" s="70">
        <v>0.26830507997999997</v>
      </c>
      <c r="P157" s="70">
        <v>1.1998914017E-2</v>
      </c>
      <c r="Q157" s="70">
        <v>0.28009776600999997</v>
      </c>
    </row>
    <row r="158" spans="3:17" ht="42.75">
      <c r="C158" s="321" t="s">
        <v>407</v>
      </c>
      <c r="D158" s="322"/>
      <c r="E158" s="784"/>
      <c r="F158" s="323" t="s">
        <v>366</v>
      </c>
      <c r="G158" s="319" t="str">
        <f>IFERROR(IF(E158="","",IF(F158="Direct-from-manufacturer",(E158*H158/1000*'Reporting Year &amp; Inflation Adj.'!$F$9),(E158*I158/1000*'Reporting Year &amp; Inflation Adj.'!$F$9))),"")</f>
        <v/>
      </c>
      <c r="H158" s="805">
        <v>0.23015431373499992</v>
      </c>
      <c r="I158" s="806">
        <v>0.23015431373499992</v>
      </c>
      <c r="J158" s="807">
        <v>0</v>
      </c>
      <c r="K158" s="68" t="s">
        <v>3716</v>
      </c>
      <c r="L158" s="68" t="s">
        <v>3466</v>
      </c>
      <c r="M158" s="69" t="s">
        <v>397</v>
      </c>
      <c r="N158" s="69" t="s">
        <v>1639</v>
      </c>
      <c r="O158" s="70">
        <v>0.25626405107999994</v>
      </c>
      <c r="P158" s="70">
        <v>0</v>
      </c>
      <c r="Q158" s="70">
        <v>0.25626405107999994</v>
      </c>
    </row>
    <row r="159" spans="3:17" ht="57">
      <c r="C159" s="321" t="s">
        <v>825</v>
      </c>
      <c r="D159" s="322"/>
      <c r="E159" s="784"/>
      <c r="F159" s="325"/>
      <c r="G159" s="319" t="str">
        <f>IFERROR(IF(E159="","",IF(F159="Direct-from-manufacturer",(E159*H159/1000*'Reporting Year &amp; Inflation Adj.'!$F$9),(E159*I159/1000*'Reporting Year &amp; Inflation Adj.'!$F$9))),"")</f>
        <v/>
      </c>
      <c r="H159" s="805">
        <v>0.16184776917999993</v>
      </c>
      <c r="I159" s="806">
        <v>0.22000934945</v>
      </c>
      <c r="J159" s="807">
        <v>0.26437608504096238</v>
      </c>
      <c r="K159" s="68" t="s">
        <v>826</v>
      </c>
      <c r="L159" s="68" t="s">
        <v>3467</v>
      </c>
      <c r="M159" s="69" t="s">
        <v>440</v>
      </c>
      <c r="N159" s="69" t="s">
        <v>822</v>
      </c>
      <c r="O159" s="70">
        <v>0.16960555661999999</v>
      </c>
      <c r="P159" s="70">
        <v>5.9420953670000005E-2</v>
      </c>
      <c r="Q159" s="70">
        <v>0.2293223925</v>
      </c>
    </row>
    <row r="160" spans="3:17" ht="57">
      <c r="C160" s="321" t="s">
        <v>823</v>
      </c>
      <c r="D160" s="322"/>
      <c r="E160" s="784"/>
      <c r="F160" s="325"/>
      <c r="G160" s="319" t="str">
        <f>IFERROR(IF(E160="","",IF(F160="Direct-from-manufacturer",(E160*H160/1000*'Reporting Year &amp; Inflation Adj.'!$F$9),(E160*I160/1000*'Reporting Year &amp; Inflation Adj.'!$F$9))),"")</f>
        <v/>
      </c>
      <c r="H160" s="805">
        <v>0.12166806788999998</v>
      </c>
      <c r="I160" s="806">
        <v>0.17496030729999995</v>
      </c>
      <c r="J160" s="807">
        <v>0.30160092997276078</v>
      </c>
      <c r="K160" s="68">
        <v>337121</v>
      </c>
      <c r="L160" s="68" t="s">
        <v>3468</v>
      </c>
      <c r="M160" s="69" t="s">
        <v>440</v>
      </c>
      <c r="N160" s="69" t="s">
        <v>822</v>
      </c>
      <c r="O160" s="70">
        <v>0.13344645305000002</v>
      </c>
      <c r="P160" s="70">
        <v>5.5769043589999998E-2</v>
      </c>
      <c r="Q160" s="70">
        <v>0.18964391036</v>
      </c>
    </row>
    <row r="161" spans="3:17" ht="57">
      <c r="C161" s="321" t="s">
        <v>824</v>
      </c>
      <c r="D161" s="322"/>
      <c r="E161" s="784"/>
      <c r="F161" s="325"/>
      <c r="G161" s="319" t="str">
        <f>IFERROR(IF(E161="","",IF(F161="Direct-from-manufacturer",(E161*H161/1000*'Reporting Year &amp; Inflation Adj.'!$F$9),(E161*I161/1000*'Reporting Year &amp; Inflation Adj.'!$F$9))),"")</f>
        <v/>
      </c>
      <c r="H161" s="805">
        <v>0.10982025997</v>
      </c>
      <c r="I161" s="806">
        <v>0.163704092375</v>
      </c>
      <c r="J161" s="807">
        <v>0.33042138971756418</v>
      </c>
      <c r="K161" s="68">
        <v>337122</v>
      </c>
      <c r="L161" s="68" t="s">
        <v>3469</v>
      </c>
      <c r="M161" s="69" t="s">
        <v>440</v>
      </c>
      <c r="N161" s="69" t="s">
        <v>822</v>
      </c>
      <c r="O161" s="70">
        <v>0.12120145026</v>
      </c>
      <c r="P161" s="70">
        <v>5.7639807170000001E-2</v>
      </c>
      <c r="Q161" s="70">
        <v>0.17864038063000001</v>
      </c>
    </row>
    <row r="162" spans="3:17" ht="71.25">
      <c r="C162" s="321" t="s">
        <v>1051</v>
      </c>
      <c r="D162" s="322"/>
      <c r="E162" s="784"/>
      <c r="F162" s="323" t="s">
        <v>366</v>
      </c>
      <c r="G162" s="319" t="str">
        <f>IFERROR(IF(E162="","",IF(F162="Direct-from-manufacturer",(E162*H162/1000*'Reporting Year &amp; Inflation Adj.'!$F$9),(E162*I162/1000*'Reporting Year &amp; Inflation Adj.'!$F$9))),"")</f>
        <v/>
      </c>
      <c r="H162" s="805">
        <v>9.159669832999999E-2</v>
      </c>
      <c r="I162" s="806">
        <v>9.159669832999999E-2</v>
      </c>
      <c r="J162" s="807">
        <v>0</v>
      </c>
      <c r="K162" s="68">
        <v>621600</v>
      </c>
      <c r="L162" s="68" t="s">
        <v>3470</v>
      </c>
      <c r="M162" s="69" t="s">
        <v>1038</v>
      </c>
      <c r="N162" s="69" t="s">
        <v>1052</v>
      </c>
      <c r="O162" s="70">
        <v>0.10534980175</v>
      </c>
      <c r="P162" s="70">
        <v>0</v>
      </c>
      <c r="Q162" s="70">
        <v>0.10534980175</v>
      </c>
    </row>
    <row r="163" spans="3:17" ht="85.5">
      <c r="C163" s="321" t="s">
        <v>1055</v>
      </c>
      <c r="D163" s="322"/>
      <c r="E163" s="784"/>
      <c r="F163" s="323" t="s">
        <v>366</v>
      </c>
      <c r="G163" s="319" t="str">
        <f>IFERROR(IF(E163="","",IF(F163="Direct-from-manufacturer",(E163*H163/1000*'Reporting Year &amp; Inflation Adj.'!$F$9),(E163*I163/1000*'Reporting Year &amp; Inflation Adj.'!$F$9))),"")</f>
        <v/>
      </c>
      <c r="H163" s="805">
        <v>0.1286698174</v>
      </c>
      <c r="I163" s="806">
        <v>0.1286698174</v>
      </c>
      <c r="J163" s="807">
        <v>0</v>
      </c>
      <c r="K163" s="68">
        <v>622000</v>
      </c>
      <c r="L163" s="68" t="s">
        <v>3471</v>
      </c>
      <c r="M163" s="69" t="s">
        <v>1038</v>
      </c>
      <c r="N163" s="69" t="s">
        <v>1056</v>
      </c>
      <c r="O163" s="70">
        <v>0.14683000189999998</v>
      </c>
      <c r="P163" s="70">
        <v>0</v>
      </c>
      <c r="Q163" s="70">
        <v>0.14683000189999998</v>
      </c>
    </row>
    <row r="164" spans="3:17" ht="313.5">
      <c r="C164" s="321" t="s">
        <v>1087</v>
      </c>
      <c r="D164" s="322"/>
      <c r="E164" s="784"/>
      <c r="F164" s="323" t="s">
        <v>366</v>
      </c>
      <c r="G164" s="319" t="str">
        <f>IFERROR(IF(E164="","",IF(F164="Direct-from-manufacturer",(E164*H164/1000*'Reporting Year &amp; Inflation Adj.'!$F$9),(E164*I164/1000*'Reporting Year &amp; Inflation Adj.'!$F$9))),"")</f>
        <v/>
      </c>
      <c r="H164" s="805">
        <v>0.12963170144000002</v>
      </c>
      <c r="I164" s="806">
        <v>0.12963170144000002</v>
      </c>
      <c r="J164" s="807">
        <v>0</v>
      </c>
      <c r="K164" s="68">
        <v>721000</v>
      </c>
      <c r="L164" s="68" t="s">
        <v>3472</v>
      </c>
      <c r="M164" s="69" t="s">
        <v>1088</v>
      </c>
      <c r="N164" s="69" t="s">
        <v>1089</v>
      </c>
      <c r="O164" s="70">
        <v>0.14744619311999999</v>
      </c>
      <c r="P164" s="70">
        <v>0</v>
      </c>
      <c r="Q164" s="70">
        <v>0.14744619311999999</v>
      </c>
    </row>
    <row r="165" spans="3:17" ht="85.5">
      <c r="C165" s="321" t="s">
        <v>860</v>
      </c>
      <c r="D165" s="322"/>
      <c r="E165" s="784"/>
      <c r="F165" s="323" t="s">
        <v>366</v>
      </c>
      <c r="G165" s="319" t="str">
        <f>IFERROR(IF(E165="","",IF(F165="Direct-from-manufacturer",(E165*H165/1000*'Reporting Year &amp; Inflation Adj.'!$F$9),(E165*I165/1000*'Reporting Year &amp; Inflation Adj.'!$F$9))),"")</f>
        <v/>
      </c>
      <c r="H165" s="805">
        <v>7.2360384939999994E-2</v>
      </c>
      <c r="I165" s="806">
        <v>7.2360384939999994E-2</v>
      </c>
      <c r="J165" s="807">
        <v>0</v>
      </c>
      <c r="K165" s="68">
        <v>423600</v>
      </c>
      <c r="L165" s="68" t="s">
        <v>3473</v>
      </c>
      <c r="M165" s="69" t="s">
        <v>853</v>
      </c>
      <c r="N165" s="69" t="s">
        <v>862</v>
      </c>
      <c r="O165" s="70">
        <v>8.4425189979999996E-2</v>
      </c>
      <c r="P165" s="70">
        <v>0</v>
      </c>
      <c r="Q165" s="70">
        <v>8.4425189979999996E-2</v>
      </c>
    </row>
    <row r="166" spans="3:17" ht="57">
      <c r="C166" s="321" t="s">
        <v>1105</v>
      </c>
      <c r="D166" s="322"/>
      <c r="E166" s="784"/>
      <c r="F166" s="323" t="s">
        <v>366</v>
      </c>
      <c r="G166" s="319" t="str">
        <f>IFERROR(IF(E166="","",IF(F166="Direct-from-manufacturer",(E166*H166/1000*'Reporting Year &amp; Inflation Adj.'!$F$9),(E166*I166/1000*'Reporting Year &amp; Inflation Adj.'!$F$9))),"")</f>
        <v/>
      </c>
      <c r="H166" s="805">
        <v>9.8081947510000017E-2</v>
      </c>
      <c r="I166" s="806">
        <v>9.8081947510000017E-2</v>
      </c>
      <c r="J166" s="807">
        <v>0</v>
      </c>
      <c r="K166" s="68">
        <v>811400</v>
      </c>
      <c r="L166" s="68" t="s">
        <v>3474</v>
      </c>
      <c r="M166" s="69" t="s">
        <v>1098</v>
      </c>
      <c r="N166" s="69" t="s">
        <v>1106</v>
      </c>
      <c r="O166" s="70">
        <v>0.11443612278</v>
      </c>
      <c r="P166" s="70">
        <v>0</v>
      </c>
      <c r="Q166" s="70">
        <v>0.11443612278</v>
      </c>
    </row>
    <row r="167" spans="3:17" ht="42.75">
      <c r="C167" s="321" t="s">
        <v>722</v>
      </c>
      <c r="D167" s="322"/>
      <c r="E167" s="784"/>
      <c r="F167" s="325"/>
      <c r="G167" s="319" t="str">
        <f>IFERROR(IF(E167="","",IF(F167="Direct-from-manufacturer",(E167*H167/1000*'Reporting Year &amp; Inflation Adj.'!$F$9),(E167*I167/1000*'Reporting Year &amp; Inflation Adj.'!$F$9))),"")</f>
        <v/>
      </c>
      <c r="H167" s="805">
        <v>0.154064528895</v>
      </c>
      <c r="I167" s="806">
        <v>0.17290582262999998</v>
      </c>
      <c r="J167" s="807">
        <v>0.10673589260491403</v>
      </c>
      <c r="K167" s="68" t="s">
        <v>723</v>
      </c>
      <c r="L167" s="68" t="s">
        <v>3475</v>
      </c>
      <c r="M167" s="69" t="s">
        <v>440</v>
      </c>
      <c r="N167" s="69" t="s">
        <v>715</v>
      </c>
      <c r="O167" s="70">
        <v>0.18221222057000003</v>
      </c>
      <c r="P167" s="70">
        <v>2.0898423909999998E-2</v>
      </c>
      <c r="Q167" s="70">
        <v>0.20372519545000001</v>
      </c>
    </row>
    <row r="168" spans="3:17" ht="28.5">
      <c r="C168" s="321" t="s">
        <v>463</v>
      </c>
      <c r="D168" s="322"/>
      <c r="E168" s="784"/>
      <c r="F168" s="325"/>
      <c r="G168" s="319" t="str">
        <f>IFERROR(IF(E168="","",IF(F168="Direct-from-manufacturer",(E168*H168/1000*'Reporting Year &amp; Inflation Adj.'!$F$9),(E168*I168/1000*'Reporting Year &amp; Inflation Adj.'!$F$9))),"")</f>
        <v/>
      </c>
      <c r="H168" s="805">
        <v>0.4993601473</v>
      </c>
      <c r="I168" s="806">
        <v>0.52640631485</v>
      </c>
      <c r="J168" s="807">
        <v>5.1997582500125664E-2</v>
      </c>
      <c r="K168" s="68">
        <v>311520</v>
      </c>
      <c r="L168" s="68" t="s">
        <v>3476</v>
      </c>
      <c r="M168" s="69" t="s">
        <v>440</v>
      </c>
      <c r="N168" s="69" t="s">
        <v>459</v>
      </c>
      <c r="O168" s="70">
        <v>0.5673655220399999</v>
      </c>
      <c r="P168" s="70">
        <v>3.0172089099999997E-2</v>
      </c>
      <c r="Q168" s="70">
        <v>0.59700082928000009</v>
      </c>
    </row>
    <row r="169" spans="3:17" ht="71.25">
      <c r="C169" s="321" t="s">
        <v>1077</v>
      </c>
      <c r="D169" s="322"/>
      <c r="E169" s="784"/>
      <c r="F169" s="323" t="s">
        <v>366</v>
      </c>
      <c r="G169" s="319" t="str">
        <f>IFERROR(IF(E169="","",IF(F169="Direct-from-manufacturer",(E169*H169/1000*'Reporting Year &amp; Inflation Adj.'!$F$9),(E169*I169/1000*'Reporting Year &amp; Inflation Adj.'!$F$9))),"")</f>
        <v/>
      </c>
      <c r="H169" s="805">
        <v>2.8694495949999999E-2</v>
      </c>
      <c r="I169" s="806">
        <v>2.8694495949999999E-2</v>
      </c>
      <c r="J169" s="807">
        <v>0</v>
      </c>
      <c r="K169" s="68">
        <v>711500</v>
      </c>
      <c r="L169" s="68" t="s">
        <v>3477</v>
      </c>
      <c r="M169" s="69" t="s">
        <v>1071</v>
      </c>
      <c r="N169" s="69" t="s">
        <v>1078</v>
      </c>
      <c r="O169" s="70">
        <v>3.3242567059999992E-2</v>
      </c>
      <c r="P169" s="70">
        <v>0</v>
      </c>
      <c r="Q169" s="70">
        <v>3.3242567059999992E-2</v>
      </c>
    </row>
    <row r="170" spans="3:17" ht="28.5">
      <c r="C170" s="321" t="s">
        <v>1063</v>
      </c>
      <c r="D170" s="322"/>
      <c r="E170" s="784"/>
      <c r="F170" s="323" t="s">
        <v>366</v>
      </c>
      <c r="G170" s="319" t="str">
        <f>IFERROR(IF(E170="","",IF(F170="Direct-from-manufacturer",(E170*H170/1000*'Reporting Year &amp; Inflation Adj.'!$F$9),(E170*I170/1000*'Reporting Year &amp; Inflation Adj.'!$F$9))),"")</f>
        <v/>
      </c>
      <c r="H170" s="805">
        <v>0.10502014695999999</v>
      </c>
      <c r="I170" s="806">
        <v>0.10502014695999999</v>
      </c>
      <c r="J170" s="807">
        <v>0</v>
      </c>
      <c r="K170" s="68">
        <v>624100</v>
      </c>
      <c r="L170" s="68" t="s">
        <v>3478</v>
      </c>
      <c r="M170" s="69" t="s">
        <v>1038</v>
      </c>
      <c r="N170" s="69" t="s">
        <v>1064</v>
      </c>
      <c r="O170" s="70">
        <v>0.12072739766000003</v>
      </c>
      <c r="P170" s="70">
        <v>0</v>
      </c>
      <c r="Q170" s="70">
        <v>0.12072739766000003</v>
      </c>
    </row>
    <row r="171" spans="3:17" ht="356.25">
      <c r="C171" s="321" t="s">
        <v>3313</v>
      </c>
      <c r="D171" s="322"/>
      <c r="E171" s="784"/>
      <c r="F171" s="323" t="s">
        <v>366</v>
      </c>
      <c r="G171" s="319" t="str">
        <f>IFERROR(IF(E171="","",IF(F171="Direct-from-manufacturer",(E171*H171/1000*'Reporting Year &amp; Inflation Adj.'!$F$9),(E171*I171/1000*'Reporting Year &amp; Inflation Adj.'!$F$9))),"")</f>
        <v/>
      </c>
      <c r="H171" s="805">
        <v>0.20833853749999995</v>
      </c>
      <c r="I171" s="806">
        <v>0.20833853749999995</v>
      </c>
      <c r="J171" s="807">
        <v>0</v>
      </c>
      <c r="K171" s="68" t="s">
        <v>402</v>
      </c>
      <c r="L171" s="68" t="s">
        <v>3479</v>
      </c>
      <c r="M171" s="69" t="s">
        <v>397</v>
      </c>
      <c r="N171" s="69" t="s">
        <v>403</v>
      </c>
      <c r="O171" s="70">
        <v>0.24098733684999998</v>
      </c>
      <c r="P171" s="70">
        <v>0</v>
      </c>
      <c r="Q171" s="70">
        <v>0.24098733684999998</v>
      </c>
    </row>
    <row r="172" spans="3:17" ht="42.75">
      <c r="C172" s="321" t="s">
        <v>700</v>
      </c>
      <c r="D172" s="322"/>
      <c r="E172" s="784"/>
      <c r="F172" s="325"/>
      <c r="G172" s="319" t="str">
        <f>IFERROR(IF(E172="","",IF(F172="Direct-from-manufacturer",(E172*H172/1000*'Reporting Year &amp; Inflation Adj.'!$F$9),(E172*I172/1000*'Reporting Year &amp; Inflation Adj.'!$F$9))),"")</f>
        <v/>
      </c>
      <c r="H172" s="805">
        <v>0.20466669016</v>
      </c>
      <c r="I172" s="806">
        <v>0.22714308710499995</v>
      </c>
      <c r="J172" s="807">
        <v>9.896673287093477E-2</v>
      </c>
      <c r="K172" s="68">
        <v>333511</v>
      </c>
      <c r="L172" s="68" t="s">
        <v>3480</v>
      </c>
      <c r="M172" s="69" t="s">
        <v>440</v>
      </c>
      <c r="N172" s="69" t="s">
        <v>702</v>
      </c>
      <c r="O172" s="70">
        <v>0.23756957009000002</v>
      </c>
      <c r="P172" s="70">
        <v>2.5363460099999999E-2</v>
      </c>
      <c r="Q172" s="70">
        <v>0.26280958612999999</v>
      </c>
    </row>
    <row r="173" spans="3:17" ht="42.75">
      <c r="C173" s="321" t="s">
        <v>721</v>
      </c>
      <c r="D173" s="322"/>
      <c r="E173" s="784"/>
      <c r="F173" s="325"/>
      <c r="G173" s="319" t="str">
        <f>IFERROR(IF(E173="","",IF(F173="Direct-from-manufacturer",(E173*H173/1000*'Reporting Year &amp; Inflation Adj.'!$F$9),(E173*I173/1000*'Reporting Year &amp; Inflation Adj.'!$F$9))),"")</f>
        <v/>
      </c>
      <c r="H173" s="805">
        <v>0.14220244531000001</v>
      </c>
      <c r="I173" s="806">
        <v>0.16125565123500005</v>
      </c>
      <c r="J173" s="807">
        <v>0.12110810988905801</v>
      </c>
      <c r="K173" s="68">
        <v>333994</v>
      </c>
      <c r="L173" s="68" t="s">
        <v>3481</v>
      </c>
      <c r="M173" s="69" t="s">
        <v>440</v>
      </c>
      <c r="N173" s="69" t="s">
        <v>715</v>
      </c>
      <c r="O173" s="70">
        <v>0.16882741662999998</v>
      </c>
      <c r="P173" s="70">
        <v>2.2228534009999995E-2</v>
      </c>
      <c r="Q173" s="70">
        <v>0.19057880963999999</v>
      </c>
    </row>
    <row r="174" spans="3:17" ht="71.25">
      <c r="C174" s="321" t="s">
        <v>748</v>
      </c>
      <c r="D174" s="322"/>
      <c r="E174" s="784"/>
      <c r="F174" s="325"/>
      <c r="G174" s="319" t="str">
        <f>IFERROR(IF(E174="","",IF(F174="Direct-from-manufacturer",(E174*H174/1000*'Reporting Year &amp; Inflation Adj.'!$F$9),(E174*I174/1000*'Reporting Year &amp; Inflation Adj.'!$F$9))),"")</f>
        <v/>
      </c>
      <c r="H174" s="805">
        <v>4.0007717714999995E-2</v>
      </c>
      <c r="I174" s="806">
        <v>5.2965787740000006E-2</v>
      </c>
      <c r="J174" s="807">
        <v>0.24489759811887202</v>
      </c>
      <c r="K174" s="68">
        <v>334513</v>
      </c>
      <c r="L174" s="68" t="s">
        <v>3482</v>
      </c>
      <c r="M174" s="69" t="s">
        <v>440</v>
      </c>
      <c r="N174" s="69" t="s">
        <v>745</v>
      </c>
      <c r="O174" s="70">
        <v>4.7831406266999985E-2</v>
      </c>
      <c r="P174" s="70">
        <v>1.5423169514999998E-2</v>
      </c>
      <c r="Q174" s="70">
        <v>6.3152321520000013E-2</v>
      </c>
    </row>
    <row r="175" spans="3:17" ht="57">
      <c r="C175" s="321" t="s">
        <v>577</v>
      </c>
      <c r="D175" s="322"/>
      <c r="E175" s="784"/>
      <c r="F175" s="325"/>
      <c r="G175" s="319" t="str">
        <f>IFERROR(IF(E175="","",IF(F175="Direct-from-manufacturer",(E175*H175/1000*'Reporting Year &amp; Inflation Adj.'!$F$9),(E175*I175/1000*'Reporting Year &amp; Inflation Adj.'!$F$9))),"")</f>
        <v/>
      </c>
      <c r="H175" s="805">
        <v>0.31103360727000012</v>
      </c>
      <c r="I175" s="806">
        <v>0.33975540949000005</v>
      </c>
      <c r="J175" s="807">
        <v>8.5393282710496288E-2</v>
      </c>
      <c r="K175" s="68">
        <v>325910</v>
      </c>
      <c r="L175" s="68" t="s">
        <v>3483</v>
      </c>
      <c r="M175" s="69" t="s">
        <v>440</v>
      </c>
      <c r="N175" s="69" t="s">
        <v>579</v>
      </c>
      <c r="O175" s="70">
        <v>0.35734212793000003</v>
      </c>
      <c r="P175" s="70">
        <v>3.1348237670000001E-2</v>
      </c>
      <c r="Q175" s="70">
        <v>0.38879140952999991</v>
      </c>
    </row>
    <row r="176" spans="3:17" ht="71.25">
      <c r="C176" s="321" t="s">
        <v>827</v>
      </c>
      <c r="D176" s="322"/>
      <c r="E176" s="784"/>
      <c r="F176" s="325"/>
      <c r="G176" s="319" t="str">
        <f>IFERROR(IF(E176="","",IF(F176="Direct-from-manufacturer",(E176*H176/1000*'Reporting Year &amp; Inflation Adj.'!$F$9),(E176*I176/1000*'Reporting Year &amp; Inflation Adj.'!$F$9))),"")</f>
        <v/>
      </c>
      <c r="H176" s="805">
        <v>0.17743114093500001</v>
      </c>
      <c r="I176" s="806">
        <v>0.212917359035</v>
      </c>
      <c r="J176" s="807">
        <v>0.16300760444006229</v>
      </c>
      <c r="K176" s="68">
        <v>337127</v>
      </c>
      <c r="L176" s="68" t="s">
        <v>3484</v>
      </c>
      <c r="M176" s="69" t="s">
        <v>440</v>
      </c>
      <c r="N176" s="69" t="s">
        <v>822</v>
      </c>
      <c r="O176" s="70">
        <v>0.20948031017999999</v>
      </c>
      <c r="P176" s="70">
        <v>3.8077582010000006E-2</v>
      </c>
      <c r="Q176" s="70">
        <v>0.24807488677999998</v>
      </c>
    </row>
    <row r="177" spans="3:17" ht="57">
      <c r="C177" s="321" t="s">
        <v>958</v>
      </c>
      <c r="D177" s="322"/>
      <c r="E177" s="784"/>
      <c r="F177" s="323" t="s">
        <v>366</v>
      </c>
      <c r="G177" s="319" t="str">
        <f>IFERROR(IF(E177="","",IF(F177="Direct-from-manufacturer",(E177*H177/1000*'Reporting Year &amp; Inflation Adj.'!$F$9),(E177*I177/1000*'Reporting Year &amp; Inflation Adj.'!$F$9))),"")</f>
        <v/>
      </c>
      <c r="H177" s="805">
        <v>2.5618655005000001E-2</v>
      </c>
      <c r="I177" s="806">
        <v>2.5618655005000001E-2</v>
      </c>
      <c r="J177" s="807">
        <v>0</v>
      </c>
      <c r="K177" s="68">
        <v>524200</v>
      </c>
      <c r="L177" s="68" t="s">
        <v>3485</v>
      </c>
      <c r="M177" s="69" t="s">
        <v>943</v>
      </c>
      <c r="N177" s="69" t="s">
        <v>960</v>
      </c>
      <c r="O177" s="70">
        <v>2.9061155313999998E-2</v>
      </c>
      <c r="P177" s="70">
        <v>0</v>
      </c>
      <c r="Q177" s="70">
        <v>2.9061155313999998E-2</v>
      </c>
    </row>
    <row r="178" spans="3:17" ht="156.75">
      <c r="C178" s="321" t="s">
        <v>955</v>
      </c>
      <c r="D178" s="322"/>
      <c r="E178" s="784"/>
      <c r="F178" s="323" t="s">
        <v>366</v>
      </c>
      <c r="G178" s="319" t="str">
        <f>IFERROR(IF(E178="","",IF(F178="Direct-from-manufacturer",(E178*H178/1000*'Reporting Year &amp; Inflation Adj.'!$F$9),(E178*I178/1000*'Reporting Year &amp; Inflation Adj.'!$F$9))),"")</f>
        <v/>
      </c>
      <c r="H178" s="805">
        <v>2.8082319799999998E-2</v>
      </c>
      <c r="I178" s="806">
        <v>2.8082319799999998E-2</v>
      </c>
      <c r="J178" s="807">
        <v>0</v>
      </c>
      <c r="K178" s="68" t="s">
        <v>956</v>
      </c>
      <c r="L178" s="68" t="s">
        <v>3486</v>
      </c>
      <c r="M178" s="69" t="s">
        <v>943</v>
      </c>
      <c r="N178" s="69" t="s">
        <v>957</v>
      </c>
      <c r="O178" s="70">
        <v>3.3038491730000001E-2</v>
      </c>
      <c r="P178" s="70">
        <v>0</v>
      </c>
      <c r="Q178" s="70">
        <v>3.3038491730000001E-2</v>
      </c>
    </row>
    <row r="179" spans="3:17" ht="142.5">
      <c r="C179" s="321" t="s">
        <v>939</v>
      </c>
      <c r="D179" s="322"/>
      <c r="E179" s="784"/>
      <c r="F179" s="323" t="s">
        <v>366</v>
      </c>
      <c r="G179" s="319" t="str">
        <f>IFERROR(IF(E179="","",IF(F179="Direct-from-manufacturer",(E179*H179/1000*'Reporting Year &amp; Inflation Adj.'!$F$9),(E179*I179/1000*'Reporting Year &amp; Inflation Adj.'!$F$9))),"")</f>
        <v/>
      </c>
      <c r="H179" s="805">
        <v>6.8068958225000017E-2</v>
      </c>
      <c r="I179" s="806">
        <v>6.8068958225000017E-2</v>
      </c>
      <c r="J179" s="807">
        <v>0</v>
      </c>
      <c r="K179" s="68">
        <v>519130</v>
      </c>
      <c r="L179" s="68" t="s">
        <v>3487</v>
      </c>
      <c r="M179" s="69" t="s">
        <v>904</v>
      </c>
      <c r="N179" s="69" t="s">
        <v>938</v>
      </c>
      <c r="O179" s="70">
        <v>6.712332591999999E-2</v>
      </c>
      <c r="P179" s="70">
        <v>0</v>
      </c>
      <c r="Q179" s="70">
        <v>6.712332591999999E-2</v>
      </c>
    </row>
    <row r="180" spans="3:17" ht="28.5">
      <c r="C180" s="321" t="s">
        <v>1019</v>
      </c>
      <c r="D180" s="322"/>
      <c r="E180" s="784"/>
      <c r="F180" s="323" t="s">
        <v>366</v>
      </c>
      <c r="G180" s="319" t="str">
        <f>IFERROR(IF(E180="","",IF(F180="Direct-from-manufacturer",(E180*H180/1000*'Reporting Year &amp; Inflation Adj.'!$F$9),(E180*I180/1000*'Reporting Year &amp; Inflation Adj.'!$F$9))),"")</f>
        <v/>
      </c>
      <c r="H180" s="805">
        <v>6.092800521499999E-2</v>
      </c>
      <c r="I180" s="806">
        <v>6.092800521499999E-2</v>
      </c>
      <c r="J180" s="807">
        <v>0</v>
      </c>
      <c r="K180" s="68">
        <v>561600</v>
      </c>
      <c r="L180" s="68" t="s">
        <v>3488</v>
      </c>
      <c r="M180" s="69" t="s">
        <v>1006</v>
      </c>
      <c r="N180" s="69" t="s">
        <v>1021</v>
      </c>
      <c r="O180" s="70">
        <v>7.4710684899999991E-2</v>
      </c>
      <c r="P180" s="70">
        <v>0</v>
      </c>
      <c r="Q180" s="70">
        <v>7.4710684899999991E-2</v>
      </c>
    </row>
    <row r="181" spans="3:17" ht="99.75">
      <c r="C181" s="321" t="s">
        <v>951</v>
      </c>
      <c r="D181" s="322"/>
      <c r="E181" s="784"/>
      <c r="F181" s="323" t="s">
        <v>366</v>
      </c>
      <c r="G181" s="319" t="str">
        <f>IFERROR(IF(E181="","",IF(F181="Direct-from-manufacturer",(E181*H181/1000*'Reporting Year &amp; Inflation Adj.'!$F$9),(E181*I181/1000*'Reporting Year &amp; Inflation Adj.'!$F$9))),"")</f>
        <v/>
      </c>
      <c r="H181" s="805">
        <v>5.9528533345000002E-2</v>
      </c>
      <c r="I181" s="806">
        <v>5.9528533345000002E-2</v>
      </c>
      <c r="J181" s="807">
        <v>0</v>
      </c>
      <c r="K181" s="68">
        <v>523900</v>
      </c>
      <c r="L181" s="68" t="s">
        <v>3489</v>
      </c>
      <c r="M181" s="69" t="s">
        <v>943</v>
      </c>
      <c r="N181" s="69" t="s">
        <v>953</v>
      </c>
      <c r="O181" s="70">
        <v>6.6529931114000004E-2</v>
      </c>
      <c r="P181" s="70">
        <v>0</v>
      </c>
      <c r="Q181" s="70">
        <v>6.6529931114000004E-2</v>
      </c>
    </row>
    <row r="182" spans="3:17" ht="71.25">
      <c r="C182" s="321" t="s">
        <v>375</v>
      </c>
      <c r="D182" s="322"/>
      <c r="E182" s="784"/>
      <c r="F182" s="325"/>
      <c r="G182" s="319" t="str">
        <f>IFERROR(IF(E182="","",IF(F182="Direct-from-manufacturer",(E182*H182/1000*'Reporting Year &amp; Inflation Adj.'!$F$9),(E182*I182/1000*'Reporting Year &amp; Inflation Adj.'!$F$9))),"")</f>
        <v/>
      </c>
      <c r="H182" s="805">
        <v>0.48623241506000003</v>
      </c>
      <c r="I182" s="806">
        <v>0.53463620537500001</v>
      </c>
      <c r="J182" s="807">
        <v>8.9394093972699082E-2</v>
      </c>
      <c r="K182" s="68" t="s">
        <v>376</v>
      </c>
      <c r="L182" s="68" t="s">
        <v>3490</v>
      </c>
      <c r="M182" s="69" t="s">
        <v>371</v>
      </c>
      <c r="N182" s="69" t="s">
        <v>377</v>
      </c>
      <c r="O182" s="70">
        <v>0.54143848910000014</v>
      </c>
      <c r="P182" s="70">
        <v>5.4069816643999999E-2</v>
      </c>
      <c r="Q182" s="70">
        <v>0.59556360873000003</v>
      </c>
    </row>
    <row r="183" spans="3:17" ht="71.25">
      <c r="C183" s="321" t="s">
        <v>752</v>
      </c>
      <c r="D183" s="322"/>
      <c r="E183" s="784"/>
      <c r="F183" s="325"/>
      <c r="G183" s="319" t="str">
        <f>IFERROR(IF(E183="","",IF(F183="Direct-from-manufacturer",(E183*H183/1000*'Reporting Year &amp; Inflation Adj.'!$F$9),(E183*I183/1000*'Reporting Year &amp; Inflation Adj.'!$F$9))),"")</f>
        <v/>
      </c>
      <c r="H183" s="805">
        <v>8.797950136499999E-2</v>
      </c>
      <c r="I183" s="806">
        <v>0.12247572413500002</v>
      </c>
      <c r="J183" s="807">
        <v>0.28492633782295451</v>
      </c>
      <c r="K183" s="68">
        <v>334517</v>
      </c>
      <c r="L183" s="68" t="s">
        <v>3491</v>
      </c>
      <c r="M183" s="69" t="s">
        <v>440</v>
      </c>
      <c r="N183" s="69" t="s">
        <v>745</v>
      </c>
      <c r="O183" s="70">
        <v>9.7063799700000009E-2</v>
      </c>
      <c r="P183" s="70">
        <v>3.8608581980000001E-2</v>
      </c>
      <c r="Q183" s="70">
        <v>0.13599313787</v>
      </c>
    </row>
    <row r="184" spans="3:17" ht="156.75">
      <c r="C184" s="321" t="s">
        <v>843</v>
      </c>
      <c r="D184" s="322"/>
      <c r="E184" s="784"/>
      <c r="F184" s="325"/>
      <c r="G184" s="319" t="str">
        <f>IFERROR(IF(E184="","",IF(F184="Direct-from-manufacturer",(E184*H184/1000*'Reporting Year &amp; Inflation Adj.'!$F$9),(E184*I184/1000*'Reporting Year &amp; Inflation Adj.'!$F$9))),"")</f>
        <v/>
      </c>
      <c r="H184" s="805">
        <v>4.8645968315000003E-2</v>
      </c>
      <c r="I184" s="806">
        <v>9.3569343035000002E-2</v>
      </c>
      <c r="J184" s="807">
        <v>0.4800855605366065</v>
      </c>
      <c r="K184" s="68">
        <v>339910</v>
      </c>
      <c r="L184" s="68" t="s">
        <v>3492</v>
      </c>
      <c r="M184" s="69" t="s">
        <v>440</v>
      </c>
      <c r="N184" s="69" t="s">
        <v>845</v>
      </c>
      <c r="O184" s="70">
        <v>5.4989989879999999E-2</v>
      </c>
      <c r="P184" s="70">
        <v>5.3982164269999987E-2</v>
      </c>
      <c r="Q184" s="70">
        <v>0.10896814185999998</v>
      </c>
    </row>
    <row r="185" spans="3:17" ht="42.75">
      <c r="C185" s="321" t="s">
        <v>586</v>
      </c>
      <c r="D185" s="322"/>
      <c r="E185" s="784"/>
      <c r="F185" s="325"/>
      <c r="G185" s="319" t="str">
        <f>IFERROR(IF(E185="","",IF(F185="Direct-from-manufacturer",(E185*H185/1000*'Reporting Year &amp; Inflation Adj.'!$F$9),(E185*I185/1000*'Reporting Year &amp; Inflation Adj.'!$F$9))),"")</f>
        <v/>
      </c>
      <c r="H185" s="805">
        <v>0.37356001502000008</v>
      </c>
      <c r="I185" s="806">
        <v>0.39028817868999999</v>
      </c>
      <c r="J185" s="807">
        <v>4.4667516778280215E-2</v>
      </c>
      <c r="K185" s="68">
        <v>326130</v>
      </c>
      <c r="L185" s="68" t="s">
        <v>3493</v>
      </c>
      <c r="M185" s="69" t="s">
        <v>440</v>
      </c>
      <c r="N185" s="69" t="s">
        <v>584</v>
      </c>
      <c r="O185" s="70">
        <v>0.44277992917000009</v>
      </c>
      <c r="P185" s="70">
        <v>1.9023083191999999E-2</v>
      </c>
      <c r="Q185" s="70">
        <v>0.46204104807000002</v>
      </c>
    </row>
    <row r="186" spans="3:17" ht="128.25">
      <c r="C186" s="321" t="s">
        <v>3314</v>
      </c>
      <c r="D186" s="322"/>
      <c r="E186" s="784"/>
      <c r="F186" s="323" t="s">
        <v>366</v>
      </c>
      <c r="G186" s="319" t="str">
        <f>IFERROR(IF(E186="","",IF(F186="Direct-from-manufacturer",(E186*H186/1000*'Reporting Year &amp; Inflation Adj.'!$F$9),(E186*I186/1000*'Reporting Year &amp; Inflation Adj.'!$F$9))),"")</f>
        <v/>
      </c>
      <c r="H186" s="805">
        <v>0.19878282184500001</v>
      </c>
      <c r="I186" s="806">
        <v>0.19878282184500001</v>
      </c>
      <c r="J186" s="807">
        <v>0</v>
      </c>
      <c r="K186" s="68" t="s">
        <v>3717</v>
      </c>
      <c r="L186" s="68" t="s">
        <v>3494</v>
      </c>
      <c r="M186" s="69" t="s">
        <v>397</v>
      </c>
      <c r="N186" s="69" t="s">
        <v>3722</v>
      </c>
      <c r="O186" s="70">
        <v>0.22261555573000005</v>
      </c>
      <c r="P186" s="70">
        <v>0</v>
      </c>
      <c r="Q186" s="70">
        <v>0.22261555573000005</v>
      </c>
    </row>
    <row r="187" spans="3:17" ht="57">
      <c r="C187" s="321" t="s">
        <v>682</v>
      </c>
      <c r="D187" s="322"/>
      <c r="E187" s="784"/>
      <c r="F187" s="325"/>
      <c r="G187" s="319" t="str">
        <f>IFERROR(IF(E187="","",IF(F187="Direct-from-manufacturer",(E187*H187/1000*'Reporting Year &amp; Inflation Adj.'!$F$9),(E187*I187/1000*'Reporting Year &amp; Inflation Adj.'!$F$9))),"")</f>
        <v/>
      </c>
      <c r="H187" s="805">
        <v>4.5442194774999993E-2</v>
      </c>
      <c r="I187" s="806">
        <v>0.10575653463</v>
      </c>
      <c r="J187" s="807">
        <v>0.57016831140470214</v>
      </c>
      <c r="K187" s="68">
        <v>333112</v>
      </c>
      <c r="L187" s="68" t="s">
        <v>3495</v>
      </c>
      <c r="M187" s="69" t="s">
        <v>440</v>
      </c>
      <c r="N187" s="69" t="s">
        <v>681</v>
      </c>
      <c r="O187" s="70">
        <v>5.1969694279000007E-2</v>
      </c>
      <c r="P187" s="70">
        <v>6.9030405209999993E-2</v>
      </c>
      <c r="Q187" s="70">
        <v>0.12122637351999997</v>
      </c>
    </row>
    <row r="188" spans="3:17" ht="171">
      <c r="C188" s="321" t="s">
        <v>512</v>
      </c>
      <c r="D188" s="322"/>
      <c r="E188" s="784"/>
      <c r="F188" s="325"/>
      <c r="G188" s="319" t="str">
        <f>IFERROR(IF(E188="","",IF(F188="Direct-from-manufacturer",(E188*H188/1000*'Reporting Year &amp; Inflation Adj.'!$F$9),(E188*I188/1000*'Reporting Year &amp; Inflation Adj.'!$F$9))),"")</f>
        <v/>
      </c>
      <c r="H188" s="805">
        <v>0.19587081180000007</v>
      </c>
      <c r="I188" s="806">
        <v>0.24956612236000003</v>
      </c>
      <c r="J188" s="807">
        <v>0.21520679254103867</v>
      </c>
      <c r="K188" s="68">
        <v>316000</v>
      </c>
      <c r="L188" s="68" t="s">
        <v>3496</v>
      </c>
      <c r="M188" s="69" t="s">
        <v>440</v>
      </c>
      <c r="N188" s="69" t="s">
        <v>514</v>
      </c>
      <c r="O188" s="70">
        <v>0.22960933227999991</v>
      </c>
      <c r="P188" s="70">
        <v>6.0481978990000004E-2</v>
      </c>
      <c r="Q188" s="70">
        <v>0.28988555207</v>
      </c>
    </row>
    <row r="189" spans="3:17" ht="42.75">
      <c r="C189" s="321" t="s">
        <v>979</v>
      </c>
      <c r="D189" s="322"/>
      <c r="E189" s="784"/>
      <c r="F189" s="323" t="s">
        <v>366</v>
      </c>
      <c r="G189" s="319" t="str">
        <f>IFERROR(IF(E189="","",IF(F189="Direct-from-manufacturer",(E189*H189/1000*'Reporting Year &amp; Inflation Adj.'!$F$9),(E189*I189/1000*'Reporting Year &amp; Inflation Adj.'!$F$9))),"")</f>
        <v/>
      </c>
      <c r="H189" s="805">
        <v>3.5933747270000004E-2</v>
      </c>
      <c r="I189" s="806">
        <v>3.5933747270000004E-2</v>
      </c>
      <c r="J189" s="807">
        <v>0</v>
      </c>
      <c r="K189" s="68">
        <v>541100</v>
      </c>
      <c r="L189" s="68" t="s">
        <v>3497</v>
      </c>
      <c r="M189" s="69" t="s">
        <v>981</v>
      </c>
      <c r="N189" s="69" t="s">
        <v>982</v>
      </c>
      <c r="O189" s="70">
        <v>4.1889323610000001E-2</v>
      </c>
      <c r="P189" s="70">
        <v>0</v>
      </c>
      <c r="Q189" s="70">
        <v>4.1889323610000001E-2</v>
      </c>
    </row>
    <row r="190" spans="3:17" ht="171">
      <c r="C190" s="321" t="s">
        <v>976</v>
      </c>
      <c r="D190" s="322"/>
      <c r="E190" s="784"/>
      <c r="F190" s="323" t="s">
        <v>366</v>
      </c>
      <c r="G190" s="319" t="str">
        <f>IFERROR(IF(E190="","",IF(F190="Direct-from-manufacturer",(E190*H190/1000*'Reporting Year &amp; Inflation Adj.'!$F$9),(E190*I190/1000*'Reporting Year &amp; Inflation Adj.'!$F$9))),"")</f>
        <v/>
      </c>
      <c r="H190" s="805">
        <v>4.8316169425000006E-2</v>
      </c>
      <c r="I190" s="806">
        <v>4.8316169425000006E-2</v>
      </c>
      <c r="J190" s="807">
        <v>0</v>
      </c>
      <c r="K190" s="68">
        <v>533000</v>
      </c>
      <c r="L190" s="68" t="s">
        <v>3498</v>
      </c>
      <c r="M190" s="69" t="s">
        <v>965</v>
      </c>
      <c r="N190" s="69" t="s">
        <v>978</v>
      </c>
      <c r="O190" s="70">
        <v>5.2892365546000006E-2</v>
      </c>
      <c r="P190" s="70">
        <v>0</v>
      </c>
      <c r="Q190" s="70">
        <v>5.2892365546000006E-2</v>
      </c>
    </row>
    <row r="191" spans="3:17" ht="99.75">
      <c r="C191" s="321" t="s">
        <v>3315</v>
      </c>
      <c r="D191" s="322"/>
      <c r="E191" s="784"/>
      <c r="F191" s="323" t="s">
        <v>366</v>
      </c>
      <c r="G191" s="319" t="str">
        <f>IFERROR(IF(E191="","",IF(F191="Direct-from-manufacturer",(E191*H191/1000*'Reporting Year &amp; Inflation Adj.'!$F$9),(E191*I191/1000*'Reporting Year &amp; Inflation Adj.'!$F$9))),"")</f>
        <v/>
      </c>
      <c r="H191" s="805">
        <v>2.6784849434500001E-2</v>
      </c>
      <c r="I191" s="806">
        <v>2.6784849434500001E-2</v>
      </c>
      <c r="J191" s="807">
        <v>0</v>
      </c>
      <c r="K191" s="68" t="s">
        <v>964</v>
      </c>
      <c r="L191" s="68" t="s">
        <v>3499</v>
      </c>
      <c r="M191" s="69" t="s">
        <v>965</v>
      </c>
      <c r="N191" s="69" t="s">
        <v>3723</v>
      </c>
      <c r="O191" s="70">
        <v>3.3525773584999995E-2</v>
      </c>
      <c r="P191" s="70">
        <v>0</v>
      </c>
      <c r="Q191" s="70">
        <v>3.3525773584999995E-2</v>
      </c>
    </row>
    <row r="192" spans="3:17" ht="114">
      <c r="C192" s="321" t="s">
        <v>643</v>
      </c>
      <c r="D192" s="322"/>
      <c r="E192" s="784"/>
      <c r="F192" s="325"/>
      <c r="G192" s="319" t="str">
        <f>IFERROR(IF(E192="","",IF(F192="Direct-from-manufacturer",(E192*H192/1000*'Reporting Year &amp; Inflation Adj.'!$F$9),(E192*I192/1000*'Reporting Year &amp; Inflation Adj.'!$F$9))),"")</f>
        <v/>
      </c>
      <c r="H192" s="805">
        <v>0.26717776914000002</v>
      </c>
      <c r="I192" s="806">
        <v>0.29221426625499997</v>
      </c>
      <c r="J192" s="807">
        <v>8.5729940622196965E-2</v>
      </c>
      <c r="K192" s="68">
        <v>332119</v>
      </c>
      <c r="L192" s="68" t="s">
        <v>3500</v>
      </c>
      <c r="M192" s="69" t="s">
        <v>440</v>
      </c>
      <c r="N192" s="69" t="s">
        <v>640</v>
      </c>
      <c r="O192" s="70">
        <v>0.29404339915000005</v>
      </c>
      <c r="P192" s="70">
        <v>2.6377178970000005E-2</v>
      </c>
      <c r="Q192" s="70">
        <v>0.32064563653</v>
      </c>
    </row>
    <row r="193" spans="3:17" ht="42.75">
      <c r="C193" s="321" t="s">
        <v>758</v>
      </c>
      <c r="D193" s="322"/>
      <c r="E193" s="784"/>
      <c r="F193" s="325"/>
      <c r="G193" s="319" t="str">
        <f>IFERROR(IF(E193="","",IF(F193="Direct-from-manufacturer",(E193*H193/1000*'Reporting Year &amp; Inflation Adj.'!$F$9),(E193*I193/1000*'Reporting Year &amp; Inflation Adj.'!$F$9))),"")</f>
        <v/>
      </c>
      <c r="H193" s="805">
        <v>8.3538911415000014E-2</v>
      </c>
      <c r="I193" s="806">
        <v>0.14570747029499997</v>
      </c>
      <c r="J193" s="807">
        <v>0.42812371193943266</v>
      </c>
      <c r="K193" s="68">
        <v>335110</v>
      </c>
      <c r="L193" s="68" t="s">
        <v>3501</v>
      </c>
      <c r="M193" s="69" t="s">
        <v>440</v>
      </c>
      <c r="N193" s="69" t="s">
        <v>760</v>
      </c>
      <c r="O193" s="70">
        <v>9.9619945400000021E-2</v>
      </c>
      <c r="P193" s="70">
        <v>7.4918326369999996E-2</v>
      </c>
      <c r="Q193" s="70">
        <v>0.17483735181999999</v>
      </c>
    </row>
    <row r="194" spans="3:17" ht="42.75">
      <c r="C194" s="321" t="s">
        <v>761</v>
      </c>
      <c r="D194" s="322"/>
      <c r="E194" s="784"/>
      <c r="F194" s="325"/>
      <c r="G194" s="319" t="str">
        <f>IFERROR(IF(E194="","",IF(F194="Direct-from-manufacturer",(E194*H194/1000*'Reporting Year &amp; Inflation Adj.'!$F$9),(E194*I194/1000*'Reporting Year &amp; Inflation Adj.'!$F$9))),"")</f>
        <v/>
      </c>
      <c r="H194" s="805">
        <v>0.12144595032499998</v>
      </c>
      <c r="I194" s="806">
        <v>0.16551800824499996</v>
      </c>
      <c r="J194" s="807">
        <v>0.26698414781906316</v>
      </c>
      <c r="K194" s="68">
        <v>335120</v>
      </c>
      <c r="L194" s="68" t="s">
        <v>3502</v>
      </c>
      <c r="M194" s="69" t="s">
        <v>440</v>
      </c>
      <c r="N194" s="69" t="s">
        <v>760</v>
      </c>
      <c r="O194" s="70">
        <v>0.13818442533000003</v>
      </c>
      <c r="P194" s="70">
        <v>4.774318327999999E-2</v>
      </c>
      <c r="Q194" s="70">
        <v>0.18642977860999999</v>
      </c>
    </row>
    <row r="195" spans="3:17" ht="57">
      <c r="C195" s="321" t="s">
        <v>655</v>
      </c>
      <c r="D195" s="322"/>
      <c r="E195" s="784"/>
      <c r="F195" s="325"/>
      <c r="G195" s="319" t="str">
        <f>IFERROR(IF(E195="","",IF(F195="Direct-from-manufacturer",(E195*H195/1000*'Reporting Year &amp; Inflation Adj.'!$F$9),(E195*I195/1000*'Reporting Year &amp; Inflation Adj.'!$F$9))),"")</f>
        <v/>
      </c>
      <c r="H195" s="805">
        <v>0.30365725708000002</v>
      </c>
      <c r="I195" s="806">
        <v>0.32112661749499999</v>
      </c>
      <c r="J195" s="807">
        <v>5.3797857461220865E-2</v>
      </c>
      <c r="K195" s="68">
        <v>332430</v>
      </c>
      <c r="L195" s="68" t="s">
        <v>3503</v>
      </c>
      <c r="M195" s="69" t="s">
        <v>440</v>
      </c>
      <c r="N195" s="69" t="s">
        <v>653</v>
      </c>
      <c r="O195" s="70">
        <v>0.30446170125000005</v>
      </c>
      <c r="P195" s="70">
        <v>1.6628336758999995E-2</v>
      </c>
      <c r="Q195" s="70">
        <v>0.3210771509</v>
      </c>
    </row>
    <row r="196" spans="3:17" ht="42.75">
      <c r="C196" s="321" t="s">
        <v>608</v>
      </c>
      <c r="D196" s="322"/>
      <c r="E196" s="784"/>
      <c r="F196" s="325"/>
      <c r="G196" s="319" t="str">
        <f>IFERROR(IF(E196="","",IF(F196="Direct-from-manufacturer",(E196*H196/1000*'Reporting Year &amp; Inflation Adj.'!$F$9),(E196*I196/1000*'Reporting Year &amp; Inflation Adj.'!$F$9))),"")</f>
        <v/>
      </c>
      <c r="H196" s="805">
        <v>1.1301121352450003</v>
      </c>
      <c r="I196" s="806">
        <v>1.1869002558399999</v>
      </c>
      <c r="J196" s="807">
        <v>4.6118154196757473E-2</v>
      </c>
      <c r="K196" s="68">
        <v>327400</v>
      </c>
      <c r="L196" s="68" t="s">
        <v>3504</v>
      </c>
      <c r="M196" s="69" t="s">
        <v>440</v>
      </c>
      <c r="N196" s="69" t="s">
        <v>610</v>
      </c>
      <c r="O196" s="70">
        <v>1.5648657424599999</v>
      </c>
      <c r="P196" s="70">
        <v>6.3704883390000022E-2</v>
      </c>
      <c r="Q196" s="70">
        <v>1.6238222908600002</v>
      </c>
    </row>
    <row r="197" spans="3:17" ht="57">
      <c r="C197" s="321" t="s">
        <v>1095</v>
      </c>
      <c r="D197" s="322"/>
      <c r="E197" s="784"/>
      <c r="F197" s="323" t="s">
        <v>366</v>
      </c>
      <c r="G197" s="319" t="str">
        <f>IFERROR(IF(E197="","",IF(F197="Direct-from-manufacturer",(E197*H197/1000*'Reporting Year &amp; Inflation Adj.'!$F$9),(E197*I197/1000*'Reporting Year &amp; Inflation Adj.'!$F$9))),"")</f>
        <v/>
      </c>
      <c r="H197" s="805">
        <v>0.21761545506999999</v>
      </c>
      <c r="I197" s="806">
        <v>0.21761545506999999</v>
      </c>
      <c r="J197" s="807">
        <v>0</v>
      </c>
      <c r="K197" s="68">
        <v>722211</v>
      </c>
      <c r="L197" s="68" t="s">
        <v>3505</v>
      </c>
      <c r="M197" s="69" t="s">
        <v>1088</v>
      </c>
      <c r="N197" s="69" t="s">
        <v>1094</v>
      </c>
      <c r="O197" s="70">
        <v>0.25901789117000001</v>
      </c>
      <c r="P197" s="70">
        <v>0</v>
      </c>
      <c r="Q197" s="70">
        <v>0.25901789117000001</v>
      </c>
    </row>
    <row r="198" spans="3:17" ht="71.25">
      <c r="C198" s="321" t="s">
        <v>515</v>
      </c>
      <c r="D198" s="322"/>
      <c r="E198" s="784"/>
      <c r="F198" s="325"/>
      <c r="G198" s="319" t="str">
        <f>IFERROR(IF(E198="","",IF(F198="Direct-from-manufacturer",(E198*H198/1000*'Reporting Year &amp; Inflation Adj.'!$F$9),(E198*I198/1000*'Reporting Year &amp; Inflation Adj.'!$F$9))),"")</f>
        <v/>
      </c>
      <c r="H198" s="805">
        <v>0.25826116233999996</v>
      </c>
      <c r="I198" s="806">
        <v>0.30456027269999997</v>
      </c>
      <c r="J198" s="807">
        <v>0.15206480030840874</v>
      </c>
      <c r="K198" s="68">
        <v>321100</v>
      </c>
      <c r="L198" s="68" t="s">
        <v>3506</v>
      </c>
      <c r="M198" s="69" t="s">
        <v>440</v>
      </c>
      <c r="N198" s="69" t="s">
        <v>517</v>
      </c>
      <c r="O198" s="70">
        <v>0.22934040504999997</v>
      </c>
      <c r="P198" s="70">
        <v>3.7349531500000005E-2</v>
      </c>
      <c r="Q198" s="70">
        <v>0.26688500294999995</v>
      </c>
    </row>
    <row r="199" spans="3:17" ht="71.25">
      <c r="C199" s="321" t="s">
        <v>662</v>
      </c>
      <c r="D199" s="322"/>
      <c r="E199" s="784"/>
      <c r="F199" s="325"/>
      <c r="G199" s="319" t="str">
        <f>IFERROR(IF(E199="","",IF(F199="Direct-from-manufacturer",(E199*H199/1000*'Reporting Year &amp; Inflation Adj.'!$F$9),(E199*I199/1000*'Reporting Year &amp; Inflation Adj.'!$F$9))),"")</f>
        <v/>
      </c>
      <c r="H199" s="805">
        <v>0.239481297195</v>
      </c>
      <c r="I199" s="806">
        <v>0.25625921738000002</v>
      </c>
      <c r="J199" s="807">
        <v>6.2293342624739727E-2</v>
      </c>
      <c r="K199" s="68">
        <v>332710</v>
      </c>
      <c r="L199" s="68" t="s">
        <v>3507</v>
      </c>
      <c r="M199" s="69" t="s">
        <v>440</v>
      </c>
      <c r="N199" s="69" t="s">
        <v>664</v>
      </c>
      <c r="O199" s="70">
        <v>0.26290904342000004</v>
      </c>
      <c r="P199" s="70">
        <v>1.5984254212499997E-2</v>
      </c>
      <c r="Q199" s="70">
        <v>0.27897979502999992</v>
      </c>
    </row>
    <row r="200" spans="3:17" ht="99.75">
      <c r="C200" s="321" t="s">
        <v>685</v>
      </c>
      <c r="D200" s="322"/>
      <c r="E200" s="784"/>
      <c r="F200" s="325"/>
      <c r="G200" s="319" t="str">
        <f>IFERROR(IF(E200="","",IF(F200="Direct-from-manufacturer",(E200*H200/1000*'Reporting Year &amp; Inflation Adj.'!$F$9),(E200*I200/1000*'Reporting Year &amp; Inflation Adj.'!$F$9))),"")</f>
        <v/>
      </c>
      <c r="H200" s="805">
        <v>0.148825685565</v>
      </c>
      <c r="I200" s="806">
        <v>0.16545073474999999</v>
      </c>
      <c r="J200" s="807">
        <v>0.10366740365896139</v>
      </c>
      <c r="K200" s="68" t="s">
        <v>686</v>
      </c>
      <c r="L200" s="68" t="s">
        <v>3508</v>
      </c>
      <c r="M200" s="69" t="s">
        <v>440</v>
      </c>
      <c r="N200" s="69" t="s">
        <v>687</v>
      </c>
      <c r="O200" s="70">
        <v>0.16699157810000001</v>
      </c>
      <c r="P200" s="70">
        <v>1.9184227981000002E-2</v>
      </c>
      <c r="Q200" s="70">
        <v>0.18618044695000002</v>
      </c>
    </row>
    <row r="201" spans="3:17" ht="57">
      <c r="C201" s="321" t="s">
        <v>863</v>
      </c>
      <c r="D201" s="322"/>
      <c r="E201" s="784"/>
      <c r="F201" s="323" t="s">
        <v>366</v>
      </c>
      <c r="G201" s="319" t="str">
        <f>IFERROR(IF(E201="","",IF(F201="Direct-from-manufacturer",(E201*H201/1000*'Reporting Year &amp; Inflation Adj.'!$F$9),(E201*I201/1000*'Reporting Year &amp; Inflation Adj.'!$F$9))),"")</f>
        <v/>
      </c>
      <c r="H201" s="805">
        <v>0.10062789408000002</v>
      </c>
      <c r="I201" s="806">
        <v>0.10062789408000002</v>
      </c>
      <c r="J201" s="807">
        <v>0</v>
      </c>
      <c r="K201" s="68">
        <v>423800</v>
      </c>
      <c r="L201" s="68" t="s">
        <v>3509</v>
      </c>
      <c r="M201" s="69" t="s">
        <v>853</v>
      </c>
      <c r="N201" s="69" t="s">
        <v>865</v>
      </c>
      <c r="O201" s="70">
        <v>0.11616171309000001</v>
      </c>
      <c r="P201" s="70">
        <v>0</v>
      </c>
      <c r="Q201" s="70">
        <v>0.11616171309000001</v>
      </c>
    </row>
    <row r="202" spans="3:17" ht="71.25">
      <c r="C202" s="321" t="s">
        <v>906</v>
      </c>
      <c r="D202" s="322"/>
      <c r="E202" s="784"/>
      <c r="F202" s="325"/>
      <c r="G202" s="319" t="str">
        <f>IFERROR(IF(E202="","",IF(F202="Direct-from-manufacturer",(E202*H202/1000*'Reporting Year &amp; Inflation Adj.'!$F$9),(E202*I202/1000*'Reporting Year &amp; Inflation Adj.'!$F$9))),"")</f>
        <v/>
      </c>
      <c r="H202" s="805">
        <v>5.8711732764999996E-2</v>
      </c>
      <c r="I202" s="806">
        <v>0.10221566179000001</v>
      </c>
      <c r="J202" s="807">
        <v>0.42571200829672784</v>
      </c>
      <c r="K202" s="68">
        <v>511120</v>
      </c>
      <c r="L202" s="68" t="s">
        <v>3510</v>
      </c>
      <c r="M202" s="69" t="s">
        <v>904</v>
      </c>
      <c r="N202" s="69" t="s">
        <v>905</v>
      </c>
      <c r="O202" s="70">
        <v>5.9924941680000003E-2</v>
      </c>
      <c r="P202" s="70">
        <v>4.3694051579999997E-2</v>
      </c>
      <c r="Q202" s="70">
        <v>0.10364235376000001</v>
      </c>
    </row>
    <row r="203" spans="3:17" ht="85.5">
      <c r="C203" s="321" t="s">
        <v>4267</v>
      </c>
      <c r="D203" s="322"/>
      <c r="E203" s="784"/>
      <c r="F203" s="325"/>
      <c r="G203" s="319" t="str">
        <f>IFERROR(IF(E203="","",IF(F203="Direct-from-manufacturer",(E203*H203/1000*'Reporting Year &amp; Inflation Adj.'!$F$9),(E203*I203/1000*'Reporting Year &amp; Inflation Adj.'!$F$9))),"")</f>
        <v/>
      </c>
      <c r="H203" s="805">
        <v>0.1269146635</v>
      </c>
      <c r="I203" s="806">
        <v>0.15909099899999998</v>
      </c>
      <c r="J203" s="807">
        <v>0.19910927003481829</v>
      </c>
      <c r="K203" s="68">
        <v>335220</v>
      </c>
      <c r="L203" s="68" t="s">
        <v>3511</v>
      </c>
      <c r="M203" s="69" t="s">
        <v>440</v>
      </c>
      <c r="N203" s="69" t="s">
        <v>764</v>
      </c>
      <c r="O203" s="70">
        <v>0.13805835342000003</v>
      </c>
      <c r="P203" s="70">
        <v>3.4537123150000001E-2</v>
      </c>
      <c r="Q203" s="70">
        <v>0.17280543186999997</v>
      </c>
    </row>
    <row r="204" spans="3:17" ht="57">
      <c r="C204" s="321" t="s">
        <v>997</v>
      </c>
      <c r="D204" s="322"/>
      <c r="E204" s="784"/>
      <c r="F204" s="323" t="s">
        <v>366</v>
      </c>
      <c r="G204" s="319" t="str">
        <f>IFERROR(IF(E204="","",IF(F204="Direct-from-manufacturer",(E204*H204/1000*'Reporting Year &amp; Inflation Adj.'!$F$9),(E204*I204/1000*'Reporting Year &amp; Inflation Adj.'!$F$9))),"")</f>
        <v/>
      </c>
      <c r="H204" s="805">
        <v>7.3199015529999995E-2</v>
      </c>
      <c r="I204" s="806">
        <v>7.3199015529999995E-2</v>
      </c>
      <c r="J204" s="807">
        <v>0</v>
      </c>
      <c r="K204" s="68">
        <v>541610</v>
      </c>
      <c r="L204" s="68" t="s">
        <v>3512</v>
      </c>
      <c r="M204" s="69" t="s">
        <v>981</v>
      </c>
      <c r="N204" s="69" t="s">
        <v>1649</v>
      </c>
      <c r="O204" s="70">
        <v>7.845638363900001E-2</v>
      </c>
      <c r="P204" s="70">
        <v>0</v>
      </c>
      <c r="Q204" s="70">
        <v>7.845638363900001E-2</v>
      </c>
    </row>
    <row r="205" spans="3:17" ht="71.25">
      <c r="C205" s="321" t="s">
        <v>1000</v>
      </c>
      <c r="D205" s="322"/>
      <c r="E205" s="784"/>
      <c r="F205" s="323" t="s">
        <v>366</v>
      </c>
      <c r="G205" s="319" t="str">
        <f>IFERROR(IF(E205="","",IF(F205="Direct-from-manufacturer",(E205*H205/1000*'Reporting Year &amp; Inflation Adj.'!$F$9),(E205*I205/1000*'Reporting Year &amp; Inflation Adj.'!$F$9))),"")</f>
        <v/>
      </c>
      <c r="H205" s="805">
        <v>7.0180701964999995E-2</v>
      </c>
      <c r="I205" s="806">
        <v>7.0180701964999995E-2</v>
      </c>
      <c r="J205" s="807">
        <v>0</v>
      </c>
      <c r="K205" s="68" t="s">
        <v>3718</v>
      </c>
      <c r="L205" s="68" t="s">
        <v>3513</v>
      </c>
      <c r="M205" s="69" t="s">
        <v>981</v>
      </c>
      <c r="N205" s="69" t="s">
        <v>1652</v>
      </c>
      <c r="O205" s="70">
        <v>8.1123827140000007E-2</v>
      </c>
      <c r="P205" s="70">
        <v>0</v>
      </c>
      <c r="Q205" s="70">
        <v>8.1123827140000007E-2</v>
      </c>
    </row>
    <row r="206" spans="3:17" ht="57">
      <c r="C206" s="321" t="s">
        <v>716</v>
      </c>
      <c r="D206" s="322"/>
      <c r="E206" s="784"/>
      <c r="F206" s="325"/>
      <c r="G206" s="319" t="str">
        <f>IFERROR(IF(E206="","",IF(F206="Direct-from-manufacturer",(E206*H206/1000*'Reporting Year &amp; Inflation Adj.'!$F$9),(E206*I206/1000*'Reporting Year &amp; Inflation Adj.'!$F$9))),"")</f>
        <v/>
      </c>
      <c r="H206" s="805">
        <v>0.19902551700000001</v>
      </c>
      <c r="I206" s="806">
        <v>0.21803613956500001</v>
      </c>
      <c r="J206" s="807">
        <v>8.903612359277098E-2</v>
      </c>
      <c r="K206" s="68">
        <v>333920</v>
      </c>
      <c r="L206" s="68" t="s">
        <v>3514</v>
      </c>
      <c r="M206" s="69" t="s">
        <v>440</v>
      </c>
      <c r="N206" s="69" t="s">
        <v>715</v>
      </c>
      <c r="O206" s="70">
        <v>0.23506925406000001</v>
      </c>
      <c r="P206" s="70">
        <v>2.1880161209999999E-2</v>
      </c>
      <c r="Q206" s="70">
        <v>0.25672919133</v>
      </c>
    </row>
    <row r="207" spans="3:17" ht="42.75">
      <c r="C207" s="321" t="s">
        <v>833</v>
      </c>
      <c r="D207" s="322"/>
      <c r="E207" s="784"/>
      <c r="F207" s="325"/>
      <c r="G207" s="319" t="str">
        <f>IFERROR(IF(E207="","",IF(F207="Direct-from-manufacturer",(E207*H207/1000*'Reporting Year &amp; Inflation Adj.'!$F$9),(E207*I207/1000*'Reporting Year &amp; Inflation Adj.'!$F$9))),"")</f>
        <v/>
      </c>
      <c r="H207" s="805">
        <v>0.10098023998</v>
      </c>
      <c r="I207" s="806">
        <v>0.15884243544999999</v>
      </c>
      <c r="J207" s="807">
        <v>0.36628243378523451</v>
      </c>
      <c r="K207" s="68">
        <v>337900</v>
      </c>
      <c r="L207" s="68" t="s">
        <v>3515</v>
      </c>
      <c r="M207" s="69" t="s">
        <v>440</v>
      </c>
      <c r="N207" s="69" t="s">
        <v>835</v>
      </c>
      <c r="O207" s="70">
        <v>0.11213536111999997</v>
      </c>
      <c r="P207" s="70">
        <v>6.3218875420000001E-2</v>
      </c>
      <c r="Q207" s="70">
        <v>0.17517077397999997</v>
      </c>
    </row>
    <row r="208" spans="3:17" ht="114">
      <c r="C208" s="321" t="s">
        <v>4268</v>
      </c>
      <c r="D208" s="322"/>
      <c r="E208" s="784"/>
      <c r="F208" s="323" t="s">
        <v>366</v>
      </c>
      <c r="G208" s="319" t="str">
        <f>IFERROR(IF(E208="","",IF(F208="Direct-from-manufacturer",(E208*H208/1000*'Reporting Year &amp; Inflation Adj.'!$F$9),(E208*I208/1000*'Reporting Year &amp; Inflation Adj.'!$F$9))),"")</f>
        <v/>
      </c>
      <c r="H208" s="805">
        <v>0.145700638725</v>
      </c>
      <c r="I208" s="806">
        <v>0.16581118433499997</v>
      </c>
      <c r="J208" s="807">
        <v>0.12064055721105894</v>
      </c>
      <c r="K208" s="68">
        <v>333914</v>
      </c>
      <c r="L208" s="68" t="s">
        <v>3516</v>
      </c>
      <c r="M208" s="69" t="s">
        <v>440</v>
      </c>
      <c r="N208" s="69" t="s">
        <v>715</v>
      </c>
      <c r="O208" s="70">
        <v>0.22464535885999998</v>
      </c>
      <c r="P208" s="70">
        <v>0</v>
      </c>
      <c r="Q208" s="70">
        <v>0.22464535885999998</v>
      </c>
    </row>
    <row r="209" spans="3:17" ht="71.25">
      <c r="C209" s="321" t="s">
        <v>711</v>
      </c>
      <c r="D209" s="322"/>
      <c r="E209" s="784"/>
      <c r="F209" s="325"/>
      <c r="G209" s="319" t="str">
        <f>IFERROR(IF(E209="","",IF(F209="Direct-from-manufacturer",(E209*H209/1000*'Reporting Year &amp; Inflation Adj.'!$F$9),(E209*I209/1000*'Reporting Year &amp; Inflation Adj.'!$F$9))),"")</f>
        <v/>
      </c>
      <c r="H209" s="805">
        <v>0.15171620014499998</v>
      </c>
      <c r="I209" s="806">
        <v>0.17078110394500004</v>
      </c>
      <c r="J209" s="807">
        <v>0.11090014540542785</v>
      </c>
      <c r="K209" s="68">
        <v>333613</v>
      </c>
      <c r="L209" s="68" t="s">
        <v>3517</v>
      </c>
      <c r="M209" s="69" t="s">
        <v>440</v>
      </c>
      <c r="N209" s="69" t="s">
        <v>709</v>
      </c>
      <c r="O209" s="70">
        <v>0.18769892819999998</v>
      </c>
      <c r="P209" s="70">
        <v>2.211478955E-2</v>
      </c>
      <c r="Q209" s="70">
        <v>0.20954683108000002</v>
      </c>
    </row>
    <row r="210" spans="3:17" ht="57">
      <c r="C210" s="321" t="s">
        <v>1049</v>
      </c>
      <c r="D210" s="322"/>
      <c r="E210" s="784"/>
      <c r="F210" s="323" t="s">
        <v>366</v>
      </c>
      <c r="G210" s="319" t="str">
        <f>IFERROR(IF(E210="","",IF(F210="Direct-from-manufacturer",(E210*H210/1000*'Reporting Year &amp; Inflation Adj.'!$F$9),(E210*I210/1000*'Reporting Year &amp; Inflation Adj.'!$F$9))),"")</f>
        <v/>
      </c>
      <c r="H210" s="805">
        <v>8.8611413385000004E-2</v>
      </c>
      <c r="I210" s="806">
        <v>8.8611413385000004E-2</v>
      </c>
      <c r="J210" s="807">
        <v>0</v>
      </c>
      <c r="K210" s="68">
        <v>621500</v>
      </c>
      <c r="L210" s="68" t="s">
        <v>3518</v>
      </c>
      <c r="M210" s="69" t="s">
        <v>1038</v>
      </c>
      <c r="N210" s="69" t="s">
        <v>1050</v>
      </c>
      <c r="O210" s="70">
        <v>9.3210193869999999E-2</v>
      </c>
      <c r="P210" s="70">
        <v>0</v>
      </c>
      <c r="Q210" s="70">
        <v>9.3210193869999999E-2</v>
      </c>
    </row>
    <row r="211" spans="3:17" ht="57">
      <c r="C211" s="321" t="s">
        <v>563</v>
      </c>
      <c r="D211" s="322"/>
      <c r="E211" s="784"/>
      <c r="F211" s="325"/>
      <c r="G211" s="319" t="str">
        <f>IFERROR(IF(E211="","",IF(F211="Direct-from-manufacturer",(E211*H211/1000*'Reporting Year &amp; Inflation Adj.'!$F$9),(E211*I211/1000*'Reporting Year &amp; Inflation Adj.'!$F$9))),"")</f>
        <v/>
      </c>
      <c r="H211" s="805">
        <v>0.13868467519999997</v>
      </c>
      <c r="I211" s="806">
        <v>0.17272508098999997</v>
      </c>
      <c r="J211" s="807">
        <v>0.19937885735884411</v>
      </c>
      <c r="K211" s="68">
        <v>325411</v>
      </c>
      <c r="L211" s="68" t="s">
        <v>3519</v>
      </c>
      <c r="M211" s="69" t="s">
        <v>440</v>
      </c>
      <c r="N211" s="69" t="s">
        <v>565</v>
      </c>
      <c r="O211" s="70">
        <v>0.15216258832999996</v>
      </c>
      <c r="P211" s="70">
        <v>3.783716116E-2</v>
      </c>
      <c r="Q211" s="70">
        <v>0.19012767231</v>
      </c>
    </row>
    <row r="212" spans="3:17" ht="142.5">
      <c r="C212" s="321" t="s">
        <v>666</v>
      </c>
      <c r="D212" s="322"/>
      <c r="E212" s="784"/>
      <c r="F212" s="325"/>
      <c r="G212" s="319" t="str">
        <f>IFERROR(IF(E212="","",IF(F212="Direct-from-manufacturer",(E212*H212/1000*'Reporting Year &amp; Inflation Adj.'!$F$9),(E212*I212/1000*'Reporting Year &amp; Inflation Adj.'!$F$9))),"")</f>
        <v/>
      </c>
      <c r="H212" s="805">
        <v>0.32779011209999998</v>
      </c>
      <c r="I212" s="806">
        <v>0.341383834035</v>
      </c>
      <c r="J212" s="807">
        <v>4.2143192937557167E-2</v>
      </c>
      <c r="K212" s="68">
        <v>332800</v>
      </c>
      <c r="L212" s="68" t="s">
        <v>3520</v>
      </c>
      <c r="M212" s="69" t="s">
        <v>440</v>
      </c>
      <c r="N212" s="69" t="s">
        <v>668</v>
      </c>
      <c r="O212" s="70">
        <v>0.36949350787999996</v>
      </c>
      <c r="P212" s="70">
        <v>1.5065600589399999E-2</v>
      </c>
      <c r="Q212" s="70">
        <v>0.38448567083999996</v>
      </c>
    </row>
    <row r="213" spans="3:17" ht="57">
      <c r="C213" s="321" t="s">
        <v>706</v>
      </c>
      <c r="D213" s="322"/>
      <c r="E213" s="784"/>
      <c r="F213" s="325"/>
      <c r="G213" s="319" t="str">
        <f>IFERROR(IF(E213="","",IF(F213="Direct-from-manufacturer",(E213*H213/1000*'Reporting Year &amp; Inflation Adj.'!$F$9),(E213*I213/1000*'Reporting Year &amp; Inflation Adj.'!$F$9))),"")</f>
        <v/>
      </c>
      <c r="H213" s="805">
        <v>0.15757936383999999</v>
      </c>
      <c r="I213" s="806">
        <v>0.178879735895</v>
      </c>
      <c r="J213" s="807">
        <v>0.11970622646474138</v>
      </c>
      <c r="K213" s="68">
        <v>333517</v>
      </c>
      <c r="L213" s="68" t="s">
        <v>3521</v>
      </c>
      <c r="M213" s="69" t="s">
        <v>440</v>
      </c>
      <c r="N213" s="69" t="s">
        <v>702</v>
      </c>
      <c r="O213" s="70">
        <v>0.17665353891000002</v>
      </c>
      <c r="P213" s="70">
        <v>2.3260007570000001E-2</v>
      </c>
      <c r="Q213" s="70">
        <v>0.20048473758999999</v>
      </c>
    </row>
    <row r="214" spans="3:17" ht="30">
      <c r="C214" s="321" t="s">
        <v>656</v>
      </c>
      <c r="D214" s="322"/>
      <c r="E214" s="784"/>
      <c r="F214" s="325"/>
      <c r="G214" s="319" t="str">
        <f>IFERROR(IF(E214="","",IF(F214="Direct-from-manufacturer",(E214*H214/1000*'Reporting Year &amp; Inflation Adj.'!$F$9),(E214*I214/1000*'Reporting Year &amp; Inflation Adj.'!$F$9))),"")</f>
        <v/>
      </c>
      <c r="H214" s="805">
        <v>0.14821991852000005</v>
      </c>
      <c r="I214" s="806">
        <v>0.17948298181000003</v>
      </c>
      <c r="J214" s="807">
        <v>0.17752684498929316</v>
      </c>
      <c r="K214" s="68">
        <v>332500</v>
      </c>
      <c r="L214" s="68" t="s">
        <v>3522</v>
      </c>
      <c r="M214" s="69" t="s">
        <v>440</v>
      </c>
      <c r="N214" s="69" t="s">
        <v>658</v>
      </c>
      <c r="O214" s="70">
        <v>0.15773793158999996</v>
      </c>
      <c r="P214" s="70">
        <v>3.3986597080000007E-2</v>
      </c>
      <c r="Q214" s="70">
        <v>0.19153918420999999</v>
      </c>
    </row>
    <row r="215" spans="3:17" ht="57">
      <c r="C215" s="321" t="s">
        <v>672</v>
      </c>
      <c r="D215" s="322"/>
      <c r="E215" s="784"/>
      <c r="F215" s="325"/>
      <c r="G215" s="319" t="str">
        <f>IFERROR(IF(E215="","",IF(F215="Direct-from-manufacturer",(E215*H215/1000*'Reporting Year &amp; Inflation Adj.'!$F$9),(E215*I215/1000*'Reporting Year &amp; Inflation Adj.'!$F$9))),"")</f>
        <v/>
      </c>
      <c r="H215" s="805">
        <v>0.116810439445</v>
      </c>
      <c r="I215" s="806">
        <v>0.15741745796499998</v>
      </c>
      <c r="J215" s="807">
        <v>0.25982077114403496</v>
      </c>
      <c r="K215" s="68">
        <v>332913</v>
      </c>
      <c r="L215" s="68" t="s">
        <v>3523</v>
      </c>
      <c r="M215" s="69" t="s">
        <v>440</v>
      </c>
      <c r="N215" s="69" t="s">
        <v>671</v>
      </c>
      <c r="O215" s="70">
        <v>0.12694159949999997</v>
      </c>
      <c r="P215" s="70">
        <v>4.5281268800000003E-2</v>
      </c>
      <c r="Q215" s="70">
        <v>0.17242699350000004</v>
      </c>
    </row>
    <row r="216" spans="3:17" ht="42.75">
      <c r="C216" s="321" t="s">
        <v>647</v>
      </c>
      <c r="D216" s="322"/>
      <c r="E216" s="784"/>
      <c r="F216" s="325"/>
      <c r="G216" s="319" t="str">
        <f>IFERROR(IF(E216="","",IF(F216="Direct-from-manufacturer",(E216*H216/1000*'Reporting Year &amp; Inflation Adj.'!$F$9),(E216*I216/1000*'Reporting Year &amp; Inflation Adj.'!$F$9))),"")</f>
        <v/>
      </c>
      <c r="H216" s="805">
        <v>0.234686801295</v>
      </c>
      <c r="I216" s="806">
        <v>0.25128445093000001</v>
      </c>
      <c r="J216" s="807">
        <v>6.755521613921453E-2</v>
      </c>
      <c r="K216" s="68">
        <v>332310</v>
      </c>
      <c r="L216" s="68" t="s">
        <v>3524</v>
      </c>
      <c r="M216" s="69" t="s">
        <v>440</v>
      </c>
      <c r="N216" s="69" t="s">
        <v>649</v>
      </c>
      <c r="O216" s="70">
        <v>0.24614917736999997</v>
      </c>
      <c r="P216" s="70">
        <v>1.6864152746999997E-2</v>
      </c>
      <c r="Q216" s="70">
        <v>0.26390643343000003</v>
      </c>
    </row>
    <row r="217" spans="3:17" ht="57">
      <c r="C217" s="321" t="s">
        <v>650</v>
      </c>
      <c r="D217" s="322"/>
      <c r="E217" s="784"/>
      <c r="F217" s="325"/>
      <c r="G217" s="319" t="str">
        <f>IFERROR(IF(E217="","",IF(F217="Direct-from-manufacturer",(E217*H217/1000*'Reporting Year &amp; Inflation Adj.'!$F$9),(E217*I217/1000*'Reporting Year &amp; Inflation Adj.'!$F$9))),"")</f>
        <v/>
      </c>
      <c r="H217" s="805">
        <v>0.17751361817500003</v>
      </c>
      <c r="I217" s="806">
        <v>0.20217152897500001</v>
      </c>
      <c r="J217" s="807">
        <v>0.12047551951794304</v>
      </c>
      <c r="K217" s="68">
        <v>332320</v>
      </c>
      <c r="L217" s="68" t="s">
        <v>3525</v>
      </c>
      <c r="M217" s="69" t="s">
        <v>440</v>
      </c>
      <c r="N217" s="69" t="s">
        <v>649</v>
      </c>
      <c r="O217" s="70">
        <v>0.19616578158000009</v>
      </c>
      <c r="P217" s="70">
        <v>2.6084086909999998E-2</v>
      </c>
      <c r="Q217" s="70">
        <v>0.22224129030000003</v>
      </c>
    </row>
    <row r="218" spans="3:17" ht="57">
      <c r="C218" s="321" t="s">
        <v>818</v>
      </c>
      <c r="D218" s="322"/>
      <c r="E218" s="784"/>
      <c r="F218" s="325"/>
      <c r="G218" s="319" t="str">
        <f>IFERROR(IF(E218="","",IF(F218="Direct-from-manufacturer",(E218*H218/1000*'Reporting Year &amp; Inflation Adj.'!$F$9),(E218*I218/1000*'Reporting Year &amp; Inflation Adj.'!$F$9))),"")</f>
        <v/>
      </c>
      <c r="H218" s="805">
        <v>0.42878578600500006</v>
      </c>
      <c r="I218" s="806">
        <v>0.43956281938500008</v>
      </c>
      <c r="J218" s="807">
        <v>2.6268261320770894E-2</v>
      </c>
      <c r="K218" s="68">
        <v>336992</v>
      </c>
      <c r="L218" s="68" t="s">
        <v>3526</v>
      </c>
      <c r="M218" s="69" t="s">
        <v>440</v>
      </c>
      <c r="N218" s="69" t="s">
        <v>817</v>
      </c>
      <c r="O218" s="70">
        <v>0.43472835452000003</v>
      </c>
      <c r="P218" s="70">
        <v>1.1999933338E-2</v>
      </c>
      <c r="Q218" s="70">
        <v>0.44669559297</v>
      </c>
    </row>
    <row r="219" spans="3:17" ht="57">
      <c r="C219" s="321" t="s">
        <v>616</v>
      </c>
      <c r="D219" s="322"/>
      <c r="E219" s="784"/>
      <c r="F219" s="325"/>
      <c r="G219" s="319" t="str">
        <f>IFERROR(IF(E219="","",IF(F219="Direct-from-manufacturer",(E219*H219/1000*'Reporting Year &amp; Inflation Adj.'!$F$9),(E219*I219/1000*'Reporting Year &amp; Inflation Adj.'!$F$9))),"")</f>
        <v/>
      </c>
      <c r="H219" s="805">
        <v>0.2892536637</v>
      </c>
      <c r="I219" s="806">
        <v>0.33727425186999999</v>
      </c>
      <c r="J219" s="807">
        <v>0.14291397491136923</v>
      </c>
      <c r="K219" s="68">
        <v>327993</v>
      </c>
      <c r="L219" s="68" t="s">
        <v>3527</v>
      </c>
      <c r="M219" s="69" t="s">
        <v>440</v>
      </c>
      <c r="N219" s="69" t="s">
        <v>613</v>
      </c>
      <c r="O219" s="70">
        <v>0.34039864989999996</v>
      </c>
      <c r="P219" s="70">
        <v>5.3911321839999998E-2</v>
      </c>
      <c r="Q219" s="70">
        <v>0.39510705652999994</v>
      </c>
    </row>
    <row r="220" spans="3:17" ht="57">
      <c r="C220" s="321" t="s">
        <v>684</v>
      </c>
      <c r="D220" s="322"/>
      <c r="E220" s="784"/>
      <c r="F220" s="325"/>
      <c r="G220" s="319" t="str">
        <f>IFERROR(IF(E220="","",IF(F220="Direct-from-manufacturer",(E220*H220/1000*'Reporting Year &amp; Inflation Adj.'!$F$9),(E220*I220/1000*'Reporting Year &amp; Inflation Adj.'!$F$9))),"")</f>
        <v/>
      </c>
      <c r="H220" s="805">
        <v>0.13554474814</v>
      </c>
      <c r="I220" s="806">
        <v>0.17076177072000001</v>
      </c>
      <c r="J220" s="807">
        <v>0.2050057541122691</v>
      </c>
      <c r="K220" s="68">
        <v>333130</v>
      </c>
      <c r="L220" s="68" t="s">
        <v>3528</v>
      </c>
      <c r="M220" s="69" t="s">
        <v>440</v>
      </c>
      <c r="N220" s="69" t="s">
        <v>681</v>
      </c>
      <c r="O220" s="70">
        <v>0.17547986597999998</v>
      </c>
      <c r="P220" s="70">
        <v>4.4666078129999988E-2</v>
      </c>
      <c r="Q220" s="70">
        <v>0.22076315070000005</v>
      </c>
    </row>
    <row r="221" spans="3:17" ht="71.25">
      <c r="C221" s="321" t="s">
        <v>678</v>
      </c>
      <c r="D221" s="322"/>
      <c r="E221" s="784"/>
      <c r="F221" s="325"/>
      <c r="G221" s="319" t="str">
        <f>IFERROR(IF(E221="","",IF(F221="Direct-from-manufacturer",(E221*H221/1000*'Reporting Year &amp; Inflation Adj.'!$F$9),(E221*I221/1000*'Reporting Year &amp; Inflation Adj.'!$F$9))),"")</f>
        <v/>
      </c>
      <c r="H221" s="805">
        <v>0.23163836678500002</v>
      </c>
      <c r="I221" s="806">
        <v>0.25530224662500001</v>
      </c>
      <c r="J221" s="807">
        <v>9.0322699348866317E-2</v>
      </c>
      <c r="K221" s="68">
        <v>332999</v>
      </c>
      <c r="L221" s="68" t="s">
        <v>3529</v>
      </c>
      <c r="M221" s="69" t="s">
        <v>440</v>
      </c>
      <c r="N221" s="69" t="s">
        <v>671</v>
      </c>
      <c r="O221" s="70">
        <v>0.24895806993</v>
      </c>
      <c r="P221" s="70">
        <v>2.4344083249999999E-2</v>
      </c>
      <c r="Q221" s="70">
        <v>0.27399856318000004</v>
      </c>
    </row>
    <row r="222" spans="3:17" ht="409.5">
      <c r="C222" s="321" t="s">
        <v>941</v>
      </c>
      <c r="D222" s="322"/>
      <c r="E222" s="784"/>
      <c r="F222" s="323" t="s">
        <v>366</v>
      </c>
      <c r="G222" s="319" t="str">
        <f>IFERROR(IF(E222="","",IF(F222="Direct-from-manufacturer",(E222*H222/1000*'Reporting Year &amp; Inflation Adj.'!$F$9),(E222*I222/1000*'Reporting Year &amp; Inflation Adj.'!$F$9))),"")</f>
        <v/>
      </c>
      <c r="H222" s="805">
        <v>4.9798139365000008E-2</v>
      </c>
      <c r="I222" s="806">
        <v>4.9798139365000008E-2</v>
      </c>
      <c r="J222" s="807">
        <v>0</v>
      </c>
      <c r="K222" s="68" t="s">
        <v>942</v>
      </c>
      <c r="L222" s="68" t="s">
        <v>3530</v>
      </c>
      <c r="M222" s="69" t="s">
        <v>943</v>
      </c>
      <c r="N222" s="69" t="s">
        <v>944</v>
      </c>
      <c r="O222" s="70">
        <v>5.9547331199000006E-2</v>
      </c>
      <c r="P222" s="70">
        <v>0</v>
      </c>
      <c r="Q222" s="70">
        <v>5.9547331199000006E-2</v>
      </c>
    </row>
    <row r="223" spans="3:17" ht="57">
      <c r="C223" s="321" t="s">
        <v>788</v>
      </c>
      <c r="D223" s="322"/>
      <c r="E223" s="784"/>
      <c r="F223" s="325"/>
      <c r="G223" s="319" t="str">
        <f>IFERROR(IF(E223="","",IF(F223="Direct-from-manufacturer",(E223*H223/1000*'Reporting Year &amp; Inflation Adj.'!$F$9),(E223*I223/1000*'Reporting Year &amp; Inflation Adj.'!$F$9))),"")</f>
        <v/>
      </c>
      <c r="H223" s="805">
        <v>5.1609785270000007E-2</v>
      </c>
      <c r="I223" s="806">
        <v>0.10056514502</v>
      </c>
      <c r="J223" s="807">
        <v>0.48685389212398505</v>
      </c>
      <c r="K223" s="68">
        <v>336213</v>
      </c>
      <c r="L223" s="68" t="s">
        <v>3531</v>
      </c>
      <c r="M223" s="69" t="s">
        <v>440</v>
      </c>
      <c r="N223" s="69" t="s">
        <v>786</v>
      </c>
      <c r="O223" s="70">
        <v>5.5455154110000002E-2</v>
      </c>
      <c r="P223" s="70">
        <v>5.2085737991000004E-2</v>
      </c>
      <c r="Q223" s="70">
        <v>0.10754835843</v>
      </c>
    </row>
    <row r="224" spans="3:17" ht="71.25">
      <c r="C224" s="321" t="s">
        <v>851</v>
      </c>
      <c r="D224" s="322"/>
      <c r="E224" s="784"/>
      <c r="F224" s="323" t="s">
        <v>366</v>
      </c>
      <c r="G224" s="319" t="str">
        <f>IFERROR(IF(E224="","",IF(F224="Direct-from-manufacturer",(E224*H224/1000*'Reporting Year &amp; Inflation Adj.'!$F$9),(E224*I224/1000*'Reporting Year &amp; Inflation Adj.'!$F$9))),"")</f>
        <v/>
      </c>
      <c r="H224" s="805">
        <v>0.103073397565</v>
      </c>
      <c r="I224" s="806">
        <v>0.103073397565</v>
      </c>
      <c r="J224" s="807">
        <v>0</v>
      </c>
      <c r="K224" s="68">
        <v>423100</v>
      </c>
      <c r="L224" s="68" t="s">
        <v>3532</v>
      </c>
      <c r="M224" s="69" t="s">
        <v>853</v>
      </c>
      <c r="N224" s="69" t="s">
        <v>854</v>
      </c>
      <c r="O224" s="70">
        <v>0.11588971011000003</v>
      </c>
      <c r="P224" s="70">
        <v>0</v>
      </c>
      <c r="Q224" s="70">
        <v>0.11588971011000003</v>
      </c>
    </row>
    <row r="225" spans="3:17" ht="114">
      <c r="C225" s="321" t="s">
        <v>794</v>
      </c>
      <c r="D225" s="322"/>
      <c r="E225" s="784"/>
      <c r="F225" s="325"/>
      <c r="G225" s="319" t="str">
        <f>IFERROR(IF(E225="","",IF(F225="Direct-from-manufacturer",(E225*H225/1000*'Reporting Year &amp; Inflation Adj.'!$F$9),(E225*I225/1000*'Reporting Year &amp; Inflation Adj.'!$F$9))),"")</f>
        <v/>
      </c>
      <c r="H225" s="805">
        <v>0.23763090855000002</v>
      </c>
      <c r="I225" s="806">
        <v>0.26481318108999996</v>
      </c>
      <c r="J225" s="807">
        <v>9.9684432196101319E-2</v>
      </c>
      <c r="K225" s="68" t="s">
        <v>795</v>
      </c>
      <c r="L225" s="68" t="s">
        <v>3533</v>
      </c>
      <c r="M225" s="69" t="s">
        <v>440</v>
      </c>
      <c r="N225" s="69" t="s">
        <v>792</v>
      </c>
      <c r="O225" s="70">
        <v>0.25139128535999999</v>
      </c>
      <c r="P225" s="70">
        <v>2.7809369100000002E-2</v>
      </c>
      <c r="Q225" s="70">
        <v>0.27993925558999988</v>
      </c>
    </row>
    <row r="226" spans="3:17" ht="57">
      <c r="C226" s="321" t="s">
        <v>815</v>
      </c>
      <c r="D226" s="322"/>
      <c r="E226" s="784"/>
      <c r="F226" s="325"/>
      <c r="G226" s="319" t="str">
        <f>IFERROR(IF(E226="","",IF(F226="Direct-from-manufacturer",(E226*H226/1000*'Reporting Year &amp; Inflation Adj.'!$F$9),(E226*I226/1000*'Reporting Year &amp; Inflation Adj.'!$F$9))),"")</f>
        <v/>
      </c>
      <c r="H226" s="805">
        <v>0.18786293635999995</v>
      </c>
      <c r="I226" s="806">
        <v>0.22818258487000001</v>
      </c>
      <c r="J226" s="807">
        <v>0.17666775855382125</v>
      </c>
      <c r="K226" s="68">
        <v>336991</v>
      </c>
      <c r="L226" s="68" t="s">
        <v>3534</v>
      </c>
      <c r="M226" s="69" t="s">
        <v>440</v>
      </c>
      <c r="N226" s="69" t="s">
        <v>817</v>
      </c>
      <c r="O226" s="70">
        <v>0.17845712620000001</v>
      </c>
      <c r="P226" s="70">
        <v>4.4248408779999998E-2</v>
      </c>
      <c r="Q226" s="70">
        <v>0.22240127508000002</v>
      </c>
    </row>
    <row r="227" spans="3:17" ht="57">
      <c r="C227" s="321" t="s">
        <v>768</v>
      </c>
      <c r="D227" s="322"/>
      <c r="E227" s="784"/>
      <c r="F227" s="325"/>
      <c r="G227" s="319" t="str">
        <f>IFERROR(IF(E227="","",IF(F227="Direct-from-manufacturer",(E227*H227/1000*'Reporting Year &amp; Inflation Adj.'!$F$9),(E227*I227/1000*'Reporting Year &amp; Inflation Adj.'!$F$9))),"")</f>
        <v/>
      </c>
      <c r="H227" s="805">
        <v>0.11248662950499999</v>
      </c>
      <c r="I227" s="806">
        <v>0.12934799046500001</v>
      </c>
      <c r="J227" s="807">
        <v>0.1265831432026028</v>
      </c>
      <c r="K227" s="68">
        <v>335312</v>
      </c>
      <c r="L227" s="68" t="s">
        <v>3535</v>
      </c>
      <c r="M227" s="69" t="s">
        <v>440</v>
      </c>
      <c r="N227" s="69" t="s">
        <v>767</v>
      </c>
      <c r="O227" s="70">
        <v>0.13415954056999999</v>
      </c>
      <c r="P227" s="70">
        <v>1.9417250790000003E-2</v>
      </c>
      <c r="Q227" s="70">
        <v>0.15369115055999999</v>
      </c>
    </row>
    <row r="228" spans="3:17" ht="71.25">
      <c r="C228" s="321" t="s">
        <v>913</v>
      </c>
      <c r="D228" s="322"/>
      <c r="E228" s="784"/>
      <c r="F228" s="325"/>
      <c r="G228" s="319" t="str">
        <f>IFERROR(IF(E228="","",IF(F228="Direct-from-manufacturer",(E228*H228/1000*'Reporting Year &amp; Inflation Adj.'!$F$9),(E228*I228/1000*'Reporting Year &amp; Inflation Adj.'!$F$9))),"")</f>
        <v/>
      </c>
      <c r="H228" s="805">
        <v>4.4156467234999996E-2</v>
      </c>
      <c r="I228" s="806">
        <v>4.9020536115000006E-2</v>
      </c>
      <c r="J228" s="807">
        <v>9.8462373925834401E-2</v>
      </c>
      <c r="K228" s="68">
        <v>512100</v>
      </c>
      <c r="L228" s="68" t="s">
        <v>3536</v>
      </c>
      <c r="M228" s="69" t="s">
        <v>904</v>
      </c>
      <c r="N228" s="69" t="s">
        <v>915</v>
      </c>
      <c r="O228" s="70">
        <v>4.6954067701000003E-2</v>
      </c>
      <c r="P228" s="70">
        <v>5.103385412999999E-3</v>
      </c>
      <c r="Q228" s="70">
        <v>5.2086446556000011E-2</v>
      </c>
    </row>
    <row r="229" spans="3:17" ht="28.5">
      <c r="C229" s="321" t="s">
        <v>399</v>
      </c>
      <c r="D229" s="322"/>
      <c r="E229" s="784"/>
      <c r="F229" s="323" t="s">
        <v>366</v>
      </c>
      <c r="G229" s="319" t="str">
        <f>IFERROR(IF(E229="","",IF(F229="Direct-from-manufacturer",(E229*H229/1000*'Reporting Year &amp; Inflation Adj.'!$F$9),(E229*I229/1000*'Reporting Year &amp; Inflation Adj.'!$F$9))),"")</f>
        <v/>
      </c>
      <c r="H229" s="805">
        <v>0.193744466005</v>
      </c>
      <c r="I229" s="806">
        <v>0.193744466005</v>
      </c>
      <c r="J229" s="807">
        <v>0</v>
      </c>
      <c r="K229" s="68">
        <v>233412</v>
      </c>
      <c r="L229" s="68" t="s">
        <v>3537</v>
      </c>
      <c r="M229" s="69" t="s">
        <v>397</v>
      </c>
      <c r="N229" s="69" t="s">
        <v>398</v>
      </c>
      <c r="O229" s="70">
        <v>0.22235945130999996</v>
      </c>
      <c r="P229" s="70">
        <v>0</v>
      </c>
      <c r="Q229" s="70">
        <v>0.22235945130999996</v>
      </c>
    </row>
    <row r="230" spans="3:17" ht="42.75">
      <c r="C230" s="321" t="s">
        <v>1079</v>
      </c>
      <c r="D230" s="322"/>
      <c r="E230" s="784"/>
      <c r="F230" s="323" t="s">
        <v>366</v>
      </c>
      <c r="G230" s="319" t="str">
        <f>IFERROR(IF(E230="","",IF(F230="Direct-from-manufacturer",(E230*H230/1000*'Reporting Year &amp; Inflation Adj.'!$F$9),(E230*I230/1000*'Reporting Year &amp; Inflation Adj.'!$F$9))),"")</f>
        <v/>
      </c>
      <c r="H230" s="805">
        <v>0.11641052013500001</v>
      </c>
      <c r="I230" s="806">
        <v>0.11641052013500001</v>
      </c>
      <c r="J230" s="807">
        <v>0</v>
      </c>
      <c r="K230" s="68">
        <v>712000</v>
      </c>
      <c r="L230" s="68" t="s">
        <v>3538</v>
      </c>
      <c r="M230" s="69" t="s">
        <v>1071</v>
      </c>
      <c r="N230" s="69" t="s">
        <v>1080</v>
      </c>
      <c r="O230" s="70">
        <v>0.13738901687999999</v>
      </c>
      <c r="P230" s="70">
        <v>0</v>
      </c>
      <c r="Q230" s="70">
        <v>0.13738901687999999</v>
      </c>
    </row>
    <row r="231" spans="3:17" ht="71.25">
      <c r="C231" s="321" t="s">
        <v>10</v>
      </c>
      <c r="D231" s="322"/>
      <c r="E231" s="784"/>
      <c r="F231" s="323" t="s">
        <v>366</v>
      </c>
      <c r="G231" s="319" t="str">
        <f>IFERROR(IF(E231="","",IF(F231="Direct-from-manufacturer",(E231*H231/1000*'Reporting Year &amp; Inflation Adj.'!$F$9),(E231*I231/1000*'Reporting Year &amp; Inflation Adj.'!$F$9))),"")</f>
        <v/>
      </c>
      <c r="H231" s="805">
        <v>0.53228488113999994</v>
      </c>
      <c r="I231" s="806">
        <v>0.53228488113999994</v>
      </c>
      <c r="J231" s="807">
        <v>0</v>
      </c>
      <c r="K231" s="68">
        <v>221200</v>
      </c>
      <c r="L231" s="68" t="s">
        <v>3539</v>
      </c>
      <c r="M231" s="69" t="s">
        <v>391</v>
      </c>
      <c r="N231" s="69" t="s">
        <v>392</v>
      </c>
      <c r="O231" s="70">
        <v>0.54633095323799985</v>
      </c>
      <c r="P231" s="70">
        <v>0</v>
      </c>
      <c r="Q231" s="70">
        <v>0.54633095323799985</v>
      </c>
    </row>
    <row r="232" spans="3:17" ht="71.25">
      <c r="C232" s="321" t="s">
        <v>746</v>
      </c>
      <c r="D232" s="322"/>
      <c r="E232" s="784"/>
      <c r="F232" s="325"/>
      <c r="G232" s="319" t="str">
        <f>IFERROR(IF(E232="","",IF(F232="Direct-from-manufacturer",(E232*H232/1000*'Reporting Year &amp; Inflation Adj.'!$F$9),(E232*I232/1000*'Reporting Year &amp; Inflation Adj.'!$F$9))),"")</f>
        <v/>
      </c>
      <c r="H232" s="805">
        <v>4.6855302889999999E-2</v>
      </c>
      <c r="I232" s="806">
        <v>6.3714119429999994E-2</v>
      </c>
      <c r="J232" s="807">
        <v>0.26609459083283143</v>
      </c>
      <c r="K232" s="68">
        <v>334511</v>
      </c>
      <c r="L232" s="68" t="s">
        <v>3540</v>
      </c>
      <c r="M232" s="69" t="s">
        <v>440</v>
      </c>
      <c r="N232" s="69" t="s">
        <v>745</v>
      </c>
      <c r="O232" s="70">
        <v>5.1906277309999992E-2</v>
      </c>
      <c r="P232" s="70">
        <v>1.9225807470000002E-2</v>
      </c>
      <c r="Q232" s="70">
        <v>7.1224082559999999E-2</v>
      </c>
    </row>
    <row r="233" spans="3:17" ht="99.75">
      <c r="C233" s="321" t="s">
        <v>3316</v>
      </c>
      <c r="D233" s="322"/>
      <c r="E233" s="784"/>
      <c r="F233" s="323" t="s">
        <v>366</v>
      </c>
      <c r="G233" s="319" t="str">
        <f>IFERROR(IF(E233="","",IF(F233="Direct-from-manufacturer",(E233*H233/1000*'Reporting Year &amp; Inflation Adj.'!$F$9),(E233*I233/1000*'Reporting Year &amp; Inflation Adj.'!$F$9))),"")</f>
        <v/>
      </c>
      <c r="H233" s="805">
        <v>0.19594278973000004</v>
      </c>
      <c r="I233" s="806">
        <v>0.19594278973000004</v>
      </c>
      <c r="J233" s="807">
        <v>0</v>
      </c>
      <c r="K233" s="68" t="s">
        <v>3719</v>
      </c>
      <c r="L233" s="68" t="s">
        <v>3541</v>
      </c>
      <c r="M233" s="69" t="s">
        <v>397</v>
      </c>
      <c r="N233" s="69" t="s">
        <v>398</v>
      </c>
      <c r="O233" s="70">
        <v>0.21726535000000002</v>
      </c>
      <c r="P233" s="70">
        <v>0</v>
      </c>
      <c r="Q233" s="70">
        <v>0.21726535000000002</v>
      </c>
    </row>
    <row r="234" spans="3:17" ht="85.5">
      <c r="C234" s="321" t="s">
        <v>936</v>
      </c>
      <c r="D234" s="322"/>
      <c r="E234" s="784"/>
      <c r="F234" s="323" t="s">
        <v>366</v>
      </c>
      <c r="G234" s="319" t="str">
        <f>IFERROR(IF(E234="","",IF(F234="Direct-from-manufacturer",(E234*H234/1000*'Reporting Year &amp; Inflation Adj.'!$F$9),(E234*I234/1000*'Reporting Year &amp; Inflation Adj.'!$F$9))),"")</f>
        <v/>
      </c>
      <c r="H234" s="805">
        <v>5.6155505914999987E-2</v>
      </c>
      <c r="I234" s="806">
        <v>5.6155505914999987E-2</v>
      </c>
      <c r="J234" s="807">
        <v>0</v>
      </c>
      <c r="K234" s="68" t="s">
        <v>937</v>
      </c>
      <c r="L234" s="68" t="s">
        <v>3542</v>
      </c>
      <c r="M234" s="69" t="s">
        <v>904</v>
      </c>
      <c r="N234" s="69" t="s">
        <v>938</v>
      </c>
      <c r="O234" s="70">
        <v>6.514785712E-2</v>
      </c>
      <c r="P234" s="70">
        <v>0</v>
      </c>
      <c r="Q234" s="70">
        <v>6.514785712E-2</v>
      </c>
    </row>
    <row r="235" spans="3:17" ht="57">
      <c r="C235" s="321" t="s">
        <v>902</v>
      </c>
      <c r="D235" s="322"/>
      <c r="E235" s="784"/>
      <c r="F235" s="325"/>
      <c r="G235" s="319" t="str">
        <f>IFERROR(IF(E235="","",IF(F235="Direct-from-manufacturer",(E235*H235/1000*'Reporting Year &amp; Inflation Adj.'!$F$9),(E235*I235/1000*'Reporting Year &amp; Inflation Adj.'!$F$9))),"")</f>
        <v/>
      </c>
      <c r="H235" s="805">
        <v>3.9811975144999998E-2</v>
      </c>
      <c r="I235" s="806">
        <v>7.7439795200000022E-2</v>
      </c>
      <c r="J235" s="807">
        <v>0.48592602624806525</v>
      </c>
      <c r="K235" s="68">
        <v>511110</v>
      </c>
      <c r="L235" s="68" t="s">
        <v>3543</v>
      </c>
      <c r="M235" s="69" t="s">
        <v>904</v>
      </c>
      <c r="N235" s="69" t="s">
        <v>905</v>
      </c>
      <c r="O235" s="70">
        <v>4.3100165610999996E-2</v>
      </c>
      <c r="P235" s="70">
        <v>3.9805882729999999E-2</v>
      </c>
      <c r="Q235" s="70">
        <v>8.2877987159999986E-2</v>
      </c>
    </row>
    <row r="236" spans="3:17" ht="71.25">
      <c r="C236" s="321" t="s">
        <v>945</v>
      </c>
      <c r="D236" s="322"/>
      <c r="E236" s="784"/>
      <c r="F236" s="323" t="s">
        <v>366</v>
      </c>
      <c r="G236" s="319" t="str">
        <f>IFERROR(IF(E236="","",IF(F236="Direct-from-manufacturer",(E236*H236/1000*'Reporting Year &amp; Inflation Adj.'!$F$9),(E236*I236/1000*'Reporting Year &amp; Inflation Adj.'!$F$9))),"")</f>
        <v/>
      </c>
      <c r="H236" s="805">
        <v>6.4366050219999985E-2</v>
      </c>
      <c r="I236" s="806">
        <v>6.4366050219999985E-2</v>
      </c>
      <c r="J236" s="807">
        <v>0</v>
      </c>
      <c r="K236" s="68" t="s">
        <v>946</v>
      </c>
      <c r="L236" s="68" t="s">
        <v>3544</v>
      </c>
      <c r="M236" s="69" t="s">
        <v>943</v>
      </c>
      <c r="N236" s="69" t="s">
        <v>947</v>
      </c>
      <c r="O236" s="70">
        <v>7.2853406578999996E-2</v>
      </c>
      <c r="P236" s="70">
        <v>0</v>
      </c>
      <c r="Q236" s="70">
        <v>7.2853406578999996E-2</v>
      </c>
    </row>
    <row r="237" spans="3:17" ht="42.75">
      <c r="C237" s="321" t="s">
        <v>637</v>
      </c>
      <c r="D237" s="322"/>
      <c r="E237" s="784"/>
      <c r="F237" s="325"/>
      <c r="G237" s="319" t="str">
        <f>IFERROR(IF(E237="","",IF(F237="Direct-from-manufacturer",(E237*H237/1000*'Reporting Year &amp; Inflation Adj.'!$F$9),(E237*I237/1000*'Reporting Year &amp; Inflation Adj.'!$F$9))),"")</f>
        <v/>
      </c>
      <c r="H237" s="805">
        <v>0.43761331102500001</v>
      </c>
      <c r="I237" s="806">
        <v>0.46211206097000002</v>
      </c>
      <c r="J237" s="807">
        <v>5.325692524306936E-2</v>
      </c>
      <c r="K237" s="68">
        <v>331520</v>
      </c>
      <c r="L237" s="68" t="s">
        <v>3545</v>
      </c>
      <c r="M237" s="69" t="s">
        <v>440</v>
      </c>
      <c r="N237" s="69" t="s">
        <v>636</v>
      </c>
      <c r="O237" s="70">
        <v>0.44063181472999996</v>
      </c>
      <c r="P237" s="70">
        <v>2.482392315E-2</v>
      </c>
      <c r="Q237" s="70">
        <v>0.46558988129999995</v>
      </c>
    </row>
    <row r="238" spans="3:17" ht="42.75">
      <c r="C238" s="321" t="s">
        <v>900</v>
      </c>
      <c r="D238" s="322"/>
      <c r="E238" s="784"/>
      <c r="F238" s="323" t="s">
        <v>366</v>
      </c>
      <c r="G238" s="319" t="str">
        <f>IFERROR(IF(E238="","",IF(F238="Direct-from-manufacturer",(E238*H238/1000*'Reporting Year &amp; Inflation Adj.'!$F$9),(E238*I238/1000*'Reporting Year &amp; Inflation Adj.'!$F$9))),"")</f>
        <v/>
      </c>
      <c r="H238" s="805">
        <v>8.8242021314999988E-2</v>
      </c>
      <c r="I238" s="806">
        <v>8.8242021314999988E-2</v>
      </c>
      <c r="J238" s="807">
        <v>0</v>
      </c>
      <c r="K238" s="68">
        <v>454000</v>
      </c>
      <c r="L238" s="68" t="s">
        <v>3546</v>
      </c>
      <c r="M238" s="69" t="s">
        <v>882</v>
      </c>
      <c r="N238" s="69" t="s">
        <v>901</v>
      </c>
      <c r="O238" s="70">
        <v>9.5117408440000009E-2</v>
      </c>
      <c r="P238" s="70">
        <v>0</v>
      </c>
      <c r="Q238" s="70">
        <v>9.5117408440000009E-2</v>
      </c>
    </row>
    <row r="239" spans="3:17" ht="199.5">
      <c r="C239" s="321" t="s">
        <v>1057</v>
      </c>
      <c r="D239" s="322"/>
      <c r="E239" s="784"/>
      <c r="F239" s="323" t="s">
        <v>366</v>
      </c>
      <c r="G239" s="319" t="str">
        <f>IFERROR(IF(E239="","",IF(F239="Direct-from-manufacturer",(E239*H239/1000*'Reporting Year &amp; Inflation Adj.'!$F$9),(E239*I239/1000*'Reporting Year &amp; Inflation Adj.'!$F$9))),"")</f>
        <v/>
      </c>
      <c r="H239" s="805">
        <v>0.13965558279000001</v>
      </c>
      <c r="I239" s="806">
        <v>0.13965558279000001</v>
      </c>
      <c r="J239" s="807">
        <v>0</v>
      </c>
      <c r="K239" s="68" t="s">
        <v>1058</v>
      </c>
      <c r="L239" s="68" t="s">
        <v>3387</v>
      </c>
      <c r="M239" s="69" t="s">
        <v>1038</v>
      </c>
      <c r="N239" s="69" t="s">
        <v>1059</v>
      </c>
      <c r="O239" s="70">
        <v>0.16124559516999998</v>
      </c>
      <c r="P239" s="70">
        <v>0</v>
      </c>
      <c r="Q239" s="70">
        <v>0.16124559516999998</v>
      </c>
    </row>
    <row r="240" spans="3:17" ht="57">
      <c r="C240" s="321" t="s">
        <v>1004</v>
      </c>
      <c r="D240" s="322"/>
      <c r="E240" s="784"/>
      <c r="F240" s="323" t="s">
        <v>366</v>
      </c>
      <c r="G240" s="319" t="str">
        <f>IFERROR(IF(E240="","",IF(F240="Direct-from-manufacturer",(E240*H240/1000*'Reporting Year &amp; Inflation Adj.'!$F$9),(E240*I240/1000*'Reporting Year &amp; Inflation Adj.'!$F$9))),"")</f>
        <v/>
      </c>
      <c r="H240" s="805">
        <v>9.054266469000001E-2</v>
      </c>
      <c r="I240" s="806">
        <v>9.054266469000001E-2</v>
      </c>
      <c r="J240" s="807">
        <v>0</v>
      </c>
      <c r="K240" s="68">
        <v>561100</v>
      </c>
      <c r="L240" s="68" t="s">
        <v>3547</v>
      </c>
      <c r="M240" s="69" t="s">
        <v>1006</v>
      </c>
      <c r="N240" s="69" t="s">
        <v>1007</v>
      </c>
      <c r="O240" s="70">
        <v>0.1011722627</v>
      </c>
      <c r="P240" s="70">
        <v>0</v>
      </c>
      <c r="Q240" s="70">
        <v>0.1011722627</v>
      </c>
    </row>
    <row r="241" spans="3:17" ht="45">
      <c r="C241" s="321" t="s">
        <v>828</v>
      </c>
      <c r="D241" s="322"/>
      <c r="E241" s="784"/>
      <c r="F241" s="325"/>
      <c r="G241" s="319" t="str">
        <f>IFERROR(IF(E241="","",IF(F241="Direct-from-manufacturer",(E241*H241/1000*'Reporting Year &amp; Inflation Adj.'!$F$9),(E241*I241/1000*'Reporting Year &amp; Inflation Adj.'!$F$9))),"")</f>
        <v/>
      </c>
      <c r="H241" s="805">
        <v>0.15714181503999999</v>
      </c>
      <c r="I241" s="806">
        <v>0.20883908921999997</v>
      </c>
      <c r="J241" s="807">
        <v>0.24834302655555315</v>
      </c>
      <c r="K241" s="68" t="s">
        <v>829</v>
      </c>
      <c r="L241" s="68" t="s">
        <v>3548</v>
      </c>
      <c r="M241" s="69" t="s">
        <v>440</v>
      </c>
      <c r="N241" s="69" t="s">
        <v>830</v>
      </c>
      <c r="O241" s="70">
        <v>0.18425269961000001</v>
      </c>
      <c r="P241" s="70">
        <v>5.6988688410000009E-2</v>
      </c>
      <c r="Q241" s="70">
        <v>0.24150189271999997</v>
      </c>
    </row>
    <row r="242" spans="3:17" ht="42.75">
      <c r="C242" s="321" t="s">
        <v>848</v>
      </c>
      <c r="D242" s="322"/>
      <c r="E242" s="784"/>
      <c r="F242" s="325"/>
      <c r="G242" s="319" t="str">
        <f>IFERROR(IF(E242="","",IF(F242="Direct-from-manufacturer",(E242*H242/1000*'Reporting Year &amp; Inflation Adj.'!$F$9),(E242*I242/1000*'Reporting Year &amp; Inflation Adj.'!$F$9))),"")</f>
        <v/>
      </c>
      <c r="H242" s="805">
        <v>0.17970703505999999</v>
      </c>
      <c r="I242" s="806">
        <v>0.23638118847999998</v>
      </c>
      <c r="J242" s="807">
        <v>0.24264436609283274</v>
      </c>
      <c r="K242" s="68">
        <v>339940</v>
      </c>
      <c r="L242" s="68" t="s">
        <v>3549</v>
      </c>
      <c r="M242" s="69" t="s">
        <v>440</v>
      </c>
      <c r="N242" s="69" t="s">
        <v>845</v>
      </c>
      <c r="O242" s="70">
        <v>0.20534862478999999</v>
      </c>
      <c r="P242" s="70">
        <v>6.1414922740000003E-2</v>
      </c>
      <c r="Q242" s="70">
        <v>0.26623699469000001</v>
      </c>
    </row>
    <row r="243" spans="3:17" ht="57">
      <c r="C243" s="321" t="s">
        <v>841</v>
      </c>
      <c r="D243" s="322"/>
      <c r="E243" s="784"/>
      <c r="F243" s="325"/>
      <c r="G243" s="319" t="str">
        <f>IFERROR(IF(E243="","",IF(F243="Direct-from-manufacturer",(E243*H243/1000*'Reporting Year &amp; Inflation Adj.'!$F$9),(E243*I243/1000*'Reporting Year &amp; Inflation Adj.'!$F$9))),"")</f>
        <v/>
      </c>
      <c r="H243" s="805">
        <v>7.0368737760000022E-2</v>
      </c>
      <c r="I243" s="806">
        <v>0.114795582605</v>
      </c>
      <c r="J243" s="807">
        <v>0.38961114539482233</v>
      </c>
      <c r="K243" s="68">
        <v>339115</v>
      </c>
      <c r="L243" s="68" t="s">
        <v>3550</v>
      </c>
      <c r="M243" s="69" t="s">
        <v>440</v>
      </c>
      <c r="N243" s="69" t="s">
        <v>838</v>
      </c>
      <c r="O243" s="70">
        <v>8.6701114270000018E-2</v>
      </c>
      <c r="P243" s="70">
        <v>5.2742876000000001E-2</v>
      </c>
      <c r="Q243" s="70">
        <v>0.13983641998999993</v>
      </c>
    </row>
    <row r="244" spans="3:17" ht="71.25">
      <c r="C244" s="321" t="s">
        <v>690</v>
      </c>
      <c r="D244" s="322"/>
      <c r="E244" s="784"/>
      <c r="F244" s="325"/>
      <c r="G244" s="319" t="str">
        <f>IFERROR(IF(E244="","",IF(F244="Direct-from-manufacturer",(E244*H244/1000*'Reporting Year &amp; Inflation Adj.'!$F$9),(E244*I244/1000*'Reporting Year &amp; Inflation Adj.'!$F$9))),"")</f>
        <v/>
      </c>
      <c r="H244" s="805">
        <v>0.13614398077500001</v>
      </c>
      <c r="I244" s="806">
        <v>0.15759475889999999</v>
      </c>
      <c r="J244" s="807">
        <v>0.13476310308946449</v>
      </c>
      <c r="K244" s="68">
        <v>333314</v>
      </c>
      <c r="L244" s="68" t="s">
        <v>3551</v>
      </c>
      <c r="M244" s="69" t="s">
        <v>440</v>
      </c>
      <c r="N244" s="69" t="s">
        <v>692</v>
      </c>
      <c r="O244" s="70">
        <v>0.15302631149999998</v>
      </c>
      <c r="P244" s="70">
        <v>2.3329212679999999E-2</v>
      </c>
      <c r="Q244" s="70">
        <v>0.17602944428999998</v>
      </c>
    </row>
    <row r="245" spans="3:17" ht="71.25">
      <c r="C245" s="321" t="s">
        <v>804</v>
      </c>
      <c r="D245" s="322"/>
      <c r="E245" s="784"/>
      <c r="F245" s="325"/>
      <c r="G245" s="319" t="str">
        <f>IFERROR(IF(E245="","",IF(F245="Direct-from-manufacturer",(E245*H245/1000*'Reporting Year &amp; Inflation Adj.'!$F$9),(E245*I245/1000*'Reporting Year &amp; Inflation Adj.'!$F$9))),"")</f>
        <v/>
      </c>
      <c r="H245" s="805">
        <v>0.14570594591500002</v>
      </c>
      <c r="I245" s="806">
        <v>0.151602669685</v>
      </c>
      <c r="J245" s="807">
        <v>4.1405671091035441E-2</v>
      </c>
      <c r="K245" s="68">
        <v>336413</v>
      </c>
      <c r="L245" s="68" t="s">
        <v>3552</v>
      </c>
      <c r="M245" s="69" t="s">
        <v>440</v>
      </c>
      <c r="N245" s="69" t="s">
        <v>802</v>
      </c>
      <c r="O245" s="70">
        <v>0.16476222017999997</v>
      </c>
      <c r="P245" s="70">
        <v>6.5820633429999999E-3</v>
      </c>
      <c r="Q245" s="70">
        <v>0.17078959882</v>
      </c>
    </row>
    <row r="246" spans="3:17" ht="28.5">
      <c r="C246" s="321" t="s">
        <v>442</v>
      </c>
      <c r="D246" s="322"/>
      <c r="E246" s="784"/>
      <c r="F246" s="325"/>
      <c r="G246" s="319" t="str">
        <f>IFERROR(IF(E246="","",IF(F246="Direct-from-manufacturer",(E246*H246/1000*'Reporting Year &amp; Inflation Adj.'!$F$9),(E246*I246/1000*'Reporting Year &amp; Inflation Adj.'!$F$9))),"")</f>
        <v/>
      </c>
      <c r="H246" s="805">
        <v>0.47672803205000003</v>
      </c>
      <c r="I246" s="806">
        <v>0.51421365533999996</v>
      </c>
      <c r="J246" s="807">
        <v>7.2203391468573228E-2</v>
      </c>
      <c r="K246" s="68">
        <v>311119</v>
      </c>
      <c r="L246" s="68" t="s">
        <v>3553</v>
      </c>
      <c r="M246" s="69" t="s">
        <v>440</v>
      </c>
      <c r="N246" s="69" t="s">
        <v>441</v>
      </c>
      <c r="O246" s="70">
        <v>0.43753139026000004</v>
      </c>
      <c r="P246" s="70">
        <v>3.1722873290000002E-2</v>
      </c>
      <c r="Q246" s="70">
        <v>0.46927851737000004</v>
      </c>
    </row>
    <row r="247" spans="3:17" ht="28.5">
      <c r="C247" s="321" t="s">
        <v>553</v>
      </c>
      <c r="D247" s="322"/>
      <c r="E247" s="784"/>
      <c r="F247" s="325"/>
      <c r="G247" s="319" t="str">
        <f>IFERROR(IF(E247="","",IF(F247="Direct-from-manufacturer",(E247*H247/1000*'Reporting Year &amp; Inflation Adj.'!$F$9),(E247*I247/1000*'Reporting Year &amp; Inflation Adj.'!$F$9))),"")</f>
        <v/>
      </c>
      <c r="H247" s="805">
        <v>0.94485798065999993</v>
      </c>
      <c r="I247" s="806">
        <v>0.98596857163000007</v>
      </c>
      <c r="J247" s="807">
        <v>4.1233281972456529E-2</v>
      </c>
      <c r="K247" s="68">
        <v>325180</v>
      </c>
      <c r="L247" s="68" t="s">
        <v>3554</v>
      </c>
      <c r="M247" s="69" t="s">
        <v>440</v>
      </c>
      <c r="N247" s="69" t="s">
        <v>550</v>
      </c>
      <c r="O247" s="70">
        <v>0.97585376801000001</v>
      </c>
      <c r="P247" s="70">
        <v>3.6625184010999998E-2</v>
      </c>
      <c r="Q247" s="70">
        <v>1.0130743526499999</v>
      </c>
    </row>
    <row r="248" spans="3:17" ht="28.5">
      <c r="C248" s="321" t="s">
        <v>554</v>
      </c>
      <c r="D248" s="322"/>
      <c r="E248" s="784"/>
      <c r="F248" s="325"/>
      <c r="G248" s="319" t="str">
        <f>IFERROR(IF(E248="","",IF(F248="Direct-from-manufacturer",(E248*H248/1000*'Reporting Year &amp; Inflation Adj.'!$F$9),(E248*I248/1000*'Reporting Year &amp; Inflation Adj.'!$F$9))),"")</f>
        <v/>
      </c>
      <c r="H248" s="805">
        <v>1.26705593108</v>
      </c>
      <c r="I248" s="806">
        <v>1.29012241396</v>
      </c>
      <c r="J248" s="807">
        <v>1.7705535139790403E-2</v>
      </c>
      <c r="K248" s="68">
        <v>325190</v>
      </c>
      <c r="L248" s="68" t="s">
        <v>3555</v>
      </c>
      <c r="M248" s="69" t="s">
        <v>440</v>
      </c>
      <c r="N248" s="69" t="s">
        <v>550</v>
      </c>
      <c r="O248" s="70">
        <v>1.1750465754999997</v>
      </c>
      <c r="P248" s="70">
        <v>1.8629732005999999E-2</v>
      </c>
      <c r="Q248" s="70">
        <v>1.1939033807799999</v>
      </c>
    </row>
    <row r="249" spans="3:17" ht="57">
      <c r="C249" s="321" t="s">
        <v>694</v>
      </c>
      <c r="D249" s="322"/>
      <c r="E249" s="784"/>
      <c r="F249" s="325"/>
      <c r="G249" s="319" t="str">
        <f>IFERROR(IF(E249="","",IF(F249="Direct-from-manufacturer",(E249*H249/1000*'Reporting Year &amp; Inflation Adj.'!$F$9),(E249*I249/1000*'Reporting Year &amp; Inflation Adj.'!$F$9))),"")</f>
        <v/>
      </c>
      <c r="H249" s="805">
        <v>0.15517251534999998</v>
      </c>
      <c r="I249" s="806">
        <v>0.18622971804999999</v>
      </c>
      <c r="J249" s="807">
        <v>0.16568836852728078</v>
      </c>
      <c r="K249" s="68">
        <v>333318</v>
      </c>
      <c r="L249" s="68" t="s">
        <v>3556</v>
      </c>
      <c r="M249" s="69" t="s">
        <v>440</v>
      </c>
      <c r="N249" s="69" t="s">
        <v>692</v>
      </c>
      <c r="O249" s="70">
        <v>0.17250188114000001</v>
      </c>
      <c r="P249" s="70">
        <v>3.4206105340000001E-2</v>
      </c>
      <c r="Q249" s="70">
        <v>0.20637127433999997</v>
      </c>
    </row>
    <row r="250" spans="3:17" ht="99.75">
      <c r="C250" s="321" t="s">
        <v>996</v>
      </c>
      <c r="D250" s="322"/>
      <c r="E250" s="784"/>
      <c r="F250" s="323" t="s">
        <v>366</v>
      </c>
      <c r="G250" s="319" t="str">
        <f>IFERROR(IF(E250="","",IF(F250="Direct-from-manufacturer",(E250*H250/1000*'Reporting Year &amp; Inflation Adj.'!$F$9),(E250*I250/1000*'Reporting Year &amp; Inflation Adj.'!$F$9))),"")</f>
        <v/>
      </c>
      <c r="H250" s="805">
        <v>7.834393756499998E-2</v>
      </c>
      <c r="I250" s="806">
        <v>7.834393756499998E-2</v>
      </c>
      <c r="J250" s="807">
        <v>0</v>
      </c>
      <c r="K250" s="68" t="s">
        <v>3720</v>
      </c>
      <c r="L250" s="68" t="s">
        <v>3557</v>
      </c>
      <c r="M250" s="69" t="s">
        <v>981</v>
      </c>
      <c r="N250" s="69" t="s">
        <v>994</v>
      </c>
      <c r="O250" s="70">
        <v>8.1385761109999982E-2</v>
      </c>
      <c r="P250" s="70">
        <v>0</v>
      </c>
      <c r="Q250" s="70">
        <v>8.1385761109999982E-2</v>
      </c>
    </row>
    <row r="251" spans="3:17" ht="42.75">
      <c r="C251" s="321" t="s">
        <v>607</v>
      </c>
      <c r="D251" s="322"/>
      <c r="E251" s="784"/>
      <c r="F251" s="325"/>
      <c r="G251" s="319" t="str">
        <f>IFERROR(IF(E251="","",IF(F251="Direct-from-manufacturer",(E251*H251/1000*'Reporting Year &amp; Inflation Adj.'!$F$9),(E251*I251/1000*'Reporting Year &amp; Inflation Adj.'!$F$9))),"")</f>
        <v/>
      </c>
      <c r="H251" s="805">
        <v>0.20925042366500002</v>
      </c>
      <c r="I251" s="806">
        <v>0.25486537509000001</v>
      </c>
      <c r="J251" s="807">
        <v>0.17626111294692931</v>
      </c>
      <c r="K251" s="68">
        <v>327390</v>
      </c>
      <c r="L251" s="68" t="s">
        <v>3558</v>
      </c>
      <c r="M251" s="69" t="s">
        <v>440</v>
      </c>
      <c r="N251" s="69" t="s">
        <v>604</v>
      </c>
      <c r="O251" s="70">
        <v>0.26852516270000004</v>
      </c>
      <c r="P251" s="70">
        <v>5.0640952850000004E-2</v>
      </c>
      <c r="Q251" s="70">
        <v>0.31877463904999997</v>
      </c>
    </row>
    <row r="252" spans="3:17" ht="399">
      <c r="C252" s="321" t="s">
        <v>855</v>
      </c>
      <c r="D252" s="322"/>
      <c r="E252" s="784"/>
      <c r="F252" s="323" t="s">
        <v>366</v>
      </c>
      <c r="G252" s="319" t="str">
        <f>IFERROR(IF(E252="","",IF(F252="Direct-from-manufacturer",(E252*H252/1000*'Reporting Year &amp; Inflation Adj.'!$F$9),(E252*I252/1000*'Reporting Year &amp; Inflation Adj.'!$F$9))),"")</f>
        <v/>
      </c>
      <c r="H252" s="805">
        <v>0.10692984018000001</v>
      </c>
      <c r="I252" s="806">
        <v>0.10692984018000001</v>
      </c>
      <c r="J252" s="807">
        <v>0</v>
      </c>
      <c r="K252" s="68" t="s">
        <v>856</v>
      </c>
      <c r="L252" s="68" t="s">
        <v>3559</v>
      </c>
      <c r="M252" s="69" t="s">
        <v>853</v>
      </c>
      <c r="N252" s="69">
        <v>0</v>
      </c>
      <c r="O252" s="70">
        <v>0.10890782587000002</v>
      </c>
      <c r="P252" s="70">
        <v>0</v>
      </c>
      <c r="Q252" s="70">
        <v>0.10890782587000002</v>
      </c>
    </row>
    <row r="253" spans="3:17" ht="199.5">
      <c r="C253" s="321" t="s">
        <v>1034</v>
      </c>
      <c r="D253" s="322"/>
      <c r="E253" s="784"/>
      <c r="F253" s="323" t="s">
        <v>366</v>
      </c>
      <c r="G253" s="319" t="str">
        <f>IFERROR(IF(E253="","",IF(F253="Direct-from-manufacturer",(E253*H253/1000*'Reporting Year &amp; Inflation Adj.'!$F$9),(E253*I253/1000*'Reporting Year &amp; Inflation Adj.'!$F$9))),"")</f>
        <v/>
      </c>
      <c r="H253" s="805">
        <v>9.7193062844999983E-2</v>
      </c>
      <c r="I253" s="806">
        <v>9.7193062844999983E-2</v>
      </c>
      <c r="J253" s="807">
        <v>0</v>
      </c>
      <c r="K253" s="68" t="s">
        <v>1035</v>
      </c>
      <c r="L253" s="68" t="s">
        <v>3381</v>
      </c>
      <c r="M253" s="69" t="s">
        <v>1030</v>
      </c>
      <c r="N253" s="69">
        <v>0</v>
      </c>
      <c r="O253" s="70">
        <v>0.10926201691000002</v>
      </c>
      <c r="P253" s="70">
        <v>0</v>
      </c>
      <c r="Q253" s="70">
        <v>0.10926201691000002</v>
      </c>
    </row>
    <row r="254" spans="3:17" ht="71.25">
      <c r="C254" s="321" t="s">
        <v>712</v>
      </c>
      <c r="D254" s="322"/>
      <c r="E254" s="784"/>
      <c r="F254" s="325"/>
      <c r="G254" s="319" t="str">
        <f>IFERROR(IF(E254="","",IF(F254="Direct-from-manufacturer",(E254*H254/1000*'Reporting Year &amp; Inflation Adj.'!$F$9),(E254*I254/1000*'Reporting Year &amp; Inflation Adj.'!$F$9))),"")</f>
        <v/>
      </c>
      <c r="H254" s="805">
        <v>0.23310138384000001</v>
      </c>
      <c r="I254" s="806">
        <v>0.25553540661000007</v>
      </c>
      <c r="J254" s="807">
        <v>8.6533319133140663E-2</v>
      </c>
      <c r="K254" s="68">
        <v>333618</v>
      </c>
      <c r="L254" s="68" t="s">
        <v>3560</v>
      </c>
      <c r="M254" s="69" t="s">
        <v>440</v>
      </c>
      <c r="N254" s="69" t="s">
        <v>709</v>
      </c>
      <c r="O254" s="70">
        <v>0.27439556084000011</v>
      </c>
      <c r="P254" s="70">
        <v>2.4732114409999999E-2</v>
      </c>
      <c r="Q254" s="70">
        <v>0.29855072457000004</v>
      </c>
    </row>
    <row r="255" spans="3:17" ht="99.75">
      <c r="C255" s="321" t="s">
        <v>778</v>
      </c>
      <c r="D255" s="322"/>
      <c r="E255" s="784"/>
      <c r="F255" s="325"/>
      <c r="G255" s="319" t="str">
        <f>IFERROR(IF(E255="","",IF(F255="Direct-from-manufacturer",(E255*H255/1000*'Reporting Year &amp; Inflation Adj.'!$F$9),(E255*I255/1000*'Reporting Year &amp; Inflation Adj.'!$F$9))),"")</f>
        <v/>
      </c>
      <c r="H255" s="805">
        <v>0.10832362529999999</v>
      </c>
      <c r="I255" s="806">
        <v>0.12398090406499998</v>
      </c>
      <c r="J255" s="807">
        <v>0.12462744594844394</v>
      </c>
      <c r="K255" s="68">
        <v>335999</v>
      </c>
      <c r="L255" s="68" t="s">
        <v>3561</v>
      </c>
      <c r="M255" s="69" t="s">
        <v>440</v>
      </c>
      <c r="N255" s="69" t="s">
        <v>773</v>
      </c>
      <c r="O255" s="70">
        <v>0.11276621913000001</v>
      </c>
      <c r="P255" s="70">
        <v>1.6443919543999999E-2</v>
      </c>
      <c r="Q255" s="70">
        <v>0.12880740805000004</v>
      </c>
    </row>
    <row r="256" spans="3:17" ht="114">
      <c r="C256" s="321" t="s">
        <v>866</v>
      </c>
      <c r="D256" s="322"/>
      <c r="E256" s="784"/>
      <c r="F256" s="323" t="s">
        <v>366</v>
      </c>
      <c r="G256" s="319" t="str">
        <f>IFERROR(IF(E256="","",IF(F256="Direct-from-manufacturer",(E256*H256/1000*'Reporting Year &amp; Inflation Adj.'!$F$9),(E256*I256/1000*'Reporting Year &amp; Inflation Adj.'!$F$9))),"")</f>
        <v/>
      </c>
      <c r="H256" s="805">
        <v>0.12662860379999999</v>
      </c>
      <c r="I256" s="806">
        <v>0.12662860379999999</v>
      </c>
      <c r="J256" s="807">
        <v>0</v>
      </c>
      <c r="K256" s="68" t="s">
        <v>867</v>
      </c>
      <c r="L256" s="68" t="s">
        <v>3562</v>
      </c>
      <c r="M256" s="69" t="s">
        <v>853</v>
      </c>
      <c r="N256" s="69">
        <v>0</v>
      </c>
      <c r="O256" s="70">
        <v>0.14563550581000004</v>
      </c>
      <c r="P256" s="70">
        <v>0</v>
      </c>
      <c r="Q256" s="70">
        <v>0.14563550581000004</v>
      </c>
    </row>
    <row r="257" spans="3:17" ht="71.25">
      <c r="C257" s="321" t="s">
        <v>617</v>
      </c>
      <c r="D257" s="322"/>
      <c r="E257" s="784"/>
      <c r="F257" s="325"/>
      <c r="G257" s="319" t="str">
        <f>IFERROR(IF(E257="","",IF(F257="Direct-from-manufacturer",(E257*H257/1000*'Reporting Year &amp; Inflation Adj.'!$F$9),(E257*I257/1000*'Reporting Year &amp; Inflation Adj.'!$F$9))),"")</f>
        <v/>
      </c>
      <c r="H257" s="805">
        <v>0.56461848641500001</v>
      </c>
      <c r="I257" s="806">
        <v>0.62635244583999983</v>
      </c>
      <c r="J257" s="807">
        <v>9.8869408200282075E-2</v>
      </c>
      <c r="K257" s="68">
        <v>327999</v>
      </c>
      <c r="L257" s="68" t="s">
        <v>3563</v>
      </c>
      <c r="M257" s="69" t="s">
        <v>440</v>
      </c>
      <c r="N257" s="69" t="s">
        <v>613</v>
      </c>
      <c r="O257" s="70">
        <v>0.72153242747000002</v>
      </c>
      <c r="P257" s="70">
        <v>6.8358420279999998E-2</v>
      </c>
      <c r="Q257" s="70">
        <v>0.78933438853000004</v>
      </c>
    </row>
    <row r="258" spans="3:17" ht="28.5">
      <c r="C258" s="321" t="s">
        <v>408</v>
      </c>
      <c r="D258" s="322"/>
      <c r="E258" s="784"/>
      <c r="F258" s="323" t="s">
        <v>366</v>
      </c>
      <c r="G258" s="319" t="str">
        <f>IFERROR(IF(E258="","",IF(F258="Direct-from-manufacturer",(E258*H258/1000*'Reporting Year &amp; Inflation Adj.'!$F$9),(E258*I258/1000*'Reporting Year &amp; Inflation Adj.'!$F$9))),"")</f>
        <v/>
      </c>
      <c r="H258" s="805">
        <v>0.17371614970000002</v>
      </c>
      <c r="I258" s="806">
        <v>0.17371614970000002</v>
      </c>
      <c r="J258" s="807">
        <v>0</v>
      </c>
      <c r="K258" s="68" t="s">
        <v>409</v>
      </c>
      <c r="L258" s="68" t="s">
        <v>3564</v>
      </c>
      <c r="M258" s="69" t="s">
        <v>397</v>
      </c>
      <c r="N258" s="69" t="s">
        <v>403</v>
      </c>
      <c r="O258" s="70">
        <v>0.20379498792</v>
      </c>
      <c r="P258" s="70">
        <v>0</v>
      </c>
      <c r="Q258" s="70">
        <v>0.20379498792</v>
      </c>
    </row>
    <row r="259" spans="3:17" ht="42.75">
      <c r="C259" s="321" t="s">
        <v>547</v>
      </c>
      <c r="D259" s="322"/>
      <c r="E259" s="784"/>
      <c r="F259" s="325"/>
      <c r="G259" s="319" t="str">
        <f>IFERROR(IF(E259="","",IF(F259="Direct-from-manufacturer",(E259*H259/1000*'Reporting Year &amp; Inflation Adj.'!$F$9),(E259*I259/1000*'Reporting Year &amp; Inflation Adj.'!$F$9))),"")</f>
        <v/>
      </c>
      <c r="H259" s="805">
        <v>0.49215754710999998</v>
      </c>
      <c r="I259" s="806">
        <v>0.54388252924000002</v>
      </c>
      <c r="J259" s="807">
        <v>9.4325257104116211E-2</v>
      </c>
      <c r="K259" s="68">
        <v>324190</v>
      </c>
      <c r="L259" s="68" t="s">
        <v>3565</v>
      </c>
      <c r="M259" s="69" t="s">
        <v>440</v>
      </c>
      <c r="N259" s="69" t="s">
        <v>544</v>
      </c>
      <c r="O259" s="70">
        <v>0.36239404805000003</v>
      </c>
      <c r="P259" s="70">
        <v>3.2777612609000001E-2</v>
      </c>
      <c r="Q259" s="70">
        <v>0.39495476005000008</v>
      </c>
    </row>
    <row r="260" spans="3:17" ht="42.75">
      <c r="C260" s="321" t="s">
        <v>590</v>
      </c>
      <c r="D260" s="322"/>
      <c r="E260" s="784"/>
      <c r="F260" s="325"/>
      <c r="G260" s="319" t="str">
        <f>IFERROR(IF(E260="","",IF(F260="Direct-from-manufacturer",(E260*H260/1000*'Reporting Year &amp; Inflation Adj.'!$F$9),(E260*I260/1000*'Reporting Year &amp; Inflation Adj.'!$F$9))),"")</f>
        <v/>
      </c>
      <c r="H260" s="805">
        <v>0.30548257347999996</v>
      </c>
      <c r="I260" s="806">
        <v>0.33153348666999999</v>
      </c>
      <c r="J260" s="807">
        <v>7.701098800439915E-2</v>
      </c>
      <c r="K260" s="68">
        <v>326190</v>
      </c>
      <c r="L260" s="68" t="s">
        <v>3566</v>
      </c>
      <c r="M260" s="69" t="s">
        <v>440</v>
      </c>
      <c r="N260" s="69" t="s">
        <v>584</v>
      </c>
      <c r="O260" s="70">
        <v>0.34586472144999997</v>
      </c>
      <c r="P260" s="70">
        <v>2.7005266859999995E-2</v>
      </c>
      <c r="Q260" s="70">
        <v>0.37328631645999999</v>
      </c>
    </row>
    <row r="261" spans="3:17" ht="285">
      <c r="C261" s="321" t="s">
        <v>966</v>
      </c>
      <c r="D261" s="322"/>
      <c r="E261" s="784"/>
      <c r="F261" s="323" t="s">
        <v>366</v>
      </c>
      <c r="G261" s="319" t="str">
        <f>IFERROR(IF(E261="","",IF(F261="Direct-from-manufacturer",(E261*H261/1000*'Reporting Year &amp; Inflation Adj.'!$F$9),(E261*I261/1000*'Reporting Year &amp; Inflation Adj.'!$F$9))),"")</f>
        <v/>
      </c>
      <c r="H261" s="805">
        <v>0.22626968925000002</v>
      </c>
      <c r="I261" s="806">
        <v>0.22626968925000002</v>
      </c>
      <c r="J261" s="807">
        <v>0</v>
      </c>
      <c r="K261" s="68" t="s">
        <v>967</v>
      </c>
      <c r="L261" s="68" t="s">
        <v>3396</v>
      </c>
      <c r="M261" s="69" t="s">
        <v>965</v>
      </c>
      <c r="N261" s="69">
        <v>0</v>
      </c>
      <c r="O261" s="70">
        <v>0.24887561524000001</v>
      </c>
      <c r="P261" s="70">
        <v>0</v>
      </c>
      <c r="Q261" s="70">
        <v>0.24887561524000001</v>
      </c>
    </row>
    <row r="262" spans="3:17" ht="85.5">
      <c r="C262" s="321" t="s">
        <v>884</v>
      </c>
      <c r="D262" s="322"/>
      <c r="E262" s="784"/>
      <c r="F262" s="323" t="s">
        <v>366</v>
      </c>
      <c r="G262" s="319" t="str">
        <f>IFERROR(IF(E262="","",IF(F262="Direct-from-manufacturer",(E262*H262/1000*'Reporting Year &amp; Inflation Adj.'!$F$9),(E262*I262/1000*'Reporting Year &amp; Inflation Adj.'!$F$9))),"")</f>
        <v/>
      </c>
      <c r="H262" s="805">
        <v>0.10395477259500002</v>
      </c>
      <c r="I262" s="806">
        <v>0.10395477259500002</v>
      </c>
      <c r="J262" s="807">
        <v>0</v>
      </c>
      <c r="K262" s="68" t="s">
        <v>885</v>
      </c>
      <c r="L262" s="68" t="s">
        <v>3567</v>
      </c>
      <c r="M262" s="69" t="s">
        <v>882</v>
      </c>
      <c r="N262" s="69">
        <v>0</v>
      </c>
      <c r="O262" s="70">
        <v>0.11155100015999997</v>
      </c>
      <c r="P262" s="70">
        <v>0</v>
      </c>
      <c r="Q262" s="70">
        <v>0.11155100015999997</v>
      </c>
    </row>
    <row r="263" spans="3:17" ht="28.5">
      <c r="C263" s="321" t="s">
        <v>595</v>
      </c>
      <c r="D263" s="322"/>
      <c r="E263" s="784"/>
      <c r="F263" s="325"/>
      <c r="G263" s="319" t="str">
        <f>IFERROR(IF(E263="","",IF(F263="Direct-from-manufacturer",(E263*H263/1000*'Reporting Year &amp; Inflation Adj.'!$F$9),(E263*I263/1000*'Reporting Year &amp; Inflation Adj.'!$F$9))),"")</f>
        <v/>
      </c>
      <c r="H263" s="805">
        <v>0.26846910409000002</v>
      </c>
      <c r="I263" s="806">
        <v>0.29492997634000001</v>
      </c>
      <c r="J263" s="807">
        <v>9.2055630566697924E-2</v>
      </c>
      <c r="K263" s="68">
        <v>326290</v>
      </c>
      <c r="L263" s="68" t="s">
        <v>3568</v>
      </c>
      <c r="M263" s="69" t="s">
        <v>440</v>
      </c>
      <c r="N263" s="69" t="s">
        <v>593</v>
      </c>
      <c r="O263" s="70">
        <v>0.31456555627000005</v>
      </c>
      <c r="P263" s="70">
        <v>3.0503052339999996E-2</v>
      </c>
      <c r="Q263" s="70">
        <v>0.34476740673000006</v>
      </c>
    </row>
    <row r="264" spans="3:17" ht="85.5">
      <c r="C264" s="321" t="s">
        <v>633</v>
      </c>
      <c r="D264" s="322"/>
      <c r="E264" s="784"/>
      <c r="F264" s="325"/>
      <c r="G264" s="319" t="str">
        <f>IFERROR(IF(E264="","",IF(F264="Direct-from-manufacturer",(E264*H264/1000*'Reporting Year &amp; Inflation Adj.'!$F$9),(E264*I264/1000*'Reporting Year &amp; Inflation Adj.'!$F$9))),"")</f>
        <v/>
      </c>
      <c r="H264" s="805">
        <v>0.42309209008499993</v>
      </c>
      <c r="I264" s="806">
        <v>0.43948960778500001</v>
      </c>
      <c r="J264" s="807">
        <v>3.846069204045674E-2</v>
      </c>
      <c r="K264" s="68">
        <v>331490</v>
      </c>
      <c r="L264" s="68" t="s">
        <v>3569</v>
      </c>
      <c r="M264" s="69" t="s">
        <v>440</v>
      </c>
      <c r="N264" s="69" t="s">
        <v>631</v>
      </c>
      <c r="O264" s="70">
        <v>0.41561787219000002</v>
      </c>
      <c r="P264" s="70">
        <v>1.7676942274000004E-2</v>
      </c>
      <c r="Q264" s="70">
        <v>0.43342912461000005</v>
      </c>
    </row>
    <row r="265" spans="3:17" ht="71.25">
      <c r="C265" s="321" t="s">
        <v>388</v>
      </c>
      <c r="D265" s="322"/>
      <c r="E265" s="784"/>
      <c r="F265" s="323" t="s">
        <v>366</v>
      </c>
      <c r="G265" s="319" t="str">
        <f>IFERROR(IF(E265="","",IF(F265="Direct-from-manufacturer",(E265*H265/1000*'Reporting Year &amp; Inflation Adj.'!$F$9),(E265*I265/1000*'Reporting Year &amp; Inflation Adj.'!$F$9))),"")</f>
        <v/>
      </c>
      <c r="H265" s="805">
        <v>0.37457620810500003</v>
      </c>
      <c r="I265" s="806">
        <v>0.37457620810500003</v>
      </c>
      <c r="J265" s="807">
        <v>0</v>
      </c>
      <c r="K265" s="68" t="s">
        <v>389</v>
      </c>
      <c r="L265" s="68" t="s">
        <v>3570</v>
      </c>
      <c r="M265" s="69" t="s">
        <v>371</v>
      </c>
      <c r="N265" s="69" t="s">
        <v>387</v>
      </c>
      <c r="O265" s="70">
        <v>0.38199522070000014</v>
      </c>
      <c r="P265" s="70">
        <v>0</v>
      </c>
      <c r="Q265" s="70">
        <v>0.38199522070000014</v>
      </c>
    </row>
    <row r="266" spans="3:17" ht="71.25">
      <c r="C266" s="321" t="s">
        <v>1025</v>
      </c>
      <c r="D266" s="322"/>
      <c r="E266" s="784"/>
      <c r="F266" s="323" t="s">
        <v>366</v>
      </c>
      <c r="G266" s="319" t="str">
        <f>IFERROR(IF(E266="","",IF(F266="Direct-from-manufacturer",(E266*H266/1000*'Reporting Year &amp; Inflation Adj.'!$F$9),(E266*I266/1000*'Reporting Year &amp; Inflation Adj.'!$F$9))),"")</f>
        <v/>
      </c>
      <c r="H266" s="805">
        <v>0.11011129349999998</v>
      </c>
      <c r="I266" s="806">
        <v>0.11011129349999998</v>
      </c>
      <c r="J266" s="807">
        <v>0</v>
      </c>
      <c r="K266" s="68">
        <v>561900</v>
      </c>
      <c r="L266" s="68" t="s">
        <v>3571</v>
      </c>
      <c r="M266" s="69" t="s">
        <v>1006</v>
      </c>
      <c r="N266" s="69" t="s">
        <v>1027</v>
      </c>
      <c r="O266" s="70">
        <v>0.12774499585999999</v>
      </c>
      <c r="P266" s="70">
        <v>0</v>
      </c>
      <c r="Q266" s="70">
        <v>0.12774499585999999</v>
      </c>
    </row>
    <row r="267" spans="3:17" ht="28.5">
      <c r="C267" s="321" t="s">
        <v>506</v>
      </c>
      <c r="D267" s="322"/>
      <c r="E267" s="784"/>
      <c r="F267" s="325"/>
      <c r="G267" s="319" t="str">
        <f>IFERROR(IF(E267="","",IF(F267="Direct-from-manufacturer",(E267*H267/1000*'Reporting Year &amp; Inflation Adj.'!$F$9),(E267*I267/1000*'Reporting Year &amp; Inflation Adj.'!$F$9))),"")</f>
        <v/>
      </c>
      <c r="H267" s="805">
        <v>0.17673355617999997</v>
      </c>
      <c r="I267" s="806">
        <v>0.21843853084000006</v>
      </c>
      <c r="J267" s="807">
        <v>0.19234547606335653</v>
      </c>
      <c r="K267" s="68">
        <v>314900</v>
      </c>
      <c r="L267" s="68" t="s">
        <v>3572</v>
      </c>
      <c r="M267" s="69" t="s">
        <v>440</v>
      </c>
      <c r="N267" s="69" t="s">
        <v>508</v>
      </c>
      <c r="O267" s="70">
        <v>0.19902708847999998</v>
      </c>
      <c r="P267" s="70">
        <v>4.5984782549999992E-2</v>
      </c>
      <c r="Q267" s="70">
        <v>0.24460090095000001</v>
      </c>
    </row>
    <row r="268" spans="3:17" ht="57">
      <c r="C268" s="321" t="s">
        <v>819</v>
      </c>
      <c r="D268" s="322"/>
      <c r="E268" s="784"/>
      <c r="F268" s="325"/>
      <c r="G268" s="319" t="str">
        <f>IFERROR(IF(E268="","",IF(F268="Direct-from-manufacturer",(E268*H268/1000*'Reporting Year &amp; Inflation Adj.'!$F$9),(E268*I268/1000*'Reporting Year &amp; Inflation Adj.'!$F$9))),"")</f>
        <v/>
      </c>
      <c r="H268" s="805">
        <v>0.14884952899000004</v>
      </c>
      <c r="I268" s="806">
        <v>0.18533760860500004</v>
      </c>
      <c r="J268" s="807">
        <v>0.19580726981507496</v>
      </c>
      <c r="K268" s="68">
        <v>336999</v>
      </c>
      <c r="L268" s="68" t="s">
        <v>3573</v>
      </c>
      <c r="M268" s="69" t="s">
        <v>440</v>
      </c>
      <c r="N268" s="69" t="s">
        <v>817</v>
      </c>
      <c r="O268" s="70">
        <v>0.15818096037000001</v>
      </c>
      <c r="P268" s="70">
        <v>3.8647905687000002E-2</v>
      </c>
      <c r="Q268" s="70">
        <v>0.19702006317999998</v>
      </c>
    </row>
    <row r="269" spans="3:17" ht="71.25">
      <c r="C269" s="321" t="s">
        <v>799</v>
      </c>
      <c r="D269" s="322"/>
      <c r="E269" s="784"/>
      <c r="F269" s="325"/>
      <c r="G269" s="319" t="str">
        <f>IFERROR(IF(E269="","",IF(F269="Direct-from-manufacturer",(E269*H269/1000*'Reporting Year &amp; Inflation Adj.'!$F$9),(E269*I269/1000*'Reporting Year &amp; Inflation Adj.'!$F$9))),"")</f>
        <v/>
      </c>
      <c r="H269" s="805">
        <v>0.22226632837000002</v>
      </c>
      <c r="I269" s="806">
        <v>0.24481834794999999</v>
      </c>
      <c r="J269" s="807">
        <v>9.0931154798685923E-2</v>
      </c>
      <c r="K269" s="68">
        <v>336390</v>
      </c>
      <c r="L269" s="68" t="s">
        <v>3574</v>
      </c>
      <c r="M269" s="69" t="s">
        <v>440</v>
      </c>
      <c r="N269" s="69" t="s">
        <v>792</v>
      </c>
      <c r="O269" s="70">
        <v>0.24308240607000001</v>
      </c>
      <c r="P269" s="70">
        <v>2.3916725109999998E-2</v>
      </c>
      <c r="Q269" s="70">
        <v>0.26699881278999998</v>
      </c>
    </row>
    <row r="270" spans="3:17" ht="57">
      <c r="C270" s="321" t="s">
        <v>1046</v>
      </c>
      <c r="D270" s="322"/>
      <c r="E270" s="784"/>
      <c r="F270" s="323" t="s">
        <v>366</v>
      </c>
      <c r="G270" s="319" t="str">
        <f>IFERROR(IF(E270="","",IF(F270="Direct-from-manufacturer",(E270*H270/1000*'Reporting Year &amp; Inflation Adj.'!$F$9),(E270*I270/1000*'Reporting Year &amp; Inflation Adj.'!$F$9))),"")</f>
        <v/>
      </c>
      <c r="H270" s="805">
        <v>8.8728111115000008E-2</v>
      </c>
      <c r="I270" s="806">
        <v>8.8728111115000008E-2</v>
      </c>
      <c r="J270" s="807">
        <v>0</v>
      </c>
      <c r="K270" s="68">
        <v>621400</v>
      </c>
      <c r="L270" s="68" t="s">
        <v>3575</v>
      </c>
      <c r="M270" s="69" t="s">
        <v>1038</v>
      </c>
      <c r="N270" s="69" t="s">
        <v>1048</v>
      </c>
      <c r="O270" s="70">
        <v>9.7046168459999985E-2</v>
      </c>
      <c r="P270" s="70">
        <v>0</v>
      </c>
      <c r="Q270" s="70">
        <v>9.7046168459999985E-2</v>
      </c>
    </row>
    <row r="271" spans="3:17" ht="71.25">
      <c r="C271" s="321" t="s">
        <v>464</v>
      </c>
      <c r="D271" s="322"/>
      <c r="E271" s="784"/>
      <c r="F271" s="325"/>
      <c r="G271" s="319" t="str">
        <f>IFERROR(IF(E271="","",IF(F271="Direct-from-manufacturer",(E271*H271/1000*'Reporting Year &amp; Inflation Adj.'!$F$9),(E271*I271/1000*'Reporting Year &amp; Inflation Adj.'!$F$9))),"")</f>
        <v/>
      </c>
      <c r="H271" s="805">
        <v>0.90184057032500009</v>
      </c>
      <c r="I271" s="806">
        <v>0.93037815791000023</v>
      </c>
      <c r="J271" s="807">
        <v>3.0476859827294991E-2</v>
      </c>
      <c r="K271" s="68" t="s">
        <v>465</v>
      </c>
      <c r="L271" s="68" t="s">
        <v>3576</v>
      </c>
      <c r="M271" s="69" t="s">
        <v>440</v>
      </c>
      <c r="N271" s="69" t="s">
        <v>466</v>
      </c>
      <c r="O271" s="70">
        <v>1.1325682626499998</v>
      </c>
      <c r="P271" s="70">
        <v>3.3685192740000001E-2</v>
      </c>
      <c r="Q271" s="70">
        <v>1.16719155161</v>
      </c>
    </row>
    <row r="272" spans="3:17" ht="42.75">
      <c r="C272" s="321" t="s">
        <v>467</v>
      </c>
      <c r="D272" s="322"/>
      <c r="E272" s="784"/>
      <c r="F272" s="325"/>
      <c r="G272" s="319" t="str">
        <f>IFERROR(IF(E272="","",IF(F272="Direct-from-manufacturer",(E272*H272/1000*'Reporting Year &amp; Inflation Adj.'!$F$9),(E272*I272/1000*'Reporting Year &amp; Inflation Adj.'!$F$9))),"")</f>
        <v/>
      </c>
      <c r="H272" s="805">
        <v>0.43645850016999999</v>
      </c>
      <c r="I272" s="806">
        <v>0.47508573244999996</v>
      </c>
      <c r="J272" s="807">
        <v>8.0599903563784658E-2</v>
      </c>
      <c r="K272" s="68">
        <v>311615</v>
      </c>
      <c r="L272" s="68" t="s">
        <v>3577</v>
      </c>
      <c r="M272" s="69" t="s">
        <v>440</v>
      </c>
      <c r="N272" s="69" t="s">
        <v>466</v>
      </c>
      <c r="O272" s="70">
        <v>0.36950888717000002</v>
      </c>
      <c r="P272" s="70">
        <v>3.0894838415E-2</v>
      </c>
      <c r="Q272" s="70">
        <v>0.40007067654000006</v>
      </c>
    </row>
    <row r="273" spans="3:17" ht="42.75">
      <c r="C273" s="321" t="s">
        <v>720</v>
      </c>
      <c r="D273" s="322"/>
      <c r="E273" s="784"/>
      <c r="F273" s="325"/>
      <c r="G273" s="319" t="str">
        <f>IFERROR(IF(E273="","",IF(F273="Direct-from-manufacturer",(E273*H273/1000*'Reporting Year &amp; Inflation Adj.'!$F$9),(E273*I273/1000*'Reporting Year &amp; Inflation Adj.'!$F$9))),"")</f>
        <v/>
      </c>
      <c r="H273" s="805">
        <v>9.3657481550000005E-2</v>
      </c>
      <c r="I273" s="806">
        <v>0.11347922044</v>
      </c>
      <c r="J273" s="807">
        <v>0.17200978077145485</v>
      </c>
      <c r="K273" s="68">
        <v>333993</v>
      </c>
      <c r="L273" s="68" t="s">
        <v>3578</v>
      </c>
      <c r="M273" s="69" t="s">
        <v>440</v>
      </c>
      <c r="N273" s="69" t="s">
        <v>715</v>
      </c>
      <c r="O273" s="70">
        <v>0.11316522891</v>
      </c>
      <c r="P273" s="70">
        <v>2.331194961E-2</v>
      </c>
      <c r="Q273" s="70">
        <v>0.13708281952000001</v>
      </c>
    </row>
    <row r="274" spans="3:17" ht="71.25">
      <c r="C274" s="321" t="s">
        <v>569</v>
      </c>
      <c r="D274" s="322"/>
      <c r="E274" s="784"/>
      <c r="F274" s="325"/>
      <c r="G274" s="319" t="str">
        <f>IFERROR(IF(E274="","",IF(F274="Direct-from-manufacturer",(E274*H274/1000*'Reporting Year &amp; Inflation Adj.'!$F$9),(E274*I274/1000*'Reporting Year &amp; Inflation Adj.'!$F$9))),"")</f>
        <v/>
      </c>
      <c r="H274" s="805">
        <v>0.23381680672999999</v>
      </c>
      <c r="I274" s="806">
        <v>0.25979084622000004</v>
      </c>
      <c r="J274" s="807">
        <v>0.10038565880768237</v>
      </c>
      <c r="K274" s="68">
        <v>325510</v>
      </c>
      <c r="L274" s="68" t="s">
        <v>3579</v>
      </c>
      <c r="M274" s="69" t="s">
        <v>440</v>
      </c>
      <c r="N274" s="69" t="s">
        <v>571</v>
      </c>
      <c r="O274" s="70">
        <v>0.26528996117000003</v>
      </c>
      <c r="P274" s="70">
        <v>2.7608966799999999E-2</v>
      </c>
      <c r="Q274" s="70">
        <v>0.29369753056000009</v>
      </c>
    </row>
    <row r="275" spans="3:17" ht="57">
      <c r="C275" s="321" t="s">
        <v>529</v>
      </c>
      <c r="D275" s="322"/>
      <c r="E275" s="784"/>
      <c r="F275" s="325"/>
      <c r="G275" s="319" t="str">
        <f>IFERROR(IF(E275="","",IF(F275="Direct-from-manufacturer",(E275*H275/1000*'Reporting Year &amp; Inflation Adj.'!$F$9),(E275*I275/1000*'Reporting Year &amp; Inflation Adj.'!$F$9))),"")</f>
        <v/>
      </c>
      <c r="H275" s="805">
        <v>0.61318691408999992</v>
      </c>
      <c r="I275" s="806">
        <v>0.65746818335000001</v>
      </c>
      <c r="J275" s="807">
        <v>6.657778494613141E-2</v>
      </c>
      <c r="K275" s="68">
        <v>322120</v>
      </c>
      <c r="L275" s="68" t="s">
        <v>3580</v>
      </c>
      <c r="M275" s="69" t="s">
        <v>440</v>
      </c>
      <c r="N275" s="69" t="s">
        <v>528</v>
      </c>
      <c r="O275" s="70">
        <v>0.6043926944600001</v>
      </c>
      <c r="P275" s="70">
        <v>4.6905604510000004E-2</v>
      </c>
      <c r="Q275" s="70">
        <v>0.65133209347999999</v>
      </c>
    </row>
    <row r="276" spans="3:17" ht="99.75">
      <c r="C276" s="321" t="s">
        <v>534</v>
      </c>
      <c r="D276" s="322"/>
      <c r="E276" s="784"/>
      <c r="F276" s="325"/>
      <c r="G276" s="319" t="str">
        <f>IFERROR(IF(E276="","",IF(F276="Direct-from-manufacturer",(E276*H276/1000*'Reporting Year &amp; Inflation Adj.'!$F$9),(E276*I276/1000*'Reporting Year &amp; Inflation Adj.'!$F$9))),"")</f>
        <v/>
      </c>
      <c r="H276" s="805">
        <v>0.2923289302999999</v>
      </c>
      <c r="I276" s="806">
        <v>0.3239224904800001</v>
      </c>
      <c r="J276" s="807">
        <v>9.7918004992488622E-2</v>
      </c>
      <c r="K276" s="68">
        <v>322220</v>
      </c>
      <c r="L276" s="68" t="s">
        <v>3581</v>
      </c>
      <c r="M276" s="69" t="s">
        <v>440</v>
      </c>
      <c r="N276" s="69" t="s">
        <v>533</v>
      </c>
      <c r="O276" s="70">
        <v>0.33170700862999997</v>
      </c>
      <c r="P276" s="70">
        <v>3.4188710379999994E-2</v>
      </c>
      <c r="Q276" s="70">
        <v>0.36597936424999994</v>
      </c>
    </row>
    <row r="277" spans="3:17" ht="42.75">
      <c r="C277" s="321" t="s">
        <v>1070</v>
      </c>
      <c r="D277" s="322"/>
      <c r="E277" s="784"/>
      <c r="F277" s="323" t="s">
        <v>366</v>
      </c>
      <c r="G277" s="319" t="str">
        <f>IFERROR(IF(E277="","",IF(F277="Direct-from-manufacturer",(E277*H277/1000*'Reporting Year &amp; Inflation Adj.'!$F$9),(E277*I277/1000*'Reporting Year &amp; Inflation Adj.'!$F$9))),"")</f>
        <v/>
      </c>
      <c r="H277" s="805">
        <v>7.3961141435000002E-2</v>
      </c>
      <c r="I277" s="806">
        <v>7.3961141435000002E-2</v>
      </c>
      <c r="J277" s="807">
        <v>0</v>
      </c>
      <c r="K277" s="68">
        <v>711100</v>
      </c>
      <c r="L277" s="68" t="s">
        <v>3582</v>
      </c>
      <c r="M277" s="69" t="s">
        <v>1071</v>
      </c>
      <c r="N277" s="69" t="s">
        <v>1072</v>
      </c>
      <c r="O277" s="70">
        <v>8.6966223778000007E-2</v>
      </c>
      <c r="P277" s="70">
        <v>0</v>
      </c>
      <c r="Q277" s="70">
        <v>8.6966223778000007E-2</v>
      </c>
    </row>
    <row r="278" spans="3:17" ht="57">
      <c r="C278" s="321" t="s">
        <v>562</v>
      </c>
      <c r="D278" s="322"/>
      <c r="E278" s="784"/>
      <c r="F278" s="325"/>
      <c r="G278" s="319" t="str">
        <f>IFERROR(IF(E278="","",IF(F278="Direct-from-manufacturer",(E278*H278/1000*'Reporting Year &amp; Inflation Adj.'!$F$9),(E278*I278/1000*'Reporting Year &amp; Inflation Adj.'!$F$9))),"")</f>
        <v/>
      </c>
      <c r="H278" s="805">
        <v>0.4895777675600001</v>
      </c>
      <c r="I278" s="806">
        <v>0.52720455749999995</v>
      </c>
      <c r="J278" s="807">
        <v>7.2395615244657693E-2</v>
      </c>
      <c r="K278" s="68">
        <v>325320</v>
      </c>
      <c r="L278" s="68" t="s">
        <v>3583</v>
      </c>
      <c r="M278" s="69" t="s">
        <v>440</v>
      </c>
      <c r="N278" s="69" t="s">
        <v>561</v>
      </c>
      <c r="O278" s="70">
        <v>0.43564422722000001</v>
      </c>
      <c r="P278" s="70">
        <v>3.1160217010000005E-2</v>
      </c>
      <c r="Q278" s="70">
        <v>0.46635036561999993</v>
      </c>
    </row>
    <row r="279" spans="3:17" ht="30">
      <c r="C279" s="321" t="s">
        <v>1113</v>
      </c>
      <c r="D279" s="322"/>
      <c r="E279" s="784"/>
      <c r="F279" s="323" t="s">
        <v>366</v>
      </c>
      <c r="G279" s="319" t="str">
        <f>IFERROR(IF(E279="","",IF(F279="Direct-from-manufacturer",(E279*H279/1000*'Reporting Year &amp; Inflation Adj.'!$F$9),(E279*I279/1000*'Reporting Year &amp; Inflation Adj.'!$F$9))),"")</f>
        <v/>
      </c>
      <c r="H279" s="805">
        <v>9.1780209469999999E-2</v>
      </c>
      <c r="I279" s="806">
        <v>9.1780209469999999E-2</v>
      </c>
      <c r="J279" s="807">
        <v>0</v>
      </c>
      <c r="K279" s="68">
        <v>812900</v>
      </c>
      <c r="L279" s="68" t="s">
        <v>3584</v>
      </c>
      <c r="M279" s="69" t="s">
        <v>1098</v>
      </c>
      <c r="N279" s="69" t="s">
        <v>1114</v>
      </c>
      <c r="O279" s="70">
        <v>0.11175354438</v>
      </c>
      <c r="P279" s="70">
        <v>0</v>
      </c>
      <c r="Q279" s="70">
        <v>0.11175354438</v>
      </c>
    </row>
    <row r="280" spans="3:17" ht="71.25">
      <c r="C280" s="321" t="s">
        <v>548</v>
      </c>
      <c r="D280" s="322"/>
      <c r="E280" s="784"/>
      <c r="F280" s="325"/>
      <c r="G280" s="319" t="str">
        <f>IFERROR(IF(E280="","",IF(F280="Direct-from-manufacturer",(E280*H280/1000*'Reporting Year &amp; Inflation Adj.'!$F$9),(E280*I280/1000*'Reporting Year &amp; Inflation Adj.'!$F$9))),"")</f>
        <v/>
      </c>
      <c r="H280" s="805">
        <v>1.0741513641099998</v>
      </c>
      <c r="I280" s="806">
        <v>1.10096928885</v>
      </c>
      <c r="J280" s="807">
        <v>2.4493713233516051E-2</v>
      </c>
      <c r="K280" s="68">
        <v>325110</v>
      </c>
      <c r="L280" s="68" t="s">
        <v>3585</v>
      </c>
      <c r="M280" s="69" t="s">
        <v>440</v>
      </c>
      <c r="N280" s="69" t="s">
        <v>550</v>
      </c>
      <c r="O280" s="70">
        <v>0.79952337527999995</v>
      </c>
      <c r="P280" s="70">
        <v>1.6455985262000001E-2</v>
      </c>
      <c r="Q280" s="70">
        <v>0.8161715717000001</v>
      </c>
    </row>
    <row r="281" spans="3:17" ht="57">
      <c r="C281" s="321" t="s">
        <v>874</v>
      </c>
      <c r="D281" s="322"/>
      <c r="E281" s="784"/>
      <c r="F281" s="323" t="s">
        <v>366</v>
      </c>
      <c r="G281" s="319" t="str">
        <f>IFERROR(IF(E281="","",IF(F281="Direct-from-manufacturer",(E281*H281/1000*'Reporting Year &amp; Inflation Adj.'!$F$9),(E281*I281/1000*'Reporting Year &amp; Inflation Adj.'!$F$9))),"")</f>
        <v/>
      </c>
      <c r="H281" s="805">
        <v>9.5591938515000002E-2</v>
      </c>
      <c r="I281" s="806">
        <v>9.5591938515000002E-2</v>
      </c>
      <c r="J281" s="807">
        <v>0</v>
      </c>
      <c r="K281" s="68">
        <v>424700</v>
      </c>
      <c r="L281" s="68" t="s">
        <v>3586</v>
      </c>
      <c r="M281" s="69" t="s">
        <v>853</v>
      </c>
      <c r="N281" s="69" t="s">
        <v>876</v>
      </c>
      <c r="O281" s="70">
        <v>0.10373409993299998</v>
      </c>
      <c r="P281" s="70">
        <v>0</v>
      </c>
      <c r="Q281" s="70">
        <v>0.10373409993299998</v>
      </c>
    </row>
    <row r="282" spans="3:17" ht="57">
      <c r="C282" s="321" t="s">
        <v>566</v>
      </c>
      <c r="D282" s="322"/>
      <c r="E282" s="784"/>
      <c r="F282" s="325"/>
      <c r="G282" s="319" t="str">
        <f>IFERROR(IF(E282="","",IF(F282="Direct-from-manufacturer",(E282*H282/1000*'Reporting Year &amp; Inflation Adj.'!$F$9),(E282*I282/1000*'Reporting Year &amp; Inflation Adj.'!$F$9))),"")</f>
        <v/>
      </c>
      <c r="H282" s="805">
        <v>4.3445766014999998E-2</v>
      </c>
      <c r="I282" s="806">
        <v>9.2694949965000009E-2</v>
      </c>
      <c r="J282" s="807">
        <v>0.53271160887022329</v>
      </c>
      <c r="K282" s="68">
        <v>325412</v>
      </c>
      <c r="L282" s="68" t="s">
        <v>3587</v>
      </c>
      <c r="M282" s="69" t="s">
        <v>440</v>
      </c>
      <c r="N282" s="69" t="s">
        <v>565</v>
      </c>
      <c r="O282" s="70">
        <v>4.5614550110000006E-2</v>
      </c>
      <c r="P282" s="70">
        <v>5.3858263049999994E-2</v>
      </c>
      <c r="Q282" s="70">
        <v>9.9569669200000002E-2</v>
      </c>
    </row>
    <row r="283" spans="3:17" ht="57">
      <c r="C283" s="321" t="s">
        <v>1001</v>
      </c>
      <c r="D283" s="322"/>
      <c r="E283" s="784"/>
      <c r="F283" s="323" t="s">
        <v>366</v>
      </c>
      <c r="G283" s="319" t="str">
        <f>IFERROR(IF(E283="","",IF(F283="Direct-from-manufacturer",(E283*H283/1000*'Reporting Year &amp; Inflation Adj.'!$F$9),(E283*I283/1000*'Reporting Year &amp; Inflation Adj.'!$F$9))),"")</f>
        <v/>
      </c>
      <c r="H283" s="805">
        <v>0.11171586919</v>
      </c>
      <c r="I283" s="806">
        <v>0.11171586919</v>
      </c>
      <c r="J283" s="807">
        <v>0</v>
      </c>
      <c r="K283" s="68">
        <v>541920</v>
      </c>
      <c r="L283" s="68" t="s">
        <v>3588</v>
      </c>
      <c r="M283" s="69" t="s">
        <v>981</v>
      </c>
      <c r="N283" s="69" t="s">
        <v>1652</v>
      </c>
      <c r="O283" s="70">
        <v>0.12554683006</v>
      </c>
      <c r="P283" s="70">
        <v>0</v>
      </c>
      <c r="Q283" s="70">
        <v>0.12554683006</v>
      </c>
    </row>
    <row r="284" spans="3:17" ht="57">
      <c r="C284" s="321" t="s">
        <v>693</v>
      </c>
      <c r="D284" s="322"/>
      <c r="E284" s="784"/>
      <c r="F284" s="325"/>
      <c r="G284" s="319" t="str">
        <f>IFERROR(IF(E284="","",IF(F284="Direct-from-manufacturer",(E284*H284/1000*'Reporting Year &amp; Inflation Adj.'!$F$9),(E284*I284/1000*'Reporting Year &amp; Inflation Adj.'!$F$9))),"")</f>
        <v/>
      </c>
      <c r="H284" s="805">
        <v>6.9672254334999989E-2</v>
      </c>
      <c r="I284" s="806">
        <v>0.11280962276000001</v>
      </c>
      <c r="J284" s="807">
        <v>0.38318396784256742</v>
      </c>
      <c r="K284" s="68">
        <v>333316</v>
      </c>
      <c r="L284" s="68" t="s">
        <v>3589</v>
      </c>
      <c r="M284" s="69" t="s">
        <v>440</v>
      </c>
      <c r="N284" s="69" t="s">
        <v>692</v>
      </c>
      <c r="O284" s="70">
        <v>8.5510410029999998E-2</v>
      </c>
      <c r="P284" s="70">
        <v>5.0440933330000007E-2</v>
      </c>
      <c r="Q284" s="70">
        <v>0.13614725919000001</v>
      </c>
    </row>
    <row r="285" spans="3:17" ht="71.25">
      <c r="C285" s="321" t="s">
        <v>1036</v>
      </c>
      <c r="D285" s="322"/>
      <c r="E285" s="784"/>
      <c r="F285" s="323" t="s">
        <v>366</v>
      </c>
      <c r="G285" s="319" t="str">
        <f>IFERROR(IF(E285="","",IF(F285="Direct-from-manufacturer",(E285*H285/1000*'Reporting Year &amp; Inflation Adj.'!$F$9),(E285*I285/1000*'Reporting Year &amp; Inflation Adj.'!$F$9))),"")</f>
        <v/>
      </c>
      <c r="H285" s="805">
        <v>7.8031887680000023E-2</v>
      </c>
      <c r="I285" s="806">
        <v>7.8031887680000023E-2</v>
      </c>
      <c r="J285" s="807">
        <v>0</v>
      </c>
      <c r="K285" s="68">
        <v>621100</v>
      </c>
      <c r="L285" s="68" t="s">
        <v>3590</v>
      </c>
      <c r="M285" s="69" t="s">
        <v>1038</v>
      </c>
      <c r="N285" s="69" t="s">
        <v>1039</v>
      </c>
      <c r="O285" s="70">
        <v>8.4197755349999986E-2</v>
      </c>
      <c r="P285" s="70">
        <v>0</v>
      </c>
      <c r="Q285" s="70">
        <v>8.4197755349999986E-2</v>
      </c>
    </row>
    <row r="286" spans="3:17" ht="57">
      <c r="C286" s="321" t="s">
        <v>782</v>
      </c>
      <c r="D286" s="322"/>
      <c r="E286" s="784"/>
      <c r="F286" s="325"/>
      <c r="G286" s="319" t="str">
        <f>IFERROR(IF(E286="","",IF(F286="Direct-from-manufacturer",(E286*H286/1000*'Reporting Year &amp; Inflation Adj.'!$F$9),(E286*I286/1000*'Reporting Year &amp; Inflation Adj.'!$F$9))),"")</f>
        <v/>
      </c>
      <c r="H286" s="805">
        <v>0.22081176025999999</v>
      </c>
      <c r="I286" s="806">
        <v>0.24542484462</v>
      </c>
      <c r="J286" s="807">
        <v>0.10018410319489029</v>
      </c>
      <c r="K286" s="68">
        <v>336112</v>
      </c>
      <c r="L286" s="68" t="s">
        <v>3591</v>
      </c>
      <c r="M286" s="69" t="s">
        <v>440</v>
      </c>
      <c r="N286" s="69" t="s">
        <v>781</v>
      </c>
      <c r="O286" s="70">
        <v>0.24326222783999993</v>
      </c>
      <c r="P286" s="70">
        <v>2.6772232646E-2</v>
      </c>
      <c r="Q286" s="70">
        <v>0.26921807885999999</v>
      </c>
    </row>
    <row r="287" spans="3:17" ht="42.75">
      <c r="C287" s="321" t="s">
        <v>582</v>
      </c>
      <c r="D287" s="322"/>
      <c r="E287" s="784"/>
      <c r="F287" s="325"/>
      <c r="G287" s="319" t="str">
        <f>IFERROR(IF(E287="","",IF(F287="Direct-from-manufacturer",(E287*H287/1000*'Reporting Year &amp; Inflation Adj.'!$F$9),(E287*I287/1000*'Reporting Year &amp; Inflation Adj.'!$F$9))),"")</f>
        <v/>
      </c>
      <c r="H287" s="805">
        <v>0.48238730217000003</v>
      </c>
      <c r="I287" s="806">
        <v>0.50606931673</v>
      </c>
      <c r="J287" s="807">
        <v>4.7183645195663149E-2</v>
      </c>
      <c r="K287" s="68">
        <v>326110</v>
      </c>
      <c r="L287" s="68" t="s">
        <v>3592</v>
      </c>
      <c r="M287" s="69" t="s">
        <v>440</v>
      </c>
      <c r="N287" s="69" t="s">
        <v>584</v>
      </c>
      <c r="O287" s="70">
        <v>0.52348421889000007</v>
      </c>
      <c r="P287" s="70">
        <v>2.351999233E-2</v>
      </c>
      <c r="Q287" s="70">
        <v>0.54729505430000014</v>
      </c>
    </row>
    <row r="288" spans="3:17" ht="42.75">
      <c r="C288" s="321" t="s">
        <v>589</v>
      </c>
      <c r="D288" s="322"/>
      <c r="E288" s="784"/>
      <c r="F288" s="325"/>
      <c r="G288" s="319" t="str">
        <f>IFERROR(IF(E288="","",IF(F288="Direct-from-manufacturer",(E288*H288/1000*'Reporting Year &amp; Inflation Adj.'!$F$9),(E288*I288/1000*'Reporting Year &amp; Inflation Adj.'!$F$9))),"")</f>
        <v/>
      </c>
      <c r="H288" s="805">
        <v>0.49861901169999989</v>
      </c>
      <c r="I288" s="806">
        <v>0.52395571944999997</v>
      </c>
      <c r="J288" s="807">
        <v>4.8409477229536139E-2</v>
      </c>
      <c r="K288" s="68">
        <v>326160</v>
      </c>
      <c r="L288" s="68" t="s">
        <v>3593</v>
      </c>
      <c r="M288" s="69" t="s">
        <v>440</v>
      </c>
      <c r="N288" s="69" t="s">
        <v>584</v>
      </c>
      <c r="O288" s="70">
        <v>0.5556512979799999</v>
      </c>
      <c r="P288" s="70">
        <v>2.5777474839999998E-2</v>
      </c>
      <c r="Q288" s="70">
        <v>0.58135383307999999</v>
      </c>
    </row>
    <row r="289" spans="3:17" ht="42.75">
      <c r="C289" s="321" t="s">
        <v>585</v>
      </c>
      <c r="D289" s="322"/>
      <c r="E289" s="784"/>
      <c r="F289" s="325"/>
      <c r="G289" s="319" t="str">
        <f>IFERROR(IF(E289="","",IF(F289="Direct-from-manufacturer",(E289*H289/1000*'Reporting Year &amp; Inflation Adj.'!$F$9),(E289*I289/1000*'Reporting Year &amp; Inflation Adj.'!$F$9))),"")</f>
        <v/>
      </c>
      <c r="H289" s="805">
        <v>0.32636045278999998</v>
      </c>
      <c r="I289" s="806">
        <v>0.34749342882000006</v>
      </c>
      <c r="J289" s="807">
        <v>5.945266130687462E-2</v>
      </c>
      <c r="K289" s="68">
        <v>326120</v>
      </c>
      <c r="L289" s="68" t="s">
        <v>3594</v>
      </c>
      <c r="M289" s="69" t="s">
        <v>440</v>
      </c>
      <c r="N289" s="69" t="s">
        <v>584</v>
      </c>
      <c r="O289" s="70">
        <v>0.3334695438100001</v>
      </c>
      <c r="P289" s="70">
        <v>1.9263914397999998E-2</v>
      </c>
      <c r="Q289" s="70">
        <v>0.35255396824999996</v>
      </c>
    </row>
    <row r="290" spans="3:17" ht="71.25">
      <c r="C290" s="321" t="s">
        <v>20</v>
      </c>
      <c r="D290" s="322"/>
      <c r="E290" s="784"/>
      <c r="F290" s="325"/>
      <c r="G290" s="319" t="str">
        <f>IFERROR(IF(E290="","",IF(F290="Direct-from-manufacturer",(E290*H290/1000*'Reporting Year &amp; Inflation Adj.'!$F$9),(E290*I290/1000*'Reporting Year &amp; Inflation Adj.'!$F$9))),"")</f>
        <v/>
      </c>
      <c r="H290" s="805">
        <v>1.0794284655500002</v>
      </c>
      <c r="I290" s="806">
        <v>1.1084648110699997</v>
      </c>
      <c r="J290" s="807">
        <v>2.637493618022824E-2</v>
      </c>
      <c r="K290" s="68">
        <v>325211</v>
      </c>
      <c r="L290" s="68" t="s">
        <v>3595</v>
      </c>
      <c r="M290" s="69" t="s">
        <v>440</v>
      </c>
      <c r="N290" s="69" t="s">
        <v>556</v>
      </c>
      <c r="O290" s="70">
        <v>1.0265126327300003</v>
      </c>
      <c r="P290" s="70">
        <v>2.3765596268000001E-2</v>
      </c>
      <c r="Q290" s="70">
        <v>1.0503593402699998</v>
      </c>
    </row>
    <row r="291" spans="3:17" ht="85.5">
      <c r="C291" s="321" t="s">
        <v>518</v>
      </c>
      <c r="D291" s="322"/>
      <c r="E291" s="784"/>
      <c r="F291" s="325"/>
      <c r="G291" s="319" t="str">
        <f>IFERROR(IF(E291="","",IF(F291="Direct-from-manufacturer",(E291*H291/1000*'Reporting Year &amp; Inflation Adj.'!$F$9),(E291*I291/1000*'Reporting Year &amp; Inflation Adj.'!$F$9))),"")</f>
        <v/>
      </c>
      <c r="H291" s="805">
        <v>0.22250287687</v>
      </c>
      <c r="I291" s="806">
        <v>0.25041557557499999</v>
      </c>
      <c r="J291" s="807">
        <v>0.11109256826825478</v>
      </c>
      <c r="K291" s="68">
        <v>321200</v>
      </c>
      <c r="L291" s="68" t="s">
        <v>3596</v>
      </c>
      <c r="M291" s="69" t="s">
        <v>440</v>
      </c>
      <c r="N291" s="69" t="s">
        <v>520</v>
      </c>
      <c r="O291" s="70">
        <v>0.18880233258000004</v>
      </c>
      <c r="P291" s="70">
        <v>2.0890683063000005E-2</v>
      </c>
      <c r="Q291" s="70">
        <v>0.20898383300000001</v>
      </c>
    </row>
    <row r="292" spans="3:17" ht="42.75">
      <c r="C292" s="321" t="s">
        <v>587</v>
      </c>
      <c r="D292" s="322"/>
      <c r="E292" s="784"/>
      <c r="F292" s="325"/>
      <c r="G292" s="319" t="str">
        <f>IFERROR(IF(E292="","",IF(F292="Direct-from-manufacturer",(E292*H292/1000*'Reporting Year &amp; Inflation Adj.'!$F$9),(E292*I292/1000*'Reporting Year &amp; Inflation Adj.'!$F$9))),"")</f>
        <v/>
      </c>
      <c r="H292" s="805">
        <v>0.23095759288000001</v>
      </c>
      <c r="I292" s="806">
        <v>0.25512384109000003</v>
      </c>
      <c r="J292" s="807">
        <v>9.398112768512959E-2</v>
      </c>
      <c r="K292" s="68">
        <v>326140</v>
      </c>
      <c r="L292" s="68" t="s">
        <v>3597</v>
      </c>
      <c r="M292" s="69" t="s">
        <v>440</v>
      </c>
      <c r="N292" s="69" t="s">
        <v>584</v>
      </c>
      <c r="O292" s="70">
        <v>0.24782822651</v>
      </c>
      <c r="P292" s="70">
        <v>2.3910188079999999E-2</v>
      </c>
      <c r="Q292" s="70">
        <v>0.27213807374000004</v>
      </c>
    </row>
    <row r="293" spans="3:17" ht="28.5">
      <c r="C293" s="321" t="s">
        <v>356</v>
      </c>
      <c r="D293" s="322"/>
      <c r="E293" s="784"/>
      <c r="F293" s="325"/>
      <c r="G293" s="319" t="str">
        <f>IFERROR(IF(E293="","",IF(F293="Direct-from-manufacturer",(E293*H293/1000*'Reporting Year &amp; Inflation Adj.'!$F$9),(E293*I293/1000*'Reporting Year &amp; Inflation Adj.'!$F$9))),"")</f>
        <v/>
      </c>
      <c r="H293" s="805">
        <v>0.41601023800999998</v>
      </c>
      <c r="I293" s="806">
        <v>0.45100071931000008</v>
      </c>
      <c r="J293" s="807">
        <v>7.8901189240766209E-2</v>
      </c>
      <c r="K293" s="68">
        <v>112300</v>
      </c>
      <c r="L293" s="68" t="s">
        <v>3598</v>
      </c>
      <c r="M293" s="69" t="s">
        <v>332</v>
      </c>
      <c r="N293" s="69" t="s">
        <v>358</v>
      </c>
      <c r="O293" s="70">
        <v>0.41696386607999997</v>
      </c>
      <c r="P293" s="70">
        <v>3.1294767823999994E-2</v>
      </c>
      <c r="Q293" s="70">
        <v>0.44843209617000002</v>
      </c>
    </row>
    <row r="294" spans="3:17" ht="242.25">
      <c r="C294" s="321" t="s">
        <v>3317</v>
      </c>
      <c r="D294" s="322"/>
      <c r="E294" s="784"/>
      <c r="F294" s="323" t="s">
        <v>366</v>
      </c>
      <c r="G294" s="319" t="str">
        <f>IFERROR(IF(E294="","",IF(F294="Direct-from-manufacturer",(E294*H294/1000*'Reporting Year &amp; Inflation Adj.'!$F$9),(E294*I294/1000*'Reporting Year &amp; Inflation Adj.'!$F$9))),"")</f>
        <v/>
      </c>
      <c r="H294" s="805">
        <v>0.19846769498999997</v>
      </c>
      <c r="I294" s="806">
        <v>0.19846769498999997</v>
      </c>
      <c r="J294" s="807">
        <v>0</v>
      </c>
      <c r="K294" s="68" t="s">
        <v>410</v>
      </c>
      <c r="L294" s="68" t="s">
        <v>3599</v>
      </c>
      <c r="M294" s="69" t="s">
        <v>397</v>
      </c>
      <c r="N294" s="69" t="s">
        <v>3724</v>
      </c>
      <c r="O294" s="70">
        <v>0.22329488787999999</v>
      </c>
      <c r="P294" s="70">
        <v>0</v>
      </c>
      <c r="Q294" s="70">
        <v>0.22329488787999999</v>
      </c>
    </row>
    <row r="295" spans="3:17" ht="57">
      <c r="C295" s="321" t="s">
        <v>651</v>
      </c>
      <c r="D295" s="322"/>
      <c r="E295" s="784"/>
      <c r="F295" s="325"/>
      <c r="G295" s="319" t="str">
        <f>IFERROR(IF(E295="","",IF(F295="Direct-from-manufacturer",(E295*H295/1000*'Reporting Year &amp; Inflation Adj.'!$F$9),(E295*I295/1000*'Reporting Year &amp; Inflation Adj.'!$F$9))),"")</f>
        <v/>
      </c>
      <c r="H295" s="805">
        <v>0.14277550233</v>
      </c>
      <c r="I295" s="806">
        <v>0.16446235712500001</v>
      </c>
      <c r="J295" s="807">
        <v>0.13057291717324945</v>
      </c>
      <c r="K295" s="68">
        <v>332410</v>
      </c>
      <c r="L295" s="68" t="s">
        <v>3600</v>
      </c>
      <c r="M295" s="69" t="s">
        <v>440</v>
      </c>
      <c r="N295" s="69" t="s">
        <v>653</v>
      </c>
      <c r="O295" s="70">
        <v>0.18240474083000008</v>
      </c>
      <c r="P295" s="70">
        <v>2.7458899169999995E-2</v>
      </c>
      <c r="Q295" s="70">
        <v>0.21035898907</v>
      </c>
    </row>
    <row r="296" spans="3:17" ht="42.75">
      <c r="C296" s="321" t="s">
        <v>717</v>
      </c>
      <c r="D296" s="322"/>
      <c r="E296" s="784"/>
      <c r="F296" s="325"/>
      <c r="G296" s="319" t="str">
        <f>IFERROR(IF(E296="","",IF(F296="Direct-from-manufacturer",(E296*H296/1000*'Reporting Year &amp; Inflation Adj.'!$F$9),(E296*I296/1000*'Reporting Year &amp; Inflation Adj.'!$F$9))),"")</f>
        <v/>
      </c>
      <c r="H296" s="805">
        <v>6.9699774785000029E-2</v>
      </c>
      <c r="I296" s="806">
        <v>0.11270584881500002</v>
      </c>
      <c r="J296" s="807">
        <v>0.38249529233182583</v>
      </c>
      <c r="K296" s="68">
        <v>333991</v>
      </c>
      <c r="L296" s="68" t="s">
        <v>3601</v>
      </c>
      <c r="M296" s="69" t="s">
        <v>440</v>
      </c>
      <c r="N296" s="69" t="s">
        <v>715</v>
      </c>
      <c r="O296" s="70">
        <v>8.3811345370000012E-2</v>
      </c>
      <c r="P296" s="70">
        <v>5.3077349519999997E-2</v>
      </c>
      <c r="Q296" s="70">
        <v>0.13708540869000002</v>
      </c>
    </row>
    <row r="297" spans="3:17" ht="71.25">
      <c r="C297" s="321" t="s">
        <v>624</v>
      </c>
      <c r="D297" s="322"/>
      <c r="E297" s="784"/>
      <c r="F297" s="325"/>
      <c r="G297" s="319" t="str">
        <f>IFERROR(IF(E297="","",IF(F297="Direct-from-manufacturer",(E297*H297/1000*'Reporting Year &amp; Inflation Adj.'!$F$9),(E297*I297/1000*'Reporting Year &amp; Inflation Adj.'!$F$9))),"")</f>
        <v/>
      </c>
      <c r="H297" s="805">
        <v>0.98188257017000002</v>
      </c>
      <c r="I297" s="806">
        <v>0.99579883295999994</v>
      </c>
      <c r="J297" s="807">
        <v>1.3993036028251424E-2</v>
      </c>
      <c r="K297" s="68">
        <v>331313</v>
      </c>
      <c r="L297" s="68" t="s">
        <v>3602</v>
      </c>
      <c r="M297" s="69" t="s">
        <v>440</v>
      </c>
      <c r="N297" s="69" t="s">
        <v>626</v>
      </c>
      <c r="O297" s="70">
        <v>1.0153660234199999</v>
      </c>
      <c r="P297" s="70">
        <v>1.4563116326999999E-2</v>
      </c>
      <c r="Q297" s="70">
        <v>1.0296261698600002</v>
      </c>
    </row>
    <row r="298" spans="3:17" ht="57">
      <c r="C298" s="321" t="s">
        <v>774</v>
      </c>
      <c r="D298" s="322"/>
      <c r="E298" s="784"/>
      <c r="F298" s="325"/>
      <c r="G298" s="319" t="str">
        <f>IFERROR(IF(E298="","",IF(F298="Direct-from-manufacturer",(E298*H298/1000*'Reporting Year &amp; Inflation Adj.'!$F$9),(E298*I298/1000*'Reporting Year &amp; Inflation Adj.'!$F$9))),"")</f>
        <v/>
      </c>
      <c r="H298" s="805">
        <v>3.9737992139999991E-2</v>
      </c>
      <c r="I298" s="806">
        <v>9.1219790034999998E-2</v>
      </c>
      <c r="J298" s="807">
        <v>0.56415855364558998</v>
      </c>
      <c r="K298" s="68">
        <v>335912</v>
      </c>
      <c r="L298" s="68" t="s">
        <v>3603</v>
      </c>
      <c r="M298" s="69" t="s">
        <v>440</v>
      </c>
      <c r="N298" s="69" t="s">
        <v>773</v>
      </c>
      <c r="O298" s="70">
        <v>4.6132598218999996E-2</v>
      </c>
      <c r="P298" s="70">
        <v>5.7275976110000001E-2</v>
      </c>
      <c r="Q298" s="70">
        <v>0.10330124572999999</v>
      </c>
    </row>
    <row r="299" spans="3:17" ht="71.25">
      <c r="C299" s="321" t="s">
        <v>618</v>
      </c>
      <c r="D299" s="322"/>
      <c r="E299" s="784"/>
      <c r="F299" s="325"/>
      <c r="G299" s="319" t="str">
        <f>IFERROR(IF(E299="","",IF(F299="Direct-from-manufacturer",(E299*H299/1000*'Reporting Year &amp; Inflation Adj.'!$F$9),(E299*I299/1000*'Reporting Year &amp; Inflation Adj.'!$F$9))),"")</f>
        <v/>
      </c>
      <c r="H299" s="805">
        <v>0.97987255645499982</v>
      </c>
      <c r="I299" s="806">
        <v>1.0052146967749997</v>
      </c>
      <c r="J299" s="807">
        <v>2.5246835612751234E-2</v>
      </c>
      <c r="K299" s="68">
        <v>331110</v>
      </c>
      <c r="L299" s="68" t="s">
        <v>3604</v>
      </c>
      <c r="M299" s="69" t="s">
        <v>440</v>
      </c>
      <c r="N299" s="69" t="s">
        <v>620</v>
      </c>
      <c r="O299" s="70">
        <v>0.77183945699000012</v>
      </c>
      <c r="P299" s="70">
        <v>1.8245943663999998E-2</v>
      </c>
      <c r="Q299" s="70">
        <v>0.79054003512999993</v>
      </c>
    </row>
    <row r="300" spans="3:17" ht="71.25">
      <c r="C300" s="321" t="s">
        <v>742</v>
      </c>
      <c r="D300" s="322"/>
      <c r="E300" s="784"/>
      <c r="F300" s="325"/>
      <c r="G300" s="319" t="str">
        <f>IFERROR(IF(E300="","",IF(F300="Direct-from-manufacturer",(E300*H300/1000*'Reporting Year &amp; Inflation Adj.'!$F$9),(E300*I300/1000*'Reporting Year &amp; Inflation Adj.'!$F$9))),"")</f>
        <v/>
      </c>
      <c r="H300" s="805">
        <v>7.4854993345000009E-2</v>
      </c>
      <c r="I300" s="806">
        <v>0.11184467555499999</v>
      </c>
      <c r="J300" s="807">
        <v>0.33044241852912942</v>
      </c>
      <c r="K300" s="68">
        <v>334418</v>
      </c>
      <c r="L300" s="68" t="s">
        <v>3605</v>
      </c>
      <c r="M300" s="69" t="s">
        <v>440</v>
      </c>
      <c r="N300" s="69" t="s">
        <v>739</v>
      </c>
      <c r="O300" s="70">
        <v>6.8991964189999991E-2</v>
      </c>
      <c r="P300" s="70">
        <v>3.2974296680000001E-2</v>
      </c>
      <c r="Q300" s="70">
        <v>0.10196279913000002</v>
      </c>
    </row>
    <row r="301" spans="3:17" ht="42.75">
      <c r="C301" s="321" t="s">
        <v>541</v>
      </c>
      <c r="D301" s="322"/>
      <c r="E301" s="784"/>
      <c r="F301" s="325"/>
      <c r="G301" s="319" t="str">
        <f>IFERROR(IF(E301="","",IF(F301="Direct-from-manufacturer",(E301*H301/1000*'Reporting Year &amp; Inflation Adj.'!$F$9),(E301*I301/1000*'Reporting Year &amp; Inflation Adj.'!$F$9))),"")</f>
        <v/>
      </c>
      <c r="H301" s="805">
        <v>0.19966070693999999</v>
      </c>
      <c r="I301" s="806">
        <v>0.22219662226999998</v>
      </c>
      <c r="J301" s="807">
        <v>0.10323620085964326</v>
      </c>
      <c r="K301" s="68">
        <v>323120</v>
      </c>
      <c r="L301" s="68" t="s">
        <v>3606</v>
      </c>
      <c r="M301" s="69" t="s">
        <v>440</v>
      </c>
      <c r="N301" s="69" t="s">
        <v>540</v>
      </c>
      <c r="O301" s="70">
        <v>0.21558926702</v>
      </c>
      <c r="P301" s="70">
        <v>2.2997494842399994E-2</v>
      </c>
      <c r="Q301" s="70">
        <v>0.23861667911999995</v>
      </c>
    </row>
    <row r="302" spans="3:17" ht="71.25">
      <c r="C302" s="321" t="s">
        <v>857</v>
      </c>
      <c r="D302" s="322"/>
      <c r="E302" s="784"/>
      <c r="F302" s="323" t="s">
        <v>366</v>
      </c>
      <c r="G302" s="319" t="str">
        <f>IFERROR(IF(E302="","",IF(F302="Direct-from-manufacturer",(E302*H302/1000*'Reporting Year &amp; Inflation Adj.'!$F$9),(E302*I302/1000*'Reporting Year &amp; Inflation Adj.'!$F$9))),"")</f>
        <v/>
      </c>
      <c r="H302" s="805">
        <v>6.8110736815000017E-2</v>
      </c>
      <c r="I302" s="806">
        <v>6.8110736815000017E-2</v>
      </c>
      <c r="J302" s="807">
        <v>0</v>
      </c>
      <c r="K302" s="68">
        <v>423400</v>
      </c>
      <c r="L302" s="68" t="s">
        <v>3607</v>
      </c>
      <c r="M302" s="69" t="s">
        <v>853</v>
      </c>
      <c r="N302" s="69" t="s">
        <v>859</v>
      </c>
      <c r="O302" s="70">
        <v>7.5213243720000017E-2</v>
      </c>
      <c r="P302" s="70">
        <v>0</v>
      </c>
      <c r="Q302" s="70">
        <v>7.5213243720000017E-2</v>
      </c>
    </row>
    <row r="303" spans="3:17" ht="270.75">
      <c r="C303" s="321" t="s">
        <v>1074</v>
      </c>
      <c r="D303" s="322"/>
      <c r="E303" s="784"/>
      <c r="F303" s="323" t="s">
        <v>366</v>
      </c>
      <c r="G303" s="319" t="str">
        <f>IFERROR(IF(E303="","",IF(F303="Direct-from-manufacturer",(E303*H303/1000*'Reporting Year &amp; Inflation Adj.'!$F$9),(E303*I303/1000*'Reporting Year &amp; Inflation Adj.'!$F$9))),"")</f>
        <v/>
      </c>
      <c r="H303" s="805">
        <v>7.6364759920000011E-2</v>
      </c>
      <c r="I303" s="806">
        <v>7.6364759920000011E-2</v>
      </c>
      <c r="J303" s="807">
        <v>0</v>
      </c>
      <c r="K303" s="68" t="s">
        <v>1075</v>
      </c>
      <c r="L303" s="68" t="s">
        <v>3608</v>
      </c>
      <c r="M303" s="69" t="s">
        <v>1071</v>
      </c>
      <c r="N303" s="69" t="s">
        <v>1076</v>
      </c>
      <c r="O303" s="70">
        <v>9.347348405600002E-2</v>
      </c>
      <c r="P303" s="70">
        <v>0</v>
      </c>
      <c r="Q303" s="70">
        <v>9.347348405600002E-2</v>
      </c>
    </row>
    <row r="304" spans="3:17" ht="85.5">
      <c r="C304" s="321" t="s">
        <v>806</v>
      </c>
      <c r="D304" s="322"/>
      <c r="E304" s="784"/>
      <c r="F304" s="325"/>
      <c r="G304" s="319" t="str">
        <f>IFERROR(IF(E304="","",IF(F304="Direct-from-manufacturer",(E304*H304/1000*'Reporting Year &amp; Inflation Adj.'!$F$9),(E304*I304/1000*'Reporting Year &amp; Inflation Adj.'!$F$9))),"")</f>
        <v/>
      </c>
      <c r="H304" s="805">
        <v>0.25144827287000004</v>
      </c>
      <c r="I304" s="806">
        <v>0.25949053658999999</v>
      </c>
      <c r="J304" s="807">
        <v>2.8743954804737338E-2</v>
      </c>
      <c r="K304" s="68" t="s">
        <v>807</v>
      </c>
      <c r="L304" s="68" t="s">
        <v>3609</v>
      </c>
      <c r="M304" s="69" t="s">
        <v>440</v>
      </c>
      <c r="N304" s="69" t="s">
        <v>802</v>
      </c>
      <c r="O304" s="70">
        <v>0.28799345346000005</v>
      </c>
      <c r="P304" s="70">
        <v>7.4908710909999997E-3</v>
      </c>
      <c r="Q304" s="70">
        <v>0.29516768837999996</v>
      </c>
    </row>
    <row r="305" spans="3:17" ht="42.75">
      <c r="C305" s="321" t="s">
        <v>919</v>
      </c>
      <c r="D305" s="322"/>
      <c r="E305" s="784"/>
      <c r="F305" s="323" t="s">
        <v>366</v>
      </c>
      <c r="G305" s="319" t="str">
        <f>IFERROR(IF(E305="","",IF(F305="Direct-from-manufacturer",(E305*H305/1000*'Reporting Year &amp; Inflation Adj.'!$F$9),(E305*I305/1000*'Reporting Year &amp; Inflation Adj.'!$F$9))),"")</f>
        <v/>
      </c>
      <c r="H305" s="805">
        <v>8.1403709529999993E-2</v>
      </c>
      <c r="I305" s="806">
        <v>8.1403709529999993E-2</v>
      </c>
      <c r="J305" s="807">
        <v>0</v>
      </c>
      <c r="K305" s="68">
        <v>515100</v>
      </c>
      <c r="L305" s="68" t="s">
        <v>3610</v>
      </c>
      <c r="M305" s="69" t="s">
        <v>904</v>
      </c>
      <c r="N305" s="69" t="s">
        <v>921</v>
      </c>
      <c r="O305" s="70">
        <v>8.1182284529999996E-2</v>
      </c>
      <c r="P305" s="70">
        <v>0</v>
      </c>
      <c r="Q305" s="70">
        <v>8.1182284529999996E-2</v>
      </c>
    </row>
    <row r="306" spans="3:17" ht="71.25">
      <c r="C306" s="321" t="s">
        <v>808</v>
      </c>
      <c r="D306" s="322"/>
      <c r="E306" s="784"/>
      <c r="F306" s="325"/>
      <c r="G306" s="319" t="str">
        <f>IFERROR(IF(E306="","",IF(F306="Direct-from-manufacturer",(E306*H306/1000*'Reporting Year &amp; Inflation Adj.'!$F$9),(E306*I306/1000*'Reporting Year &amp; Inflation Adj.'!$F$9))),"")</f>
        <v/>
      </c>
      <c r="H306" s="805">
        <v>0.36469741004000011</v>
      </c>
      <c r="I306" s="806">
        <v>0.39658558694000007</v>
      </c>
      <c r="J306" s="807">
        <v>7.8799036136499689E-2</v>
      </c>
      <c r="K306" s="68">
        <v>336500</v>
      </c>
      <c r="L306" s="68" t="s">
        <v>3611</v>
      </c>
      <c r="M306" s="69" t="s">
        <v>440</v>
      </c>
      <c r="N306" s="69" t="s">
        <v>810</v>
      </c>
      <c r="O306" s="70">
        <v>0.41443393199000006</v>
      </c>
      <c r="P306" s="70">
        <v>3.1586132583000005E-2</v>
      </c>
      <c r="Q306" s="70">
        <v>0.44590837721000004</v>
      </c>
    </row>
    <row r="307" spans="3:17" ht="42.75">
      <c r="C307" s="321" t="s">
        <v>605</v>
      </c>
      <c r="D307" s="322"/>
      <c r="E307" s="784"/>
      <c r="F307" s="325"/>
      <c r="G307" s="319" t="str">
        <f>IFERROR(IF(E307="","",IF(F307="Direct-from-manufacturer",(E307*H307/1000*'Reporting Year &amp; Inflation Adj.'!$F$9),(E307*I307/1000*'Reporting Year &amp; Inflation Adj.'!$F$9))),"")</f>
        <v/>
      </c>
      <c r="H307" s="805">
        <v>0.385232088275</v>
      </c>
      <c r="I307" s="806">
        <v>0.43835015037499997</v>
      </c>
      <c r="J307" s="807">
        <v>0.12255913970610099</v>
      </c>
      <c r="K307" s="68">
        <v>327320</v>
      </c>
      <c r="L307" s="68" t="s">
        <v>3612</v>
      </c>
      <c r="M307" s="69" t="s">
        <v>440</v>
      </c>
      <c r="N307" s="69" t="s">
        <v>604</v>
      </c>
      <c r="O307" s="70">
        <v>0.54032261407999993</v>
      </c>
      <c r="P307" s="70">
        <v>6.7210360769999991E-2</v>
      </c>
      <c r="Q307" s="70">
        <v>0.60802484657999989</v>
      </c>
    </row>
    <row r="308" spans="3:17" ht="57">
      <c r="C308" s="321" t="s">
        <v>448</v>
      </c>
      <c r="D308" s="322"/>
      <c r="E308" s="784"/>
      <c r="F308" s="325"/>
      <c r="G308" s="319" t="str">
        <f>IFERROR(IF(E308="","",IF(F308="Direct-from-manufacturer",(E308*H308/1000*'Reporting Year &amp; Inflation Adj.'!$F$9),(E308*I308/1000*'Reporting Year &amp; Inflation Adj.'!$F$9))),"")</f>
        <v/>
      </c>
      <c r="H308" s="805">
        <v>0.41315716136000002</v>
      </c>
      <c r="I308" s="806">
        <v>0.44192409436000007</v>
      </c>
      <c r="J308" s="807">
        <v>6.5831525857697734E-2</v>
      </c>
      <c r="K308" s="68">
        <v>311225</v>
      </c>
      <c r="L308" s="68" t="s">
        <v>3613</v>
      </c>
      <c r="M308" s="69" t="s">
        <v>440</v>
      </c>
      <c r="N308" s="69" t="s">
        <v>445</v>
      </c>
      <c r="O308" s="70">
        <v>0.36608846545000001</v>
      </c>
      <c r="P308" s="70">
        <v>2.5554933170000002E-2</v>
      </c>
      <c r="Q308" s="70">
        <v>0.39217908142000002</v>
      </c>
    </row>
    <row r="309" spans="3:17" ht="42.75">
      <c r="C309" s="321" t="s">
        <v>770</v>
      </c>
      <c r="D309" s="322"/>
      <c r="E309" s="784"/>
      <c r="F309" s="325"/>
      <c r="G309" s="319" t="str">
        <f>IFERROR(IF(E309="","",IF(F309="Direct-from-manufacturer",(E309*H309/1000*'Reporting Year &amp; Inflation Adj.'!$F$9),(E309*I309/1000*'Reporting Year &amp; Inflation Adj.'!$F$9))),"")</f>
        <v/>
      </c>
      <c r="H309" s="805">
        <v>0.10124125599999999</v>
      </c>
      <c r="I309" s="806">
        <v>0.11621965322</v>
      </c>
      <c r="J309" s="807">
        <v>0.13241895198971065</v>
      </c>
      <c r="K309" s="68">
        <v>335314</v>
      </c>
      <c r="L309" s="68" t="s">
        <v>3614</v>
      </c>
      <c r="M309" s="69" t="s">
        <v>440</v>
      </c>
      <c r="N309" s="69" t="s">
        <v>767</v>
      </c>
      <c r="O309" s="70">
        <v>0.12015783872999999</v>
      </c>
      <c r="P309" s="70">
        <v>1.846982682E-2</v>
      </c>
      <c r="Q309" s="70">
        <v>0.13861999466</v>
      </c>
    </row>
    <row r="310" spans="3:17" ht="57">
      <c r="C310" s="321" t="s">
        <v>1115</v>
      </c>
      <c r="D310" s="322"/>
      <c r="E310" s="784"/>
      <c r="F310" s="323" t="s">
        <v>366</v>
      </c>
      <c r="G310" s="319" t="str">
        <f>IFERROR(IF(E310="","",IF(F310="Direct-from-manufacturer",(E310*H310/1000*'Reporting Year &amp; Inflation Adj.'!$F$9),(E310*I310/1000*'Reporting Year &amp; Inflation Adj.'!$F$9))),"")</f>
        <v/>
      </c>
      <c r="H310" s="805">
        <v>6.6415149775000001E-2</v>
      </c>
      <c r="I310" s="806">
        <v>6.6415149775000001E-2</v>
      </c>
      <c r="J310" s="807">
        <v>0</v>
      </c>
      <c r="K310" s="68">
        <v>813100</v>
      </c>
      <c r="L310" s="68" t="s">
        <v>3615</v>
      </c>
      <c r="M310" s="69" t="s">
        <v>1098</v>
      </c>
      <c r="N310" s="69" t="s">
        <v>1116</v>
      </c>
      <c r="O310" s="70">
        <v>7.7163193484000012E-2</v>
      </c>
      <c r="P310" s="70">
        <v>0</v>
      </c>
      <c r="Q310" s="70">
        <v>7.7163193484000012E-2</v>
      </c>
    </row>
    <row r="311" spans="3:17" ht="30">
      <c r="C311" s="321" t="s">
        <v>400</v>
      </c>
      <c r="D311" s="322"/>
      <c r="E311" s="784"/>
      <c r="F311" s="323" t="s">
        <v>366</v>
      </c>
      <c r="G311" s="319" t="str">
        <f>IFERROR(IF(E311="","",IF(F311="Direct-from-manufacturer",(E311*H311/1000*'Reporting Year &amp; Inflation Adj.'!$F$9),(E311*I311/1000*'Reporting Year &amp; Inflation Adj.'!$F$9))),"")</f>
        <v/>
      </c>
      <c r="H311" s="805">
        <v>0.199103038155</v>
      </c>
      <c r="I311" s="806">
        <v>0.199103038155</v>
      </c>
      <c r="J311" s="807">
        <v>0</v>
      </c>
      <c r="K311" s="68">
        <v>230302</v>
      </c>
      <c r="L311" s="68" t="s">
        <v>3616</v>
      </c>
      <c r="M311" s="69" t="s">
        <v>397</v>
      </c>
      <c r="N311" s="69" t="s">
        <v>398</v>
      </c>
      <c r="O311" s="70">
        <v>0.21258245153999999</v>
      </c>
      <c r="P311" s="70">
        <v>0</v>
      </c>
      <c r="Q311" s="70">
        <v>0.21258245153999999</v>
      </c>
    </row>
    <row r="312" spans="3:17" ht="199.5">
      <c r="C312" s="321" t="s">
        <v>1060</v>
      </c>
      <c r="D312" s="322"/>
      <c r="E312" s="784"/>
      <c r="F312" s="323" t="s">
        <v>366</v>
      </c>
      <c r="G312" s="319" t="str">
        <f>IFERROR(IF(E312="","",IF(F312="Direct-from-manufacturer",(E312*H312/1000*'Reporting Year &amp; Inflation Adj.'!$F$9),(E312*I312/1000*'Reporting Year &amp; Inflation Adj.'!$F$9))),"")</f>
        <v/>
      </c>
      <c r="H312" s="805">
        <v>0.115449914855</v>
      </c>
      <c r="I312" s="806">
        <v>0.115449914855</v>
      </c>
      <c r="J312" s="807">
        <v>0</v>
      </c>
      <c r="K312" s="68" t="s">
        <v>1061</v>
      </c>
      <c r="L312" s="68" t="s">
        <v>3387</v>
      </c>
      <c r="M312" s="69" t="s">
        <v>1038</v>
      </c>
      <c r="N312" s="69" t="s">
        <v>1062</v>
      </c>
      <c r="O312" s="70">
        <v>0.13192559332399997</v>
      </c>
      <c r="P312" s="70">
        <v>0</v>
      </c>
      <c r="Q312" s="70">
        <v>0.13192559332399997</v>
      </c>
    </row>
    <row r="313" spans="3:17" ht="57">
      <c r="C313" s="321" t="s">
        <v>594</v>
      </c>
      <c r="D313" s="322"/>
      <c r="E313" s="784"/>
      <c r="F313" s="325"/>
      <c r="G313" s="319" t="str">
        <f>IFERROR(IF(E313="","",IF(F313="Direct-from-manufacturer",(E313*H313/1000*'Reporting Year &amp; Inflation Adj.'!$F$9),(E313*I313/1000*'Reporting Year &amp; Inflation Adj.'!$F$9))),"")</f>
        <v/>
      </c>
      <c r="H313" s="805">
        <v>0.25341746737999998</v>
      </c>
      <c r="I313" s="806">
        <v>0.28073223889999999</v>
      </c>
      <c r="J313" s="807">
        <v>9.445939073084493E-2</v>
      </c>
      <c r="K313" s="68">
        <v>326220</v>
      </c>
      <c r="L313" s="68" t="s">
        <v>3617</v>
      </c>
      <c r="M313" s="69" t="s">
        <v>440</v>
      </c>
      <c r="N313" s="69" t="s">
        <v>593</v>
      </c>
      <c r="O313" s="70">
        <v>0.28222707252000007</v>
      </c>
      <c r="P313" s="70">
        <v>2.8248525270000005E-2</v>
      </c>
      <c r="Q313" s="70">
        <v>0.31099099503999994</v>
      </c>
    </row>
    <row r="314" spans="3:17" ht="28.5">
      <c r="C314" s="321" t="s">
        <v>591</v>
      </c>
      <c r="D314" s="322"/>
      <c r="E314" s="784"/>
      <c r="F314" s="325"/>
      <c r="G314" s="319" t="str">
        <f>IFERROR(IF(E314="","",IF(F314="Direct-from-manufacturer",(E314*H314/1000*'Reporting Year &amp; Inflation Adj.'!$F$9),(E314*I314/1000*'Reporting Year &amp; Inflation Adj.'!$F$9))),"")</f>
        <v/>
      </c>
      <c r="H314" s="805">
        <v>0.19359245234499994</v>
      </c>
      <c r="I314" s="806">
        <v>0.23037858969000002</v>
      </c>
      <c r="J314" s="807">
        <v>0.15878338329626399</v>
      </c>
      <c r="K314" s="68">
        <v>326210</v>
      </c>
      <c r="L314" s="68" t="s">
        <v>3618</v>
      </c>
      <c r="M314" s="69" t="s">
        <v>440</v>
      </c>
      <c r="N314" s="69" t="s">
        <v>593</v>
      </c>
      <c r="O314" s="70">
        <v>0.23474037034000003</v>
      </c>
      <c r="P314" s="70">
        <v>4.3445601030000003E-2</v>
      </c>
      <c r="Q314" s="70">
        <v>0.27769541165</v>
      </c>
    </row>
    <row r="315" spans="3:17" ht="28.5">
      <c r="C315" s="321" t="s">
        <v>1107</v>
      </c>
      <c r="D315" s="322"/>
      <c r="E315" s="784"/>
      <c r="F315" s="323" t="s">
        <v>366</v>
      </c>
      <c r="G315" s="319" t="str">
        <f>IFERROR(IF(E315="","",IF(F315="Direct-from-manufacturer",(E315*H315/1000*'Reporting Year &amp; Inflation Adj.'!$F$9),(E315*I315/1000*'Reporting Year &amp; Inflation Adj.'!$F$9))),"")</f>
        <v/>
      </c>
      <c r="H315" s="805">
        <v>0.10845984180000001</v>
      </c>
      <c r="I315" s="806">
        <v>0.10845984180000001</v>
      </c>
      <c r="J315" s="807">
        <v>0</v>
      </c>
      <c r="K315" s="68">
        <v>812100</v>
      </c>
      <c r="L315" s="68" t="s">
        <v>3619</v>
      </c>
      <c r="M315" s="69" t="s">
        <v>1098</v>
      </c>
      <c r="N315" s="69" t="s">
        <v>1108</v>
      </c>
      <c r="O315" s="70">
        <v>0.12661651209999999</v>
      </c>
      <c r="P315" s="70">
        <v>0</v>
      </c>
      <c r="Q315" s="70">
        <v>0.12661651209999999</v>
      </c>
    </row>
    <row r="316" spans="3:17" ht="199.5">
      <c r="C316" s="321" t="s">
        <v>383</v>
      </c>
      <c r="D316" s="322"/>
      <c r="E316" s="784"/>
      <c r="F316" s="325"/>
      <c r="G316" s="319" t="str">
        <f>IFERROR(IF(E316="","",IF(F316="Direct-from-manufacturer",(E316*H316/1000*'Reporting Year &amp; Inflation Adj.'!$F$9),(E316*I316/1000*'Reporting Year &amp; Inflation Adj.'!$F$9))),"")</f>
        <v/>
      </c>
      <c r="H316" s="805">
        <v>0.15494301827499998</v>
      </c>
      <c r="I316" s="806">
        <v>0.27599302729499997</v>
      </c>
      <c r="J316" s="807">
        <v>0.43852533506447994</v>
      </c>
      <c r="K316" s="68" t="s">
        <v>384</v>
      </c>
      <c r="L316" s="68" t="s">
        <v>3620</v>
      </c>
      <c r="M316" s="69" t="s">
        <v>371</v>
      </c>
      <c r="N316" s="69" t="s">
        <v>382</v>
      </c>
      <c r="O316" s="70">
        <v>0.18443338910000001</v>
      </c>
      <c r="P316" s="70">
        <v>0.12603326486999999</v>
      </c>
      <c r="Q316" s="70">
        <v>0.31149319929000008</v>
      </c>
    </row>
    <row r="317" spans="3:17" ht="42.75">
      <c r="C317" s="321" t="s">
        <v>536</v>
      </c>
      <c r="D317" s="322"/>
      <c r="E317" s="784"/>
      <c r="F317" s="325"/>
      <c r="G317" s="319" t="str">
        <f>IFERROR(IF(E317="","",IF(F317="Direct-from-manufacturer",(E317*H317/1000*'Reporting Year &amp; Inflation Adj.'!$F$9),(E317*I317/1000*'Reporting Year &amp; Inflation Adj.'!$F$9))),"")</f>
        <v/>
      </c>
      <c r="H317" s="805">
        <v>0.27202439321000005</v>
      </c>
      <c r="I317" s="806">
        <v>0.33189288315999993</v>
      </c>
      <c r="J317" s="807">
        <v>0.17978848936701619</v>
      </c>
      <c r="K317" s="68">
        <v>322291</v>
      </c>
      <c r="L317" s="68" t="s">
        <v>3621</v>
      </c>
      <c r="M317" s="69" t="s">
        <v>440</v>
      </c>
      <c r="N317" s="69" t="s">
        <v>533</v>
      </c>
      <c r="O317" s="70">
        <v>0.27692581413000006</v>
      </c>
      <c r="P317" s="70">
        <v>6.5279433380000015E-2</v>
      </c>
      <c r="Q317" s="70">
        <v>0.34168785508999994</v>
      </c>
    </row>
    <row r="318" spans="3:17" ht="213.75">
      <c r="C318" s="321" t="s">
        <v>930</v>
      </c>
      <c r="D318" s="322"/>
      <c r="E318" s="784"/>
      <c r="F318" s="323" t="s">
        <v>366</v>
      </c>
      <c r="G318" s="319" t="str">
        <f>IFERROR(IF(E318="","",IF(F318="Direct-from-manufacturer",(E318*H318/1000*'Reporting Year &amp; Inflation Adj.'!$F$9),(E318*I318/1000*'Reporting Year &amp; Inflation Adj.'!$F$9))),"")</f>
        <v/>
      </c>
      <c r="H318" s="805">
        <v>7.1494849764999993E-2</v>
      </c>
      <c r="I318" s="806">
        <v>7.1494849764999993E-2</v>
      </c>
      <c r="J318" s="807">
        <v>0</v>
      </c>
      <c r="K318" s="68" t="s">
        <v>931</v>
      </c>
      <c r="L318" s="68" t="s">
        <v>3622</v>
      </c>
      <c r="M318" s="69" t="s">
        <v>904</v>
      </c>
      <c r="N318" s="69" t="s">
        <v>932</v>
      </c>
      <c r="O318" s="70">
        <v>7.857133401999998E-2</v>
      </c>
      <c r="P318" s="70">
        <v>0</v>
      </c>
      <c r="Q318" s="70">
        <v>7.857133401999998E-2</v>
      </c>
    </row>
    <row r="319" spans="3:17" ht="71.25">
      <c r="C319" s="321" t="s">
        <v>23</v>
      </c>
      <c r="D319" s="322"/>
      <c r="E319" s="784"/>
      <c r="F319" s="323" t="s">
        <v>366</v>
      </c>
      <c r="G319" s="319" t="str">
        <f>IFERROR(IF(E319="","",IF(F319="Direct-from-manufacturer",(E319*H319/1000*'Reporting Year &amp; Inflation Adj.'!$F$9),(E319*I319/1000*'Reporting Year &amp; Inflation Adj.'!$F$9))),"")</f>
        <v/>
      </c>
      <c r="H319" s="805">
        <v>0.14446141444999999</v>
      </c>
      <c r="I319" s="806">
        <v>0.14446141444999999</v>
      </c>
      <c r="J319" s="807">
        <v>0</v>
      </c>
      <c r="K319" s="68">
        <v>541700</v>
      </c>
      <c r="L319" s="68" t="s">
        <v>3623</v>
      </c>
      <c r="M319" s="69" t="s">
        <v>981</v>
      </c>
      <c r="N319" s="69" t="s">
        <v>1650</v>
      </c>
      <c r="O319" s="70">
        <v>0.15820628903999998</v>
      </c>
      <c r="P319" s="70">
        <v>0</v>
      </c>
      <c r="Q319" s="70">
        <v>0.15820628903999998</v>
      </c>
    </row>
    <row r="320" spans="3:17" ht="57">
      <c r="C320" s="321" t="s">
        <v>665</v>
      </c>
      <c r="D320" s="322"/>
      <c r="E320" s="784"/>
      <c r="F320" s="325"/>
      <c r="G320" s="319" t="str">
        <f>IFERROR(IF(E320="","",IF(F320="Direct-from-manufacturer",(E320*H320/1000*'Reporting Year &amp; Inflation Adj.'!$F$9),(E320*I320/1000*'Reporting Year &amp; Inflation Adj.'!$F$9))),"")</f>
        <v/>
      </c>
      <c r="H320" s="805">
        <v>0.18386147517499998</v>
      </c>
      <c r="I320" s="806">
        <v>0.20641237660500003</v>
      </c>
      <c r="J320" s="807">
        <v>0.10974550364947092</v>
      </c>
      <c r="K320" s="68">
        <v>332720</v>
      </c>
      <c r="L320" s="68" t="s">
        <v>3624</v>
      </c>
      <c r="M320" s="69" t="s">
        <v>440</v>
      </c>
      <c r="N320" s="69" t="s">
        <v>664</v>
      </c>
      <c r="O320" s="70">
        <v>0.22279828508999999</v>
      </c>
      <c r="P320" s="70">
        <v>2.6651160540000007E-2</v>
      </c>
      <c r="Q320" s="70">
        <v>0.24924633873999999</v>
      </c>
    </row>
    <row r="321" spans="3:17" ht="85.5">
      <c r="C321" s="321" t="s">
        <v>469</v>
      </c>
      <c r="D321" s="322"/>
      <c r="E321" s="784"/>
      <c r="F321" s="325"/>
      <c r="G321" s="319" t="str">
        <f>IFERROR(IF(E321="","",IF(F321="Direct-from-manufacturer",(E321*H321/1000*'Reporting Year &amp; Inflation Adj.'!$F$9),(E321*I321/1000*'Reporting Year &amp; Inflation Adj.'!$F$9))),"")</f>
        <v/>
      </c>
      <c r="H321" s="805">
        <v>0.24123004120000002</v>
      </c>
      <c r="I321" s="806">
        <v>0.26730087316500001</v>
      </c>
      <c r="J321" s="807">
        <v>9.8359164052452389E-2</v>
      </c>
      <c r="K321" s="68">
        <v>311700</v>
      </c>
      <c r="L321" s="68" t="s">
        <v>3625</v>
      </c>
      <c r="M321" s="69" t="s">
        <v>440</v>
      </c>
      <c r="N321" s="69" t="s">
        <v>471</v>
      </c>
      <c r="O321" s="70">
        <v>0.24211876826599998</v>
      </c>
      <c r="P321" s="70">
        <v>2.7034874819999999E-2</v>
      </c>
      <c r="Q321" s="70">
        <v>0.26924377116999998</v>
      </c>
    </row>
    <row r="322" spans="3:17" ht="99.75">
      <c r="C322" s="321" t="s">
        <v>482</v>
      </c>
      <c r="D322" s="322"/>
      <c r="E322" s="784"/>
      <c r="F322" s="325"/>
      <c r="G322" s="319" t="str">
        <f>IFERROR(IF(E322="","",IF(F322="Direct-from-manufacturer",(E322*H322/1000*'Reporting Year &amp; Inflation Adj.'!$F$9),(E322*I322/1000*'Reporting Year &amp; Inflation Adj.'!$F$9))),"")</f>
        <v/>
      </c>
      <c r="H322" s="805">
        <v>0.25757074859000001</v>
      </c>
      <c r="I322" s="806">
        <v>0.29299504563000001</v>
      </c>
      <c r="J322" s="807">
        <v>0.1217814994901284</v>
      </c>
      <c r="K322" s="68">
        <v>311940</v>
      </c>
      <c r="L322" s="68" t="s">
        <v>3626</v>
      </c>
      <c r="M322" s="69" t="s">
        <v>440</v>
      </c>
      <c r="N322" s="69" t="s">
        <v>479</v>
      </c>
      <c r="O322" s="70">
        <v>0.30880552889000012</v>
      </c>
      <c r="P322" s="70">
        <v>4.0835578340000005E-2</v>
      </c>
      <c r="Q322" s="70">
        <v>0.34950990846999991</v>
      </c>
    </row>
    <row r="323" spans="3:17" ht="156.75">
      <c r="C323" s="321" t="s">
        <v>627</v>
      </c>
      <c r="D323" s="322"/>
      <c r="E323" s="784"/>
      <c r="F323" s="325"/>
      <c r="G323" s="319" t="str">
        <f>IFERROR(IF(E323="","",IF(F323="Direct-from-manufacturer",(E323*H323/1000*'Reporting Year &amp; Inflation Adj.'!$F$9),(E323*I323/1000*'Reporting Year &amp; Inflation Adj.'!$F$9))),"")</f>
        <v/>
      </c>
      <c r="H323" s="805">
        <v>0.76708773340499992</v>
      </c>
      <c r="I323" s="806">
        <v>0.79138941594999979</v>
      </c>
      <c r="J323" s="807">
        <v>3.0124676707208135E-2</v>
      </c>
      <c r="K323" s="68" t="s">
        <v>628</v>
      </c>
      <c r="L323" s="68" t="s">
        <v>3627</v>
      </c>
      <c r="M323" s="69" t="s">
        <v>440</v>
      </c>
      <c r="N323" s="69" t="s">
        <v>626</v>
      </c>
      <c r="O323" s="70">
        <v>0.70626089218999999</v>
      </c>
      <c r="P323" s="70">
        <v>2.1201341824999997E-2</v>
      </c>
      <c r="Q323" s="70">
        <v>0.72777907005999998</v>
      </c>
    </row>
    <row r="324" spans="3:17" ht="71.25">
      <c r="C324" s="321" t="s">
        <v>632</v>
      </c>
      <c r="D324" s="322"/>
      <c r="E324" s="784"/>
      <c r="F324" s="325"/>
      <c r="G324" s="319" t="str">
        <f>IFERROR(IF(E324="","",IF(F324="Direct-from-manufacturer",(E324*H324/1000*'Reporting Year &amp; Inflation Adj.'!$F$9),(E324*I324/1000*'Reporting Year &amp; Inflation Adj.'!$F$9))),"")</f>
        <v/>
      </c>
      <c r="H324" s="805">
        <v>0.31782797721499995</v>
      </c>
      <c r="I324" s="806">
        <v>0.33641808841000004</v>
      </c>
      <c r="J324" s="807">
        <v>5.3667173115841682E-2</v>
      </c>
      <c r="K324" s="68">
        <v>331420</v>
      </c>
      <c r="L324" s="68" t="s">
        <v>3628</v>
      </c>
      <c r="M324" s="69" t="s">
        <v>440</v>
      </c>
      <c r="N324" s="69" t="s">
        <v>631</v>
      </c>
      <c r="O324" s="70">
        <v>0.31700213457000004</v>
      </c>
      <c r="P324" s="70">
        <v>1.8743245710000002E-2</v>
      </c>
      <c r="Q324" s="70">
        <v>0.33595611052999996</v>
      </c>
    </row>
    <row r="325" spans="3:17" ht="42.75">
      <c r="C325" s="321" t="s">
        <v>621</v>
      </c>
      <c r="D325" s="322"/>
      <c r="E325" s="784"/>
      <c r="F325" s="325"/>
      <c r="G325" s="319" t="str">
        <f>IFERROR(IF(E325="","",IF(F325="Direct-from-manufacturer",(E325*H325/1000*'Reporting Year &amp; Inflation Adj.'!$F$9),(E325*I325/1000*'Reporting Year &amp; Inflation Adj.'!$F$9))),"")</f>
        <v/>
      </c>
      <c r="H325" s="805">
        <v>0.37400579378000004</v>
      </c>
      <c r="I325" s="806">
        <v>0.39284536914500001</v>
      </c>
      <c r="J325" s="807">
        <v>4.9729318223907186E-2</v>
      </c>
      <c r="K325" s="68">
        <v>331200</v>
      </c>
      <c r="L325" s="68" t="s">
        <v>3629</v>
      </c>
      <c r="M325" s="69" t="s">
        <v>440</v>
      </c>
      <c r="N325" s="69" t="s">
        <v>623</v>
      </c>
      <c r="O325" s="70">
        <v>0.34387831744999997</v>
      </c>
      <c r="P325" s="70">
        <v>1.6913450738999997E-2</v>
      </c>
      <c r="Q325" s="70">
        <v>0.36146774197000003</v>
      </c>
    </row>
    <row r="326" spans="3:17" ht="99.75">
      <c r="C326" s="321" t="s">
        <v>948</v>
      </c>
      <c r="D326" s="322"/>
      <c r="E326" s="784"/>
      <c r="F326" s="323" t="s">
        <v>366</v>
      </c>
      <c r="G326" s="319" t="str">
        <f>IFERROR(IF(E326="","",IF(F326="Direct-from-manufacturer",(E326*H326/1000*'Reporting Year &amp; Inflation Adj.'!$F$9),(E326*I326/1000*'Reporting Year &amp; Inflation Adj.'!$F$9))),"")</f>
        <v/>
      </c>
      <c r="H326" s="805">
        <v>3.7843715799999997E-2</v>
      </c>
      <c r="I326" s="806">
        <v>3.7843715799999997E-2</v>
      </c>
      <c r="J326" s="807">
        <v>0</v>
      </c>
      <c r="K326" s="68" t="s">
        <v>949</v>
      </c>
      <c r="L326" s="68" t="s">
        <v>3630</v>
      </c>
      <c r="M326" s="69" t="s">
        <v>943</v>
      </c>
      <c r="N326" s="69" t="s">
        <v>950</v>
      </c>
      <c r="O326" s="70">
        <v>4.3303427972E-2</v>
      </c>
      <c r="P326" s="70">
        <v>0</v>
      </c>
      <c r="Q326" s="70">
        <v>4.3303427972E-2</v>
      </c>
    </row>
    <row r="327" spans="3:17" ht="42.75">
      <c r="C327" s="321" t="s">
        <v>688</v>
      </c>
      <c r="D327" s="322"/>
      <c r="E327" s="784"/>
      <c r="F327" s="325"/>
      <c r="G327" s="319" t="str">
        <f>IFERROR(IF(E327="","",IF(F327="Direct-from-manufacturer",(E327*H327/1000*'Reporting Year &amp; Inflation Adj.'!$F$9),(E327*I327/1000*'Reporting Year &amp; Inflation Adj.'!$F$9))),"")</f>
        <v/>
      </c>
      <c r="H327" s="805">
        <v>0.11586878079499999</v>
      </c>
      <c r="I327" s="806">
        <v>0.13366218905000002</v>
      </c>
      <c r="J327" s="807">
        <v>0.13455221557289018</v>
      </c>
      <c r="K327" s="68">
        <v>333242</v>
      </c>
      <c r="L327" s="68" t="s">
        <v>3631</v>
      </c>
      <c r="M327" s="69" t="s">
        <v>440</v>
      </c>
      <c r="N327" s="69" t="s">
        <v>687</v>
      </c>
      <c r="O327" s="70">
        <v>0.13155034077000002</v>
      </c>
      <c r="P327" s="70">
        <v>2.0184457319999998E-2</v>
      </c>
      <c r="Q327" s="70">
        <v>0.15094020688000001</v>
      </c>
    </row>
    <row r="328" spans="3:17" ht="57">
      <c r="C328" s="321" t="s">
        <v>740</v>
      </c>
      <c r="D328" s="322"/>
      <c r="E328" s="784"/>
      <c r="F328" s="325"/>
      <c r="G328" s="319" t="str">
        <f>IFERROR(IF(E328="","",IF(F328="Direct-from-manufacturer",(E328*H328/1000*'Reporting Year &amp; Inflation Adj.'!$F$9),(E328*I328/1000*'Reporting Year &amp; Inflation Adj.'!$F$9))),"")</f>
        <v/>
      </c>
      <c r="H328" s="805">
        <v>0.17894751290000002</v>
      </c>
      <c r="I328" s="806">
        <v>0.20616808105000001</v>
      </c>
      <c r="J328" s="807">
        <v>0.13268080156096501</v>
      </c>
      <c r="K328" s="68">
        <v>334413</v>
      </c>
      <c r="L328" s="68" t="s">
        <v>3632</v>
      </c>
      <c r="M328" s="69" t="s">
        <v>440</v>
      </c>
      <c r="N328" s="69" t="s">
        <v>739</v>
      </c>
      <c r="O328" s="70">
        <v>0.19313321034000003</v>
      </c>
      <c r="P328" s="70">
        <v>2.7888705189999998E-2</v>
      </c>
      <c r="Q328" s="70">
        <v>0.22072433416000001</v>
      </c>
    </row>
    <row r="329" spans="3:17" ht="42.75">
      <c r="C329" s="321" t="s">
        <v>831</v>
      </c>
      <c r="D329" s="322"/>
      <c r="E329" s="784"/>
      <c r="F329" s="325"/>
      <c r="G329" s="319" t="str">
        <f>IFERROR(IF(E329="","",IF(F329="Direct-from-manufacturer",(E329*H329/1000*'Reporting Year &amp; Inflation Adj.'!$F$9),(E329*I329/1000*'Reporting Year &amp; Inflation Adj.'!$F$9))),"")</f>
        <v/>
      </c>
      <c r="H329" s="805">
        <v>0.19042906213499999</v>
      </c>
      <c r="I329" s="806">
        <v>0.22953425472499997</v>
      </c>
      <c r="J329" s="807">
        <v>0.17343773983841926</v>
      </c>
      <c r="K329" s="68">
        <v>337215</v>
      </c>
      <c r="L329" s="68" t="s">
        <v>3633</v>
      </c>
      <c r="M329" s="69" t="s">
        <v>440</v>
      </c>
      <c r="N329" s="69" t="s">
        <v>830</v>
      </c>
      <c r="O329" s="70">
        <v>0.20780614905</v>
      </c>
      <c r="P329" s="70">
        <v>4.0220665199999998E-2</v>
      </c>
      <c r="Q329" s="70">
        <v>0.24761506733000005</v>
      </c>
    </row>
    <row r="330" spans="3:17" ht="85.5">
      <c r="C330" s="321" t="s">
        <v>811</v>
      </c>
      <c r="D330" s="322"/>
      <c r="E330" s="784"/>
      <c r="F330" s="325"/>
      <c r="G330" s="319" t="str">
        <f>IFERROR(IF(E330="","",IF(F330="Direct-from-manufacturer",(E330*H330/1000*'Reporting Year &amp; Inflation Adj.'!$F$9),(E330*I330/1000*'Reporting Year &amp; Inflation Adj.'!$F$9))),"")</f>
        <v/>
      </c>
      <c r="H330" s="805">
        <v>0.17359843200499997</v>
      </c>
      <c r="I330" s="806">
        <v>0.181695725255</v>
      </c>
      <c r="J330" s="807">
        <v>4.4125099009611264E-2</v>
      </c>
      <c r="K330" s="68">
        <v>336611</v>
      </c>
      <c r="L330" s="68" t="s">
        <v>3634</v>
      </c>
      <c r="M330" s="69" t="s">
        <v>440</v>
      </c>
      <c r="N330" s="69" t="s">
        <v>813</v>
      </c>
      <c r="O330" s="70">
        <v>0.18831353233000003</v>
      </c>
      <c r="P330" s="70">
        <v>8.2884800729999993E-3</v>
      </c>
      <c r="Q330" s="70">
        <v>0.19654816274</v>
      </c>
    </row>
    <row r="331" spans="3:17" ht="71.25">
      <c r="C331" s="321" t="s">
        <v>750</v>
      </c>
      <c r="D331" s="322"/>
      <c r="E331" s="784"/>
      <c r="F331" s="325"/>
      <c r="G331" s="319" t="str">
        <f>IFERROR(IF(E331="","",IF(F331="Direct-from-manufacturer",(E331*H331/1000*'Reporting Year &amp; Inflation Adj.'!$F$9),(E331*I331/1000*'Reporting Year &amp; Inflation Adj.'!$F$9))),"")</f>
        <v/>
      </c>
      <c r="H331" s="805">
        <v>5.0179844224999999E-2</v>
      </c>
      <c r="I331" s="806">
        <v>7.2443507439999999E-2</v>
      </c>
      <c r="J331" s="807">
        <v>0.30710196926102895</v>
      </c>
      <c r="K331" s="68">
        <v>334515</v>
      </c>
      <c r="L331" s="68" t="s">
        <v>3635</v>
      </c>
      <c r="M331" s="69" t="s">
        <v>440</v>
      </c>
      <c r="N331" s="69" t="s">
        <v>745</v>
      </c>
      <c r="O331" s="70">
        <v>5.5888787369999998E-2</v>
      </c>
      <c r="P331" s="70">
        <v>2.4269926989999992E-2</v>
      </c>
      <c r="Q331" s="70">
        <v>8.014884186E-2</v>
      </c>
    </row>
    <row r="332" spans="3:17" ht="42.75">
      <c r="C332" s="321" t="s">
        <v>849</v>
      </c>
      <c r="D332" s="322"/>
      <c r="E332" s="784"/>
      <c r="F332" s="325"/>
      <c r="G332" s="319" t="str">
        <f>IFERROR(IF(E332="","",IF(F332="Direct-from-manufacturer",(E332*H332/1000*'Reporting Year &amp; Inflation Adj.'!$F$9),(E332*I332/1000*'Reporting Year &amp; Inflation Adj.'!$F$9))),"")</f>
        <v/>
      </c>
      <c r="H332" s="805">
        <v>0.1502348379</v>
      </c>
      <c r="I332" s="806">
        <v>0.20550840404999995</v>
      </c>
      <c r="J332" s="807">
        <v>0.26750122784090596</v>
      </c>
      <c r="K332" s="68">
        <v>339950</v>
      </c>
      <c r="L332" s="68" t="s">
        <v>3636</v>
      </c>
      <c r="M332" s="69" t="s">
        <v>440</v>
      </c>
      <c r="N332" s="69" t="s">
        <v>845</v>
      </c>
      <c r="O332" s="70">
        <v>0.18868030039000003</v>
      </c>
      <c r="P332" s="70">
        <v>6.3338243379999992E-2</v>
      </c>
      <c r="Q332" s="70">
        <v>0.25110568018000001</v>
      </c>
    </row>
    <row r="333" spans="3:17" ht="28.5">
      <c r="C333" s="321" t="s">
        <v>396</v>
      </c>
      <c r="D333" s="322"/>
      <c r="E333" s="784"/>
      <c r="F333" s="323" t="s">
        <v>366</v>
      </c>
      <c r="G333" s="319" t="str">
        <f>IFERROR(IF(E333="","",IF(F333="Direct-from-manufacturer",(E333*H333/1000*'Reporting Year &amp; Inflation Adj.'!$F$9),(E333*I333/1000*'Reporting Year &amp; Inflation Adj.'!$F$9))),"")</f>
        <v/>
      </c>
      <c r="H333" s="805">
        <v>0.17577831377000003</v>
      </c>
      <c r="I333" s="806">
        <v>0.17577831377000003</v>
      </c>
      <c r="J333" s="807">
        <v>0</v>
      </c>
      <c r="K333" s="68">
        <v>233411</v>
      </c>
      <c r="L333" s="68" t="s">
        <v>3637</v>
      </c>
      <c r="M333" s="69" t="s">
        <v>397</v>
      </c>
      <c r="N333" s="69" t="s">
        <v>398</v>
      </c>
      <c r="O333" s="70">
        <v>0.19466775624999999</v>
      </c>
      <c r="P333" s="70">
        <v>0</v>
      </c>
      <c r="Q333" s="70">
        <v>0.19466775624999999</v>
      </c>
    </row>
    <row r="334" spans="3:17" ht="42.75">
      <c r="C334" s="321" t="s">
        <v>762</v>
      </c>
      <c r="D334" s="322"/>
      <c r="E334" s="784"/>
      <c r="F334" s="325"/>
      <c r="G334" s="319" t="str">
        <f>IFERROR(IF(E334="","",IF(F334="Direct-from-manufacturer",(E334*H334/1000*'Reporting Year &amp; Inflation Adj.'!$F$9),(E334*I334/1000*'Reporting Year &amp; Inflation Adj.'!$F$9))),"")</f>
        <v/>
      </c>
      <c r="H334" s="805">
        <v>9.6044082635000028E-2</v>
      </c>
      <c r="I334" s="806">
        <v>0.14624881850000004</v>
      </c>
      <c r="J334" s="807">
        <v>0.33957151828204341</v>
      </c>
      <c r="K334" s="68">
        <v>335210</v>
      </c>
      <c r="L334" s="68" t="s">
        <v>3638</v>
      </c>
      <c r="M334" s="69" t="s">
        <v>440</v>
      </c>
      <c r="N334" s="69" t="s">
        <v>764</v>
      </c>
      <c r="O334" s="70">
        <v>0.10672150632999999</v>
      </c>
      <c r="P334" s="70">
        <v>5.1653949490000003E-2</v>
      </c>
      <c r="Q334" s="70">
        <v>0.15875794962000001</v>
      </c>
    </row>
    <row r="335" spans="3:17" ht="99.75">
      <c r="C335" s="321" t="s">
        <v>477</v>
      </c>
      <c r="D335" s="322"/>
      <c r="E335" s="784"/>
      <c r="F335" s="325"/>
      <c r="G335" s="319" t="str">
        <f>IFERROR(IF(E335="","",IF(F335="Direct-from-manufacturer",(E335*H335/1000*'Reporting Year &amp; Inflation Adj.'!$F$9),(E335*I335/1000*'Reporting Year &amp; Inflation Adj.'!$F$9))),"")</f>
        <v/>
      </c>
      <c r="H335" s="805">
        <v>0.25900447280000005</v>
      </c>
      <c r="I335" s="806">
        <v>0.29359258725000004</v>
      </c>
      <c r="J335" s="807">
        <v>0.12041202545722654</v>
      </c>
      <c r="K335" s="68">
        <v>311910</v>
      </c>
      <c r="L335" s="68" t="s">
        <v>3639</v>
      </c>
      <c r="M335" s="69" t="s">
        <v>440</v>
      </c>
      <c r="N335" s="69" t="s">
        <v>479</v>
      </c>
      <c r="O335" s="70">
        <v>0.33439815518999999</v>
      </c>
      <c r="P335" s="70">
        <v>4.3979837639999998E-2</v>
      </c>
      <c r="Q335" s="70">
        <v>0.37825934170999997</v>
      </c>
    </row>
    <row r="336" spans="3:17" ht="57">
      <c r="C336" s="321" t="s">
        <v>573</v>
      </c>
      <c r="D336" s="322"/>
      <c r="E336" s="784"/>
      <c r="F336" s="325"/>
      <c r="G336" s="319" t="str">
        <f>IFERROR(IF(E336="","",IF(F336="Direct-from-manufacturer",(E336*H336/1000*'Reporting Year &amp; Inflation Adj.'!$F$9),(E336*I336/1000*'Reporting Year &amp; Inflation Adj.'!$F$9))),"")</f>
        <v/>
      </c>
      <c r="H336" s="805">
        <v>0.2559034811</v>
      </c>
      <c r="I336" s="806">
        <v>0.2912554255</v>
      </c>
      <c r="J336" s="807">
        <v>0.12186325636361409</v>
      </c>
      <c r="K336" s="68">
        <v>325610</v>
      </c>
      <c r="L336" s="68" t="s">
        <v>3640</v>
      </c>
      <c r="M336" s="69" t="s">
        <v>440</v>
      </c>
      <c r="N336" s="69" t="s">
        <v>575</v>
      </c>
      <c r="O336" s="70">
        <v>0.32500165347999999</v>
      </c>
      <c r="P336" s="70">
        <v>4.0063292020000002E-2</v>
      </c>
      <c r="Q336" s="70">
        <v>0.3653817417200001</v>
      </c>
    </row>
    <row r="337" spans="3:17" ht="42.75">
      <c r="C337" s="321" t="s">
        <v>484</v>
      </c>
      <c r="D337" s="322"/>
      <c r="E337" s="784"/>
      <c r="F337" s="325"/>
      <c r="G337" s="319" t="str">
        <f>IFERROR(IF(E337="","",IF(F337="Direct-from-manufacturer",(E337*H337/1000*'Reporting Year &amp; Inflation Adj.'!$F$9),(E337*I337/1000*'Reporting Year &amp; Inflation Adj.'!$F$9))),"")</f>
        <v/>
      </c>
      <c r="H337" s="805">
        <v>0.13692032611000002</v>
      </c>
      <c r="I337" s="806">
        <v>0.17012560599999996</v>
      </c>
      <c r="J337" s="807">
        <v>0.19458438937169761</v>
      </c>
      <c r="K337" s="68">
        <v>312110</v>
      </c>
      <c r="L337" s="68" t="s">
        <v>3641</v>
      </c>
      <c r="M337" s="69" t="s">
        <v>440</v>
      </c>
      <c r="N337" s="69" t="s">
        <v>486</v>
      </c>
      <c r="O337" s="70">
        <v>0.17481235582000001</v>
      </c>
      <c r="P337" s="70">
        <v>4.2216654900000004E-2</v>
      </c>
      <c r="Q337" s="70">
        <v>0.21651435390000007</v>
      </c>
    </row>
    <row r="338" spans="3:17" ht="71.25">
      <c r="C338" s="321" t="s">
        <v>910</v>
      </c>
      <c r="D338" s="322"/>
      <c r="E338" s="784"/>
      <c r="F338" s="325"/>
      <c r="G338" s="319" t="str">
        <f>IFERROR(IF(E338="","",IF(F338="Direct-from-manufacturer",(E338*H338/1000*'Reporting Year &amp; Inflation Adj.'!$F$9),(E338*I338/1000*'Reporting Year &amp; Inflation Adj.'!$F$9))),"")</f>
        <v/>
      </c>
      <c r="H338" s="805">
        <v>3.2579004410000001E-2</v>
      </c>
      <c r="I338" s="806">
        <v>7.4173864955000002E-2</v>
      </c>
      <c r="J338" s="807">
        <v>0.56113050641558015</v>
      </c>
      <c r="K338" s="68">
        <v>511200</v>
      </c>
      <c r="L338" s="68" t="s">
        <v>3642</v>
      </c>
      <c r="M338" s="69" t="s">
        <v>904</v>
      </c>
      <c r="N338" s="69" t="s">
        <v>912</v>
      </c>
      <c r="O338" s="70">
        <v>3.5854920470000003E-2</v>
      </c>
      <c r="P338" s="70">
        <v>4.5433523160000003E-2</v>
      </c>
      <c r="Q338" s="70">
        <v>8.1184150829999982E-2</v>
      </c>
    </row>
    <row r="339" spans="3:17" ht="28.5">
      <c r="C339" s="321" t="s">
        <v>916</v>
      </c>
      <c r="D339" s="322"/>
      <c r="E339" s="784"/>
      <c r="F339" s="325"/>
      <c r="G339" s="319" t="str">
        <f>IFERROR(IF(E339="","",IF(F339="Direct-from-manufacturer",(E339*H339/1000*'Reporting Year &amp; Inflation Adj.'!$F$9),(E339*I339/1000*'Reporting Year &amp; Inflation Adj.'!$F$9))),"")</f>
        <v/>
      </c>
      <c r="H339" s="805">
        <v>2.3915154050000002E-2</v>
      </c>
      <c r="I339" s="806">
        <v>4.0206235659999999E-2</v>
      </c>
      <c r="J339" s="807">
        <v>0.40533022695315912</v>
      </c>
      <c r="K339" s="68">
        <v>512200</v>
      </c>
      <c r="L339" s="68" t="s">
        <v>3643</v>
      </c>
      <c r="M339" s="69" t="s">
        <v>904</v>
      </c>
      <c r="N339" s="69" t="s">
        <v>918</v>
      </c>
      <c r="O339" s="70">
        <v>2.6393777782000007E-2</v>
      </c>
      <c r="P339" s="70">
        <v>1.8227289521000001E-2</v>
      </c>
      <c r="Q339" s="70">
        <v>4.4635745090000012E-2</v>
      </c>
    </row>
    <row r="340" spans="3:17" ht="42.75">
      <c r="C340" s="321" t="s">
        <v>703</v>
      </c>
      <c r="D340" s="322"/>
      <c r="E340" s="784"/>
      <c r="F340" s="325"/>
      <c r="G340" s="319" t="str">
        <f>IFERROR(IF(E340="","",IF(F340="Direct-from-manufacturer",(E340*H340/1000*'Reporting Year &amp; Inflation Adj.'!$F$9),(E340*I340/1000*'Reporting Year &amp; Inflation Adj.'!$F$9))),"")</f>
        <v/>
      </c>
      <c r="H340" s="805">
        <v>0.16208735524000004</v>
      </c>
      <c r="I340" s="806">
        <v>0.18571072511000006</v>
      </c>
      <c r="J340" s="807">
        <v>0.12615173986921491</v>
      </c>
      <c r="K340" s="68">
        <v>333514</v>
      </c>
      <c r="L340" s="68" t="s">
        <v>3644</v>
      </c>
      <c r="M340" s="69" t="s">
        <v>440</v>
      </c>
      <c r="N340" s="69" t="s">
        <v>702</v>
      </c>
      <c r="O340" s="70">
        <v>0.18490337550000002</v>
      </c>
      <c r="P340" s="70">
        <v>2.5839105580000004E-2</v>
      </c>
      <c r="Q340" s="70">
        <v>0.21124523005999998</v>
      </c>
    </row>
    <row r="341" spans="3:17" ht="28.5">
      <c r="C341" s="321" t="s">
        <v>989</v>
      </c>
      <c r="D341" s="322"/>
      <c r="E341" s="784"/>
      <c r="F341" s="323" t="s">
        <v>366</v>
      </c>
      <c r="G341" s="319" t="str">
        <f>IFERROR(IF(E341="","",IF(F341="Direct-from-manufacturer",(E341*H341/1000*'Reporting Year &amp; Inflation Adj.'!$F$9),(E341*I341/1000*'Reporting Year &amp; Inflation Adj.'!$F$9))),"")</f>
        <v/>
      </c>
      <c r="H341" s="805">
        <v>8.7515767984999979E-2</v>
      </c>
      <c r="I341" s="806">
        <v>8.7515767984999979E-2</v>
      </c>
      <c r="J341" s="807">
        <v>0</v>
      </c>
      <c r="K341" s="68">
        <v>541400</v>
      </c>
      <c r="L341" s="68" t="s">
        <v>3645</v>
      </c>
      <c r="M341" s="69" t="s">
        <v>981</v>
      </c>
      <c r="N341" s="69" t="s">
        <v>991</v>
      </c>
      <c r="O341" s="70">
        <v>9.4893597570000029E-2</v>
      </c>
      <c r="P341" s="70">
        <v>0</v>
      </c>
      <c r="Q341" s="70">
        <v>9.4893597570000029E-2</v>
      </c>
    </row>
    <row r="342" spans="3:17" ht="57">
      <c r="C342" s="321" t="s">
        <v>765</v>
      </c>
      <c r="D342" s="322"/>
      <c r="E342" s="784"/>
      <c r="F342" s="325"/>
      <c r="G342" s="319" t="str">
        <f>IFERROR(IF(E342="","",IF(F342="Direct-from-manufacturer",(E342*H342/1000*'Reporting Year &amp; Inflation Adj.'!$F$9),(E342*I342/1000*'Reporting Year &amp; Inflation Adj.'!$F$9))),"")</f>
        <v/>
      </c>
      <c r="H342" s="805">
        <v>9.9984565235000003E-2</v>
      </c>
      <c r="I342" s="806">
        <v>0.11261668092499999</v>
      </c>
      <c r="J342" s="807">
        <v>0.11582294135170547</v>
      </c>
      <c r="K342" s="68">
        <v>335311</v>
      </c>
      <c r="L342" s="68" t="s">
        <v>3646</v>
      </c>
      <c r="M342" s="69" t="s">
        <v>440</v>
      </c>
      <c r="N342" s="69" t="s">
        <v>767</v>
      </c>
      <c r="O342" s="70">
        <v>0.11876676388</v>
      </c>
      <c r="P342" s="70">
        <v>1.5369218896999997E-2</v>
      </c>
      <c r="Q342" s="70">
        <v>0.13364481585999996</v>
      </c>
    </row>
    <row r="343" spans="3:17" ht="71.25">
      <c r="C343" s="321" t="s">
        <v>710</v>
      </c>
      <c r="D343" s="322"/>
      <c r="E343" s="784"/>
      <c r="F343" s="325"/>
      <c r="G343" s="319" t="str">
        <f>IFERROR(IF(E343="","",IF(F343="Direct-from-manufacturer",(E343*H343/1000*'Reporting Year &amp; Inflation Adj.'!$F$9),(E343*I343/1000*'Reporting Year &amp; Inflation Adj.'!$F$9))),"")</f>
        <v/>
      </c>
      <c r="H343" s="805">
        <v>0.13750313211500004</v>
      </c>
      <c r="I343" s="806">
        <v>0.15167449485499998</v>
      </c>
      <c r="J343" s="807">
        <v>9.2120638136012886E-2</v>
      </c>
      <c r="K343" s="68">
        <v>333612</v>
      </c>
      <c r="L343" s="68" t="s">
        <v>3647</v>
      </c>
      <c r="M343" s="69" t="s">
        <v>440</v>
      </c>
      <c r="N343" s="69" t="s">
        <v>709</v>
      </c>
      <c r="O343" s="70">
        <v>0.16449278955999999</v>
      </c>
      <c r="P343" s="70">
        <v>1.5745833661000002E-2</v>
      </c>
      <c r="Q343" s="70">
        <v>0.18016226941000002</v>
      </c>
    </row>
    <row r="344" spans="3:17" ht="42.75">
      <c r="C344" s="321" t="s">
        <v>846</v>
      </c>
      <c r="D344" s="322"/>
      <c r="E344" s="784"/>
      <c r="F344" s="325"/>
      <c r="G344" s="319" t="str">
        <f>IFERROR(IF(E344="","",IF(F344="Direct-from-manufacturer",(E344*H344/1000*'Reporting Year &amp; Inflation Adj.'!$F$9),(E344*I344/1000*'Reporting Year &amp; Inflation Adj.'!$F$9))),"")</f>
        <v/>
      </c>
      <c r="H344" s="805">
        <v>9.2296552665000003E-2</v>
      </c>
      <c r="I344" s="806">
        <v>0.15027903540000004</v>
      </c>
      <c r="J344" s="807">
        <v>0.38299411615733586</v>
      </c>
      <c r="K344" s="68">
        <v>339920</v>
      </c>
      <c r="L344" s="68" t="s">
        <v>3648</v>
      </c>
      <c r="M344" s="69" t="s">
        <v>440</v>
      </c>
      <c r="N344" s="69" t="s">
        <v>845</v>
      </c>
      <c r="O344" s="70">
        <v>0.10437189890000004</v>
      </c>
      <c r="P344" s="70">
        <v>6.4242298369999992E-2</v>
      </c>
      <c r="Q344" s="70">
        <v>0.16901058745</v>
      </c>
    </row>
    <row r="345" spans="3:17" ht="128.25">
      <c r="C345" s="321" t="s">
        <v>283</v>
      </c>
      <c r="D345" s="322"/>
      <c r="E345" s="784"/>
      <c r="F345" s="323" t="s">
        <v>366</v>
      </c>
      <c r="G345" s="319" t="str">
        <f>IFERROR(IF(E345="","",IF(F345="Direct-from-manufacturer",(E345*H345/1000*'Reporting Year &amp; Inflation Adj.'!$F$9),(E345*I345/1000*'Reporting Year &amp; Inflation Adj.'!$F$9))),"")</f>
        <v/>
      </c>
      <c r="H345" s="805">
        <v>5.4316845785000012E-2</v>
      </c>
      <c r="I345" s="806">
        <v>5.4316845785000012E-2</v>
      </c>
      <c r="J345" s="807">
        <v>0</v>
      </c>
      <c r="K345" s="68">
        <v>711200</v>
      </c>
      <c r="L345" s="68" t="s">
        <v>3649</v>
      </c>
      <c r="M345" s="69" t="s">
        <v>1071</v>
      </c>
      <c r="N345" s="69" t="s">
        <v>1073</v>
      </c>
      <c r="O345" s="70">
        <v>6.743143041800001E-2</v>
      </c>
      <c r="P345" s="70">
        <v>0</v>
      </c>
      <c r="Q345" s="70">
        <v>6.743143041800001E-2</v>
      </c>
    </row>
    <row r="346" spans="3:17" ht="57">
      <c r="C346" s="321" t="s">
        <v>659</v>
      </c>
      <c r="D346" s="322"/>
      <c r="E346" s="784"/>
      <c r="F346" s="325"/>
      <c r="G346" s="319" t="str">
        <f>IFERROR(IF(E346="","",IF(F346="Direct-from-manufacturer",(E346*H346/1000*'Reporting Year &amp; Inflation Adj.'!$F$9),(E346*I346/1000*'Reporting Year &amp; Inflation Adj.'!$F$9))),"")</f>
        <v/>
      </c>
      <c r="H346" s="805">
        <v>0.19788211394500002</v>
      </c>
      <c r="I346" s="806">
        <v>0.21073330875500002</v>
      </c>
      <c r="J346" s="807">
        <v>6.1548484658774938E-2</v>
      </c>
      <c r="K346" s="68">
        <v>332600</v>
      </c>
      <c r="L346" s="68" t="s">
        <v>3650</v>
      </c>
      <c r="M346" s="69" t="s">
        <v>440</v>
      </c>
      <c r="N346" s="69" t="s">
        <v>661</v>
      </c>
      <c r="O346" s="70">
        <v>0.21969225398000003</v>
      </c>
      <c r="P346" s="70">
        <v>1.3756170960999998E-2</v>
      </c>
      <c r="Q346" s="70">
        <v>0.23385933550999999</v>
      </c>
    </row>
    <row r="347" spans="3:17" ht="42.75">
      <c r="C347" s="321" t="s">
        <v>535</v>
      </c>
      <c r="D347" s="322"/>
      <c r="E347" s="784"/>
      <c r="F347" s="325"/>
      <c r="G347" s="319" t="str">
        <f>IFERROR(IF(E347="","",IF(F347="Direct-from-manufacturer",(E347*H347/1000*'Reporting Year &amp; Inflation Adj.'!$F$9),(E347*I347/1000*'Reporting Year &amp; Inflation Adj.'!$F$9))),"")</f>
        <v/>
      </c>
      <c r="H347" s="805">
        <v>0.23170521500500002</v>
      </c>
      <c r="I347" s="806">
        <v>0.26090053294999987</v>
      </c>
      <c r="J347" s="807">
        <v>0.10999648195620912</v>
      </c>
      <c r="K347" s="68">
        <v>322230</v>
      </c>
      <c r="L347" s="68" t="s">
        <v>3651</v>
      </c>
      <c r="M347" s="69" t="s">
        <v>440</v>
      </c>
      <c r="N347" s="69" t="s">
        <v>533</v>
      </c>
      <c r="O347" s="70">
        <v>0.26653690626999998</v>
      </c>
      <c r="P347" s="70">
        <v>3.1294839549999995E-2</v>
      </c>
      <c r="Q347" s="70">
        <v>0.29841902962000011</v>
      </c>
    </row>
    <row r="348" spans="3:17" ht="57">
      <c r="C348" s="321" t="s">
        <v>771</v>
      </c>
      <c r="D348" s="322"/>
      <c r="E348" s="784"/>
      <c r="F348" s="325"/>
      <c r="G348" s="319" t="str">
        <f>IFERROR(IF(E348="","",IF(F348="Direct-from-manufacturer",(E348*H348/1000*'Reporting Year &amp; Inflation Adj.'!$F$9),(E348*I348/1000*'Reporting Year &amp; Inflation Adj.'!$F$9))),"")</f>
        <v/>
      </c>
      <c r="H348" s="805">
        <v>0.24495941232500004</v>
      </c>
      <c r="I348" s="806">
        <v>0.26781332346999992</v>
      </c>
      <c r="J348" s="807">
        <v>8.7929973142795895E-2</v>
      </c>
      <c r="K348" s="68">
        <v>335911</v>
      </c>
      <c r="L348" s="68" t="s">
        <v>3652</v>
      </c>
      <c r="M348" s="69" t="s">
        <v>440</v>
      </c>
      <c r="N348" s="69" t="s">
        <v>773</v>
      </c>
      <c r="O348" s="70">
        <v>0.31302456237999998</v>
      </c>
      <c r="P348" s="70">
        <v>2.5879296299999997E-2</v>
      </c>
      <c r="Q348" s="70">
        <v>0.33830367888000007</v>
      </c>
    </row>
    <row r="349" spans="3:17" ht="57">
      <c r="C349" s="321" t="s">
        <v>450</v>
      </c>
      <c r="D349" s="322"/>
      <c r="E349" s="784"/>
      <c r="F349" s="325"/>
      <c r="G349" s="319" t="str">
        <f>IFERROR(IF(E349="","",IF(F349="Direct-from-manufacturer",(E349*H349/1000*'Reporting Year &amp; Inflation Adj.'!$F$9),(E349*I349/1000*'Reporting Year &amp; Inflation Adj.'!$F$9))),"")</f>
        <v/>
      </c>
      <c r="H349" s="805">
        <v>0.33055147623000003</v>
      </c>
      <c r="I349" s="806">
        <v>0.36099195298000009</v>
      </c>
      <c r="J349" s="807">
        <v>8.4337012483729032E-2</v>
      </c>
      <c r="K349" s="68">
        <v>311300</v>
      </c>
      <c r="L349" s="68" t="s">
        <v>3653</v>
      </c>
      <c r="M349" s="69" t="s">
        <v>440</v>
      </c>
      <c r="N349" s="69" t="s">
        <v>452</v>
      </c>
      <c r="O349" s="70">
        <v>0.44729847981000004</v>
      </c>
      <c r="P349" s="70">
        <v>4.031134351E-2</v>
      </c>
      <c r="Q349" s="70">
        <v>0.4876606376</v>
      </c>
    </row>
    <row r="350" spans="3:17" ht="71.25">
      <c r="C350" s="321" t="s">
        <v>836</v>
      </c>
      <c r="D350" s="322"/>
      <c r="E350" s="784"/>
      <c r="F350" s="325"/>
      <c r="G350" s="319" t="str">
        <f>IFERROR(IF(E350="","",IF(F350="Direct-from-manufacturer",(E350*H350/1000*'Reporting Year &amp; Inflation Adj.'!$F$9),(E350*I350/1000*'Reporting Year &amp; Inflation Adj.'!$F$9))),"")</f>
        <v/>
      </c>
      <c r="H350" s="805">
        <v>0.10288027978999999</v>
      </c>
      <c r="I350" s="806">
        <v>0.13594991909999998</v>
      </c>
      <c r="J350" s="807">
        <v>0.2425174100011657</v>
      </c>
      <c r="K350" s="68">
        <v>339112</v>
      </c>
      <c r="L350" s="68" t="s">
        <v>3654</v>
      </c>
      <c r="M350" s="69" t="s">
        <v>440</v>
      </c>
      <c r="N350" s="69" t="s">
        <v>838</v>
      </c>
      <c r="O350" s="70">
        <v>0.12011926065999999</v>
      </c>
      <c r="P350" s="70">
        <v>3.7060093000000002E-2</v>
      </c>
      <c r="Q350" s="70">
        <v>0.15715856869000003</v>
      </c>
    </row>
    <row r="351" spans="3:17" ht="57">
      <c r="C351" s="321" t="s">
        <v>839</v>
      </c>
      <c r="D351" s="322"/>
      <c r="E351" s="784"/>
      <c r="F351" s="325"/>
      <c r="G351" s="319" t="str">
        <f>IFERROR(IF(E351="","",IF(F351="Direct-from-manufacturer",(E351*H351/1000*'Reporting Year &amp; Inflation Adj.'!$F$9),(E351*I351/1000*'Reporting Year &amp; Inflation Adj.'!$F$9))),"")</f>
        <v/>
      </c>
      <c r="H351" s="805">
        <v>8.2925477965000008E-2</v>
      </c>
      <c r="I351" s="806">
        <v>0.12213769005000001</v>
      </c>
      <c r="J351" s="807">
        <v>0.32172793958125123</v>
      </c>
      <c r="K351" s="68">
        <v>339113</v>
      </c>
      <c r="L351" s="68" t="s">
        <v>3655</v>
      </c>
      <c r="M351" s="69" t="s">
        <v>440</v>
      </c>
      <c r="N351" s="69" t="s">
        <v>838</v>
      </c>
      <c r="O351" s="70">
        <v>9.6384911100000012E-2</v>
      </c>
      <c r="P351" s="70">
        <v>4.5074250099999991E-2</v>
      </c>
      <c r="Q351" s="70">
        <v>0.14194901230000004</v>
      </c>
    </row>
    <row r="352" spans="3:17" ht="42.75">
      <c r="C352" s="321" t="s">
        <v>769</v>
      </c>
      <c r="D352" s="322"/>
      <c r="E352" s="784"/>
      <c r="F352" s="325"/>
      <c r="G352" s="319" t="str">
        <f>IFERROR(IF(E352="","",IF(F352="Direct-from-manufacturer",(E352*H352/1000*'Reporting Year &amp; Inflation Adj.'!$F$9),(E352*I352/1000*'Reporting Year &amp; Inflation Adj.'!$F$9))),"")</f>
        <v/>
      </c>
      <c r="H352" s="805">
        <v>0.122893018975</v>
      </c>
      <c r="I352" s="806">
        <v>0.13984351550499999</v>
      </c>
      <c r="J352" s="807">
        <v>0.11911009924092227</v>
      </c>
      <c r="K352" s="68">
        <v>335313</v>
      </c>
      <c r="L352" s="68" t="s">
        <v>3656</v>
      </c>
      <c r="M352" s="69" t="s">
        <v>440</v>
      </c>
      <c r="N352" s="69" t="s">
        <v>767</v>
      </c>
      <c r="O352" s="70">
        <v>0.15367667088999998</v>
      </c>
      <c r="P352" s="70">
        <v>2.130306526E-2</v>
      </c>
      <c r="Q352" s="70">
        <v>0.17456636504000003</v>
      </c>
    </row>
    <row r="353" spans="3:17" ht="28.5">
      <c r="C353" s="321" t="s">
        <v>552</v>
      </c>
      <c r="D353" s="322"/>
      <c r="E353" s="784"/>
      <c r="F353" s="325"/>
      <c r="G353" s="319" t="str">
        <f>IFERROR(IF(E353="","",IF(F353="Direct-from-manufacturer",(E353*H353/1000*'Reporting Year &amp; Inflation Adj.'!$F$9),(E353*I353/1000*'Reporting Year &amp; Inflation Adj.'!$F$9))),"")</f>
        <v/>
      </c>
      <c r="H353" s="805">
        <v>0.40333042213999998</v>
      </c>
      <c r="I353" s="806">
        <v>0.43103038791000009</v>
      </c>
      <c r="J353" s="807">
        <v>6.4939149338687732E-2</v>
      </c>
      <c r="K353" s="68">
        <v>325130</v>
      </c>
      <c r="L353" s="68" t="s">
        <v>3657</v>
      </c>
      <c r="M353" s="69" t="s">
        <v>440</v>
      </c>
      <c r="N353" s="69" t="s">
        <v>550</v>
      </c>
      <c r="O353" s="70">
        <v>0.40761407405000005</v>
      </c>
      <c r="P353" s="70">
        <v>2.6787533034E-2</v>
      </c>
      <c r="Q353" s="70">
        <v>0.43459764584000005</v>
      </c>
    </row>
    <row r="354" spans="3:17" ht="99.75">
      <c r="C354" s="321" t="s">
        <v>557</v>
      </c>
      <c r="D354" s="322"/>
      <c r="E354" s="784"/>
      <c r="F354" s="325"/>
      <c r="G354" s="319" t="str">
        <f>IFERROR(IF(E354="","",IF(F354="Direct-from-manufacturer",(E354*H354/1000*'Reporting Year &amp; Inflation Adj.'!$F$9),(E354*I354/1000*'Reporting Year &amp; Inflation Adj.'!$F$9))),"")</f>
        <v/>
      </c>
      <c r="H354" s="805">
        <v>0.83536685813000022</v>
      </c>
      <c r="I354" s="806">
        <v>0.85307943721000012</v>
      </c>
      <c r="J354" s="807">
        <v>2.0736473642893986E-2</v>
      </c>
      <c r="K354" s="68" t="s">
        <v>558</v>
      </c>
      <c r="L354" s="68" t="s">
        <v>3658</v>
      </c>
      <c r="M354" s="69" t="s">
        <v>440</v>
      </c>
      <c r="N354" s="69" t="s">
        <v>556</v>
      </c>
      <c r="O354" s="70">
        <v>0.89095166134000015</v>
      </c>
      <c r="P354" s="70">
        <v>1.6541261334000003E-2</v>
      </c>
      <c r="Q354" s="70">
        <v>0.90779730602000008</v>
      </c>
    </row>
    <row r="355" spans="3:17" ht="128.25">
      <c r="C355" s="321" t="s">
        <v>22</v>
      </c>
      <c r="D355" s="322"/>
      <c r="E355" s="784"/>
      <c r="F355" s="323" t="s">
        <v>366</v>
      </c>
      <c r="G355" s="319" t="str">
        <f>IFERROR(IF(E355="","",IF(F355="Direct-from-manufacturer",(E355*H355/1000*'Reporting Year &amp; Inflation Adj.'!$F$9),(E355*I355/1000*'Reporting Year &amp; Inflation Adj.'!$F$9))),"")</f>
        <v/>
      </c>
      <c r="H355" s="805">
        <v>6.7408138250000013E-2</v>
      </c>
      <c r="I355" s="806">
        <v>6.7408138250000013E-2</v>
      </c>
      <c r="J355" s="807">
        <v>0</v>
      </c>
      <c r="K355" s="68">
        <v>517110</v>
      </c>
      <c r="L355" s="68" t="s">
        <v>3659</v>
      </c>
      <c r="M355" s="69" t="s">
        <v>904</v>
      </c>
      <c r="N355" s="69" t="s">
        <v>926</v>
      </c>
      <c r="O355" s="70">
        <v>7.5952934630000024E-2</v>
      </c>
      <c r="P355" s="70">
        <v>0</v>
      </c>
      <c r="Q355" s="70">
        <v>7.5952934630000024E-2</v>
      </c>
    </row>
    <row r="356" spans="3:17" ht="85.5">
      <c r="C356" s="321" t="s">
        <v>729</v>
      </c>
      <c r="D356" s="322"/>
      <c r="E356" s="784"/>
      <c r="F356" s="325"/>
      <c r="G356" s="319" t="str">
        <f>IFERROR(IF(E356="","",IF(F356="Direct-from-manufacturer",(E356*H356/1000*'Reporting Year &amp; Inflation Adj.'!$F$9),(E356*I356/1000*'Reporting Year &amp; Inflation Adj.'!$F$9))),"")</f>
        <v/>
      </c>
      <c r="H356" s="805">
        <v>4.4794109530000001E-2</v>
      </c>
      <c r="I356" s="806">
        <v>8.4881299135000018E-2</v>
      </c>
      <c r="J356" s="807">
        <v>0.47229842513649228</v>
      </c>
      <c r="K356" s="68">
        <v>334210</v>
      </c>
      <c r="L356" s="68" t="s">
        <v>3660</v>
      </c>
      <c r="M356" s="69" t="s">
        <v>440</v>
      </c>
      <c r="N356" s="69" t="s">
        <v>731</v>
      </c>
      <c r="O356" s="70">
        <v>5.1110053150000008E-2</v>
      </c>
      <c r="P356" s="70">
        <v>4.5972486780000016E-2</v>
      </c>
      <c r="Q356" s="70">
        <v>9.7087003930000013E-2</v>
      </c>
    </row>
    <row r="357" spans="3:17" ht="213.75">
      <c r="C357" s="321" t="s">
        <v>359</v>
      </c>
      <c r="D357" s="322"/>
      <c r="E357" s="784"/>
      <c r="F357" s="325"/>
      <c r="G357" s="319" t="str">
        <f>IFERROR(IF(E357="","",IF(F357="Direct-from-manufacturer",(E357*H357/1000*'Reporting Year &amp; Inflation Adj.'!$F$9),(E357*I357/1000*'Reporting Year &amp; Inflation Adj.'!$F$9))),"")</f>
        <v/>
      </c>
      <c r="H357" s="805">
        <v>0.19637539751999999</v>
      </c>
      <c r="I357" s="806">
        <v>0.24627513665999998</v>
      </c>
      <c r="J357" s="807">
        <v>0.20089349847079288</v>
      </c>
      <c r="K357" s="68">
        <v>113000</v>
      </c>
      <c r="L357" s="68" t="s">
        <v>3661</v>
      </c>
      <c r="M357" s="69" t="s">
        <v>332</v>
      </c>
      <c r="N357" s="69" t="s">
        <v>361</v>
      </c>
      <c r="O357" s="70">
        <v>0.20261771559299999</v>
      </c>
      <c r="P357" s="70">
        <v>4.4952000830000005E-2</v>
      </c>
      <c r="Q357" s="70">
        <v>0.24742119283</v>
      </c>
    </row>
    <row r="358" spans="3:17" ht="28.5">
      <c r="C358" s="321" t="s">
        <v>490</v>
      </c>
      <c r="D358" s="322"/>
      <c r="E358" s="784"/>
      <c r="F358" s="325"/>
      <c r="G358" s="319" t="str">
        <f>IFERROR(IF(E358="","",IF(F358="Direct-from-manufacturer",(E358*H358/1000*'Reporting Year &amp; Inflation Adj.'!$F$9),(E358*I358/1000*'Reporting Year &amp; Inflation Adj.'!$F$9))),"")</f>
        <v/>
      </c>
      <c r="H358" s="805">
        <v>4.2463721194999991E-2</v>
      </c>
      <c r="I358" s="806">
        <v>7.7916650829999989E-2</v>
      </c>
      <c r="J358" s="807">
        <v>0.45506456004328244</v>
      </c>
      <c r="K358" s="68">
        <v>312200</v>
      </c>
      <c r="L358" s="68" t="s">
        <v>3662</v>
      </c>
      <c r="M358" s="69" t="s">
        <v>440</v>
      </c>
      <c r="N358" s="69" t="s">
        <v>492</v>
      </c>
      <c r="O358" s="70">
        <v>5.5884124348999989E-2</v>
      </c>
      <c r="P358" s="70">
        <v>4.6046203019999989E-2</v>
      </c>
      <c r="Q358" s="70">
        <v>0.10183397416999998</v>
      </c>
    </row>
    <row r="359" spans="3:17" ht="85.5">
      <c r="C359" s="321" t="s">
        <v>345</v>
      </c>
      <c r="D359" s="322"/>
      <c r="E359" s="784"/>
      <c r="F359" s="325"/>
      <c r="G359" s="319" t="str">
        <f>IFERROR(IF(E359="","",IF(F359="Direct-from-manufacturer",(E359*H359/1000*'Reporting Year &amp; Inflation Adj.'!$F$9),(E359*I359/1000*'Reporting Year &amp; Inflation Adj.'!$F$9))),"")</f>
        <v/>
      </c>
      <c r="H359" s="805">
        <v>0.96976676492000002</v>
      </c>
      <c r="I359" s="806">
        <v>1.0288734905299999</v>
      </c>
      <c r="J359" s="807">
        <v>5.630485128949958E-2</v>
      </c>
      <c r="K359" s="68">
        <v>111900</v>
      </c>
      <c r="L359" s="68" t="s">
        <v>3663</v>
      </c>
      <c r="M359" s="69" t="s">
        <v>332</v>
      </c>
      <c r="N359" s="69" t="s">
        <v>347</v>
      </c>
      <c r="O359" s="70">
        <v>0.72014353901900008</v>
      </c>
      <c r="P359" s="70">
        <v>3.7347464300000001E-2</v>
      </c>
      <c r="Q359" s="70">
        <v>0.75580965743000006</v>
      </c>
    </row>
    <row r="360" spans="3:17" ht="57">
      <c r="C360" s="321" t="s">
        <v>576</v>
      </c>
      <c r="D360" s="322"/>
      <c r="E360" s="784"/>
      <c r="F360" s="325"/>
      <c r="G360" s="319" t="str">
        <f>IFERROR(IF(E360="","",IF(F360="Direct-from-manufacturer",(E360*H360/1000*'Reporting Year &amp; Inflation Adj.'!$F$9),(E360*I360/1000*'Reporting Year &amp; Inflation Adj.'!$F$9))),"")</f>
        <v/>
      </c>
      <c r="H360" s="805">
        <v>0.12160752143999999</v>
      </c>
      <c r="I360" s="806">
        <v>0.17445835138000002</v>
      </c>
      <c r="J360" s="807">
        <v>0.29832199873675086</v>
      </c>
      <c r="K360" s="68">
        <v>325620</v>
      </c>
      <c r="L360" s="68" t="s">
        <v>3664</v>
      </c>
      <c r="M360" s="69" t="s">
        <v>440</v>
      </c>
      <c r="N360" s="69" t="s">
        <v>575</v>
      </c>
      <c r="O360" s="70">
        <v>0.13675569884000005</v>
      </c>
      <c r="P360" s="70">
        <v>5.8662337269999996E-2</v>
      </c>
      <c r="Q360" s="70">
        <v>0.19558050494999998</v>
      </c>
    </row>
    <row r="361" spans="3:17" ht="30">
      <c r="C361" s="321" t="s">
        <v>796</v>
      </c>
      <c r="D361" s="322"/>
      <c r="E361" s="784"/>
      <c r="F361" s="325"/>
      <c r="G361" s="319" t="str">
        <f>IFERROR(IF(E361="","",IF(F361="Direct-from-manufacturer",(E361*H361/1000*'Reporting Year &amp; Inflation Adj.'!$F$9),(E361*I361/1000*'Reporting Year &amp; Inflation Adj.'!$F$9))),"")</f>
        <v/>
      </c>
      <c r="H361" s="805">
        <v>0.20609815434500001</v>
      </c>
      <c r="I361" s="806">
        <v>0.23105709349500003</v>
      </c>
      <c r="J361" s="807">
        <v>0.10623749342078168</v>
      </c>
      <c r="K361" s="68">
        <v>336350</v>
      </c>
      <c r="L361" s="68" t="s">
        <v>3665</v>
      </c>
      <c r="M361" s="69" t="s">
        <v>440</v>
      </c>
      <c r="N361" s="69" t="s">
        <v>792</v>
      </c>
      <c r="O361" s="70">
        <v>0.22724334094999996</v>
      </c>
      <c r="P361" s="70">
        <v>2.694825792E-2</v>
      </c>
      <c r="Q361" s="70">
        <v>0.25363583119000005</v>
      </c>
    </row>
    <row r="362" spans="3:17" ht="42.75">
      <c r="C362" s="321" t="s">
        <v>3731</v>
      </c>
      <c r="D362" s="322"/>
      <c r="E362" s="784"/>
      <c r="F362" s="325"/>
      <c r="G362" s="319" t="str">
        <f>IFERROR(IF(E362="","",IF(F362="Direct-from-manufacturer",(E362*H362/1000*'Reporting Year &amp; Inflation Adj.'!$F$9),(E362*I362/1000*'Reporting Year &amp; Inflation Adj.'!$F$9))),"")</f>
        <v/>
      </c>
      <c r="H362" s="805">
        <v>8.1397544705000019E-2</v>
      </c>
      <c r="I362" s="806">
        <v>8.1397544705000019E-2</v>
      </c>
      <c r="J362" s="807">
        <v>0</v>
      </c>
      <c r="K362" s="68">
        <v>561500</v>
      </c>
      <c r="L362" s="68" t="s">
        <v>3732</v>
      </c>
      <c r="M362" s="69" t="s">
        <v>1006</v>
      </c>
      <c r="N362" s="69" t="s">
        <v>1018</v>
      </c>
      <c r="O362" s="796">
        <v>8.8829842450000002E-2</v>
      </c>
      <c r="P362" s="797">
        <v>0</v>
      </c>
      <c r="Q362" s="796">
        <v>8.8829842450000002E-2</v>
      </c>
    </row>
    <row r="363" spans="3:17" ht="85.5">
      <c r="C363" s="321" t="s">
        <v>789</v>
      </c>
      <c r="D363" s="322"/>
      <c r="E363" s="784"/>
      <c r="F363" s="325"/>
      <c r="G363" s="319" t="str">
        <f>IFERROR(IF(E363="","",IF(F363="Direct-from-manufacturer",(E363*H363/1000*'Reporting Year &amp; Inflation Adj.'!$F$9),(E363*I363/1000*'Reporting Year &amp; Inflation Adj.'!$F$9))),"")</f>
        <v/>
      </c>
      <c r="H363" s="805">
        <v>0.12330126315499999</v>
      </c>
      <c r="I363" s="806">
        <v>0.15396649610999999</v>
      </c>
      <c r="J363" s="807">
        <v>0.20371627436784176</v>
      </c>
      <c r="K363" s="68">
        <v>336214</v>
      </c>
      <c r="L363" s="68" t="s">
        <v>3666</v>
      </c>
      <c r="M363" s="69" t="s">
        <v>440</v>
      </c>
      <c r="N363" s="69" t="s">
        <v>786</v>
      </c>
      <c r="O363" s="70">
        <v>0.12832459967999998</v>
      </c>
      <c r="P363" s="70">
        <v>3.3118057489999998E-2</v>
      </c>
      <c r="Q363" s="70">
        <v>0.16122923276999995</v>
      </c>
    </row>
    <row r="364" spans="3:17" ht="42.75">
      <c r="C364" s="321" t="s">
        <v>787</v>
      </c>
      <c r="D364" s="322"/>
      <c r="E364" s="784"/>
      <c r="F364" s="325"/>
      <c r="G364" s="319" t="str">
        <f>IFERROR(IF(E364="","",IF(F364="Direct-from-manufacturer",(E364*H364/1000*'Reporting Year &amp; Inflation Adj.'!$F$9),(E364*I364/1000*'Reporting Year &amp; Inflation Adj.'!$F$9))),"")</f>
        <v/>
      </c>
      <c r="H364" s="805">
        <v>0.17803496009500008</v>
      </c>
      <c r="I364" s="806">
        <v>0.191562193715</v>
      </c>
      <c r="J364" s="807">
        <v>7.3738436698085927E-2</v>
      </c>
      <c r="K364" s="68">
        <v>336212</v>
      </c>
      <c r="L364" s="68" t="s">
        <v>3667</v>
      </c>
      <c r="M364" s="69" t="s">
        <v>440</v>
      </c>
      <c r="N364" s="69" t="s">
        <v>786</v>
      </c>
      <c r="O364" s="70">
        <v>0.1868422435</v>
      </c>
      <c r="P364" s="70">
        <v>1.4850873255999998E-2</v>
      </c>
      <c r="Q364" s="70">
        <v>0.20160288692999995</v>
      </c>
    </row>
    <row r="365" spans="3:17" ht="71.25">
      <c r="C365" s="321" t="s">
        <v>707</v>
      </c>
      <c r="D365" s="322"/>
      <c r="E365" s="784"/>
      <c r="F365" s="325"/>
      <c r="G365" s="319" t="str">
        <f>IFERROR(IF(E365="","",IF(F365="Direct-from-manufacturer",(E365*H365/1000*'Reporting Year &amp; Inflation Adj.'!$F$9),(E365*I365/1000*'Reporting Year &amp; Inflation Adj.'!$F$9))),"")</f>
        <v/>
      </c>
      <c r="H365" s="805">
        <v>0.15272658064</v>
      </c>
      <c r="I365" s="806">
        <v>0.175080145385</v>
      </c>
      <c r="J365" s="807">
        <v>0.12365049867530414</v>
      </c>
      <c r="K365" s="68">
        <v>333611</v>
      </c>
      <c r="L365" s="68" t="s">
        <v>3668</v>
      </c>
      <c r="M365" s="69" t="s">
        <v>440</v>
      </c>
      <c r="N365" s="69" t="s">
        <v>709</v>
      </c>
      <c r="O365" s="70">
        <v>0.17814769991999999</v>
      </c>
      <c r="P365" s="70">
        <v>2.4136216280000001E-2</v>
      </c>
      <c r="Q365" s="70">
        <v>0.20219486679999998</v>
      </c>
    </row>
    <row r="366" spans="3:17" ht="185.25">
      <c r="C366" s="321" t="s">
        <v>369</v>
      </c>
      <c r="D366" s="322"/>
      <c r="E366" s="784"/>
      <c r="F366" s="325"/>
      <c r="G366" s="319" t="str">
        <f>IFERROR(IF(E366="","",IF(F366="Direct-from-manufacturer",(E366*H366/1000*'Reporting Year &amp; Inflation Adj.'!$F$9),(E366*I366/1000*'Reporting Year &amp; Inflation Adj.'!$F$9))),"")</f>
        <v/>
      </c>
      <c r="H366" s="805">
        <v>0.5873075376250001</v>
      </c>
      <c r="I366" s="806">
        <v>0.63673808096999995</v>
      </c>
      <c r="J366" s="807">
        <v>8.0266432262291507E-2</v>
      </c>
      <c r="K366" s="68">
        <v>211000</v>
      </c>
      <c r="L366" s="68" t="s">
        <v>3669</v>
      </c>
      <c r="M366" s="69" t="s">
        <v>371</v>
      </c>
      <c r="N366" s="69" t="s">
        <v>372</v>
      </c>
      <c r="O366" s="70">
        <v>0.39016657961400003</v>
      </c>
      <c r="P366" s="70">
        <v>2.8213200745E-2</v>
      </c>
      <c r="Q366" s="70">
        <v>0.41917318536599996</v>
      </c>
    </row>
    <row r="367" spans="3:17" ht="42.75">
      <c r="C367" s="321" t="s">
        <v>588</v>
      </c>
      <c r="D367" s="322"/>
      <c r="E367" s="784"/>
      <c r="F367" s="325"/>
      <c r="G367" s="319" t="str">
        <f>IFERROR(IF(E367="","",IF(F367="Direct-from-manufacturer",(E367*H367/1000*'Reporting Year &amp; Inflation Adj.'!$F$9),(E367*I367/1000*'Reporting Year &amp; Inflation Adj.'!$F$9))),"")</f>
        <v/>
      </c>
      <c r="H367" s="805">
        <v>0.30092099455000004</v>
      </c>
      <c r="I367" s="806">
        <v>0.34335698845000001</v>
      </c>
      <c r="J367" s="807">
        <v>0.12415796243858276</v>
      </c>
      <c r="K367" s="68">
        <v>326150</v>
      </c>
      <c r="L367" s="68" t="s">
        <v>3670</v>
      </c>
      <c r="M367" s="69" t="s">
        <v>440</v>
      </c>
      <c r="N367" s="69" t="s">
        <v>584</v>
      </c>
      <c r="O367" s="70">
        <v>0.32021988693000009</v>
      </c>
      <c r="P367" s="70">
        <v>4.2660458610000007E-2</v>
      </c>
      <c r="Q367" s="70">
        <v>0.36288634806999998</v>
      </c>
    </row>
    <row r="368" spans="3:17" ht="30">
      <c r="C368" s="321" t="s">
        <v>404</v>
      </c>
      <c r="D368" s="322"/>
      <c r="E368" s="784"/>
      <c r="F368" s="323" t="s">
        <v>366</v>
      </c>
      <c r="G368" s="319" t="str">
        <f>IFERROR(IF(E368="","",IF(F368="Direct-from-manufacturer",(E368*H368/1000*'Reporting Year &amp; Inflation Adj.'!$F$9),(E368*I368/1000*'Reporting Year &amp; Inflation Adj.'!$F$9))),"")</f>
        <v/>
      </c>
      <c r="H368" s="805">
        <v>0.25722811739499996</v>
      </c>
      <c r="I368" s="806">
        <v>0.25722811739499996</v>
      </c>
      <c r="J368" s="807">
        <v>0</v>
      </c>
      <c r="K368" s="68">
        <v>233240</v>
      </c>
      <c r="L368" s="68" t="s">
        <v>3671</v>
      </c>
      <c r="M368" s="69" t="s">
        <v>397</v>
      </c>
      <c r="N368" s="69" t="s">
        <v>406</v>
      </c>
      <c r="O368" s="70">
        <v>0.28157437371999999</v>
      </c>
      <c r="P368" s="70">
        <v>0</v>
      </c>
      <c r="Q368" s="70">
        <v>0.28157437371999999</v>
      </c>
    </row>
    <row r="369" spans="3:17" ht="42.75">
      <c r="C369" s="321" t="s">
        <v>568</v>
      </c>
      <c r="D369" s="322"/>
      <c r="E369" s="784"/>
      <c r="F369" s="325"/>
      <c r="G369" s="319" t="str">
        <f>IFERROR(IF(E369="","",IF(F369="Direct-from-manufacturer",(E369*H369/1000*'Reporting Year &amp; Inflation Adj.'!$F$9),(E369*I369/1000*'Reporting Year &amp; Inflation Adj.'!$F$9))),"")</f>
        <v/>
      </c>
      <c r="H369" s="805">
        <v>0.120133297665</v>
      </c>
      <c r="I369" s="806">
        <v>0.14236750703500001</v>
      </c>
      <c r="J369" s="807">
        <v>0.15752006365108856</v>
      </c>
      <c r="K369" s="68">
        <v>325414</v>
      </c>
      <c r="L369" s="68" t="s">
        <v>3672</v>
      </c>
      <c r="M369" s="69" t="s">
        <v>440</v>
      </c>
      <c r="N369" s="69" t="s">
        <v>565</v>
      </c>
      <c r="O369" s="70">
        <v>0.12672107044</v>
      </c>
      <c r="P369" s="70">
        <v>2.4981266810000003E-2</v>
      </c>
      <c r="Q369" s="70">
        <v>0.15229795590999998</v>
      </c>
    </row>
    <row r="370" spans="3:17" ht="57">
      <c r="C370" s="321" t="s">
        <v>669</v>
      </c>
      <c r="D370" s="322"/>
      <c r="E370" s="784"/>
      <c r="F370" s="325"/>
      <c r="G370" s="319" t="str">
        <f>IFERROR(IF(E370="","",IF(F370="Direct-from-manufacturer",(E370*H370/1000*'Reporting Year &amp; Inflation Adj.'!$F$9),(E370*I370/1000*'Reporting Year &amp; Inflation Adj.'!$F$9))),"")</f>
        <v/>
      </c>
      <c r="H370" s="805">
        <v>0.11775819243000001</v>
      </c>
      <c r="I370" s="806">
        <v>0.13947618804499998</v>
      </c>
      <c r="J370" s="807">
        <v>0.15786914600717289</v>
      </c>
      <c r="K370" s="68" t="s">
        <v>670</v>
      </c>
      <c r="L370" s="68" t="s">
        <v>3343</v>
      </c>
      <c r="M370" s="69" t="s">
        <v>440</v>
      </c>
      <c r="N370" s="69" t="s">
        <v>671</v>
      </c>
      <c r="O370" s="70">
        <v>0.14749188716000003</v>
      </c>
      <c r="P370" s="70">
        <v>2.677316095E-2</v>
      </c>
      <c r="Q370" s="70">
        <v>0.17427236980000002</v>
      </c>
    </row>
    <row r="371" spans="3:17" ht="42.75">
      <c r="C371" s="321" t="s">
        <v>447</v>
      </c>
      <c r="D371" s="322"/>
      <c r="E371" s="784"/>
      <c r="F371" s="325"/>
      <c r="G371" s="319" t="str">
        <f>IFERROR(IF(E371="","",IF(F371="Direct-from-manufacturer",(E371*H371/1000*'Reporting Year &amp; Inflation Adj.'!$F$9),(E371*I371/1000*'Reporting Year &amp; Inflation Adj.'!$F$9))),"")</f>
        <v/>
      </c>
      <c r="H371" s="805">
        <v>0.54880636398000004</v>
      </c>
      <c r="I371" s="806">
        <v>0.58297055075000004</v>
      </c>
      <c r="J371" s="807">
        <v>6.0029923484089462E-2</v>
      </c>
      <c r="K371" s="68">
        <v>311224</v>
      </c>
      <c r="L371" s="68" t="s">
        <v>3673</v>
      </c>
      <c r="M371" s="69" t="s">
        <v>440</v>
      </c>
      <c r="N371" s="69" t="s">
        <v>445</v>
      </c>
      <c r="O371" s="70">
        <v>0.48947541996999999</v>
      </c>
      <c r="P371" s="70">
        <v>3.0651421640000003E-2</v>
      </c>
      <c r="Q371" s="70">
        <v>0.51941692100000003</v>
      </c>
    </row>
    <row r="372" spans="3:17" ht="42.75">
      <c r="C372" s="321" t="s">
        <v>784</v>
      </c>
      <c r="D372" s="322"/>
      <c r="E372" s="784"/>
      <c r="F372" s="325"/>
      <c r="G372" s="319" t="str">
        <f>IFERROR(IF(E372="","",IF(F372="Direct-from-manufacturer",(E372*H372/1000*'Reporting Year &amp; Inflation Adj.'!$F$9),(E372*I372/1000*'Reporting Year &amp; Inflation Adj.'!$F$9))),"")</f>
        <v/>
      </c>
      <c r="H372" s="805">
        <v>0.19185723220499995</v>
      </c>
      <c r="I372" s="806">
        <v>0.21597078885500001</v>
      </c>
      <c r="J372" s="807">
        <v>0.11161268576086854</v>
      </c>
      <c r="K372" s="68">
        <v>336211</v>
      </c>
      <c r="L372" s="68" t="s">
        <v>3674</v>
      </c>
      <c r="M372" s="69" t="s">
        <v>440</v>
      </c>
      <c r="N372" s="69" t="s">
        <v>786</v>
      </c>
      <c r="O372" s="70">
        <v>0.22592833542999999</v>
      </c>
      <c r="P372" s="70">
        <v>2.8341285469999998E-2</v>
      </c>
      <c r="Q372" s="70">
        <v>0.25398221707000002</v>
      </c>
    </row>
    <row r="373" spans="3:17" ht="57">
      <c r="C373" s="321" t="s">
        <v>793</v>
      </c>
      <c r="D373" s="322"/>
      <c r="E373" s="784"/>
      <c r="F373" s="325"/>
      <c r="G373" s="319" t="str">
        <f>IFERROR(IF(E373="","",IF(F373="Direct-from-manufacturer",(E373*H373/1000*'Reporting Year &amp; Inflation Adj.'!$F$9),(E373*I373/1000*'Reporting Year &amp; Inflation Adj.'!$F$9))),"")</f>
        <v/>
      </c>
      <c r="H373" s="805">
        <v>0.17483482284499999</v>
      </c>
      <c r="I373" s="806">
        <v>0.19971557660499994</v>
      </c>
      <c r="J373" s="807">
        <v>0.12213297868219131</v>
      </c>
      <c r="K373" s="68">
        <v>336320</v>
      </c>
      <c r="L373" s="68" t="s">
        <v>3675</v>
      </c>
      <c r="M373" s="69" t="s">
        <v>440</v>
      </c>
      <c r="N373" s="69" t="s">
        <v>792</v>
      </c>
      <c r="O373" s="70">
        <v>0.19220745401000003</v>
      </c>
      <c r="P373" s="70">
        <v>2.686895597E-2</v>
      </c>
      <c r="Q373" s="70">
        <v>0.21955621522000002</v>
      </c>
    </row>
    <row r="374" spans="3:17" ht="28.5">
      <c r="C374" s="321" t="s">
        <v>790</v>
      </c>
      <c r="D374" s="322"/>
      <c r="E374" s="784"/>
      <c r="F374" s="325"/>
      <c r="G374" s="319" t="str">
        <f>IFERROR(IF(E374="","",IF(F374="Direct-from-manufacturer",(E374*H374/1000*'Reporting Year &amp; Inflation Adj.'!$F$9),(E374*I374/1000*'Reporting Year &amp; Inflation Adj.'!$F$9))),"")</f>
        <v/>
      </c>
      <c r="H374" s="805">
        <v>0.22163554559000001</v>
      </c>
      <c r="I374" s="806">
        <v>0.24915151982499997</v>
      </c>
      <c r="J374" s="807">
        <v>0.11311540756321772</v>
      </c>
      <c r="K374" s="68">
        <v>336310</v>
      </c>
      <c r="L374" s="68" t="s">
        <v>3676</v>
      </c>
      <c r="M374" s="69" t="s">
        <v>440</v>
      </c>
      <c r="N374" s="69" t="s">
        <v>792</v>
      </c>
      <c r="O374" s="70">
        <v>0.23132118061000004</v>
      </c>
      <c r="P374" s="70">
        <v>2.9373836610000002E-2</v>
      </c>
      <c r="Q374" s="70">
        <v>0.26009876108000007</v>
      </c>
    </row>
    <row r="375" spans="3:17" ht="28.5">
      <c r="C375" s="321" t="s">
        <v>798</v>
      </c>
      <c r="D375" s="322"/>
      <c r="E375" s="784"/>
      <c r="F375" s="325"/>
      <c r="G375" s="319" t="str">
        <f>IFERROR(IF(E375="","",IF(F375="Direct-from-manufacturer",(E375*H375/1000*'Reporting Year &amp; Inflation Adj.'!$F$9),(E375*I375/1000*'Reporting Year &amp; Inflation Adj.'!$F$9))),"")</f>
        <v/>
      </c>
      <c r="H375" s="805">
        <v>0.42655841151499996</v>
      </c>
      <c r="I375" s="806">
        <v>0.44571347130999989</v>
      </c>
      <c r="J375" s="807">
        <v>4.1815571347263991E-2</v>
      </c>
      <c r="K375" s="68">
        <v>336370</v>
      </c>
      <c r="L375" s="68" t="s">
        <v>3677</v>
      </c>
      <c r="M375" s="69" t="s">
        <v>440</v>
      </c>
      <c r="N375" s="69" t="s">
        <v>792</v>
      </c>
      <c r="O375" s="70">
        <v>0.48484363152000004</v>
      </c>
      <c r="P375" s="70">
        <v>2.0429700119999998E-2</v>
      </c>
      <c r="Q375" s="70">
        <v>0.50545306074000007</v>
      </c>
    </row>
    <row r="376" spans="3:17" ht="57">
      <c r="C376" s="321" t="s">
        <v>968</v>
      </c>
      <c r="D376" s="322"/>
      <c r="E376" s="784"/>
      <c r="F376" s="323" t="s">
        <v>366</v>
      </c>
      <c r="G376" s="319" t="str">
        <f>IFERROR(IF(E376="","",IF(F376="Direct-from-manufacturer",(E376*H376/1000*'Reporting Year &amp; Inflation Adj.'!$F$9),(E376*I376/1000*'Reporting Year &amp; Inflation Adj.'!$F$9))),"")</f>
        <v/>
      </c>
      <c r="H376" s="805">
        <v>9.902074847999999E-2</v>
      </c>
      <c r="I376" s="806">
        <v>9.902074847999999E-2</v>
      </c>
      <c r="J376" s="807">
        <v>0</v>
      </c>
      <c r="K376" s="68">
        <v>532100</v>
      </c>
      <c r="L376" s="68" t="s">
        <v>3678</v>
      </c>
      <c r="M376" s="69" t="s">
        <v>965</v>
      </c>
      <c r="N376" s="69" t="s">
        <v>970</v>
      </c>
      <c r="O376" s="70">
        <v>0.11125600780999999</v>
      </c>
      <c r="P376" s="70">
        <v>0</v>
      </c>
      <c r="Q376" s="70">
        <v>0.11125600780999999</v>
      </c>
    </row>
    <row r="377" spans="3:17" ht="71.25">
      <c r="C377" s="321" t="s">
        <v>1096</v>
      </c>
      <c r="D377" s="322"/>
      <c r="E377" s="784"/>
      <c r="F377" s="323" t="s">
        <v>366</v>
      </c>
      <c r="G377" s="319" t="str">
        <f>IFERROR(IF(E377="","",IF(F377="Direct-from-manufacturer",(E377*H377/1000*'Reporting Year &amp; Inflation Adj.'!$F$9),(E377*I377/1000*'Reporting Year &amp; Inflation Adj.'!$F$9))),"")</f>
        <v/>
      </c>
      <c r="H377" s="805">
        <v>9.998812596999998E-2</v>
      </c>
      <c r="I377" s="806">
        <v>9.998812596999998E-2</v>
      </c>
      <c r="J377" s="807">
        <v>0</v>
      </c>
      <c r="K377" s="68">
        <v>811100</v>
      </c>
      <c r="L377" s="68" t="s">
        <v>3679</v>
      </c>
      <c r="M377" s="69" t="s">
        <v>1098</v>
      </c>
      <c r="N377" s="69" t="s">
        <v>1099</v>
      </c>
      <c r="O377" s="70">
        <v>0.10424291136000002</v>
      </c>
      <c r="P377" s="70">
        <v>0</v>
      </c>
      <c r="Q377" s="70">
        <v>0.10424291136000002</v>
      </c>
    </row>
    <row r="378" spans="3:17" ht="30">
      <c r="C378" s="321" t="s">
        <v>797</v>
      </c>
      <c r="D378" s="322"/>
      <c r="E378" s="784"/>
      <c r="F378" s="325"/>
      <c r="G378" s="319" t="str">
        <f>IFERROR(IF(E378="","",IF(F378="Direct-from-manufacturer",(E378*H378/1000*'Reporting Year &amp; Inflation Adj.'!$F$9),(E378*I378/1000*'Reporting Year &amp; Inflation Adj.'!$F$9))),"")</f>
        <v/>
      </c>
      <c r="H378" s="805">
        <v>0.28953508265</v>
      </c>
      <c r="I378" s="806">
        <v>0.30752452029999999</v>
      </c>
      <c r="J378" s="807">
        <v>5.7801797260457345E-2</v>
      </c>
      <c r="K378" s="68">
        <v>336360</v>
      </c>
      <c r="L378" s="68" t="s">
        <v>3680</v>
      </c>
      <c r="M378" s="69" t="s">
        <v>440</v>
      </c>
      <c r="N378" s="69" t="s">
        <v>792</v>
      </c>
      <c r="O378" s="70">
        <v>0.31854248979999999</v>
      </c>
      <c r="P378" s="70">
        <v>1.8377405210000003E-2</v>
      </c>
      <c r="Q378" s="70">
        <v>0.33679329680000003</v>
      </c>
    </row>
    <row r="379" spans="3:17" ht="142.5">
      <c r="C379" s="321" t="s">
        <v>880</v>
      </c>
      <c r="D379" s="322"/>
      <c r="E379" s="784"/>
      <c r="F379" s="323" t="s">
        <v>366</v>
      </c>
      <c r="G379" s="319" t="str">
        <f>IFERROR(IF(E379="","",IF(F379="Direct-from-manufacturer",(E379*H379/1000*'Reporting Year &amp; Inflation Adj.'!$F$9),(E379*I379/1000*'Reporting Year &amp; Inflation Adj.'!$F$9))),"")</f>
        <v/>
      </c>
      <c r="H379" s="805">
        <v>0.10394582446</v>
      </c>
      <c r="I379" s="806">
        <v>0.10394582446</v>
      </c>
      <c r="J379" s="807">
        <v>0</v>
      </c>
      <c r="K379" s="68">
        <v>441000</v>
      </c>
      <c r="L379" s="68" t="s">
        <v>3681</v>
      </c>
      <c r="M379" s="69" t="s">
        <v>882</v>
      </c>
      <c r="N379" s="69" t="s">
        <v>883</v>
      </c>
      <c r="O379" s="70">
        <v>7.3288648339999998E-2</v>
      </c>
      <c r="P379" s="70">
        <v>0</v>
      </c>
      <c r="Q379" s="70">
        <v>7.3288648339999998E-2</v>
      </c>
    </row>
    <row r="380" spans="3:17" ht="42.75">
      <c r="C380" s="321" t="s">
        <v>524</v>
      </c>
      <c r="D380" s="322"/>
      <c r="E380" s="784"/>
      <c r="F380" s="325"/>
      <c r="G380" s="319" t="str">
        <f>IFERROR(IF(E380="","",IF(F380="Direct-from-manufacturer",(E380*H380/1000*'Reporting Year &amp; Inflation Adj.'!$F$9),(E380*I380/1000*'Reporting Year &amp; Inflation Adj.'!$F$9))),"")</f>
        <v/>
      </c>
      <c r="H380" s="805">
        <v>0.14336990779999997</v>
      </c>
      <c r="I380" s="806">
        <v>0.17603291620000006</v>
      </c>
      <c r="J380" s="807">
        <v>0.18293489396842699</v>
      </c>
      <c r="K380" s="68" t="s">
        <v>525</v>
      </c>
      <c r="L380" s="68" t="s">
        <v>3682</v>
      </c>
      <c r="M380" s="69" t="s">
        <v>440</v>
      </c>
      <c r="N380" s="69" t="s">
        <v>523</v>
      </c>
      <c r="O380" s="70">
        <v>0.13663857592</v>
      </c>
      <c r="P380" s="70">
        <v>2.9346889169999994E-2</v>
      </c>
      <c r="Q380" s="70">
        <v>0.16520085732000001</v>
      </c>
    </row>
    <row r="381" spans="3:17" ht="57">
      <c r="C381" s="321" t="s">
        <v>1002</v>
      </c>
      <c r="D381" s="322"/>
      <c r="E381" s="784"/>
      <c r="F381" s="323" t="s">
        <v>366</v>
      </c>
      <c r="G381" s="319" t="str">
        <f>IFERROR(IF(E381="","",IF(F381="Direct-from-manufacturer",(E381*H381/1000*'Reporting Year &amp; Inflation Adj.'!$F$9),(E381*I381/1000*'Reporting Year &amp; Inflation Adj.'!$F$9))),"")</f>
        <v/>
      </c>
      <c r="H381" s="805">
        <v>0.10654887151499998</v>
      </c>
      <c r="I381" s="806">
        <v>0.10654887151499998</v>
      </c>
      <c r="J381" s="807">
        <v>0</v>
      </c>
      <c r="K381" s="68">
        <v>541940</v>
      </c>
      <c r="L381" s="68" t="s">
        <v>3683</v>
      </c>
      <c r="M381" s="69" t="s">
        <v>981</v>
      </c>
      <c r="N381" s="69" t="s">
        <v>1652</v>
      </c>
      <c r="O381" s="70">
        <v>0.12938526766000003</v>
      </c>
      <c r="P381" s="70">
        <v>0</v>
      </c>
      <c r="Q381" s="70">
        <v>0.12938526766000003</v>
      </c>
    </row>
    <row r="382" spans="3:17" ht="71.25">
      <c r="C382" s="321" t="s">
        <v>753</v>
      </c>
      <c r="D382" s="322"/>
      <c r="E382" s="784"/>
      <c r="F382" s="325"/>
      <c r="G382" s="319" t="str">
        <f>IFERROR(IF(E382="","",IF(F382="Direct-from-manufacturer",(E382*H382/1000*'Reporting Year &amp; Inflation Adj.'!$F$9),(E382*I382/1000*'Reporting Year &amp; Inflation Adj.'!$F$9))),"")</f>
        <v/>
      </c>
      <c r="H382" s="805">
        <v>3.6458835505000002E-2</v>
      </c>
      <c r="I382" s="806">
        <v>7.1851503019999999E-2</v>
      </c>
      <c r="J382" s="807">
        <v>0.49102390669795071</v>
      </c>
      <c r="K382" s="68" t="s">
        <v>754</v>
      </c>
      <c r="L382" s="68" t="s">
        <v>3684</v>
      </c>
      <c r="M382" s="69" t="s">
        <v>440</v>
      </c>
      <c r="N382" s="69" t="s">
        <v>745</v>
      </c>
      <c r="O382" s="70">
        <v>4.4681087580000001E-2</v>
      </c>
      <c r="P382" s="70">
        <v>4.2588299699999999E-2</v>
      </c>
      <c r="Q382" s="70">
        <v>8.7381930999999996E-2</v>
      </c>
    </row>
    <row r="383" spans="3:17" ht="156.75">
      <c r="C383" s="321" t="s">
        <v>718</v>
      </c>
      <c r="D383" s="322"/>
      <c r="E383" s="784"/>
      <c r="F383" s="325"/>
      <c r="G383" s="319" t="str">
        <f>IFERROR(IF(E383="","",IF(F383="Direct-from-manufacturer",(E383*H383/1000*'Reporting Year &amp; Inflation Adj.'!$F$9),(E383*I383/1000*'Reporting Year &amp; Inflation Adj.'!$F$9))),"")</f>
        <v/>
      </c>
      <c r="H383" s="805">
        <v>0.19712561424</v>
      </c>
      <c r="I383" s="806">
        <v>0.21604474969000001</v>
      </c>
      <c r="J383" s="807">
        <v>8.7559182355245138E-2</v>
      </c>
      <c r="K383" s="68" t="s">
        <v>719</v>
      </c>
      <c r="L383" s="68" t="s">
        <v>3685</v>
      </c>
      <c r="M383" s="69" t="s">
        <v>440</v>
      </c>
      <c r="N383" s="69" t="s">
        <v>715</v>
      </c>
      <c r="O383" s="70">
        <v>0.22919756286000004</v>
      </c>
      <c r="P383" s="70">
        <v>2.1109887159999993E-2</v>
      </c>
      <c r="Q383" s="70">
        <v>0.25073325095999999</v>
      </c>
    </row>
    <row r="384" spans="3:17" ht="42.75">
      <c r="C384" s="321" t="s">
        <v>385</v>
      </c>
      <c r="D384" s="322"/>
      <c r="E384" s="784"/>
      <c r="F384" s="323" t="s">
        <v>366</v>
      </c>
      <c r="G384" s="319" t="str">
        <f>IFERROR(IF(E384="","",IF(F384="Direct-from-manufacturer",(E384*H384/1000*'Reporting Year &amp; Inflation Adj.'!$F$9),(E384*I384/1000*'Reporting Year &amp; Inflation Adj.'!$F$9))),"")</f>
        <v/>
      </c>
      <c r="H384" s="805">
        <v>0.35667676798999998</v>
      </c>
      <c r="I384" s="806">
        <v>0.35667676798999998</v>
      </c>
      <c r="J384" s="807">
        <v>0</v>
      </c>
      <c r="K384" s="68">
        <v>213111</v>
      </c>
      <c r="L384" s="68" t="s">
        <v>3686</v>
      </c>
      <c r="M384" s="69" t="s">
        <v>371</v>
      </c>
      <c r="N384" s="69" t="s">
        <v>387</v>
      </c>
      <c r="O384" s="70">
        <v>0.41476968495999994</v>
      </c>
      <c r="P384" s="70">
        <v>0</v>
      </c>
      <c r="Q384" s="70">
        <v>0.41476968495999994</v>
      </c>
    </row>
    <row r="385" spans="3:17" ht="57">
      <c r="C385" s="321" t="s">
        <v>877</v>
      </c>
      <c r="D385" s="322"/>
      <c r="E385" s="784"/>
      <c r="F385" s="323" t="s">
        <v>366</v>
      </c>
      <c r="G385" s="319" t="str">
        <f>IFERROR(IF(E385="","",IF(F385="Direct-from-manufacturer",(E385*H385/1000*'Reporting Year &amp; Inflation Adj.'!$F$9),(E385*I385/1000*'Reporting Year &amp; Inflation Adj.'!$F$9))),"")</f>
        <v/>
      </c>
      <c r="H385" s="805">
        <v>8.2255089889999966E-2</v>
      </c>
      <c r="I385" s="806">
        <v>8.2255089889999966E-2</v>
      </c>
      <c r="J385" s="807">
        <v>0</v>
      </c>
      <c r="K385" s="68">
        <v>425000</v>
      </c>
      <c r="L385" s="68" t="s">
        <v>3687</v>
      </c>
      <c r="M385" s="69" t="s">
        <v>853</v>
      </c>
      <c r="N385" s="69" t="s">
        <v>879</v>
      </c>
      <c r="O385" s="70">
        <v>9.26491485E-2</v>
      </c>
      <c r="P385" s="70">
        <v>0</v>
      </c>
      <c r="Q385" s="70">
        <v>9.26491485E-2</v>
      </c>
    </row>
    <row r="386" spans="3:17" ht="128.25">
      <c r="C386" s="321" t="s">
        <v>362</v>
      </c>
      <c r="D386" s="322"/>
      <c r="E386" s="784"/>
      <c r="F386" s="325"/>
      <c r="G386" s="319" t="str">
        <f>IFERROR(IF(E386="","",IF(F386="Direct-from-manufacturer",(E386*H386/1000*'Reporting Year &amp; Inflation Adj.'!$F$9),(E386*I386/1000*'Reporting Year &amp; Inflation Adj.'!$F$9))),"")</f>
        <v/>
      </c>
      <c r="H386" s="805">
        <v>0.14463004515000003</v>
      </c>
      <c r="I386" s="806">
        <v>0.17789418569000001</v>
      </c>
      <c r="J386" s="807">
        <v>0.18757701141592606</v>
      </c>
      <c r="K386" s="68">
        <v>114000</v>
      </c>
      <c r="L386" s="68" t="s">
        <v>3688</v>
      </c>
      <c r="M386" s="69" t="s">
        <v>332</v>
      </c>
      <c r="N386" s="69" t="s">
        <v>364</v>
      </c>
      <c r="O386" s="70">
        <v>0.12817661233400002</v>
      </c>
      <c r="P386" s="70">
        <v>2.7198626301999995E-2</v>
      </c>
      <c r="Q386" s="70">
        <v>0.15506998025000007</v>
      </c>
    </row>
    <row r="387" spans="3:17" ht="57">
      <c r="C387" s="321" t="s">
        <v>488</v>
      </c>
      <c r="D387" s="322"/>
      <c r="E387" s="784"/>
      <c r="F387" s="325"/>
      <c r="G387" s="319" t="str">
        <f>IFERROR(IF(E387="","",IF(F387="Direct-from-manufacturer",(E387*H387/1000*'Reporting Year &amp; Inflation Adj.'!$F$9),(E387*I387/1000*'Reporting Year &amp; Inflation Adj.'!$F$9))),"")</f>
        <v/>
      </c>
      <c r="H387" s="805">
        <v>0.10880258996999999</v>
      </c>
      <c r="I387" s="806">
        <v>0.15937550534</v>
      </c>
      <c r="J387" s="807">
        <v>0.31670775695624848</v>
      </c>
      <c r="K387" s="68">
        <v>312130</v>
      </c>
      <c r="L387" s="68" t="s">
        <v>3689</v>
      </c>
      <c r="M387" s="69" t="s">
        <v>440</v>
      </c>
      <c r="N387" s="69" t="s">
        <v>486</v>
      </c>
      <c r="O387" s="70">
        <v>0.12510304581999998</v>
      </c>
      <c r="P387" s="70">
        <v>5.9155324199999998E-2</v>
      </c>
      <c r="Q387" s="70">
        <v>0.18401687329999999</v>
      </c>
    </row>
    <row r="388" spans="3:17" ht="71.25">
      <c r="C388" s="321" t="s">
        <v>732</v>
      </c>
      <c r="D388" s="322"/>
      <c r="E388" s="784"/>
      <c r="F388" s="325"/>
      <c r="G388" s="319" t="str">
        <f>IFERROR(IF(E388="","",IF(F388="Direct-from-manufacturer",(E388*H388/1000*'Reporting Year &amp; Inflation Adj.'!$F$9),(E388*I388/1000*'Reporting Year &amp; Inflation Adj.'!$F$9))),"")</f>
        <v/>
      </c>
      <c r="H388" s="805">
        <v>6.1392066085000016E-2</v>
      </c>
      <c r="I388" s="806">
        <v>0.10554991586000002</v>
      </c>
      <c r="J388" s="807">
        <v>0.41829984842017276</v>
      </c>
      <c r="K388" s="68">
        <v>334220</v>
      </c>
      <c r="L388" s="68" t="s">
        <v>3690</v>
      </c>
      <c r="M388" s="69" t="s">
        <v>440</v>
      </c>
      <c r="N388" s="69" t="s">
        <v>731</v>
      </c>
      <c r="O388" s="70">
        <v>6.526158357999999E-2</v>
      </c>
      <c r="P388" s="70">
        <v>4.7206871920000004E-2</v>
      </c>
      <c r="Q388" s="70">
        <v>0.11245063555000001</v>
      </c>
    </row>
    <row r="389" spans="3:17" ht="57">
      <c r="C389" s="321" t="s">
        <v>927</v>
      </c>
      <c r="D389" s="322"/>
      <c r="E389" s="784"/>
      <c r="F389" s="323" t="s">
        <v>366</v>
      </c>
      <c r="G389" s="319" t="str">
        <f>IFERROR(IF(E389="","",IF(F389="Direct-from-manufacturer",(E389*H389/1000*'Reporting Year &amp; Inflation Adj.'!$F$9),(E389*I389/1000*'Reporting Year &amp; Inflation Adj.'!$F$9))),"")</f>
        <v/>
      </c>
      <c r="H389" s="805">
        <v>8.997482133000001E-2</v>
      </c>
      <c r="I389" s="806">
        <v>8.997482133000001E-2</v>
      </c>
      <c r="J389" s="807">
        <v>0</v>
      </c>
      <c r="K389" s="68">
        <v>517210</v>
      </c>
      <c r="L389" s="68" t="s">
        <v>3691</v>
      </c>
      <c r="M389" s="69" t="s">
        <v>904</v>
      </c>
      <c r="N389" s="69" t="s">
        <v>929</v>
      </c>
      <c r="O389" s="70">
        <v>9.7147592590000012E-2</v>
      </c>
      <c r="P389" s="70">
        <v>0</v>
      </c>
      <c r="Q389" s="70">
        <v>9.7147592590000012E-2</v>
      </c>
    </row>
    <row r="390" spans="3:17" ht="57">
      <c r="C390" s="321" t="s">
        <v>776</v>
      </c>
      <c r="D390" s="322"/>
      <c r="E390" s="784"/>
      <c r="F390" s="325"/>
      <c r="G390" s="319" t="str">
        <f>IFERROR(IF(E390="","",IF(F390="Direct-from-manufacturer",(E390*H390/1000*'Reporting Year &amp; Inflation Adj.'!$F$9),(E390*I390/1000*'Reporting Year &amp; Inflation Adj.'!$F$9))),"")</f>
        <v/>
      </c>
      <c r="H390" s="805">
        <v>8.8791775555000008E-2</v>
      </c>
      <c r="I390" s="806">
        <v>0.11054253394999997</v>
      </c>
      <c r="J390" s="807">
        <v>0.20045300431617261</v>
      </c>
      <c r="K390" s="68">
        <v>335930</v>
      </c>
      <c r="L390" s="68" t="s">
        <v>3692</v>
      </c>
      <c r="M390" s="69" t="s">
        <v>440</v>
      </c>
      <c r="N390" s="69" t="s">
        <v>773</v>
      </c>
      <c r="O390" s="70">
        <v>0.10208873781</v>
      </c>
      <c r="P390" s="70">
        <v>2.5883109040000001E-2</v>
      </c>
      <c r="Q390" s="70">
        <v>0.12805501333999997</v>
      </c>
    </row>
    <row r="391" spans="3:17" ht="57">
      <c r="C391" s="321" t="s">
        <v>820</v>
      </c>
      <c r="D391" s="322"/>
      <c r="E391" s="784"/>
      <c r="F391" s="325"/>
      <c r="G391" s="319" t="str">
        <f>IFERROR(IF(E391="","",IF(F391="Direct-from-manufacturer",(E391*H391/1000*'Reporting Year &amp; Inflation Adj.'!$F$9),(E391*I391/1000*'Reporting Year &amp; Inflation Adj.'!$F$9))),"")</f>
        <v/>
      </c>
      <c r="H391" s="805">
        <v>0.102323172495</v>
      </c>
      <c r="I391" s="806">
        <v>0.15078902886000001</v>
      </c>
      <c r="J391" s="807">
        <v>0.3216105045017929</v>
      </c>
      <c r="K391" s="68">
        <v>337110</v>
      </c>
      <c r="L391" s="68" t="s">
        <v>3693</v>
      </c>
      <c r="M391" s="69" t="s">
        <v>440</v>
      </c>
      <c r="N391" s="69" t="s">
        <v>822</v>
      </c>
      <c r="O391" s="70">
        <v>0.11435330217</v>
      </c>
      <c r="P391" s="70">
        <v>5.3064550119999998E-2</v>
      </c>
      <c r="Q391" s="70">
        <v>0.16738578498999998</v>
      </c>
    </row>
    <row r="392" spans="3:17" ht="42.75">
      <c r="C392" s="321" t="s">
        <v>526</v>
      </c>
      <c r="D392" s="322"/>
      <c r="E392" s="784"/>
      <c r="F392" s="325"/>
      <c r="G392" s="319" t="str">
        <f>IFERROR(IF(E392="","",IF(F392="Direct-from-manufacturer",(E392*H392/1000*'Reporting Year &amp; Inflation Adj.'!$F$9),(E392*I392/1000*'Reporting Year &amp; Inflation Adj.'!$F$9))),"")</f>
        <v/>
      </c>
      <c r="H392" s="805">
        <v>0.91189642608999999</v>
      </c>
      <c r="I392" s="806">
        <v>0.93909770080999999</v>
      </c>
      <c r="J392" s="807">
        <v>2.8854008125169781E-2</v>
      </c>
      <c r="K392" s="68">
        <v>322110</v>
      </c>
      <c r="L392" s="68" t="s">
        <v>3694</v>
      </c>
      <c r="M392" s="69" t="s">
        <v>440</v>
      </c>
      <c r="N392" s="69" t="s">
        <v>528</v>
      </c>
      <c r="O392" s="70">
        <v>0.98113822890000013</v>
      </c>
      <c r="P392" s="70">
        <v>2.4952683509899997E-2</v>
      </c>
      <c r="Q392" s="70">
        <v>1.00626725952</v>
      </c>
    </row>
    <row r="393" spans="3:17" ht="71.25">
      <c r="C393" s="321" t="s">
        <v>521</v>
      </c>
      <c r="D393" s="322"/>
      <c r="E393" s="784"/>
      <c r="F393" s="325"/>
      <c r="G393" s="319" t="str">
        <f>IFERROR(IF(E393="","",IF(F393="Direct-from-manufacturer",(E393*H393/1000*'Reporting Year &amp; Inflation Adj.'!$F$9),(E393*I393/1000*'Reporting Year &amp; Inflation Adj.'!$F$9))),"")</f>
        <v/>
      </c>
      <c r="H393" s="805">
        <v>0.12060881991</v>
      </c>
      <c r="I393" s="806">
        <v>0.15232747406500005</v>
      </c>
      <c r="J393" s="807">
        <v>0.21019690591952694</v>
      </c>
      <c r="K393" s="68">
        <v>321910</v>
      </c>
      <c r="L393" s="68" t="s">
        <v>3695</v>
      </c>
      <c r="M393" s="69" t="s">
        <v>440</v>
      </c>
      <c r="N393" s="69" t="s">
        <v>523</v>
      </c>
      <c r="O393" s="70">
        <v>0.12353465661</v>
      </c>
      <c r="P393" s="70">
        <v>3.1691942410000007E-2</v>
      </c>
      <c r="Q393" s="70">
        <v>0.15544251344000007</v>
      </c>
    </row>
    <row r="394" spans="3:17" ht="270.75">
      <c r="C394" s="321" t="s">
        <v>3318</v>
      </c>
      <c r="D394" s="322"/>
      <c r="E394" s="784"/>
      <c r="F394" s="323" t="s">
        <v>366</v>
      </c>
      <c r="G394" s="319" t="str">
        <f>IFERROR(IF(E394="","",IF(F394="Direct-from-manufacturer",(E394*H394/1000*'Reporting Year &amp; Inflation Adj.'!$F$9),(E394*I394/1000*'Reporting Year &amp; Inflation Adj.'!$F$9))),"")</f>
        <v/>
      </c>
      <c r="H394" s="805">
        <v>0.19846769499000003</v>
      </c>
      <c r="I394" s="806">
        <v>0.19846769499000003</v>
      </c>
      <c r="J394" s="807">
        <v>0</v>
      </c>
      <c r="K394" s="68" t="s">
        <v>411</v>
      </c>
      <c r="L394" s="68" t="s">
        <v>3696</v>
      </c>
      <c r="M394" s="69" t="s">
        <v>397</v>
      </c>
      <c r="N394" s="69" t="s">
        <v>3724</v>
      </c>
      <c r="O394" s="70">
        <v>0.22329488787999996</v>
      </c>
      <c r="P394" s="70">
        <v>0</v>
      </c>
      <c r="Q394" s="70">
        <v>0.22329488787999996</v>
      </c>
    </row>
    <row r="395" spans="3:17" ht="213.75">
      <c r="C395" s="321" t="s">
        <v>3319</v>
      </c>
      <c r="D395" s="322"/>
      <c r="E395" s="784"/>
      <c r="F395" s="323" t="s">
        <v>366</v>
      </c>
      <c r="G395" s="319" t="str">
        <f>IFERROR(IF(E395="","",IF(F395="Direct-from-manufacturer",(E395*H395/1000*'Reporting Year &amp; Inflation Adj.'!$F$9),(E395*I395/1000*'Reporting Year &amp; Inflation Adj.'!$F$9))),"")</f>
        <v/>
      </c>
      <c r="H395" s="805">
        <v>0.19846769499</v>
      </c>
      <c r="I395" s="806">
        <v>0.19846769499</v>
      </c>
      <c r="J395" s="807">
        <v>0</v>
      </c>
      <c r="K395" s="68" t="s">
        <v>413</v>
      </c>
      <c r="L395" s="68" t="s">
        <v>3697</v>
      </c>
      <c r="M395" s="69" t="s">
        <v>397</v>
      </c>
      <c r="N395" s="69" t="s">
        <v>3724</v>
      </c>
      <c r="O395" s="70">
        <v>0.22329488787999999</v>
      </c>
      <c r="P395" s="70">
        <v>0</v>
      </c>
      <c r="Q395" s="70">
        <v>0.22329488787999999</v>
      </c>
    </row>
    <row r="396" spans="3:17" ht="228">
      <c r="C396" s="321" t="s">
        <v>3320</v>
      </c>
      <c r="D396" s="322"/>
      <c r="E396" s="784"/>
      <c r="F396" s="323" t="s">
        <v>366</v>
      </c>
      <c r="G396" s="319" t="str">
        <f>IFERROR(IF(E396="","",IF(F396="Direct-from-manufacturer",(E396*H396/1000*'Reporting Year &amp; Inflation Adj.'!$F$9),(E396*I396/1000*'Reporting Year &amp; Inflation Adj.'!$F$9))),"")</f>
        <v/>
      </c>
      <c r="H396" s="805">
        <v>0.19846769499</v>
      </c>
      <c r="I396" s="806">
        <v>0.19846769499</v>
      </c>
      <c r="J396" s="807">
        <v>0</v>
      </c>
      <c r="K396" s="68" t="s">
        <v>414</v>
      </c>
      <c r="L396" s="68" t="s">
        <v>3698</v>
      </c>
      <c r="M396" s="69" t="s">
        <v>397</v>
      </c>
      <c r="N396" s="69" t="s">
        <v>3724</v>
      </c>
      <c r="O396" s="70">
        <v>0.22329488787999993</v>
      </c>
      <c r="P396" s="70">
        <v>0</v>
      </c>
      <c r="Q396" s="70">
        <v>0.22329488787999993</v>
      </c>
    </row>
    <row r="397" spans="3:17" ht="228">
      <c r="C397" s="321" t="s">
        <v>3321</v>
      </c>
      <c r="D397" s="322"/>
      <c r="E397" s="784"/>
      <c r="F397" s="323" t="s">
        <v>366</v>
      </c>
      <c r="G397" s="319" t="str">
        <f>IFERROR(IF(E397="","",IF(F397="Direct-from-manufacturer",(E397*H397/1000*'Reporting Year &amp; Inflation Adj.'!$F$9),(E397*I397/1000*'Reporting Year &amp; Inflation Adj.'!$F$9))),"")</f>
        <v/>
      </c>
      <c r="H397" s="805">
        <v>0.19846769498999997</v>
      </c>
      <c r="I397" s="806">
        <v>0.19846769498999997</v>
      </c>
      <c r="J397" s="807">
        <v>0</v>
      </c>
      <c r="K397" s="68" t="s">
        <v>415</v>
      </c>
      <c r="L397" s="68" t="s">
        <v>3699</v>
      </c>
      <c r="M397" s="69" t="s">
        <v>397</v>
      </c>
      <c r="N397" s="69" t="s">
        <v>3724</v>
      </c>
      <c r="O397" s="70">
        <v>0.22329488787999999</v>
      </c>
      <c r="P397" s="70">
        <v>0</v>
      </c>
      <c r="Q397" s="70">
        <v>0.22329488787999999</v>
      </c>
    </row>
    <row r="398" spans="3:17" ht="185.25">
      <c r="C398" s="321" t="s">
        <v>3322</v>
      </c>
      <c r="D398" s="322"/>
      <c r="E398" s="784"/>
      <c r="F398" s="323" t="s">
        <v>366</v>
      </c>
      <c r="G398" s="319" t="str">
        <f>IFERROR(IF(E398="","",IF(F398="Direct-from-manufacturer",(E398*H398/1000*'Reporting Year &amp; Inflation Adj.'!$F$9),(E398*I398/1000*'Reporting Year &amp; Inflation Adj.'!$F$9))),"")</f>
        <v/>
      </c>
      <c r="H398" s="805">
        <v>0.19846769499</v>
      </c>
      <c r="I398" s="806">
        <v>0.19846769499</v>
      </c>
      <c r="J398" s="807">
        <v>0</v>
      </c>
      <c r="K398" s="68" t="s">
        <v>416</v>
      </c>
      <c r="L398" s="68" t="s">
        <v>3700</v>
      </c>
      <c r="M398" s="69" t="s">
        <v>397</v>
      </c>
      <c r="N398" s="69" t="s">
        <v>3724</v>
      </c>
      <c r="O398" s="70">
        <v>0.22329488787999999</v>
      </c>
      <c r="P398" s="70">
        <v>0</v>
      </c>
      <c r="Q398" s="70">
        <v>0.22329488787999999</v>
      </c>
    </row>
    <row r="399" spans="3:17" ht="185.25">
      <c r="C399" s="321" t="s">
        <v>3323</v>
      </c>
      <c r="D399" s="322"/>
      <c r="E399" s="784"/>
      <c r="F399" s="323" t="s">
        <v>366</v>
      </c>
      <c r="G399" s="319" t="str">
        <f>IFERROR(IF(E399="","",IF(F399="Direct-from-manufacturer",(E399*H399/1000*'Reporting Year &amp; Inflation Adj.'!$F$9),(E399*I399/1000*'Reporting Year &amp; Inflation Adj.'!$F$9))),"")</f>
        <v/>
      </c>
      <c r="H399" s="805">
        <v>0.19846769498999997</v>
      </c>
      <c r="I399" s="806">
        <v>0.19846769498999997</v>
      </c>
      <c r="J399" s="807">
        <v>0</v>
      </c>
      <c r="K399" s="68" t="s">
        <v>417</v>
      </c>
      <c r="L399" s="68" t="s">
        <v>3701</v>
      </c>
      <c r="M399" s="69" t="s">
        <v>397</v>
      </c>
      <c r="N399" s="69" t="s">
        <v>3724</v>
      </c>
      <c r="O399" s="70">
        <v>0.22329488787999999</v>
      </c>
      <c r="P399" s="70">
        <v>0</v>
      </c>
      <c r="Q399" s="70">
        <v>0.22329488787999999</v>
      </c>
    </row>
    <row r="400" spans="3:17" ht="228">
      <c r="C400" s="321" t="s">
        <v>3324</v>
      </c>
      <c r="D400" s="322"/>
      <c r="E400" s="784"/>
      <c r="F400" s="323" t="s">
        <v>366</v>
      </c>
      <c r="G400" s="319" t="str">
        <f>IFERROR(IF(E400="","",IF(F400="Direct-from-manufacturer",(E400*H400/1000*'Reporting Year &amp; Inflation Adj.'!$F$9),(E400*I400/1000*'Reporting Year &amp; Inflation Adj.'!$F$9))),"")</f>
        <v/>
      </c>
      <c r="H400" s="805">
        <v>0.19846769498999997</v>
      </c>
      <c r="I400" s="806">
        <v>0.19846769498999997</v>
      </c>
      <c r="J400" s="807">
        <v>0</v>
      </c>
      <c r="K400" s="68" t="s">
        <v>418</v>
      </c>
      <c r="L400" s="68" t="s">
        <v>3702</v>
      </c>
      <c r="M400" s="69" t="s">
        <v>397</v>
      </c>
      <c r="N400" s="69" t="s">
        <v>3724</v>
      </c>
      <c r="O400" s="70">
        <v>0.22329488787999993</v>
      </c>
      <c r="P400" s="70">
        <v>0</v>
      </c>
      <c r="Q400" s="70">
        <v>0.22329488787999993</v>
      </c>
    </row>
    <row r="401" spans="3:17" ht="342">
      <c r="C401" s="321" t="s">
        <v>419</v>
      </c>
      <c r="D401" s="322"/>
      <c r="E401" s="784"/>
      <c r="F401" s="323" t="s">
        <v>366</v>
      </c>
      <c r="G401" s="319" t="str">
        <f>IFERROR(IF(E401="","",IF(F401="Direct-from-manufacturer",(E401*H401/1000*'Reporting Year &amp; Inflation Adj.'!$F$9),(E401*I401/1000*'Reporting Year &amp; Inflation Adj.'!$F$9))),"")</f>
        <v/>
      </c>
      <c r="H401" s="805">
        <v>0.19846769498999997</v>
      </c>
      <c r="I401" s="806">
        <v>0.19846769498999997</v>
      </c>
      <c r="J401" s="807">
        <v>0</v>
      </c>
      <c r="K401" s="68" t="s">
        <v>420</v>
      </c>
      <c r="L401" s="68" t="s">
        <v>3703</v>
      </c>
      <c r="M401" s="69" t="s">
        <v>397</v>
      </c>
      <c r="N401" s="69" t="s">
        <v>3725</v>
      </c>
      <c r="O401" s="70">
        <v>0.22329488787999996</v>
      </c>
      <c r="P401" s="70">
        <v>0</v>
      </c>
      <c r="Q401" s="70">
        <v>0.22329488787999996</v>
      </c>
    </row>
    <row r="402" spans="3:17" ht="285">
      <c r="C402" s="321" t="s">
        <v>3325</v>
      </c>
      <c r="D402" s="322"/>
      <c r="E402" s="784"/>
      <c r="F402" s="323" t="s">
        <v>366</v>
      </c>
      <c r="G402" s="319" t="str">
        <f>IFERROR(IF(E402="","",IF(F402="Direct-from-manufacturer",(E402*H402/1000*'Reporting Year &amp; Inflation Adj.'!$F$9),(E402*I402/1000*'Reporting Year &amp; Inflation Adj.'!$F$9))),"")</f>
        <v/>
      </c>
      <c r="H402" s="805">
        <v>0.19846769498999997</v>
      </c>
      <c r="I402" s="806">
        <v>0.19846769498999997</v>
      </c>
      <c r="J402" s="807">
        <v>0</v>
      </c>
      <c r="K402" s="68" t="s">
        <v>421</v>
      </c>
      <c r="L402" s="68" t="s">
        <v>3704</v>
      </c>
      <c r="M402" s="69" t="s">
        <v>397</v>
      </c>
      <c r="N402" s="69" t="s">
        <v>3725</v>
      </c>
      <c r="O402" s="70">
        <v>0.22329488787999999</v>
      </c>
      <c r="P402" s="70">
        <v>0</v>
      </c>
      <c r="Q402" s="70">
        <v>0.22329488787999999</v>
      </c>
    </row>
    <row r="403" spans="3:17" ht="356.25">
      <c r="C403" s="321" t="s">
        <v>3326</v>
      </c>
      <c r="D403" s="322"/>
      <c r="E403" s="784"/>
      <c r="F403" s="323" t="s">
        <v>366</v>
      </c>
      <c r="G403" s="319" t="str">
        <f>IFERROR(IF(E403="","",IF(F403="Direct-from-manufacturer",(E403*H403/1000*'Reporting Year &amp; Inflation Adj.'!$F$9),(E403*I403/1000*'Reporting Year &amp; Inflation Adj.'!$F$9))),"")</f>
        <v/>
      </c>
      <c r="H403" s="805">
        <v>0.19846769499</v>
      </c>
      <c r="I403" s="806">
        <v>0.19846769499</v>
      </c>
      <c r="J403" s="807">
        <v>0</v>
      </c>
      <c r="K403" s="68" t="s">
        <v>422</v>
      </c>
      <c r="L403" s="68" t="s">
        <v>3705</v>
      </c>
      <c r="M403" s="69" t="s">
        <v>397</v>
      </c>
      <c r="N403" s="69" t="s">
        <v>3725</v>
      </c>
      <c r="O403" s="70">
        <v>0.22329488787999999</v>
      </c>
      <c r="P403" s="70">
        <v>0</v>
      </c>
      <c r="Q403" s="70">
        <v>0.22329488787999999</v>
      </c>
    </row>
    <row r="404" spans="3:17" ht="313.5">
      <c r="C404" s="321" t="s">
        <v>3327</v>
      </c>
      <c r="D404" s="322"/>
      <c r="E404" s="784"/>
      <c r="F404" s="323" t="s">
        <v>366</v>
      </c>
      <c r="G404" s="319" t="str">
        <f>IFERROR(IF(E404="","",IF(F404="Direct-from-manufacturer",(E404*H404/1000*'Reporting Year &amp; Inflation Adj.'!$F$9),(E404*I404/1000*'Reporting Year &amp; Inflation Adj.'!$F$9))),"")</f>
        <v/>
      </c>
      <c r="H404" s="805">
        <v>0.19846769499</v>
      </c>
      <c r="I404" s="806">
        <v>0.19846769499</v>
      </c>
      <c r="J404" s="807">
        <v>0</v>
      </c>
      <c r="K404" s="68" t="s">
        <v>423</v>
      </c>
      <c r="L404" s="68" t="s">
        <v>3706</v>
      </c>
      <c r="M404" s="69" t="s">
        <v>397</v>
      </c>
      <c r="N404" s="69" t="s">
        <v>3725</v>
      </c>
      <c r="O404" s="70">
        <v>0.22329488787999996</v>
      </c>
      <c r="P404" s="70">
        <v>0</v>
      </c>
      <c r="Q404" s="70">
        <v>0.22329488787999996</v>
      </c>
    </row>
    <row r="405" spans="3:17" ht="213.75">
      <c r="C405" s="321" t="s">
        <v>424</v>
      </c>
      <c r="D405" s="322"/>
      <c r="E405" s="784"/>
      <c r="F405" s="323" t="s">
        <v>366</v>
      </c>
      <c r="G405" s="319" t="str">
        <f>IFERROR(IF(E405="","",IF(F405="Direct-from-manufacturer",(E405*H405/1000*'Reporting Year &amp; Inflation Adj.'!$F$9),(E405*I405/1000*'Reporting Year &amp; Inflation Adj.'!$F$9))),"")</f>
        <v/>
      </c>
      <c r="H405" s="805">
        <v>0.19846769499</v>
      </c>
      <c r="I405" s="806">
        <v>0.19846769499</v>
      </c>
      <c r="J405" s="807">
        <v>0</v>
      </c>
      <c r="K405" s="68" t="s">
        <v>425</v>
      </c>
      <c r="L405" s="68" t="s">
        <v>3707</v>
      </c>
      <c r="M405" s="69" t="s">
        <v>397</v>
      </c>
      <c r="N405" s="69" t="s">
        <v>3725</v>
      </c>
      <c r="O405" s="70">
        <v>0.22329488787999996</v>
      </c>
      <c r="P405" s="70">
        <v>0</v>
      </c>
      <c r="Q405" s="70">
        <v>0.22329488787999996</v>
      </c>
    </row>
    <row r="406" spans="3:17" ht="213.75">
      <c r="C406" s="321" t="s">
        <v>426</v>
      </c>
      <c r="D406" s="322"/>
      <c r="E406" s="784"/>
      <c r="F406" s="323" t="s">
        <v>366</v>
      </c>
      <c r="G406" s="319" t="str">
        <f>IFERROR(IF(E406="","",IF(F406="Direct-from-manufacturer",(E406*H406/1000*'Reporting Year &amp; Inflation Adj.'!$F$9),(E406*I406/1000*'Reporting Year &amp; Inflation Adj.'!$F$9))),"")</f>
        <v/>
      </c>
      <c r="H406" s="805">
        <v>0.19846769498999997</v>
      </c>
      <c r="I406" s="806">
        <v>0.19846769498999997</v>
      </c>
      <c r="J406" s="807">
        <v>0</v>
      </c>
      <c r="K406" s="68" t="s">
        <v>427</v>
      </c>
      <c r="L406" s="68" t="s">
        <v>3708</v>
      </c>
      <c r="M406" s="69" t="s">
        <v>397</v>
      </c>
      <c r="N406" s="69" t="s">
        <v>3726</v>
      </c>
      <c r="O406" s="70">
        <v>0.22329488787999993</v>
      </c>
      <c r="P406" s="70">
        <v>0</v>
      </c>
      <c r="Q406" s="70">
        <v>0.22329488787999993</v>
      </c>
    </row>
    <row r="407" spans="3:17" ht="228">
      <c r="C407" s="321" t="s">
        <v>428</v>
      </c>
      <c r="D407" s="322"/>
      <c r="E407" s="784"/>
      <c r="F407" s="323" t="s">
        <v>366</v>
      </c>
      <c r="G407" s="319" t="str">
        <f>IFERROR(IF(E407="","",IF(F407="Direct-from-manufacturer",(E407*H407/1000*'Reporting Year &amp; Inflation Adj.'!$F$9),(E407*I407/1000*'Reporting Year &amp; Inflation Adj.'!$F$9))),"")</f>
        <v/>
      </c>
      <c r="H407" s="805">
        <v>0.19846769499</v>
      </c>
      <c r="I407" s="806">
        <v>0.19846769499</v>
      </c>
      <c r="J407" s="807">
        <v>0</v>
      </c>
      <c r="K407" s="68" t="s">
        <v>429</v>
      </c>
      <c r="L407" s="68" t="s">
        <v>3709</v>
      </c>
      <c r="M407" s="69" t="s">
        <v>397</v>
      </c>
      <c r="N407" s="69" t="s">
        <v>3726</v>
      </c>
      <c r="O407" s="70">
        <v>0.22329488787999996</v>
      </c>
      <c r="P407" s="70">
        <v>0</v>
      </c>
      <c r="Q407" s="70">
        <v>0.22329488787999996</v>
      </c>
    </row>
    <row r="408" spans="3:17" ht="256.5">
      <c r="C408" s="321" t="s">
        <v>430</v>
      </c>
      <c r="D408" s="322"/>
      <c r="E408" s="784"/>
      <c r="F408" s="323" t="s">
        <v>366</v>
      </c>
      <c r="G408" s="319" t="str">
        <f>IFERROR(IF(E408="","",IF(F408="Direct-from-manufacturer",(E408*H408/1000*'Reporting Year &amp; Inflation Adj.'!$F$9),(E408*I408/1000*'Reporting Year &amp; Inflation Adj.'!$F$9))),"")</f>
        <v/>
      </c>
      <c r="H408" s="805">
        <v>0.19846769499</v>
      </c>
      <c r="I408" s="806">
        <v>0.19846769499</v>
      </c>
      <c r="J408" s="807">
        <v>0</v>
      </c>
      <c r="K408" s="68" t="s">
        <v>431</v>
      </c>
      <c r="L408" s="68" t="s">
        <v>3710</v>
      </c>
      <c r="M408" s="69" t="s">
        <v>397</v>
      </c>
      <c r="N408" s="69" t="s">
        <v>3726</v>
      </c>
      <c r="O408" s="70">
        <v>0.22329488787999996</v>
      </c>
      <c r="P408" s="70">
        <v>0</v>
      </c>
      <c r="Q408" s="70">
        <v>0.22329488787999996</v>
      </c>
    </row>
    <row r="409" spans="3:17" ht="285">
      <c r="C409" s="321" t="s">
        <v>432</v>
      </c>
      <c r="D409" s="322"/>
      <c r="E409" s="784"/>
      <c r="F409" s="323" t="s">
        <v>366</v>
      </c>
      <c r="G409" s="319" t="str">
        <f>IFERROR(IF(E409="","",IF(F409="Direct-from-manufacturer",(E409*H409/1000*'Reporting Year &amp; Inflation Adj.'!$F$9),(E409*I409/1000*'Reporting Year &amp; Inflation Adj.'!$F$9))),"")</f>
        <v/>
      </c>
      <c r="H409" s="805">
        <v>0.19846769498999997</v>
      </c>
      <c r="I409" s="806">
        <v>0.19846769498999997</v>
      </c>
      <c r="J409" s="807">
        <v>0</v>
      </c>
      <c r="K409" s="68" t="s">
        <v>433</v>
      </c>
      <c r="L409" s="68" t="s">
        <v>3711</v>
      </c>
      <c r="M409" s="69" t="s">
        <v>397</v>
      </c>
      <c r="N409" s="69" t="s">
        <v>3726</v>
      </c>
      <c r="O409" s="70">
        <v>0.22329488787999996</v>
      </c>
      <c r="P409" s="70">
        <v>0</v>
      </c>
      <c r="Q409" s="70">
        <v>0.22329488787999996</v>
      </c>
    </row>
    <row r="410" spans="3:17" ht="384.75">
      <c r="C410" s="321" t="s">
        <v>434</v>
      </c>
      <c r="D410" s="322"/>
      <c r="E410" s="784"/>
      <c r="F410" s="323" t="s">
        <v>366</v>
      </c>
      <c r="G410" s="319" t="str">
        <f>IFERROR(IF(E410="","",IF(F410="Direct-from-manufacturer",(E410*H410/1000*'Reporting Year &amp; Inflation Adj.'!$F$9),(E410*I410/1000*'Reporting Year &amp; Inflation Adj.'!$F$9))),"")</f>
        <v/>
      </c>
      <c r="H410" s="805">
        <v>0.19846769499</v>
      </c>
      <c r="I410" s="806">
        <v>0.19846769499</v>
      </c>
      <c r="J410" s="807">
        <v>0</v>
      </c>
      <c r="K410" s="68" t="s">
        <v>435</v>
      </c>
      <c r="L410" s="68" t="s">
        <v>3712</v>
      </c>
      <c r="M410" s="69" t="s">
        <v>397</v>
      </c>
      <c r="N410" s="69" t="s">
        <v>3727</v>
      </c>
      <c r="O410" s="70">
        <v>0.22329488787999999</v>
      </c>
      <c r="P410" s="70">
        <v>0</v>
      </c>
      <c r="Q410" s="70">
        <v>0.22329488787999999</v>
      </c>
    </row>
    <row r="411" spans="3:17" ht="327.75">
      <c r="C411" s="321" t="s">
        <v>436</v>
      </c>
      <c r="D411" s="322"/>
      <c r="E411" s="784"/>
      <c r="F411" s="323" t="s">
        <v>366</v>
      </c>
      <c r="G411" s="319" t="str">
        <f>IFERROR(IF(E411="","",IF(F411="Direct-from-manufacturer",(E411*H411/1000*'Reporting Year &amp; Inflation Adj.'!$F$9),(E411*I411/1000*'Reporting Year &amp; Inflation Adj.'!$F$9))),"")</f>
        <v/>
      </c>
      <c r="H411" s="805">
        <v>0.19846769498999997</v>
      </c>
      <c r="I411" s="806">
        <v>0.19846769498999997</v>
      </c>
      <c r="J411" s="807">
        <v>0</v>
      </c>
      <c r="K411" s="68" t="s">
        <v>437</v>
      </c>
      <c r="L411" s="68" t="s">
        <v>3713</v>
      </c>
      <c r="M411" s="69" t="s">
        <v>397</v>
      </c>
      <c r="N411" s="69" t="s">
        <v>3727</v>
      </c>
      <c r="O411" s="70">
        <v>0.22329488787999996</v>
      </c>
      <c r="P411" s="70">
        <v>0</v>
      </c>
      <c r="Q411" s="70">
        <v>0.22329488787999996</v>
      </c>
    </row>
    <row r="412" spans="3:17">
      <c r="G412" s="30"/>
    </row>
    <row r="413" spans="3:17">
      <c r="G413" s="30"/>
    </row>
  </sheetData>
  <sheetProtection algorithmName="SHA-512" hashValue="02WOHYFGP9uKyuusCmWuDYHWTtXrOj4qXDA7LL5rTw146A5ur1wUY1qCxWksVBGanQfR75TTXQmrB5wPxFP3+A==" saltValue="QXAWWai5f4eeqD2mJaYq8Q==" spinCount="100000" sheet="1" autoFilter="0"/>
  <mergeCells count="2">
    <mergeCell ref="A7:M8"/>
    <mergeCell ref="A16:B17"/>
  </mergeCells>
  <dataValidations count="2">
    <dataValidation allowBlank="1" showInputMessage="1" showErrorMessage="1" prompt="Add total annual volume of water usage in gallons" sqref="D42:E42" xr:uid="{36A0F6E6-C56B-4D07-8F24-BCF30DCA3444}"/>
    <dataValidation type="list" allowBlank="1" showInputMessage="1" showErrorMessage="1" sqref="F19 F21 F24:F29 F31:F32 F34 F36:F37 F39:F51 F56:F64 F67:F68 F70:F71 F76:F77 F80:F81 F83:F86 F88:F92 F94:F98 F100:F101 F103 F105:F108 F111 F113 F115 F119:F121 F123:F130 F132:F137 F142 F144 F146 F149 F151:F152 F155:F157 F159:F161 F167:F168 F172:F176 F182:F185 F187:F188 F192:F196 F198:F200 F202:F203 F206:F207 F209 F211:F221 F223 F225:F228 F232 F235 F237 F241:F249 F251 F254:F255 F257 F259:F260 F263:F264 F267:F269 F271:F276 F278 F280 F282 F284 F286:F293 F295:F301 F304 F306:F309 F313:F314 F316:F317 F320:F325 F327:F332 F334:F340 F342:F344 F346:F354 F356:F367 F369:F375 F378 F380 F382:F383 F386:F388 F390:F393" xr:uid="{66730C45-F36A-43F7-BBA5-854EC0C0F3D0}">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97C6-531D-4AF3-9A51-AE7BD6F22429}">
  <sheetPr codeName="Sheet17">
    <tabColor theme="3" tint="0.59999389629810485"/>
  </sheetPr>
  <dimension ref="A1:X237"/>
  <sheetViews>
    <sheetView showGridLines="0" zoomScale="85" zoomScaleNormal="85" workbookViewId="0"/>
  </sheetViews>
  <sheetFormatPr defaultColWidth="9" defaultRowHeight="15"/>
  <cols>
    <col min="1" max="1" width="35" style="30" customWidth="1"/>
    <col min="2" max="2" width="37.625" style="30" customWidth="1"/>
    <col min="3" max="3" width="31" style="30" customWidth="1"/>
    <col min="4" max="4" width="28.625" style="71" customWidth="1"/>
    <col min="5" max="5" width="18.375" style="44" customWidth="1"/>
    <col min="6" max="6" width="28.625" style="30" customWidth="1"/>
    <col min="7" max="7" width="20.875" style="41" customWidth="1"/>
    <col min="8" max="8" width="25.625" style="42" customWidth="1"/>
    <col min="9" max="9" width="26.625" style="42" customWidth="1"/>
    <col min="10" max="10" width="11.125" style="42" customWidth="1"/>
    <col min="11" max="11" width="21.625" style="51" hidden="1" customWidth="1"/>
    <col min="12" max="12" width="76.625" customWidth="1"/>
    <col min="13" max="13" width="68.625" style="41" hidden="1" customWidth="1"/>
    <col min="14" max="14" width="19.125" style="30" hidden="1" customWidth="1"/>
    <col min="15" max="15" width="21.875" style="30" hidden="1" customWidth="1"/>
    <col min="16" max="16" width="18" style="30" hidden="1" customWidth="1"/>
    <col min="17" max="17" width="16.125" style="30" hidden="1" customWidth="1"/>
    <col min="18" max="18" width="14.125" style="30" customWidth="1"/>
    <col min="19" max="16384" width="9" style="30"/>
  </cols>
  <sheetData>
    <row r="1" spans="1:24" ht="20.25">
      <c r="A1" s="23" t="s">
        <v>1158</v>
      </c>
      <c r="B1" s="24"/>
      <c r="C1" s="25"/>
      <c r="D1" s="26"/>
      <c r="E1" s="25"/>
      <c r="F1" s="24"/>
      <c r="G1" s="24"/>
      <c r="H1" s="27"/>
      <c r="I1" s="27"/>
      <c r="J1" s="28"/>
      <c r="K1" s="29"/>
      <c r="L1" s="24"/>
      <c r="M1" s="24"/>
      <c r="N1" s="24"/>
      <c r="O1" s="24"/>
      <c r="P1" s="24"/>
      <c r="Q1" s="24"/>
    </row>
    <row r="2" spans="1:24">
      <c r="A2" s="31" t="s">
        <v>304</v>
      </c>
      <c r="B2" s="32"/>
      <c r="C2" s="33"/>
      <c r="D2" s="34"/>
      <c r="E2" s="33"/>
      <c r="F2" s="32"/>
      <c r="G2" s="32"/>
      <c r="H2" s="35"/>
      <c r="I2" s="35"/>
      <c r="J2" s="36"/>
      <c r="K2" s="37"/>
      <c r="L2" s="32"/>
      <c r="M2" s="32"/>
      <c r="N2" s="32"/>
      <c r="O2" s="32"/>
      <c r="P2" s="32"/>
      <c r="Q2" s="32"/>
    </row>
    <row r="3" spans="1:24">
      <c r="A3" s="38" t="s">
        <v>305</v>
      </c>
      <c r="B3" s="32"/>
      <c r="C3" s="33"/>
      <c r="D3" s="34"/>
      <c r="E3" s="33"/>
      <c r="F3" s="32"/>
      <c r="G3" s="32"/>
      <c r="H3" s="35"/>
      <c r="I3" s="35"/>
      <c r="J3" s="36"/>
      <c r="K3" s="37"/>
      <c r="L3" s="32"/>
      <c r="M3" s="32"/>
      <c r="N3" s="32"/>
      <c r="O3" s="32"/>
      <c r="P3" s="32"/>
      <c r="Q3" s="32"/>
    </row>
    <row r="4" spans="1:24">
      <c r="A4" s="38"/>
      <c r="B4" s="32"/>
      <c r="C4" s="33"/>
      <c r="D4" s="34"/>
      <c r="E4" s="33"/>
      <c r="F4" s="32"/>
      <c r="G4" s="32"/>
      <c r="H4" s="35"/>
      <c r="I4" s="35"/>
      <c r="J4" s="36"/>
      <c r="K4" s="37"/>
      <c r="L4" s="32"/>
      <c r="M4" s="32"/>
      <c r="N4" s="32"/>
      <c r="O4" s="32"/>
      <c r="P4" s="32"/>
      <c r="Q4" s="32"/>
    </row>
    <row r="5" spans="1:24">
      <c r="A5" s="38" t="s">
        <v>306</v>
      </c>
      <c r="B5" s="32"/>
      <c r="C5" s="33"/>
      <c r="D5" s="34"/>
      <c r="E5" s="33"/>
      <c r="F5" s="32"/>
      <c r="G5" s="32"/>
      <c r="H5" s="35"/>
      <c r="I5" s="35"/>
      <c r="J5" s="36"/>
      <c r="K5" s="37"/>
      <c r="L5" s="32"/>
      <c r="M5" s="32"/>
      <c r="N5" s="32"/>
      <c r="O5" s="32"/>
      <c r="P5" s="32"/>
      <c r="Q5" s="32"/>
    </row>
    <row r="6" spans="1:24">
      <c r="A6" s="38" t="s">
        <v>307</v>
      </c>
      <c r="B6" s="32"/>
      <c r="C6" s="33"/>
      <c r="D6" s="34"/>
      <c r="E6" s="33"/>
      <c r="F6" s="32"/>
      <c r="G6" s="32"/>
      <c r="H6" s="35"/>
      <c r="I6" s="35"/>
      <c r="J6" s="36"/>
      <c r="K6" s="37"/>
      <c r="L6" s="32"/>
      <c r="M6" s="32"/>
      <c r="N6" s="32"/>
      <c r="O6" s="32"/>
      <c r="P6" s="32"/>
      <c r="Q6" s="32"/>
    </row>
    <row r="7" spans="1:24" ht="14.25">
      <c r="A7" s="1547" t="s">
        <v>308</v>
      </c>
      <c r="B7" s="1547"/>
      <c r="C7" s="1547"/>
      <c r="D7" s="1547"/>
      <c r="E7" s="1547"/>
      <c r="F7" s="1547"/>
      <c r="G7" s="1547"/>
      <c r="H7" s="1547"/>
      <c r="I7" s="1547"/>
      <c r="J7" s="1547"/>
      <c r="K7" s="1547"/>
      <c r="L7" s="1547"/>
      <c r="M7" s="1547"/>
      <c r="N7" s="32"/>
      <c r="O7" s="32"/>
      <c r="P7" s="32"/>
      <c r="Q7" s="32"/>
      <c r="V7" s="39"/>
    </row>
    <row r="8" spans="1:24" ht="14.25">
      <c r="A8" s="1547"/>
      <c r="B8" s="1547"/>
      <c r="C8" s="1547"/>
      <c r="D8" s="1547"/>
      <c r="E8" s="1547"/>
      <c r="F8" s="1547"/>
      <c r="G8" s="1547"/>
      <c r="H8" s="1547"/>
      <c r="I8" s="1547"/>
      <c r="J8" s="1547"/>
      <c r="K8" s="1547"/>
      <c r="L8" s="1547"/>
      <c r="M8" s="1547"/>
      <c r="N8" s="32"/>
      <c r="O8" s="32"/>
      <c r="P8" s="32"/>
      <c r="Q8" s="32"/>
    </row>
    <row r="9" spans="1:24" ht="16.5" customHeight="1">
      <c r="A9" s="40"/>
      <c r="B9" s="40"/>
      <c r="C9" s="40"/>
      <c r="D9" s="40"/>
      <c r="E9" s="40"/>
      <c r="F9" s="40"/>
      <c r="G9" s="40"/>
      <c r="H9" s="40"/>
      <c r="I9" s="40"/>
      <c r="J9" s="40"/>
      <c r="K9" s="40"/>
      <c r="L9" s="30"/>
      <c r="N9" s="42"/>
      <c r="O9" s="42"/>
      <c r="P9" s="42"/>
      <c r="Q9" s="42"/>
      <c r="T9" s="41"/>
      <c r="W9" s="41"/>
      <c r="X9" s="41"/>
    </row>
    <row r="10" spans="1:24" ht="16.5" customHeight="1">
      <c r="A10" s="40"/>
      <c r="B10" s="40"/>
      <c r="C10" s="40"/>
      <c r="D10" s="40"/>
      <c r="E10" s="40"/>
      <c r="F10" s="40"/>
      <c r="G10" s="40"/>
      <c r="H10" s="40"/>
      <c r="I10" s="40"/>
      <c r="J10" s="40"/>
      <c r="K10" s="40"/>
      <c r="L10" s="30"/>
      <c r="N10" s="42"/>
      <c r="O10" s="42"/>
      <c r="P10" s="42"/>
      <c r="Q10" s="42"/>
      <c r="T10" s="41"/>
      <c r="W10" s="41"/>
      <c r="X10" s="41"/>
    </row>
    <row r="11" spans="1:24" ht="16.5" customHeight="1">
      <c r="A11" s="40"/>
      <c r="B11" s="40"/>
      <c r="C11" s="40"/>
      <c r="D11" s="40"/>
      <c r="E11" s="40"/>
      <c r="F11" s="40"/>
      <c r="G11" s="40"/>
      <c r="H11" s="40"/>
      <c r="I11" s="40"/>
      <c r="J11" s="40"/>
      <c r="K11" s="40"/>
      <c r="L11" s="30"/>
      <c r="N11" s="42"/>
      <c r="O11" s="42"/>
      <c r="P11" s="42"/>
      <c r="Q11" s="42"/>
      <c r="T11" s="41"/>
      <c r="U11" s="43"/>
      <c r="W11" s="41"/>
      <c r="X11" s="41"/>
    </row>
    <row r="12" spans="1:24" ht="16.5" customHeight="1">
      <c r="C12" s="44"/>
      <c r="D12" s="45"/>
      <c r="K12" s="46"/>
      <c r="L12" s="30"/>
      <c r="N12" s="42"/>
      <c r="O12" s="42"/>
      <c r="P12" s="42"/>
      <c r="Q12" s="42"/>
      <c r="T12" s="41"/>
      <c r="W12" s="41"/>
      <c r="X12" s="41"/>
    </row>
    <row r="13" spans="1:24" ht="16.5" customHeight="1">
      <c r="C13" s="44"/>
      <c r="D13" s="45"/>
      <c r="K13" s="46"/>
      <c r="L13" s="30"/>
      <c r="N13" s="42"/>
      <c r="O13" s="42"/>
      <c r="P13" s="42"/>
      <c r="Q13" s="42"/>
      <c r="T13" s="41"/>
      <c r="W13" s="41"/>
      <c r="X13" s="41"/>
    </row>
    <row r="14" spans="1:24" ht="16.5" customHeight="1">
      <c r="C14" s="44"/>
      <c r="D14" s="45"/>
      <c r="K14" s="46"/>
      <c r="L14" s="30"/>
      <c r="N14" s="42"/>
      <c r="O14" s="42"/>
      <c r="P14" s="42"/>
      <c r="Q14" s="42"/>
      <c r="T14" s="41"/>
      <c r="W14" s="41"/>
      <c r="X14" s="41"/>
    </row>
    <row r="15" spans="1:24" ht="16.5" customHeight="1">
      <c r="C15" s="44"/>
      <c r="D15" s="45"/>
      <c r="K15" s="46"/>
      <c r="L15" s="30"/>
      <c r="N15" s="42"/>
      <c r="O15" s="42"/>
      <c r="P15" s="42"/>
      <c r="Q15" s="42"/>
      <c r="T15" s="41"/>
      <c r="W15" s="41"/>
      <c r="X15" s="41"/>
    </row>
    <row r="16" spans="1:24" ht="23.25">
      <c r="A16" s="1548" t="s">
        <v>309</v>
      </c>
      <c r="B16" s="1548"/>
      <c r="D16" s="47"/>
      <c r="E16" s="47"/>
      <c r="F16" s="48"/>
      <c r="G16" s="49" t="s">
        <v>310</v>
      </c>
      <c r="J16" s="50"/>
      <c r="L16" s="41"/>
      <c r="M16" s="30"/>
      <c r="O16" s="30" t="s">
        <v>311</v>
      </c>
    </row>
    <row r="17" spans="1:17" ht="43.5">
      <c r="A17" s="1548"/>
      <c r="B17" s="1548"/>
      <c r="D17" s="52" t="s">
        <v>312</v>
      </c>
      <c r="E17" s="52" t="s">
        <v>312</v>
      </c>
      <c r="F17" s="53" t="s">
        <v>312</v>
      </c>
      <c r="G17" s="54">
        <f>SUM(Table31021[Emissions (MTCO2e)])</f>
        <v>0</v>
      </c>
      <c r="H17" s="55" t="s">
        <v>313</v>
      </c>
      <c r="I17" s="55" t="s">
        <v>314</v>
      </c>
      <c r="L17" s="30"/>
      <c r="M17" s="30"/>
      <c r="O17" s="56" t="s">
        <v>315</v>
      </c>
      <c r="P17" s="56" t="s">
        <v>316</v>
      </c>
      <c r="Q17" s="56" t="s">
        <v>317</v>
      </c>
    </row>
    <row r="18" spans="1:17" s="792" customFormat="1" ht="96.75" customHeight="1">
      <c r="A18"/>
      <c r="B18"/>
      <c r="C18" s="58" t="s">
        <v>318</v>
      </c>
      <c r="D18" s="59" t="s">
        <v>319</v>
      </c>
      <c r="E18" s="59" t="s">
        <v>320</v>
      </c>
      <c r="F18" s="60" t="s">
        <v>321</v>
      </c>
      <c r="G18" s="61" t="s">
        <v>322</v>
      </c>
      <c r="H18" s="62" t="s">
        <v>3728</v>
      </c>
      <c r="I18" s="62" t="s">
        <v>3729</v>
      </c>
      <c r="J18" s="63" t="s">
        <v>323</v>
      </c>
      <c r="K18" s="64" t="s">
        <v>324</v>
      </c>
      <c r="L18" s="65" t="s">
        <v>325</v>
      </c>
      <c r="M18" s="66" t="s">
        <v>258</v>
      </c>
      <c r="N18" s="66" t="s">
        <v>326</v>
      </c>
      <c r="O18" s="67" t="s">
        <v>327</v>
      </c>
      <c r="P18" s="67" t="s">
        <v>328</v>
      </c>
      <c r="Q18" s="67" t="s">
        <v>329</v>
      </c>
    </row>
    <row r="19" spans="1:17" ht="57">
      <c r="C19" s="321" t="s">
        <v>713</v>
      </c>
      <c r="D19" s="322"/>
      <c r="E19" s="784"/>
      <c r="F19" s="325"/>
      <c r="G19" s="319" t="str">
        <f>IFERROR(IF(E19="","",IF(F19="Direct-from-manufacturer",(E19*H19/1000*'Reporting Year &amp; Inflation Adj.'!$F$9),(E19*I19/1000*'Reporting Year &amp; Inflation Adj.'!$F$9))),"")</f>
        <v/>
      </c>
      <c r="H19" s="791">
        <v>0.12802140084000002</v>
      </c>
      <c r="I19" s="794">
        <v>0.14459936384500002</v>
      </c>
      <c r="J19" s="324">
        <v>0.11533539890173365</v>
      </c>
      <c r="K19" s="791">
        <v>0</v>
      </c>
      <c r="L19" s="68" t="s">
        <v>3333</v>
      </c>
      <c r="M19" s="69" t="s">
        <v>440</v>
      </c>
      <c r="N19" s="69" t="s">
        <v>715</v>
      </c>
      <c r="O19" s="70">
        <v>0.15839953312999999</v>
      </c>
      <c r="P19" s="70">
        <v>1.9712300529999997E-2</v>
      </c>
      <c r="Q19" s="70">
        <v>0.17873595745999998</v>
      </c>
    </row>
    <row r="20" spans="1:17" ht="99.75">
      <c r="C20" s="321" t="s">
        <v>699</v>
      </c>
      <c r="D20" s="322"/>
      <c r="E20" s="784"/>
      <c r="F20" s="325"/>
      <c r="G20" s="319" t="str">
        <f>IFERROR(IF(E20="","",IF(F20="Direct-from-manufacturer",(E20*H20/1000*'Reporting Year &amp; Inflation Adj.'!$F$9),(E20*I20/1000*'Reporting Year &amp; Inflation Adj.'!$F$9))),"")</f>
        <v/>
      </c>
      <c r="H20" s="791">
        <v>0.15041488132000005</v>
      </c>
      <c r="I20" s="794">
        <v>0.17434141682500001</v>
      </c>
      <c r="J20" s="324">
        <v>0.13977132711075746</v>
      </c>
      <c r="K20" s="68">
        <v>333415</v>
      </c>
      <c r="L20" s="68" t="s">
        <v>3334</v>
      </c>
      <c r="M20" s="69" t="s">
        <v>440</v>
      </c>
      <c r="N20" s="69" t="s">
        <v>697</v>
      </c>
      <c r="O20" s="70">
        <v>0.15945569237000004</v>
      </c>
      <c r="P20" s="70">
        <v>2.8402677830000004E-2</v>
      </c>
      <c r="Q20" s="70">
        <v>0.18819985696999997</v>
      </c>
    </row>
    <row r="21" spans="1:17" ht="99.75">
      <c r="C21" s="321" t="s">
        <v>695</v>
      </c>
      <c r="D21" s="322"/>
      <c r="E21" s="784"/>
      <c r="F21" s="325"/>
      <c r="G21" s="319" t="str">
        <f>IFERROR(IF(E21="","",IF(F21="Direct-from-manufacturer",(E21*H21/1000*'Reporting Year &amp; Inflation Adj.'!$F$9),(E21*I21/1000*'Reporting Year &amp; Inflation Adj.'!$F$9))),"")</f>
        <v/>
      </c>
      <c r="H21" s="791">
        <v>0.16221502102499999</v>
      </c>
      <c r="I21" s="794">
        <v>0.18498200331</v>
      </c>
      <c r="J21" s="324">
        <v>0.12357977057741272</v>
      </c>
      <c r="K21" s="68">
        <v>333413</v>
      </c>
      <c r="L21" s="68" t="s">
        <v>3335</v>
      </c>
      <c r="M21" s="69" t="s">
        <v>440</v>
      </c>
      <c r="N21" s="69" t="s">
        <v>697</v>
      </c>
      <c r="O21" s="70">
        <v>0.18522373465</v>
      </c>
      <c r="P21" s="70">
        <v>2.545976719E-2</v>
      </c>
      <c r="Q21" s="70">
        <v>0.21067470106000002</v>
      </c>
    </row>
    <row r="22" spans="1:17" ht="71.25">
      <c r="C22" s="321" t="s">
        <v>800</v>
      </c>
      <c r="D22" s="322"/>
      <c r="E22" s="784"/>
      <c r="F22" s="325"/>
      <c r="G22" s="319" t="str">
        <f>IFERROR(IF(E22="","",IF(F22="Direct-from-manufacturer",(E22*H22/1000*'Reporting Year &amp; Inflation Adj.'!$F$9),(E22*I22/1000*'Reporting Year &amp; Inflation Adj.'!$F$9))),"")</f>
        <v/>
      </c>
      <c r="H22" s="791">
        <v>0.11809334772499998</v>
      </c>
      <c r="I22" s="794">
        <v>0.12625637168500001</v>
      </c>
      <c r="J22" s="324">
        <v>6.5457923795871828E-2</v>
      </c>
      <c r="K22" s="68">
        <v>336411</v>
      </c>
      <c r="L22" s="68" t="s">
        <v>3336</v>
      </c>
      <c r="M22" s="69" t="s">
        <v>440</v>
      </c>
      <c r="N22" s="69" t="s">
        <v>802</v>
      </c>
      <c r="O22" s="70">
        <v>0.13127988367999999</v>
      </c>
      <c r="P22" s="70">
        <v>8.6784493709999994E-3</v>
      </c>
      <c r="Q22" s="70">
        <v>0.14061782380999996</v>
      </c>
    </row>
    <row r="23" spans="1:17" ht="85.5">
      <c r="C23" s="321" t="s">
        <v>803</v>
      </c>
      <c r="D23" s="322"/>
      <c r="E23" s="784"/>
      <c r="F23" s="325"/>
      <c r="G23" s="319" t="str">
        <f>IFERROR(IF(E23="","",IF(F23="Direct-from-manufacturer",(E23*H23/1000*'Reporting Year &amp; Inflation Adj.'!$F$9),(E23*I23/1000*'Reporting Year &amp; Inflation Adj.'!$F$9))),"")</f>
        <v/>
      </c>
      <c r="H23" s="791">
        <v>0.13375543767</v>
      </c>
      <c r="I23" s="794">
        <v>0.13847475140999999</v>
      </c>
      <c r="J23" s="324">
        <v>3.6946879477340815E-2</v>
      </c>
      <c r="K23" s="68">
        <v>336412</v>
      </c>
      <c r="L23" s="68" t="s">
        <v>3337</v>
      </c>
      <c r="M23" s="69" t="s">
        <v>440</v>
      </c>
      <c r="N23" s="69" t="s">
        <v>802</v>
      </c>
      <c r="O23" s="70">
        <v>0.15142851339999999</v>
      </c>
      <c r="P23" s="70">
        <v>5.3536557469999997E-3</v>
      </c>
      <c r="Q23" s="70">
        <v>0.15727684065</v>
      </c>
    </row>
    <row r="24" spans="1:17" ht="128.25">
      <c r="C24" s="321" t="s">
        <v>638</v>
      </c>
      <c r="D24" s="322"/>
      <c r="E24" s="784"/>
      <c r="F24" s="325"/>
      <c r="G24" s="319" t="str">
        <f>IFERROR(IF(E24="","",IF(F24="Direct-from-manufacturer",(E24*H24/1000*'Reporting Year &amp; Inflation Adj.'!$F$9),(E24*I24/1000*'Reporting Year &amp; Inflation Adj.'!$F$9))),"")</f>
        <v/>
      </c>
      <c r="H24" s="791">
        <v>0.44643721917999996</v>
      </c>
      <c r="I24" s="794">
        <v>0.46958829207000002</v>
      </c>
      <c r="J24" s="324">
        <v>4.8699807876792227E-2</v>
      </c>
      <c r="K24" s="68" t="s">
        <v>639</v>
      </c>
      <c r="L24" s="68" t="s">
        <v>3341</v>
      </c>
      <c r="M24" s="69" t="s">
        <v>440</v>
      </c>
      <c r="N24" s="69" t="s">
        <v>640</v>
      </c>
      <c r="O24" s="70">
        <v>0.47232229399000003</v>
      </c>
      <c r="P24" s="70">
        <v>2.3171647508000003E-2</v>
      </c>
      <c r="Q24" s="70">
        <v>0.49489836366000012</v>
      </c>
    </row>
    <row r="25" spans="1:17" ht="71.25">
      <c r="C25" s="321" t="s">
        <v>751</v>
      </c>
      <c r="D25" s="322"/>
      <c r="E25" s="784"/>
      <c r="F25" s="325"/>
      <c r="G25" s="319" t="str">
        <f>IFERROR(IF(E25="","",IF(F25="Direct-from-manufacturer",(E25*H25/1000*'Reporting Year &amp; Inflation Adj.'!$F$9),(E25*I25/1000*'Reporting Year &amp; Inflation Adj.'!$F$9))),"")</f>
        <v/>
      </c>
      <c r="H25" s="791">
        <v>6.8393250025000019E-2</v>
      </c>
      <c r="I25" s="794">
        <v>9.0185718264999978E-2</v>
      </c>
      <c r="J25" s="324">
        <v>0.24282840544276058</v>
      </c>
      <c r="K25" s="68">
        <v>334516</v>
      </c>
      <c r="L25" s="68" t="s">
        <v>3345</v>
      </c>
      <c r="M25" s="69" t="s">
        <v>440</v>
      </c>
      <c r="N25" s="69" t="s">
        <v>745</v>
      </c>
      <c r="O25" s="70">
        <v>7.8518070209999999E-2</v>
      </c>
      <c r="P25" s="70">
        <v>2.4407085899999997E-2</v>
      </c>
      <c r="Q25" s="70">
        <v>0.10292345509</v>
      </c>
    </row>
    <row r="26" spans="1:17" ht="42.75">
      <c r="C26" s="321" t="s">
        <v>545</v>
      </c>
      <c r="D26" s="322"/>
      <c r="E26" s="784"/>
      <c r="F26" s="325"/>
      <c r="G26" s="319" t="str">
        <f>IFERROR(IF(E26="","",IF(F26="Direct-from-manufacturer",(E26*H26/1000*'Reporting Year &amp; Inflation Adj.'!$F$9),(E26*I26/1000*'Reporting Year &amp; Inflation Adj.'!$F$9))),"")</f>
        <v/>
      </c>
      <c r="H26" s="791">
        <v>0.90236574558999993</v>
      </c>
      <c r="I26" s="794">
        <v>0.92828964729999996</v>
      </c>
      <c r="J26" s="324">
        <v>2.7323294915302457E-2</v>
      </c>
      <c r="K26" s="68">
        <v>324121</v>
      </c>
      <c r="L26" s="68" t="s">
        <v>3348</v>
      </c>
      <c r="M26" s="69" t="s">
        <v>440</v>
      </c>
      <c r="N26" s="69" t="s">
        <v>544</v>
      </c>
      <c r="O26" s="70">
        <v>1.1025855085700003</v>
      </c>
      <c r="P26" s="70">
        <v>2.794347959E-2</v>
      </c>
      <c r="Q26" s="70">
        <v>1.1269681298400001</v>
      </c>
    </row>
    <row r="27" spans="1:17" ht="57">
      <c r="C27" s="321" t="s">
        <v>546</v>
      </c>
      <c r="D27" s="322"/>
      <c r="E27" s="784"/>
      <c r="F27" s="325"/>
      <c r="G27" s="319" t="str">
        <f>IFERROR(IF(E27="","",IF(F27="Direct-from-manufacturer",(E27*H27/1000*'Reporting Year &amp; Inflation Adj.'!$F$9),(E27*I27/1000*'Reporting Year &amp; Inflation Adj.'!$F$9))),"")</f>
        <v/>
      </c>
      <c r="H27" s="791">
        <v>0.51873300056000005</v>
      </c>
      <c r="I27" s="794">
        <v>0.54975766621999989</v>
      </c>
      <c r="J27" s="324">
        <v>5.5683236416660897E-2</v>
      </c>
      <c r="K27" s="68">
        <v>324122</v>
      </c>
      <c r="L27" s="68" t="s">
        <v>3349</v>
      </c>
      <c r="M27" s="69" t="s">
        <v>440</v>
      </c>
      <c r="N27" s="69" t="s">
        <v>544</v>
      </c>
      <c r="O27" s="70">
        <v>0.57876085089000018</v>
      </c>
      <c r="P27" s="70">
        <v>3.182666540399999E-2</v>
      </c>
      <c r="Q27" s="70">
        <v>0.61045555746000013</v>
      </c>
    </row>
    <row r="28" spans="1:17" ht="71.25">
      <c r="C28" s="321" t="s">
        <v>734</v>
      </c>
      <c r="D28" s="322"/>
      <c r="E28" s="784"/>
      <c r="F28" s="325"/>
      <c r="G28" s="319" t="str">
        <f>IFERROR(IF(E28="","",IF(F28="Direct-from-manufacturer",(E28*H28/1000*'Reporting Year &amp; Inflation Adj.'!$F$9),(E28*I28/1000*'Reporting Year &amp; Inflation Adj.'!$F$9))),"")</f>
        <v/>
      </c>
      <c r="H28" s="791">
        <v>3.963316904500002E-2</v>
      </c>
      <c r="I28" s="794">
        <v>7.3974066564999982E-2</v>
      </c>
      <c r="J28" s="324">
        <v>0.46441986165263355</v>
      </c>
      <c r="K28" s="68">
        <v>334300</v>
      </c>
      <c r="L28" s="68" t="s">
        <v>3350</v>
      </c>
      <c r="M28" s="69" t="s">
        <v>440</v>
      </c>
      <c r="N28" s="69" t="s">
        <v>736</v>
      </c>
      <c r="O28" s="70">
        <v>4.3560860049999997E-2</v>
      </c>
      <c r="P28" s="70">
        <v>3.8550819220000004E-2</v>
      </c>
      <c r="Q28" s="70">
        <v>8.2115830600000009E-2</v>
      </c>
    </row>
    <row r="29" spans="1:17" ht="71.25">
      <c r="C29" s="321" t="s">
        <v>747</v>
      </c>
      <c r="D29" s="784"/>
      <c r="E29" s="784"/>
      <c r="F29" s="325"/>
      <c r="G29" s="785" t="str">
        <f>IFERROR(IF(E29="","",IF(F29="Direct-from-manufacturer",(E29*H29/1000*'Reporting Year &amp; Inflation Adj.'!$F$9),(E29*I29/1000*'Reporting Year &amp; Inflation Adj.'!$F$9))),"")</f>
        <v/>
      </c>
      <c r="H29" s="791">
        <v>4.1879130010000001E-2</v>
      </c>
      <c r="I29" s="794">
        <v>6.2839015090000006E-2</v>
      </c>
      <c r="J29" s="324">
        <v>0.33349938322529493</v>
      </c>
      <c r="K29" s="68">
        <v>334512</v>
      </c>
      <c r="L29" s="68" t="s">
        <v>3351</v>
      </c>
      <c r="M29" s="69" t="s">
        <v>440</v>
      </c>
      <c r="N29" s="69" t="s">
        <v>745</v>
      </c>
      <c r="O29" s="70">
        <v>4.7261545041000004E-2</v>
      </c>
      <c r="P29" s="70">
        <v>2.3088755809999997E-2</v>
      </c>
      <c r="Q29" s="70">
        <v>7.0354920909999993E-2</v>
      </c>
    </row>
    <row r="30" spans="1:17" ht="42.75">
      <c r="C30" s="321" t="s">
        <v>779</v>
      </c>
      <c r="D30" s="322"/>
      <c r="E30" s="784"/>
      <c r="F30" s="325"/>
      <c r="G30" s="319" t="str">
        <f>IFERROR(IF(E30="","",IF(F30="Direct-from-manufacturer",(E30*H30/1000*'Reporting Year &amp; Inflation Adj.'!$F$9),(E30*I30/1000*'Reporting Year &amp; Inflation Adj.'!$F$9))),"")</f>
        <v/>
      </c>
      <c r="H30" s="791">
        <v>0.18847009641500001</v>
      </c>
      <c r="I30" s="794">
        <v>0.23696765222499999</v>
      </c>
      <c r="J30" s="324">
        <v>0.20720193802392728</v>
      </c>
      <c r="K30" s="68">
        <v>336111</v>
      </c>
      <c r="L30" s="68" t="s">
        <v>3352</v>
      </c>
      <c r="M30" s="69" t="s">
        <v>440</v>
      </c>
      <c r="N30" s="69" t="s">
        <v>781</v>
      </c>
      <c r="O30" s="70">
        <v>0.19173530783000001</v>
      </c>
      <c r="P30" s="70">
        <v>5.0411641090000001E-2</v>
      </c>
      <c r="Q30" s="70">
        <v>0.24169422710000002</v>
      </c>
    </row>
    <row r="31" spans="1:17" ht="57">
      <c r="C31" s="321" t="s">
        <v>567</v>
      </c>
      <c r="D31" s="322"/>
      <c r="E31" s="784"/>
      <c r="F31" s="325"/>
      <c r="G31" s="319" t="str">
        <f>IFERROR(IF(E31="","",IF(F31="Direct-from-manufacturer",(E31*H31/1000*'Reporting Year &amp; Inflation Adj.'!$F$9),(E31*I31/1000*'Reporting Year &amp; Inflation Adj.'!$F$9))),"")</f>
        <v/>
      </c>
      <c r="H31" s="791">
        <v>0.14728228939499999</v>
      </c>
      <c r="I31" s="794">
        <v>0.16966179472999998</v>
      </c>
      <c r="J31" s="324">
        <v>0.12911790901341008</v>
      </c>
      <c r="K31" s="68">
        <v>325413</v>
      </c>
      <c r="L31" s="68" t="s">
        <v>3354</v>
      </c>
      <c r="M31" s="69" t="s">
        <v>440</v>
      </c>
      <c r="N31" s="69" t="s">
        <v>565</v>
      </c>
      <c r="O31" s="70">
        <v>0.16249880304</v>
      </c>
      <c r="P31" s="70">
        <v>2.2488066719999998E-2</v>
      </c>
      <c r="Q31" s="70">
        <v>0.18527496689</v>
      </c>
    </row>
    <row r="32" spans="1:17" ht="57">
      <c r="C32" s="321" t="s">
        <v>814</v>
      </c>
      <c r="D32" s="322"/>
      <c r="E32" s="784"/>
      <c r="F32" s="325"/>
      <c r="G32" s="319" t="str">
        <f>IFERROR(IF(E32="","",IF(F32="Direct-from-manufacturer",(E32*H32/1000*'Reporting Year &amp; Inflation Adj.'!$F$9),(E32*I32/1000*'Reporting Year &amp; Inflation Adj.'!$F$9))),"")</f>
        <v/>
      </c>
      <c r="H32" s="791">
        <v>0.13072818874</v>
      </c>
      <c r="I32" s="794">
        <v>0.15889679324499997</v>
      </c>
      <c r="J32" s="324">
        <v>0.17657955558447311</v>
      </c>
      <c r="K32" s="68">
        <v>336612</v>
      </c>
      <c r="L32" s="68" t="s">
        <v>3355</v>
      </c>
      <c r="M32" s="69" t="s">
        <v>440</v>
      </c>
      <c r="N32" s="69" t="s">
        <v>813</v>
      </c>
      <c r="O32" s="70">
        <v>0.15157205155</v>
      </c>
      <c r="P32" s="70">
        <v>3.2162848387000002E-2</v>
      </c>
      <c r="Q32" s="70">
        <v>0.18332743845999999</v>
      </c>
    </row>
    <row r="33" spans="3:17" ht="57">
      <c r="C33" s="321" t="s">
        <v>777</v>
      </c>
      <c r="D33" s="322"/>
      <c r="E33" s="784"/>
      <c r="F33" s="325"/>
      <c r="G33" s="319" t="str">
        <f>IFERROR(IF(E33="","",IF(F33="Direct-from-manufacturer",(E33*H33/1000*'Reporting Year &amp; Inflation Adj.'!$F$9),(E33*I33/1000*'Reporting Year &amp; Inflation Adj.'!$F$9))),"")</f>
        <v/>
      </c>
      <c r="H33" s="791">
        <v>0.27232037661999997</v>
      </c>
      <c r="I33" s="794">
        <v>0.28456732138000002</v>
      </c>
      <c r="J33" s="324">
        <v>4.5198357642143389E-2</v>
      </c>
      <c r="K33" s="68">
        <v>335991</v>
      </c>
      <c r="L33" s="68" t="s">
        <v>3365</v>
      </c>
      <c r="M33" s="69" t="s">
        <v>440</v>
      </c>
      <c r="N33" s="69" t="s">
        <v>773</v>
      </c>
      <c r="O33" s="70">
        <v>0.34851611674999999</v>
      </c>
      <c r="P33" s="70">
        <v>1.6530725480000001E-2</v>
      </c>
      <c r="Q33" s="70">
        <v>0.36553395382999998</v>
      </c>
    </row>
    <row r="34" spans="3:17" ht="42.75">
      <c r="C34" s="321" t="s">
        <v>530</v>
      </c>
      <c r="D34" s="322"/>
      <c r="E34" s="784"/>
      <c r="F34" s="325"/>
      <c r="G34" s="319" t="str">
        <f>IFERROR(IF(E34="","",IF(F34="Direct-from-manufacturer",(E34*H34/1000*'Reporting Year &amp; Inflation Adj.'!$F$9),(E34*I34/1000*'Reporting Year &amp; Inflation Adj.'!$F$9))),"")</f>
        <v/>
      </c>
      <c r="H34" s="791">
        <v>0.73774467975999991</v>
      </c>
      <c r="I34" s="794">
        <v>0.78021007167999989</v>
      </c>
      <c r="J34" s="324">
        <v>5.4617371560255326E-2</v>
      </c>
      <c r="K34" s="68">
        <v>322130</v>
      </c>
      <c r="L34" s="68" t="s">
        <v>3366</v>
      </c>
      <c r="M34" s="69" t="s">
        <v>440</v>
      </c>
      <c r="N34" s="69" t="s">
        <v>528</v>
      </c>
      <c r="O34" s="70">
        <v>0.79246599688999997</v>
      </c>
      <c r="P34" s="70">
        <v>4.0089732419999996E-2</v>
      </c>
      <c r="Q34" s="70">
        <v>0.83257661122000004</v>
      </c>
    </row>
    <row r="35" spans="3:17" ht="57">
      <c r="C35" s="321" t="s">
        <v>531</v>
      </c>
      <c r="D35" s="322"/>
      <c r="E35" s="784"/>
      <c r="F35" s="325"/>
      <c r="G35" s="319" t="str">
        <f>IFERROR(IF(E35="","",IF(F35="Direct-from-manufacturer",(E35*H35/1000*'Reporting Year &amp; Inflation Adj.'!$F$9),(E35*I35/1000*'Reporting Year &amp; Inflation Adj.'!$F$9))),"")</f>
        <v/>
      </c>
      <c r="H35" s="791">
        <v>0.43172117248000003</v>
      </c>
      <c r="I35" s="794">
        <v>0.46213957934999988</v>
      </c>
      <c r="J35" s="324">
        <v>6.6513782217558534E-2</v>
      </c>
      <c r="K35" s="68">
        <v>322210</v>
      </c>
      <c r="L35" s="68" t="s">
        <v>3367</v>
      </c>
      <c r="M35" s="69" t="s">
        <v>440</v>
      </c>
      <c r="N35" s="69" t="s">
        <v>533</v>
      </c>
      <c r="O35" s="70">
        <v>0.45128454300000004</v>
      </c>
      <c r="P35" s="70">
        <v>2.9942973559999999E-2</v>
      </c>
      <c r="Q35" s="70">
        <v>0.48101976617999997</v>
      </c>
    </row>
    <row r="36" spans="3:17" ht="57">
      <c r="C36" s="321" t="s">
        <v>502</v>
      </c>
      <c r="D36" s="322"/>
      <c r="E36" s="784"/>
      <c r="F36" s="325"/>
      <c r="G36" s="319" t="str">
        <f>IFERROR(IF(E36="","",IF(F36="Direct-from-manufacturer",(E36*H36/1000*'Reporting Year &amp; Inflation Adj.'!$F$9),(E36*I36/1000*'Reporting Year &amp; Inflation Adj.'!$F$9))),"")</f>
        <v/>
      </c>
      <c r="H36" s="791">
        <v>0.20033572662000007</v>
      </c>
      <c r="I36" s="794">
        <v>0.26515311263000002</v>
      </c>
      <c r="J36" s="324">
        <v>0.24263395734589976</v>
      </c>
      <c r="K36" s="68">
        <v>314110</v>
      </c>
      <c r="L36" s="68" t="s">
        <v>3368</v>
      </c>
      <c r="M36" s="69" t="s">
        <v>440</v>
      </c>
      <c r="N36" s="69" t="s">
        <v>504</v>
      </c>
      <c r="O36" s="70">
        <v>0.22507097126</v>
      </c>
      <c r="P36" s="70">
        <v>6.9038875E-2</v>
      </c>
      <c r="Q36" s="70">
        <v>0.29475249342999998</v>
      </c>
    </row>
    <row r="37" spans="3:17" ht="42.75">
      <c r="C37" s="321" t="s">
        <v>634</v>
      </c>
      <c r="D37" s="322"/>
      <c r="E37" s="784"/>
      <c r="F37" s="325"/>
      <c r="G37" s="319" t="str">
        <f>IFERROR(IF(E37="","",IF(F37="Direct-from-manufacturer",(E37*H37/1000*'Reporting Year &amp; Inflation Adj.'!$F$9),(E37*I37/1000*'Reporting Year &amp; Inflation Adj.'!$F$9))),"")</f>
        <v/>
      </c>
      <c r="H37" s="791">
        <v>0.310427625205</v>
      </c>
      <c r="I37" s="794">
        <v>0.3302662597499999</v>
      </c>
      <c r="J37" s="324">
        <v>6.1404985860048944E-2</v>
      </c>
      <c r="K37" s="68">
        <v>331510</v>
      </c>
      <c r="L37" s="68" t="s">
        <v>3369</v>
      </c>
      <c r="M37" s="69" t="s">
        <v>440</v>
      </c>
      <c r="N37" s="69" t="s">
        <v>636</v>
      </c>
      <c r="O37" s="70">
        <v>0.35048849429999995</v>
      </c>
      <c r="P37" s="70">
        <v>2.0893894230999997E-2</v>
      </c>
      <c r="Q37" s="70">
        <v>0.37179166199999997</v>
      </c>
    </row>
    <row r="38" spans="3:17" ht="42.75">
      <c r="C38" s="321" t="s">
        <v>602</v>
      </c>
      <c r="D38" s="322"/>
      <c r="E38" s="784"/>
      <c r="F38" s="325"/>
      <c r="G38" s="319" t="str">
        <f>IFERROR(IF(E38="","",IF(F38="Direct-from-manufacturer",(E38*H38/1000*'Reporting Year &amp; Inflation Adj.'!$F$9),(E38*I38/1000*'Reporting Year &amp; Inflation Adj.'!$F$9))),"")</f>
        <v/>
      </c>
      <c r="H38" s="791">
        <v>2.6761653873649993</v>
      </c>
      <c r="I38" s="794">
        <v>2.7340947360099999</v>
      </c>
      <c r="J38" s="324">
        <v>2.3842081639105863E-2</v>
      </c>
      <c r="K38" s="68">
        <v>327310</v>
      </c>
      <c r="L38" s="68" t="s">
        <v>3371</v>
      </c>
      <c r="M38" s="69" t="s">
        <v>440</v>
      </c>
      <c r="N38" s="69" t="s">
        <v>604</v>
      </c>
      <c r="O38" s="70">
        <v>3.8515269656500002</v>
      </c>
      <c r="P38" s="70">
        <v>7.9053461550000009E-2</v>
      </c>
      <c r="Q38" s="70">
        <v>3.9324714299999997</v>
      </c>
    </row>
    <row r="39" spans="3:17" ht="75">
      <c r="C39" s="321" t="s">
        <v>580</v>
      </c>
      <c r="D39" s="322"/>
      <c r="E39" s="784"/>
      <c r="F39" s="325"/>
      <c r="G39" s="319" t="str">
        <f>IFERROR(IF(E39="","",IF(F39="Direct-from-manufacturer",(E39*H39/1000*'Reporting Year &amp; Inflation Adj.'!$F$9),(E39*I39/1000*'Reporting Year &amp; Inflation Adj.'!$F$9))),"")</f>
        <v/>
      </c>
      <c r="H39" s="791">
        <v>0.41450977410000001</v>
      </c>
      <c r="I39" s="794">
        <v>0.44189436029999996</v>
      </c>
      <c r="J39" s="324">
        <v>6.1986349432937099E-2</v>
      </c>
      <c r="K39" s="68" t="s">
        <v>581</v>
      </c>
      <c r="L39" s="68" t="s">
        <v>3373</v>
      </c>
      <c r="M39" s="69" t="s">
        <v>440</v>
      </c>
      <c r="N39" s="69" t="s">
        <v>579</v>
      </c>
      <c r="O39" s="70">
        <v>0.47456737944999994</v>
      </c>
      <c r="P39" s="70">
        <v>2.8659220780000005E-2</v>
      </c>
      <c r="Q39" s="70">
        <v>0.50341828476999995</v>
      </c>
    </row>
    <row r="40" spans="3:17" ht="42.75">
      <c r="C40" s="321" t="s">
        <v>596</v>
      </c>
      <c r="D40" s="322"/>
      <c r="E40" s="784"/>
      <c r="F40" s="325"/>
      <c r="G40" s="319" t="str">
        <f>IFERROR(IF(E40="","",IF(F40="Direct-from-manufacturer",(E40*H40/1000*'Reporting Year &amp; Inflation Adj.'!$F$9),(E40*I40/1000*'Reporting Year &amp; Inflation Adj.'!$F$9))),"")</f>
        <v/>
      </c>
      <c r="H40" s="791">
        <v>0.36092163839000002</v>
      </c>
      <c r="I40" s="794">
        <v>0.40940086375499996</v>
      </c>
      <c r="J40" s="324">
        <v>0.11787726850981911</v>
      </c>
      <c r="K40" s="68">
        <v>327100</v>
      </c>
      <c r="L40" s="68" t="s">
        <v>3376</v>
      </c>
      <c r="M40" s="69" t="s">
        <v>440</v>
      </c>
      <c r="N40" s="69" t="s">
        <v>598</v>
      </c>
      <c r="O40" s="70">
        <v>0.40088700593999999</v>
      </c>
      <c r="P40" s="70">
        <v>5.2350679859999985E-2</v>
      </c>
      <c r="Q40" s="70">
        <v>0.45262988362000001</v>
      </c>
    </row>
    <row r="41" spans="3:17" ht="71.25">
      <c r="C41" s="321" t="s">
        <v>19</v>
      </c>
      <c r="D41" s="322"/>
      <c r="E41" s="784"/>
      <c r="F41" s="325"/>
      <c r="G41" s="319" t="str">
        <f>IFERROR(IF(E41="","",IF(F41="Direct-from-manufacturer",(E41*H41/1000*'Reporting Year &amp; Inflation Adj.'!$F$9),(E41*I41/1000*'Reporting Year &amp; Inflation Adj.'!$F$9))),"")</f>
        <v/>
      </c>
      <c r="H41" s="791">
        <v>0.76551220193000002</v>
      </c>
      <c r="I41" s="794">
        <v>0.86475302702000023</v>
      </c>
      <c r="J41" s="324">
        <v>0.11413296934630716</v>
      </c>
      <c r="K41" s="68">
        <v>212100</v>
      </c>
      <c r="L41" s="68" t="s">
        <v>3379</v>
      </c>
      <c r="M41" s="69" t="s">
        <v>371</v>
      </c>
      <c r="N41" s="69" t="s">
        <v>374</v>
      </c>
      <c r="O41" s="70">
        <v>0.78505476366400007</v>
      </c>
      <c r="P41" s="70">
        <v>9.4634791216000005E-2</v>
      </c>
      <c r="Q41" s="70">
        <v>0.88015242420999995</v>
      </c>
    </row>
    <row r="42" spans="3:17" ht="409.5">
      <c r="C42" s="321" t="s">
        <v>3312</v>
      </c>
      <c r="D42" s="322"/>
      <c r="E42" s="784"/>
      <c r="F42" s="325" t="s">
        <v>366</v>
      </c>
      <c r="G42" s="319" t="str">
        <f>IFERROR(IF(E42="","",IF(F42="Direct-from-manufacturer",(E42*H42/1000*'Reporting Year &amp; Inflation Adj.'!$F$9),(E42*I42/1000*'Reporting Year &amp; Inflation Adj.'!$F$9))),"")</f>
        <v/>
      </c>
      <c r="H42" s="791">
        <v>0.19704277615000007</v>
      </c>
      <c r="I42" s="794">
        <v>0.19704277615000007</v>
      </c>
      <c r="J42" s="324">
        <v>0</v>
      </c>
      <c r="K42" s="68" t="s">
        <v>3714</v>
      </c>
      <c r="L42" s="68" t="s">
        <v>3382</v>
      </c>
      <c r="M42" s="69" t="s">
        <v>397</v>
      </c>
      <c r="N42" s="69" t="s">
        <v>403</v>
      </c>
      <c r="O42" s="70">
        <v>0.22555460382</v>
      </c>
      <c r="P42" s="70">
        <v>0</v>
      </c>
      <c r="Q42" s="70">
        <v>0.22555460382</v>
      </c>
    </row>
    <row r="43" spans="3:17" ht="57">
      <c r="C43" s="321" t="s">
        <v>775</v>
      </c>
      <c r="D43" s="322"/>
      <c r="E43" s="784"/>
      <c r="F43" s="325"/>
      <c r="G43" s="319" t="str">
        <f>IFERROR(IF(E43="","",IF(F43="Direct-from-manufacturer",(E43*H43/1000*'Reporting Year &amp; Inflation Adj.'!$F$9),(E43*I43/1000*'Reporting Year &amp; Inflation Adj.'!$F$9))),"")</f>
        <v/>
      </c>
      <c r="H43" s="791">
        <v>0.208247783455</v>
      </c>
      <c r="I43" s="794">
        <v>0.22291025427500002</v>
      </c>
      <c r="J43" s="324">
        <v>6.7111462878438735E-2</v>
      </c>
      <c r="K43" s="68">
        <v>335920</v>
      </c>
      <c r="L43" s="68" t="s">
        <v>3385</v>
      </c>
      <c r="M43" s="69" t="s">
        <v>440</v>
      </c>
      <c r="N43" s="69" t="s">
        <v>773</v>
      </c>
      <c r="O43" s="70">
        <v>0.22040170273000001</v>
      </c>
      <c r="P43" s="70">
        <v>1.6062350820000001E-2</v>
      </c>
      <c r="Q43" s="70">
        <v>0.23637851254000003</v>
      </c>
    </row>
    <row r="44" spans="3:17" ht="57">
      <c r="C44" s="321" t="s">
        <v>733</v>
      </c>
      <c r="D44" s="322"/>
      <c r="E44" s="784"/>
      <c r="F44" s="325"/>
      <c r="G44" s="319" t="str">
        <f>IFERROR(IF(E44="","",IF(F44="Direct-from-manufacturer",(E44*H44/1000*'Reporting Year &amp; Inflation Adj.'!$F$9),(E44*I44/1000*'Reporting Year &amp; Inflation Adj.'!$F$9))),"")</f>
        <v/>
      </c>
      <c r="H44" s="791">
        <v>3.2299684854999997E-2</v>
      </c>
      <c r="I44" s="794">
        <v>6.8270305710000007E-2</v>
      </c>
      <c r="J44" s="324">
        <v>0.52536962354258643</v>
      </c>
      <c r="K44" s="68">
        <v>334290</v>
      </c>
      <c r="L44" s="68" t="s">
        <v>3386</v>
      </c>
      <c r="M44" s="69" t="s">
        <v>440</v>
      </c>
      <c r="N44" s="69" t="s">
        <v>731</v>
      </c>
      <c r="O44" s="70">
        <v>3.8543534150000003E-2</v>
      </c>
      <c r="P44" s="70">
        <v>4.2353561619999994E-2</v>
      </c>
      <c r="Q44" s="70">
        <v>8.0890519870000011E-2</v>
      </c>
    </row>
    <row r="45" spans="3:17" ht="57">
      <c r="C45" s="321" t="s">
        <v>727</v>
      </c>
      <c r="D45" s="322"/>
      <c r="E45" s="784"/>
      <c r="F45" s="325"/>
      <c r="G45" s="319" t="str">
        <f>IFERROR(IF(E45="","",IF(F45="Direct-from-manufacturer",(E45*H45/1000*'Reporting Year &amp; Inflation Adj.'!$F$9),(E45*I45/1000*'Reporting Year &amp; Inflation Adj.'!$F$9))),"")</f>
        <v/>
      </c>
      <c r="H45" s="791">
        <v>3.9150613745E-2</v>
      </c>
      <c r="I45" s="794">
        <v>6.9764233425000016E-2</v>
      </c>
      <c r="J45" s="324">
        <v>0.43884205640864882</v>
      </c>
      <c r="K45" s="68">
        <v>334112</v>
      </c>
      <c r="L45" s="68" t="s">
        <v>3390</v>
      </c>
      <c r="M45" s="69" t="s">
        <v>440</v>
      </c>
      <c r="N45" s="69" t="s">
        <v>726</v>
      </c>
      <c r="O45" s="70">
        <v>4.0468940490999999E-2</v>
      </c>
      <c r="P45" s="70">
        <v>3.1449022940000002E-2</v>
      </c>
      <c r="Q45" s="70">
        <v>7.2032959430000001E-2</v>
      </c>
    </row>
    <row r="46" spans="3:17" ht="171">
      <c r="C46" s="321" t="s">
        <v>728</v>
      </c>
      <c r="D46" s="322"/>
      <c r="E46" s="784"/>
      <c r="F46" s="325"/>
      <c r="G46" s="319" t="str">
        <f>IFERROR(IF(E46="","",IF(F46="Direct-from-manufacturer",(E46*H46/1000*'Reporting Year &amp; Inflation Adj.'!$F$9),(E46*I46/1000*'Reporting Year &amp; Inflation Adj.'!$F$9))),"")</f>
        <v/>
      </c>
      <c r="H46" s="791">
        <v>0.10622854558</v>
      </c>
      <c r="I46" s="794">
        <v>0.13153315977999999</v>
      </c>
      <c r="J46" s="324">
        <v>0.19320480149268107</v>
      </c>
      <c r="K46" s="68">
        <v>334118</v>
      </c>
      <c r="L46" s="68" t="s">
        <v>3392</v>
      </c>
      <c r="M46" s="69" t="s">
        <v>440</v>
      </c>
      <c r="N46" s="69" t="s">
        <v>726</v>
      </c>
      <c r="O46" s="70">
        <v>0.11668957495</v>
      </c>
      <c r="P46" s="70">
        <v>2.7219157850000002E-2</v>
      </c>
      <c r="Q46" s="70">
        <v>0.14443019592</v>
      </c>
    </row>
    <row r="47" spans="3:17" ht="185.25">
      <c r="C47" s="321" t="s">
        <v>724</v>
      </c>
      <c r="D47" s="322"/>
      <c r="E47" s="784"/>
      <c r="F47" s="325"/>
      <c r="G47" s="319" t="str">
        <f>IFERROR(IF(E47="","",IF(F47="Direct-from-manufacturer",(E47*H47/1000*'Reporting Year &amp; Inflation Adj.'!$F$9),(E47*I47/1000*'Reporting Year &amp; Inflation Adj.'!$F$9))),"")</f>
        <v/>
      </c>
      <c r="H47" s="791">
        <v>2.8332989204999999E-2</v>
      </c>
      <c r="I47" s="794">
        <v>5.5424930055000002E-2</v>
      </c>
      <c r="J47" s="324">
        <v>0.48909368831137623</v>
      </c>
      <c r="K47" s="68">
        <v>334111</v>
      </c>
      <c r="L47" s="68" t="s">
        <v>3393</v>
      </c>
      <c r="M47" s="69" t="s">
        <v>440</v>
      </c>
      <c r="N47" s="69" t="s">
        <v>726</v>
      </c>
      <c r="O47" s="70">
        <v>3.0197229200000002E-2</v>
      </c>
      <c r="P47" s="70">
        <v>2.8751692029999998E-2</v>
      </c>
      <c r="Q47" s="70">
        <v>5.8929429019999986E-2</v>
      </c>
    </row>
    <row r="48" spans="3:17" ht="42.75">
      <c r="C48" s="321" t="s">
        <v>606</v>
      </c>
      <c r="D48" s="322"/>
      <c r="E48" s="784"/>
      <c r="F48" s="325"/>
      <c r="G48" s="319" t="str">
        <f>IFERROR(IF(E48="","",IF(F48="Direct-from-manufacturer",(E48*H48/1000*'Reporting Year &amp; Inflation Adj.'!$F$9),(E48*I48/1000*'Reporting Year &amp; Inflation Adj.'!$F$9))),"")</f>
        <v/>
      </c>
      <c r="H48" s="791">
        <v>0.19376598209000001</v>
      </c>
      <c r="I48" s="794">
        <v>0.24661203225500006</v>
      </c>
      <c r="J48" s="324">
        <v>0.21106598830173118</v>
      </c>
      <c r="K48" s="68">
        <v>327330</v>
      </c>
      <c r="L48" s="68" t="s">
        <v>3394</v>
      </c>
      <c r="M48" s="69" t="s">
        <v>440</v>
      </c>
      <c r="N48" s="69" t="s">
        <v>604</v>
      </c>
      <c r="O48" s="70">
        <v>0.26495564166000002</v>
      </c>
      <c r="P48" s="70">
        <v>6.3802448270000006E-2</v>
      </c>
      <c r="Q48" s="70">
        <v>0.32916277872999999</v>
      </c>
    </row>
    <row r="49" spans="3:17" ht="57">
      <c r="C49" s="321" t="s">
        <v>683</v>
      </c>
      <c r="D49" s="322"/>
      <c r="E49" s="784"/>
      <c r="F49" s="325"/>
      <c r="G49" s="319" t="str">
        <f>IFERROR(IF(E49="","",IF(F49="Direct-from-manufacturer",(E49*H49/1000*'Reporting Year &amp; Inflation Adj.'!$F$9),(E49*I49/1000*'Reporting Year &amp; Inflation Adj.'!$F$9))),"")</f>
        <v/>
      </c>
      <c r="H49" s="791">
        <v>0.16265907311</v>
      </c>
      <c r="I49" s="794">
        <v>0.18649170702499998</v>
      </c>
      <c r="J49" s="324">
        <v>0.12337693381677066</v>
      </c>
      <c r="K49" s="68">
        <v>333120</v>
      </c>
      <c r="L49" s="68" t="s">
        <v>3395</v>
      </c>
      <c r="M49" s="69" t="s">
        <v>440</v>
      </c>
      <c r="N49" s="69" t="s">
        <v>681</v>
      </c>
      <c r="O49" s="70">
        <v>0.20163499606999999</v>
      </c>
      <c r="P49" s="70">
        <v>2.7561102410000003E-2</v>
      </c>
      <c r="Q49" s="70">
        <v>0.22948276416999994</v>
      </c>
    </row>
    <row r="50" spans="3:17" ht="57">
      <c r="C50" s="321" t="s">
        <v>629</v>
      </c>
      <c r="D50" s="322"/>
      <c r="E50" s="784"/>
      <c r="F50" s="325"/>
      <c r="G50" s="319" t="str">
        <f>IFERROR(IF(E50="","",IF(F50="Direct-from-manufacturer",(E50*H50/1000*'Reporting Year &amp; Inflation Adj.'!$F$9),(E50*I50/1000*'Reporting Year &amp; Inflation Adj.'!$F$9))),"")</f>
        <v/>
      </c>
      <c r="H50" s="791">
        <v>0.43943605552999992</v>
      </c>
      <c r="I50" s="794">
        <v>0.45459104362500002</v>
      </c>
      <c r="J50" s="324">
        <v>3.3760311441947626E-2</v>
      </c>
      <c r="K50" s="68">
        <v>331410</v>
      </c>
      <c r="L50" s="68" t="s">
        <v>3398</v>
      </c>
      <c r="M50" s="69" t="s">
        <v>440</v>
      </c>
      <c r="N50" s="69" t="s">
        <v>631</v>
      </c>
      <c r="O50" s="70">
        <v>0.40923198986000014</v>
      </c>
      <c r="P50" s="70">
        <v>1.5749122497000001E-2</v>
      </c>
      <c r="Q50" s="70">
        <v>0.42566276151000004</v>
      </c>
    </row>
    <row r="51" spans="3:17" ht="42.75">
      <c r="C51" s="321" t="s">
        <v>378</v>
      </c>
      <c r="D51" s="322"/>
      <c r="E51" s="784"/>
      <c r="F51" s="325"/>
      <c r="G51" s="319" t="str">
        <f>IFERROR(IF(E51="","",IF(F51="Direct-from-manufacturer",(E51*H51/1000*'Reporting Year &amp; Inflation Adj.'!$F$9),(E51*I51/1000*'Reporting Year &amp; Inflation Adj.'!$F$9))),"")</f>
        <v/>
      </c>
      <c r="H51" s="791">
        <v>0.27489975903999991</v>
      </c>
      <c r="I51" s="794">
        <v>0.33132069292000005</v>
      </c>
      <c r="J51" s="324">
        <v>0.17184168803862587</v>
      </c>
      <c r="K51" s="68">
        <v>212230</v>
      </c>
      <c r="L51" s="68" t="s">
        <v>3399</v>
      </c>
      <c r="M51" s="69" t="s">
        <v>371</v>
      </c>
      <c r="N51" s="69" t="s">
        <v>377</v>
      </c>
      <c r="O51" s="70">
        <v>0.27238940930000005</v>
      </c>
      <c r="P51" s="70">
        <v>5.3508391675000003E-2</v>
      </c>
      <c r="Q51" s="70">
        <v>0.32551515174999995</v>
      </c>
    </row>
    <row r="52" spans="3:17" ht="42.75">
      <c r="C52" s="321" t="s">
        <v>505</v>
      </c>
      <c r="D52" s="322"/>
      <c r="E52" s="784"/>
      <c r="F52" s="325"/>
      <c r="G52" s="319" t="str">
        <f>IFERROR(IF(E52="","",IF(F52="Direct-from-manufacturer",(E52*H52/1000*'Reporting Year &amp; Inflation Adj.'!$F$9),(E52*I52/1000*'Reporting Year &amp; Inflation Adj.'!$F$9))),"")</f>
        <v/>
      </c>
      <c r="H52" s="791">
        <v>0.19459913570000001</v>
      </c>
      <c r="I52" s="794">
        <v>0.25221427382</v>
      </c>
      <c r="J52" s="324">
        <v>0.22964258425094394</v>
      </c>
      <c r="K52" s="68">
        <v>314120</v>
      </c>
      <c r="L52" s="68" t="s">
        <v>3401</v>
      </c>
      <c r="M52" s="69" t="s">
        <v>440</v>
      </c>
      <c r="N52" s="69" t="s">
        <v>504</v>
      </c>
      <c r="O52" s="70">
        <v>0.20764953326999999</v>
      </c>
      <c r="P52" s="70">
        <v>6.1261307979999999E-2</v>
      </c>
      <c r="Q52" s="70">
        <v>0.26892962966</v>
      </c>
    </row>
    <row r="53" spans="3:17" ht="28.5">
      <c r="C53" s="321" t="s">
        <v>641</v>
      </c>
      <c r="D53" s="322"/>
      <c r="E53" s="784"/>
      <c r="F53" s="325"/>
      <c r="G53" s="319" t="str">
        <f>IFERROR(IF(E53="","",IF(F53="Direct-from-manufacturer",(E53*H53/1000*'Reporting Year &amp; Inflation Adj.'!$F$9),(E53*I53/1000*'Reporting Year &amp; Inflation Adj.'!$F$9))),"")</f>
        <v/>
      </c>
      <c r="H53" s="791">
        <v>0.470238795825</v>
      </c>
      <c r="I53" s="794">
        <v>0.48896693464000002</v>
      </c>
      <c r="J53" s="324">
        <v>3.8915922421236371E-2</v>
      </c>
      <c r="K53" s="68">
        <v>332114</v>
      </c>
      <c r="L53" s="68" t="s">
        <v>3403</v>
      </c>
      <c r="M53" s="69" t="s">
        <v>440</v>
      </c>
      <c r="N53" s="69" t="s">
        <v>640</v>
      </c>
      <c r="O53" s="70">
        <v>0.35035225813000009</v>
      </c>
      <c r="P53" s="70">
        <v>1.3531304576999999E-2</v>
      </c>
      <c r="Q53" s="70">
        <v>0.36348472153</v>
      </c>
    </row>
    <row r="54" spans="3:17" ht="57">
      <c r="C54" s="321" t="s">
        <v>614</v>
      </c>
      <c r="D54" s="322"/>
      <c r="E54" s="784"/>
      <c r="F54" s="325"/>
      <c r="G54" s="319" t="str">
        <f>IFERROR(IF(E54="","",IF(F54="Direct-from-manufacturer",(E54*H54/1000*'Reporting Year &amp; Inflation Adj.'!$F$9),(E54*I54/1000*'Reporting Year &amp; Inflation Adj.'!$F$9))),"")</f>
        <v/>
      </c>
      <c r="H54" s="791">
        <v>0.12882853033</v>
      </c>
      <c r="I54" s="794">
        <v>0.17251540375999996</v>
      </c>
      <c r="J54" s="324">
        <v>0.2547776887572698</v>
      </c>
      <c r="K54" s="68">
        <v>327991</v>
      </c>
      <c r="L54" s="68" t="s">
        <v>3404</v>
      </c>
      <c r="M54" s="69" t="s">
        <v>440</v>
      </c>
      <c r="N54" s="69" t="s">
        <v>613</v>
      </c>
      <c r="O54" s="70">
        <v>0.14866862947000001</v>
      </c>
      <c r="P54" s="70">
        <v>4.7104198969999997E-2</v>
      </c>
      <c r="Q54" s="70">
        <v>0.19643764323999999</v>
      </c>
    </row>
    <row r="55" spans="3:17" ht="99.75">
      <c r="C55" s="321" t="s">
        <v>644</v>
      </c>
      <c r="D55" s="322"/>
      <c r="E55" s="784"/>
      <c r="F55" s="325"/>
      <c r="G55" s="319" t="str">
        <f>IFERROR(IF(E55="","",IF(F55="Direct-from-manufacturer",(E55*H55/1000*'Reporting Year &amp; Inflation Adj.'!$F$9),(E55*I55/1000*'Reporting Year &amp; Inflation Adj.'!$F$9))),"")</f>
        <v/>
      </c>
      <c r="H55" s="791">
        <v>0.148828028675</v>
      </c>
      <c r="I55" s="794">
        <v>0.19161272274999994</v>
      </c>
      <c r="J55" s="324">
        <v>0.22017409128434304</v>
      </c>
      <c r="K55" s="68">
        <v>332200</v>
      </c>
      <c r="L55" s="68" t="s">
        <v>3405</v>
      </c>
      <c r="M55" s="69" t="s">
        <v>440</v>
      </c>
      <c r="N55" s="69" t="s">
        <v>646</v>
      </c>
      <c r="O55" s="70">
        <v>0.17527054912999998</v>
      </c>
      <c r="P55" s="70">
        <v>4.9135878249999994E-2</v>
      </c>
      <c r="Q55" s="70">
        <v>0.22429077757000002</v>
      </c>
    </row>
    <row r="56" spans="3:17" ht="71.25">
      <c r="C56" s="321" t="s">
        <v>704</v>
      </c>
      <c r="D56" s="322"/>
      <c r="E56" s="784"/>
      <c r="F56" s="325"/>
      <c r="G56" s="319" t="str">
        <f>IFERROR(IF(E56="","",IF(F56="Direct-from-manufacturer",(E56*H56/1000*'Reporting Year &amp; Inflation Adj.'!$F$9),(E56*I56/1000*'Reporting Year &amp; Inflation Adj.'!$F$9))),"")</f>
        <v/>
      </c>
      <c r="H56" s="791">
        <v>0.16015430177500001</v>
      </c>
      <c r="I56" s="794">
        <v>0.18030807449499997</v>
      </c>
      <c r="J56" s="324">
        <v>0.11296214202855798</v>
      </c>
      <c r="K56" s="68" t="s">
        <v>705</v>
      </c>
      <c r="L56" s="68" t="s">
        <v>3406</v>
      </c>
      <c r="M56" s="69" t="s">
        <v>440</v>
      </c>
      <c r="N56" s="69" t="s">
        <v>702</v>
      </c>
      <c r="O56" s="70">
        <v>0.18467934672000003</v>
      </c>
      <c r="P56" s="70">
        <v>2.3084595209999996E-2</v>
      </c>
      <c r="Q56" s="70">
        <v>0.20855775213</v>
      </c>
    </row>
    <row r="57" spans="3:17" ht="57">
      <c r="C57" s="321" t="s">
        <v>840</v>
      </c>
      <c r="D57" s="322"/>
      <c r="E57" s="784"/>
      <c r="F57" s="325"/>
      <c r="G57" s="319" t="str">
        <f>IFERROR(IF(E57="","",IF(F57="Direct-from-manufacturer",(E57*H57/1000*'Reporting Year &amp; Inflation Adj.'!$F$9),(E57*I57/1000*'Reporting Year &amp; Inflation Adj.'!$F$9))),"")</f>
        <v/>
      </c>
      <c r="H57" s="791">
        <v>0.12144670933</v>
      </c>
      <c r="I57" s="794">
        <v>0.14720512093999999</v>
      </c>
      <c r="J57" s="324">
        <v>0.1757111652762588</v>
      </c>
      <c r="K57" s="68">
        <v>339114</v>
      </c>
      <c r="L57" s="68" t="s">
        <v>3409</v>
      </c>
      <c r="M57" s="69" t="s">
        <v>440</v>
      </c>
      <c r="N57" s="69" t="s">
        <v>838</v>
      </c>
      <c r="O57" s="70">
        <v>0.14388459436000006</v>
      </c>
      <c r="P57" s="70">
        <v>3.0493722039999997E-2</v>
      </c>
      <c r="Q57" s="70">
        <v>0.17471566247</v>
      </c>
    </row>
    <row r="58" spans="3:17" ht="57">
      <c r="C58" s="321" t="s">
        <v>842</v>
      </c>
      <c r="D58" s="322"/>
      <c r="E58" s="784"/>
      <c r="F58" s="325"/>
      <c r="G58" s="319" t="str">
        <f>IFERROR(IF(E58="","",IF(F58="Direct-from-manufacturer",(E58*H58/1000*'Reporting Year &amp; Inflation Adj.'!$F$9),(E58*I58/1000*'Reporting Year &amp; Inflation Adj.'!$F$9))),"")</f>
        <v/>
      </c>
      <c r="H58" s="791">
        <v>7.4362819135000036E-2</v>
      </c>
      <c r="I58" s="794">
        <v>0.104055119945</v>
      </c>
      <c r="J58" s="324">
        <v>0.28630349771108521</v>
      </c>
      <c r="K58" s="68">
        <v>339116</v>
      </c>
      <c r="L58" s="68" t="s">
        <v>3410</v>
      </c>
      <c r="M58" s="69" t="s">
        <v>440</v>
      </c>
      <c r="N58" s="69" t="s">
        <v>838</v>
      </c>
      <c r="O58" s="70">
        <v>8.3066336130000001E-2</v>
      </c>
      <c r="P58" s="70">
        <v>3.483316258E-2</v>
      </c>
      <c r="Q58" s="70">
        <v>0.11791401771</v>
      </c>
    </row>
    <row r="59" spans="3:17" ht="57">
      <c r="C59" s="321" t="s">
        <v>380</v>
      </c>
      <c r="D59" s="322"/>
      <c r="E59" s="784"/>
      <c r="F59" s="325"/>
      <c r="G59" s="319" t="str">
        <f>IFERROR(IF(E59="","",IF(F59="Direct-from-manufacturer",(E59*H59/1000*'Reporting Year &amp; Inflation Adj.'!$F$9),(E59*I59/1000*'Reporting Year &amp; Inflation Adj.'!$F$9))),"")</f>
        <v/>
      </c>
      <c r="H59" s="791">
        <v>0.14115530617500005</v>
      </c>
      <c r="I59" s="794">
        <v>0.21267717355999996</v>
      </c>
      <c r="J59" s="324">
        <v>0.33393481696315624</v>
      </c>
      <c r="K59" s="68">
        <v>212310</v>
      </c>
      <c r="L59" s="68" t="s">
        <v>3412</v>
      </c>
      <c r="M59" s="69" t="s">
        <v>371</v>
      </c>
      <c r="N59" s="69" t="s">
        <v>382</v>
      </c>
      <c r="O59" s="70">
        <v>0.19387115817</v>
      </c>
      <c r="P59" s="70">
        <v>8.6297871180000013E-2</v>
      </c>
      <c r="Q59" s="70">
        <v>0.28086228323000006</v>
      </c>
    </row>
    <row r="60" spans="3:17" ht="42.75">
      <c r="C60" s="321" t="s">
        <v>847</v>
      </c>
      <c r="D60" s="322"/>
      <c r="E60" s="784"/>
      <c r="F60" s="325"/>
      <c r="G60" s="319" t="str">
        <f>IFERROR(IF(E60="","",IF(F60="Direct-from-manufacturer",(E60*H60/1000*'Reporting Year &amp; Inflation Adj.'!$F$9),(E60*I60/1000*'Reporting Year &amp; Inflation Adj.'!$F$9))),"")</f>
        <v/>
      </c>
      <c r="H60" s="791">
        <v>7.6794358960000017E-2</v>
      </c>
      <c r="I60" s="794">
        <v>0.13371626241000001</v>
      </c>
      <c r="J60" s="324">
        <v>0.42856415885517868</v>
      </c>
      <c r="K60" s="68">
        <v>339930</v>
      </c>
      <c r="L60" s="68" t="s">
        <v>3417</v>
      </c>
      <c r="M60" s="69" t="s">
        <v>440</v>
      </c>
      <c r="N60" s="69" t="s">
        <v>845</v>
      </c>
      <c r="O60" s="70">
        <v>8.5100252519999989E-2</v>
      </c>
      <c r="P60" s="70">
        <v>6.1866526799999995E-2</v>
      </c>
      <c r="Q60" s="70">
        <v>0.14696301811999998</v>
      </c>
    </row>
    <row r="61" spans="3:17" ht="71.25">
      <c r="C61" s="321" t="s">
        <v>743</v>
      </c>
      <c r="D61" s="322"/>
      <c r="E61" s="784"/>
      <c r="F61" s="325"/>
      <c r="G61" s="319" t="str">
        <f>IFERROR(IF(E61="","",IF(F61="Direct-from-manufacturer",(E61*H61/1000*'Reporting Year &amp; Inflation Adj.'!$F$9),(E61*I61/1000*'Reporting Year &amp; Inflation Adj.'!$F$9))),"")</f>
        <v/>
      </c>
      <c r="H61" s="791">
        <v>7.4262517269999995E-2</v>
      </c>
      <c r="I61" s="794">
        <v>0.115219310105</v>
      </c>
      <c r="J61" s="324">
        <v>0.35890877698637996</v>
      </c>
      <c r="K61" s="68">
        <v>334510</v>
      </c>
      <c r="L61" s="68" t="s">
        <v>3422</v>
      </c>
      <c r="M61" s="69" t="s">
        <v>440</v>
      </c>
      <c r="N61" s="69" t="s">
        <v>745</v>
      </c>
      <c r="O61" s="70">
        <v>8.7373544659999997E-2</v>
      </c>
      <c r="P61" s="70">
        <v>4.8299902640000003E-2</v>
      </c>
      <c r="Q61" s="70">
        <v>0.13558058592</v>
      </c>
    </row>
    <row r="62" spans="3:17" ht="75">
      <c r="C62" s="321" t="s">
        <v>737</v>
      </c>
      <c r="D62" s="322"/>
      <c r="E62" s="784"/>
      <c r="F62" s="325"/>
      <c r="G62" s="319" t="str">
        <f>IFERROR(IF(E62="","",IF(F62="Direct-from-manufacturer",(E62*H62/1000*'Reporting Year &amp; Inflation Adj.'!$F$9),(E62*I62/1000*'Reporting Year &amp; Inflation Adj.'!$F$9))),"")</f>
        <v/>
      </c>
      <c r="H62" s="791">
        <v>6.9002795254999999E-2</v>
      </c>
      <c r="I62" s="794">
        <v>8.5524334325000007E-2</v>
      </c>
      <c r="J62" s="324">
        <v>0.1933143892377206</v>
      </c>
      <c r="K62" s="68" t="s">
        <v>738</v>
      </c>
      <c r="L62" s="68" t="s">
        <v>3424</v>
      </c>
      <c r="M62" s="69" t="s">
        <v>440</v>
      </c>
      <c r="N62" s="69" t="s">
        <v>739</v>
      </c>
      <c r="O62" s="70">
        <v>8.000109436999997E-2</v>
      </c>
      <c r="P62" s="70">
        <v>1.8703069456000004E-2</v>
      </c>
      <c r="Q62" s="70">
        <v>9.8701057379999999E-2</v>
      </c>
    </row>
    <row r="63" spans="3:17" ht="57">
      <c r="C63" s="321" t="s">
        <v>755</v>
      </c>
      <c r="D63" s="322"/>
      <c r="E63" s="784"/>
      <c r="F63" s="325"/>
      <c r="G63" s="319" t="str">
        <f>IFERROR(IF(E63="","",IF(F63="Direct-from-manufacturer",(E63*H63/1000*'Reporting Year &amp; Inflation Adj.'!$F$9),(E63*I63/1000*'Reporting Year &amp; Inflation Adj.'!$F$9))),"")</f>
        <v/>
      </c>
      <c r="H63" s="791">
        <v>3.5778996404999999E-2</v>
      </c>
      <c r="I63" s="794">
        <v>5.3769592900000003E-2</v>
      </c>
      <c r="J63" s="324">
        <v>0.33462865589224128</v>
      </c>
      <c r="K63" s="68">
        <v>334610</v>
      </c>
      <c r="L63" s="68" t="s">
        <v>3428</v>
      </c>
      <c r="M63" s="69" t="s">
        <v>440</v>
      </c>
      <c r="N63" s="69" t="s">
        <v>757</v>
      </c>
      <c r="O63" s="70">
        <v>4.3093872857999996E-2</v>
      </c>
      <c r="P63" s="70">
        <v>2.085211335E-2</v>
      </c>
      <c r="Q63" s="70">
        <v>6.3956508960000005E-2</v>
      </c>
    </row>
    <row r="64" spans="3:17" ht="42.75">
      <c r="C64" s="321" t="s">
        <v>496</v>
      </c>
      <c r="D64" s="322"/>
      <c r="E64" s="784"/>
      <c r="F64" s="325"/>
      <c r="G64" s="319" t="str">
        <f>IFERROR(IF(E64="","",IF(F64="Direct-from-manufacturer",(E64*H64/1000*'Reporting Year &amp; Inflation Adj.'!$F$9),(E64*I64/1000*'Reporting Year &amp; Inflation Adj.'!$F$9))),"")</f>
        <v/>
      </c>
      <c r="H64" s="791">
        <v>0.44740177244999996</v>
      </c>
      <c r="I64" s="794">
        <v>0.47447582514000003</v>
      </c>
      <c r="J64" s="324">
        <v>5.8145629847125742E-2</v>
      </c>
      <c r="K64" s="68">
        <v>313200</v>
      </c>
      <c r="L64" s="68" t="s">
        <v>3429</v>
      </c>
      <c r="M64" s="69" t="s">
        <v>440</v>
      </c>
      <c r="N64" s="69" t="s">
        <v>498</v>
      </c>
      <c r="O64" s="70">
        <v>0.48375158421999997</v>
      </c>
      <c r="P64" s="70">
        <v>2.7607151759999997E-2</v>
      </c>
      <c r="Q64" s="70">
        <v>0.51101681122000009</v>
      </c>
    </row>
    <row r="65" spans="3:17" ht="57">
      <c r="C65" s="321" t="s">
        <v>677</v>
      </c>
      <c r="D65" s="322"/>
      <c r="E65" s="784"/>
      <c r="F65" s="325"/>
      <c r="G65" s="319" t="str">
        <f>IFERROR(IF(E65="","",IF(F65="Direct-from-manufacturer",(E65*H65/1000*'Reporting Year &amp; Inflation Adj.'!$F$9),(E65*I65/1000*'Reporting Year &amp; Inflation Adj.'!$F$9))),"")</f>
        <v/>
      </c>
      <c r="H65" s="791">
        <v>0.18887338980000004</v>
      </c>
      <c r="I65" s="794">
        <v>0.21273809792999998</v>
      </c>
      <c r="J65" s="324">
        <v>0.11260907596288953</v>
      </c>
      <c r="K65" s="68">
        <v>332996</v>
      </c>
      <c r="L65" s="68" t="s">
        <v>3430</v>
      </c>
      <c r="M65" s="69" t="s">
        <v>440</v>
      </c>
      <c r="N65" s="69" t="s">
        <v>671</v>
      </c>
      <c r="O65" s="70">
        <v>0.21266438655</v>
      </c>
      <c r="P65" s="70">
        <v>2.5964019610000007E-2</v>
      </c>
      <c r="Q65" s="70">
        <v>0.23913367726000001</v>
      </c>
    </row>
    <row r="66" spans="3:17" ht="57">
      <c r="C66" s="321" t="s">
        <v>679</v>
      </c>
      <c r="D66" s="322"/>
      <c r="E66" s="784"/>
      <c r="F66" s="325"/>
      <c r="G66" s="319" t="str">
        <f>IFERROR(IF(E66="","",IF(F66="Direct-from-manufacturer",(E66*H66/1000*'Reporting Year &amp; Inflation Adj.'!$F$9),(E66*I66/1000*'Reporting Year &amp; Inflation Adj.'!$F$9))),"")</f>
        <v/>
      </c>
      <c r="H66" s="791">
        <v>0.16523829909500001</v>
      </c>
      <c r="I66" s="794">
        <v>0.19166852136499998</v>
      </c>
      <c r="J66" s="324">
        <v>0.13678488709720632</v>
      </c>
      <c r="K66" s="68">
        <v>333111</v>
      </c>
      <c r="L66" s="68" t="s">
        <v>3432</v>
      </c>
      <c r="M66" s="69" t="s">
        <v>440</v>
      </c>
      <c r="N66" s="69" t="s">
        <v>681</v>
      </c>
      <c r="O66" s="70">
        <v>0.19201392064</v>
      </c>
      <c r="P66" s="70">
        <v>2.9566364049999995E-2</v>
      </c>
      <c r="Q66" s="70">
        <v>0.22128906178999999</v>
      </c>
    </row>
    <row r="67" spans="3:17" ht="57">
      <c r="C67" s="321" t="s">
        <v>559</v>
      </c>
      <c r="D67" s="322"/>
      <c r="E67" s="784"/>
      <c r="F67" s="325"/>
      <c r="G67" s="319" t="str">
        <f>IFERROR(IF(E67="","",IF(F67="Direct-from-manufacturer",(E67*H67/1000*'Reporting Year &amp; Inflation Adj.'!$F$9),(E67*I67/1000*'Reporting Year &amp; Inflation Adj.'!$F$9))),"")</f>
        <v/>
      </c>
      <c r="H67" s="791">
        <v>1.3099347086950004</v>
      </c>
      <c r="I67" s="794">
        <v>1.3455778888800001</v>
      </c>
      <c r="J67" s="324">
        <v>2.6753623768271086E-2</v>
      </c>
      <c r="K67" s="68">
        <v>325310</v>
      </c>
      <c r="L67" s="68" t="s">
        <v>3433</v>
      </c>
      <c r="M67" s="69" t="s">
        <v>440</v>
      </c>
      <c r="N67" s="69" t="s">
        <v>561</v>
      </c>
      <c r="O67" s="70">
        <v>1.11994197091</v>
      </c>
      <c r="P67" s="70">
        <v>2.3147570039999999E-2</v>
      </c>
      <c r="Q67" s="70">
        <v>1.1429245046600001</v>
      </c>
    </row>
    <row r="68" spans="3:17" ht="57">
      <c r="C68" s="321" t="s">
        <v>493</v>
      </c>
      <c r="D68" s="322"/>
      <c r="E68" s="784"/>
      <c r="F68" s="325"/>
      <c r="G68" s="319" t="str">
        <f>IFERROR(IF(E68="","",IF(F68="Direct-from-manufacturer",(E68*H68/1000*'Reporting Year &amp; Inflation Adj.'!$F$9),(E68*I68/1000*'Reporting Year &amp; Inflation Adj.'!$F$9))),"")</f>
        <v/>
      </c>
      <c r="H68" s="791">
        <v>0.62471326400999994</v>
      </c>
      <c r="I68" s="794">
        <v>0.65013709774999995</v>
      </c>
      <c r="J68" s="324">
        <v>3.9169844480698227E-2</v>
      </c>
      <c r="K68" s="68">
        <v>313100</v>
      </c>
      <c r="L68" s="68" t="s">
        <v>3434</v>
      </c>
      <c r="M68" s="69" t="s">
        <v>440</v>
      </c>
      <c r="N68" s="69" t="s">
        <v>495</v>
      </c>
      <c r="O68" s="70">
        <v>0.64486332693000004</v>
      </c>
      <c r="P68" s="70">
        <v>2.3504613450000007E-2</v>
      </c>
      <c r="Q68" s="70">
        <v>0.66845795864000002</v>
      </c>
    </row>
    <row r="69" spans="3:17" ht="42.75">
      <c r="C69" s="321" t="s">
        <v>499</v>
      </c>
      <c r="D69" s="322"/>
      <c r="E69" s="784"/>
      <c r="F69" s="325"/>
      <c r="G69" s="319" t="str">
        <f>IFERROR(IF(E69="","",IF(F69="Direct-from-manufacturer",(E69*H69/1000*'Reporting Year &amp; Inflation Adj.'!$F$9),(E69*I69/1000*'Reporting Year &amp; Inflation Adj.'!$F$9))),"")</f>
        <v/>
      </c>
      <c r="H69" s="791">
        <v>0.3594383605</v>
      </c>
      <c r="I69" s="794">
        <v>0.38638344068999997</v>
      </c>
      <c r="J69" s="324">
        <v>6.9301156416491885E-2</v>
      </c>
      <c r="K69" s="68">
        <v>313300</v>
      </c>
      <c r="L69" s="68" t="s">
        <v>3435</v>
      </c>
      <c r="M69" s="69" t="s">
        <v>440</v>
      </c>
      <c r="N69" s="69" t="s">
        <v>501</v>
      </c>
      <c r="O69" s="70">
        <v>0.37237954463999995</v>
      </c>
      <c r="P69" s="70">
        <v>2.6681963839999996E-2</v>
      </c>
      <c r="Q69" s="70">
        <v>0.39956357308000001</v>
      </c>
    </row>
    <row r="70" spans="3:17" ht="71.25">
      <c r="C70" s="321" t="s">
        <v>749</v>
      </c>
      <c r="D70" s="322"/>
      <c r="E70" s="784"/>
      <c r="F70" s="325"/>
      <c r="G70" s="319" t="str">
        <f>IFERROR(IF(E70="","",IF(F70="Direct-from-manufacturer",(E70*H70/1000*'Reporting Year &amp; Inflation Adj.'!$F$9),(E70*I70/1000*'Reporting Year &amp; Inflation Adj.'!$F$9))),"")</f>
        <v/>
      </c>
      <c r="H70" s="791">
        <v>5.3515247904999994E-2</v>
      </c>
      <c r="I70" s="794">
        <v>7.2353586954999993E-2</v>
      </c>
      <c r="J70" s="324">
        <v>0.26024261708975016</v>
      </c>
      <c r="K70" s="68">
        <v>334514</v>
      </c>
      <c r="L70" s="68" t="s">
        <v>3438</v>
      </c>
      <c r="M70" s="69" t="s">
        <v>440</v>
      </c>
      <c r="N70" s="69" t="s">
        <v>745</v>
      </c>
      <c r="O70" s="70">
        <v>6.3092087460000001E-2</v>
      </c>
      <c r="P70" s="70">
        <v>2.1643966609999999E-2</v>
      </c>
      <c r="Q70" s="70">
        <v>8.4830302770000018E-2</v>
      </c>
    </row>
    <row r="71" spans="3:17" ht="60">
      <c r="C71" s="321" t="s">
        <v>850</v>
      </c>
      <c r="D71" s="322"/>
      <c r="E71" s="784"/>
      <c r="F71" s="325"/>
      <c r="G71" s="319" t="str">
        <f>IFERROR(IF(E71="","",IF(F71="Direct-from-manufacturer",(E71*H71/1000*'Reporting Year &amp; Inflation Adj.'!$F$9),(E71*I71/1000*'Reporting Year &amp; Inflation Adj.'!$F$9))),"")</f>
        <v/>
      </c>
      <c r="H71" s="791">
        <v>0.10371485095500001</v>
      </c>
      <c r="I71" s="794">
        <v>0.1588236193</v>
      </c>
      <c r="J71" s="324">
        <v>0.34567938161197664</v>
      </c>
      <c r="K71" s="68">
        <v>339990</v>
      </c>
      <c r="L71" s="68" t="s">
        <v>3451</v>
      </c>
      <c r="M71" s="69" t="s">
        <v>440</v>
      </c>
      <c r="N71" s="69" t="s">
        <v>845</v>
      </c>
      <c r="O71" s="70">
        <v>0.12198640546999996</v>
      </c>
      <c r="P71" s="70">
        <v>6.16590386E-2</v>
      </c>
      <c r="Q71" s="70">
        <v>0.18335963027000002</v>
      </c>
    </row>
    <row r="72" spans="3:17" ht="42.75">
      <c r="C72" s="321" t="s">
        <v>542</v>
      </c>
      <c r="D72" s="322"/>
      <c r="E72" s="784"/>
      <c r="F72" s="325"/>
      <c r="G72" s="319" t="str">
        <f>IFERROR(IF(E72="","",IF(F72="Direct-from-manufacturer",(E72*H72/1000*'Reporting Year &amp; Inflation Adj.'!$F$9),(E72*I72/1000*'Reporting Year &amp; Inflation Adj.'!$F$9))),"")</f>
        <v/>
      </c>
      <c r="H72" s="791">
        <v>0.37961026754500005</v>
      </c>
      <c r="I72" s="794">
        <v>0.41401863525499999</v>
      </c>
      <c r="J72" s="324">
        <v>8.3536504241404949E-2</v>
      </c>
      <c r="K72" s="68">
        <v>324110</v>
      </c>
      <c r="L72" s="68" t="s">
        <v>3453</v>
      </c>
      <c r="M72" s="69" t="s">
        <v>440</v>
      </c>
      <c r="N72" s="69" t="s">
        <v>544</v>
      </c>
      <c r="O72" s="70">
        <v>0.25353676877199999</v>
      </c>
      <c r="P72" s="70">
        <v>2.1828799810000004E-2</v>
      </c>
      <c r="Q72" s="70">
        <v>0.27500488003999995</v>
      </c>
    </row>
    <row r="73" spans="3:17" ht="42.75">
      <c r="C73" s="321" t="s">
        <v>599</v>
      </c>
      <c r="D73" s="322"/>
      <c r="E73" s="784"/>
      <c r="F73" s="325"/>
      <c r="G73" s="319" t="str">
        <f>IFERROR(IF(E73="","",IF(F73="Direct-from-manufacturer",(E73*H73/1000*'Reporting Year &amp; Inflation Adj.'!$F$9),(E73*I73/1000*'Reporting Year &amp; Inflation Adj.'!$F$9))),"")</f>
        <v/>
      </c>
      <c r="H73" s="791">
        <v>0.44045211016000008</v>
      </c>
      <c r="I73" s="794">
        <v>0.49574145361999999</v>
      </c>
      <c r="J73" s="324">
        <v>0.11053025303791014</v>
      </c>
      <c r="K73" s="68">
        <v>327200</v>
      </c>
      <c r="L73" s="68" t="s">
        <v>3455</v>
      </c>
      <c r="M73" s="69" t="s">
        <v>440</v>
      </c>
      <c r="N73" s="69" t="s">
        <v>601</v>
      </c>
      <c r="O73" s="70">
        <v>0.53889187302999997</v>
      </c>
      <c r="P73" s="70">
        <v>6.023604028E-2</v>
      </c>
      <c r="Q73" s="70">
        <v>0.59982620883000015</v>
      </c>
    </row>
    <row r="74" spans="3:17" ht="57">
      <c r="C74" s="321" t="s">
        <v>615</v>
      </c>
      <c r="D74" s="322"/>
      <c r="E74" s="784"/>
      <c r="F74" s="325"/>
      <c r="G74" s="319" t="str">
        <f>IFERROR(IF(E74="","",IF(F74="Direct-from-manufacturer",(E74*H74/1000*'Reporting Year &amp; Inflation Adj.'!$F$9),(E74*I74/1000*'Reporting Year &amp; Inflation Adj.'!$F$9))),"")</f>
        <v/>
      </c>
      <c r="H74" s="791">
        <v>0.30971135005500006</v>
      </c>
      <c r="I74" s="794">
        <v>0.42770599726999997</v>
      </c>
      <c r="J74" s="324">
        <v>0.27387049001572678</v>
      </c>
      <c r="K74" s="68">
        <v>327992</v>
      </c>
      <c r="L74" s="68" t="s">
        <v>3459</v>
      </c>
      <c r="M74" s="69" t="s">
        <v>440</v>
      </c>
      <c r="N74" s="69" t="s">
        <v>613</v>
      </c>
      <c r="O74" s="70">
        <v>0.37749026132000002</v>
      </c>
      <c r="P74" s="70">
        <v>0.122086654819</v>
      </c>
      <c r="Q74" s="70">
        <v>0.49949013695</v>
      </c>
    </row>
    <row r="75" spans="3:17" ht="42.75">
      <c r="C75" s="321" t="s">
        <v>805</v>
      </c>
      <c r="D75" s="322"/>
      <c r="E75" s="784"/>
      <c r="F75" s="325"/>
      <c r="G75" s="319" t="str">
        <f>IFERROR(IF(E75="","",IF(F75="Direct-from-manufacturer",(E75*H75/1000*'Reporting Year &amp; Inflation Adj.'!$F$9),(E75*I75/1000*'Reporting Year &amp; Inflation Adj.'!$F$9))),"")</f>
        <v/>
      </c>
      <c r="H75" s="791">
        <v>0.12271119741</v>
      </c>
      <c r="I75" s="794">
        <v>0.13186056723000003</v>
      </c>
      <c r="J75" s="324">
        <v>6.3276694490828025E-2</v>
      </c>
      <c r="K75" s="68">
        <v>336414</v>
      </c>
      <c r="L75" s="68" t="s">
        <v>3460</v>
      </c>
      <c r="M75" s="69" t="s">
        <v>440</v>
      </c>
      <c r="N75" s="69" t="s">
        <v>802</v>
      </c>
      <c r="O75" s="70">
        <v>0.13428172276999997</v>
      </c>
      <c r="P75" s="70">
        <v>8.6316506249999973E-3</v>
      </c>
      <c r="Q75" s="70">
        <v>0.14262741947000002</v>
      </c>
    </row>
    <row r="76" spans="3:17" ht="99.75">
      <c r="C76" s="321" t="s">
        <v>698</v>
      </c>
      <c r="D76" s="322"/>
      <c r="E76" s="784"/>
      <c r="F76" s="325"/>
      <c r="G76" s="319" t="str">
        <f>IFERROR(IF(E76="","",IF(F76="Direct-from-manufacturer",(E76*H76/1000*'Reporting Year &amp; Inflation Adj.'!$F$9),(E76*I76/1000*'Reporting Year &amp; Inflation Adj.'!$F$9))),"")</f>
        <v/>
      </c>
      <c r="H76" s="791">
        <v>0.11045900170499999</v>
      </c>
      <c r="I76" s="794">
        <v>0.14264472157499999</v>
      </c>
      <c r="J76" s="324">
        <v>0.22203466360546259</v>
      </c>
      <c r="K76" s="68">
        <v>333414</v>
      </c>
      <c r="L76" s="68" t="s">
        <v>3463</v>
      </c>
      <c r="M76" s="69" t="s">
        <v>440</v>
      </c>
      <c r="N76" s="69" t="s">
        <v>697</v>
      </c>
      <c r="O76" s="70">
        <v>0.13868294348999999</v>
      </c>
      <c r="P76" s="70">
        <v>3.8823331930000003E-2</v>
      </c>
      <c r="Q76" s="70">
        <v>0.17722039071000001</v>
      </c>
    </row>
    <row r="77" spans="3:17" ht="57">
      <c r="C77" s="321" t="s">
        <v>783</v>
      </c>
      <c r="D77" s="322"/>
      <c r="E77" s="784"/>
      <c r="F77" s="325"/>
      <c r="G77" s="319" t="str">
        <f>IFERROR(IF(E77="","",IF(F77="Direct-from-manufacturer",(E77*H77/1000*'Reporting Year &amp; Inflation Adj.'!$F$9),(E77*I77/1000*'Reporting Year &amp; Inflation Adj.'!$F$9))),"")</f>
        <v/>
      </c>
      <c r="H77" s="791">
        <v>0.23802552204999999</v>
      </c>
      <c r="I77" s="794">
        <v>0.24855214950000001</v>
      </c>
      <c r="J77" s="324">
        <v>4.0894398115032191E-2</v>
      </c>
      <c r="K77" s="68">
        <v>336120</v>
      </c>
      <c r="L77" s="68" t="s">
        <v>3464</v>
      </c>
      <c r="M77" s="69" t="s">
        <v>440</v>
      </c>
      <c r="N77" s="69" t="s">
        <v>781</v>
      </c>
      <c r="O77" s="70">
        <v>0.26406660048000002</v>
      </c>
      <c r="P77" s="70">
        <v>1.0717657366000001E-2</v>
      </c>
      <c r="Q77" s="70">
        <v>0.27482329713999992</v>
      </c>
    </row>
    <row r="78" spans="3:17" ht="57">
      <c r="C78" s="321" t="s">
        <v>654</v>
      </c>
      <c r="D78" s="322"/>
      <c r="E78" s="784"/>
      <c r="F78" s="325"/>
      <c r="G78" s="319" t="str">
        <f>IFERROR(IF(E78="","",IF(F78="Direct-from-manufacturer",(E78*H78/1000*'Reporting Year &amp; Inflation Adj.'!$F$9),(E78*I78/1000*'Reporting Year &amp; Inflation Adj.'!$F$9))),"")</f>
        <v/>
      </c>
      <c r="H78" s="791">
        <v>0.21624735343000001</v>
      </c>
      <c r="I78" s="794">
        <v>0.22665565005000005</v>
      </c>
      <c r="J78" s="324">
        <v>4.6667844632007217E-2</v>
      </c>
      <c r="K78" s="68">
        <v>332420</v>
      </c>
      <c r="L78" s="68" t="s">
        <v>3465</v>
      </c>
      <c r="M78" s="69" t="s">
        <v>440</v>
      </c>
      <c r="N78" s="69" t="s">
        <v>653</v>
      </c>
      <c r="O78" s="70">
        <v>0.26830507997999997</v>
      </c>
      <c r="P78" s="70">
        <v>1.1998914017E-2</v>
      </c>
      <c r="Q78" s="70">
        <v>0.28009776600999997</v>
      </c>
    </row>
    <row r="79" spans="3:17" ht="57">
      <c r="C79" s="321" t="s">
        <v>825</v>
      </c>
      <c r="D79" s="322"/>
      <c r="E79" s="784"/>
      <c r="F79" s="325"/>
      <c r="G79" s="319" t="str">
        <f>IFERROR(IF(E79="","",IF(F79="Direct-from-manufacturer",(E79*H79/1000*'Reporting Year &amp; Inflation Adj.'!$F$9),(E79*I79/1000*'Reporting Year &amp; Inflation Adj.'!$F$9))),"")</f>
        <v/>
      </c>
      <c r="H79" s="791">
        <v>0.16184776917999993</v>
      </c>
      <c r="I79" s="794">
        <v>0.22000934945</v>
      </c>
      <c r="J79" s="324">
        <v>0.26437608504096238</v>
      </c>
      <c r="K79" s="68" t="s">
        <v>826</v>
      </c>
      <c r="L79" s="68" t="s">
        <v>3467</v>
      </c>
      <c r="M79" s="69" t="s">
        <v>440</v>
      </c>
      <c r="N79" s="69" t="s">
        <v>822</v>
      </c>
      <c r="O79" s="70">
        <v>0.16960555661999999</v>
      </c>
      <c r="P79" s="70">
        <v>5.9420953670000005E-2</v>
      </c>
      <c r="Q79" s="70">
        <v>0.2293223925</v>
      </c>
    </row>
    <row r="80" spans="3:17" ht="57">
      <c r="C80" s="321" t="s">
        <v>823</v>
      </c>
      <c r="D80" s="322"/>
      <c r="E80" s="784"/>
      <c r="F80" s="325"/>
      <c r="G80" s="319" t="str">
        <f>IFERROR(IF(E80="","",IF(F80="Direct-from-manufacturer",(E80*H80/1000*'Reporting Year &amp; Inflation Adj.'!$F$9),(E80*I80/1000*'Reporting Year &amp; Inflation Adj.'!$F$9))),"")</f>
        <v/>
      </c>
      <c r="H80" s="791">
        <v>0.12166806788999998</v>
      </c>
      <c r="I80" s="794">
        <v>0.17496030729999995</v>
      </c>
      <c r="J80" s="324">
        <v>0.30160092997276078</v>
      </c>
      <c r="K80" s="68">
        <v>337121</v>
      </c>
      <c r="L80" s="68" t="s">
        <v>3468</v>
      </c>
      <c r="M80" s="69" t="s">
        <v>440</v>
      </c>
      <c r="N80" s="69" t="s">
        <v>822</v>
      </c>
      <c r="O80" s="70">
        <v>0.13344645305000002</v>
      </c>
      <c r="P80" s="70">
        <v>5.5769043589999998E-2</v>
      </c>
      <c r="Q80" s="70">
        <v>0.18964391036</v>
      </c>
    </row>
    <row r="81" spans="3:17" ht="57">
      <c r="C81" s="321" t="s">
        <v>824</v>
      </c>
      <c r="D81" s="322"/>
      <c r="E81" s="784"/>
      <c r="F81" s="325"/>
      <c r="G81" s="319" t="str">
        <f>IFERROR(IF(E81="","",IF(F81="Direct-from-manufacturer",(E81*H81/1000*'Reporting Year &amp; Inflation Adj.'!$F$9),(E81*I81/1000*'Reporting Year &amp; Inflation Adj.'!$F$9))),"")</f>
        <v/>
      </c>
      <c r="H81" s="791">
        <v>0.10982025997</v>
      </c>
      <c r="I81" s="794">
        <v>0.163704092375</v>
      </c>
      <c r="J81" s="324">
        <v>0.33042138971756418</v>
      </c>
      <c r="K81" s="68">
        <v>337122</v>
      </c>
      <c r="L81" s="68" t="s">
        <v>3469</v>
      </c>
      <c r="M81" s="69" t="s">
        <v>440</v>
      </c>
      <c r="N81" s="69" t="s">
        <v>822</v>
      </c>
      <c r="O81" s="70">
        <v>0.12120145026</v>
      </c>
      <c r="P81" s="70">
        <v>5.7639807170000001E-2</v>
      </c>
      <c r="Q81" s="70">
        <v>0.17864038063000001</v>
      </c>
    </row>
    <row r="82" spans="3:17" ht="42.75">
      <c r="C82" s="321" t="s">
        <v>722</v>
      </c>
      <c r="D82" s="322"/>
      <c r="E82" s="784"/>
      <c r="F82" s="325"/>
      <c r="G82" s="319" t="str">
        <f>IFERROR(IF(E82="","",IF(F82="Direct-from-manufacturer",(E82*H82/1000*'Reporting Year &amp; Inflation Adj.'!$F$9),(E82*I82/1000*'Reporting Year &amp; Inflation Adj.'!$F$9))),"")</f>
        <v/>
      </c>
      <c r="H82" s="791">
        <v>0.154064528895</v>
      </c>
      <c r="I82" s="794">
        <v>0.17290582262999998</v>
      </c>
      <c r="J82" s="324">
        <v>0.10673589260491403</v>
      </c>
      <c r="K82" s="68" t="s">
        <v>723</v>
      </c>
      <c r="L82" s="68" t="s">
        <v>3475</v>
      </c>
      <c r="M82" s="69" t="s">
        <v>440</v>
      </c>
      <c r="N82" s="69" t="s">
        <v>715</v>
      </c>
      <c r="O82" s="70">
        <v>0.18221222057000003</v>
      </c>
      <c r="P82" s="70">
        <v>2.0898423909999998E-2</v>
      </c>
      <c r="Q82" s="70">
        <v>0.20372519545000001</v>
      </c>
    </row>
    <row r="83" spans="3:17" ht="28.5">
      <c r="C83" s="321" t="s">
        <v>463</v>
      </c>
      <c r="D83" s="322"/>
      <c r="E83" s="784"/>
      <c r="F83" s="325"/>
      <c r="G83" s="319" t="str">
        <f>IFERROR(IF(E83="","",IF(F83="Direct-from-manufacturer",(E83*H83/1000*'Reporting Year &amp; Inflation Adj.'!$F$9),(E83*I83/1000*'Reporting Year &amp; Inflation Adj.'!$F$9))),"")</f>
        <v/>
      </c>
      <c r="H83" s="791">
        <v>0.4993601473</v>
      </c>
      <c r="I83" s="794">
        <v>0.52640631485</v>
      </c>
      <c r="J83" s="324">
        <v>5.1997582500125664E-2</v>
      </c>
      <c r="K83" s="68">
        <v>311520</v>
      </c>
      <c r="L83" s="68" t="s">
        <v>3476</v>
      </c>
      <c r="M83" s="69" t="s">
        <v>440</v>
      </c>
      <c r="N83" s="69" t="s">
        <v>459</v>
      </c>
      <c r="O83" s="70">
        <v>0.5673655220399999</v>
      </c>
      <c r="P83" s="70">
        <v>3.0172089099999997E-2</v>
      </c>
      <c r="Q83" s="70">
        <v>0.59700082928000009</v>
      </c>
    </row>
    <row r="84" spans="3:17" ht="42.75">
      <c r="C84" s="321" t="s">
        <v>700</v>
      </c>
      <c r="D84" s="322"/>
      <c r="E84" s="784"/>
      <c r="F84" s="325"/>
      <c r="G84" s="319" t="str">
        <f>IFERROR(IF(E84="","",IF(F84="Direct-from-manufacturer",(E84*H84/1000*'Reporting Year &amp; Inflation Adj.'!$F$9),(E84*I84/1000*'Reporting Year &amp; Inflation Adj.'!$F$9))),"")</f>
        <v/>
      </c>
      <c r="H84" s="791">
        <v>0.20466669016</v>
      </c>
      <c r="I84" s="794">
        <v>0.22714308710499995</v>
      </c>
      <c r="J84" s="324">
        <v>9.896673287093477E-2</v>
      </c>
      <c r="K84" s="68">
        <v>333511</v>
      </c>
      <c r="L84" s="68" t="s">
        <v>3480</v>
      </c>
      <c r="M84" s="69" t="s">
        <v>440</v>
      </c>
      <c r="N84" s="69" t="s">
        <v>702</v>
      </c>
      <c r="O84" s="70">
        <v>0.23756957009000002</v>
      </c>
      <c r="P84" s="70">
        <v>2.5363460099999999E-2</v>
      </c>
      <c r="Q84" s="70">
        <v>0.26280958612999999</v>
      </c>
    </row>
    <row r="85" spans="3:17" ht="42.75">
      <c r="C85" s="321" t="s">
        <v>721</v>
      </c>
      <c r="D85" s="322"/>
      <c r="E85" s="784"/>
      <c r="F85" s="325"/>
      <c r="G85" s="319" t="str">
        <f>IFERROR(IF(E85="","",IF(F85="Direct-from-manufacturer",(E85*H85/1000*'Reporting Year &amp; Inflation Adj.'!$F$9),(E85*I85/1000*'Reporting Year &amp; Inflation Adj.'!$F$9))),"")</f>
        <v/>
      </c>
      <c r="H85" s="791">
        <v>0.14220244531000001</v>
      </c>
      <c r="I85" s="794">
        <v>0.16125565123500005</v>
      </c>
      <c r="J85" s="324">
        <v>0.12110810988905801</v>
      </c>
      <c r="K85" s="68">
        <v>333994</v>
      </c>
      <c r="L85" s="68" t="s">
        <v>3481</v>
      </c>
      <c r="M85" s="69" t="s">
        <v>440</v>
      </c>
      <c r="N85" s="69" t="s">
        <v>715</v>
      </c>
      <c r="O85" s="70">
        <v>0.16882741662999998</v>
      </c>
      <c r="P85" s="70">
        <v>2.2228534009999995E-2</v>
      </c>
      <c r="Q85" s="70">
        <v>0.19057880963999999</v>
      </c>
    </row>
    <row r="86" spans="3:17" ht="71.25">
      <c r="C86" s="321" t="s">
        <v>748</v>
      </c>
      <c r="D86" s="322"/>
      <c r="E86" s="784"/>
      <c r="F86" s="325"/>
      <c r="G86" s="319" t="str">
        <f>IFERROR(IF(E86="","",IF(F86="Direct-from-manufacturer",(E86*H86/1000*'Reporting Year &amp; Inflation Adj.'!$F$9),(E86*I86/1000*'Reporting Year &amp; Inflation Adj.'!$F$9))),"")</f>
        <v/>
      </c>
      <c r="H86" s="791">
        <v>4.0007717714999995E-2</v>
      </c>
      <c r="I86" s="794">
        <v>5.2965787740000006E-2</v>
      </c>
      <c r="J86" s="324">
        <v>0.24489759811887202</v>
      </c>
      <c r="K86" s="68">
        <v>334513</v>
      </c>
      <c r="L86" s="68" t="s">
        <v>3482</v>
      </c>
      <c r="M86" s="69" t="s">
        <v>440</v>
      </c>
      <c r="N86" s="69" t="s">
        <v>745</v>
      </c>
      <c r="O86" s="70">
        <v>4.7831406266999985E-2</v>
      </c>
      <c r="P86" s="70">
        <v>1.5423169514999998E-2</v>
      </c>
      <c r="Q86" s="70">
        <v>6.3152321520000013E-2</v>
      </c>
    </row>
    <row r="87" spans="3:17" ht="57">
      <c r="C87" s="321" t="s">
        <v>577</v>
      </c>
      <c r="D87" s="322"/>
      <c r="E87" s="784"/>
      <c r="F87" s="325"/>
      <c r="G87" s="319" t="str">
        <f>IFERROR(IF(E87="","",IF(F87="Direct-from-manufacturer",(E87*H87/1000*'Reporting Year &amp; Inflation Adj.'!$F$9),(E87*I87/1000*'Reporting Year &amp; Inflation Adj.'!$F$9))),"")</f>
        <v/>
      </c>
      <c r="H87" s="791">
        <v>0.31103360727000012</v>
      </c>
      <c r="I87" s="794">
        <v>0.33975540949000005</v>
      </c>
      <c r="J87" s="324">
        <v>8.5393282710496288E-2</v>
      </c>
      <c r="K87" s="68">
        <v>325910</v>
      </c>
      <c r="L87" s="68" t="s">
        <v>3483</v>
      </c>
      <c r="M87" s="69" t="s">
        <v>440</v>
      </c>
      <c r="N87" s="69" t="s">
        <v>579</v>
      </c>
      <c r="O87" s="70">
        <v>0.35734212793000003</v>
      </c>
      <c r="P87" s="70">
        <v>3.1348237670000001E-2</v>
      </c>
      <c r="Q87" s="70">
        <v>0.38879140952999991</v>
      </c>
    </row>
    <row r="88" spans="3:17" ht="71.25">
      <c r="C88" s="321" t="s">
        <v>827</v>
      </c>
      <c r="D88" s="322"/>
      <c r="E88" s="784"/>
      <c r="F88" s="325"/>
      <c r="G88" s="319" t="str">
        <f>IFERROR(IF(E88="","",IF(F88="Direct-from-manufacturer",(E88*H88/1000*'Reporting Year &amp; Inflation Adj.'!$F$9),(E88*I88/1000*'Reporting Year &amp; Inflation Adj.'!$F$9))),"")</f>
        <v/>
      </c>
      <c r="H88" s="791">
        <v>0.17743114093500001</v>
      </c>
      <c r="I88" s="794">
        <v>0.212917359035</v>
      </c>
      <c r="J88" s="324">
        <v>0.16300760444006229</v>
      </c>
      <c r="K88" s="68">
        <v>337127</v>
      </c>
      <c r="L88" s="68" t="s">
        <v>3484</v>
      </c>
      <c r="M88" s="69" t="s">
        <v>440</v>
      </c>
      <c r="N88" s="69" t="s">
        <v>822</v>
      </c>
      <c r="O88" s="70">
        <v>0.20948031017999999</v>
      </c>
      <c r="P88" s="70">
        <v>3.8077582010000006E-2</v>
      </c>
      <c r="Q88" s="70">
        <v>0.24807488677999998</v>
      </c>
    </row>
    <row r="89" spans="3:17" ht="71.25">
      <c r="C89" s="321" t="s">
        <v>375</v>
      </c>
      <c r="D89" s="322"/>
      <c r="E89" s="784"/>
      <c r="F89" s="325"/>
      <c r="G89" s="319" t="str">
        <f>IFERROR(IF(E89="","",IF(F89="Direct-from-manufacturer",(E89*H89/1000*'Reporting Year &amp; Inflation Adj.'!$F$9),(E89*I89/1000*'Reporting Year &amp; Inflation Adj.'!$F$9))),"")</f>
        <v/>
      </c>
      <c r="H89" s="791">
        <v>0.48623241506000003</v>
      </c>
      <c r="I89" s="794">
        <v>0.53463620537500001</v>
      </c>
      <c r="J89" s="324">
        <v>8.9394093972699082E-2</v>
      </c>
      <c r="K89" s="68" t="s">
        <v>376</v>
      </c>
      <c r="L89" s="68" t="s">
        <v>3490</v>
      </c>
      <c r="M89" s="69" t="s">
        <v>371</v>
      </c>
      <c r="N89" s="69" t="s">
        <v>377</v>
      </c>
      <c r="O89" s="70">
        <v>0.54143848910000014</v>
      </c>
      <c r="P89" s="70">
        <v>5.4069816643999999E-2</v>
      </c>
      <c r="Q89" s="70">
        <v>0.59556360873000003</v>
      </c>
    </row>
    <row r="90" spans="3:17" ht="71.25">
      <c r="C90" s="321" t="s">
        <v>752</v>
      </c>
      <c r="D90" s="322"/>
      <c r="E90" s="784"/>
      <c r="F90" s="325"/>
      <c r="G90" s="319" t="str">
        <f>IFERROR(IF(E90="","",IF(F90="Direct-from-manufacturer",(E90*H90/1000*'Reporting Year &amp; Inflation Adj.'!$F$9),(E90*I90/1000*'Reporting Year &amp; Inflation Adj.'!$F$9))),"")</f>
        <v/>
      </c>
      <c r="H90" s="791">
        <v>8.797950136499999E-2</v>
      </c>
      <c r="I90" s="794">
        <v>0.12247572413500002</v>
      </c>
      <c r="J90" s="324">
        <v>0.28492633782295451</v>
      </c>
      <c r="K90" s="68">
        <v>334517</v>
      </c>
      <c r="L90" s="68" t="s">
        <v>3491</v>
      </c>
      <c r="M90" s="69" t="s">
        <v>440</v>
      </c>
      <c r="N90" s="69" t="s">
        <v>745</v>
      </c>
      <c r="O90" s="70">
        <v>9.7063799700000009E-2</v>
      </c>
      <c r="P90" s="70">
        <v>3.8608581980000001E-2</v>
      </c>
      <c r="Q90" s="70">
        <v>0.13599313787</v>
      </c>
    </row>
    <row r="91" spans="3:17" ht="156.75">
      <c r="C91" s="321" t="s">
        <v>843</v>
      </c>
      <c r="D91" s="322"/>
      <c r="E91" s="784"/>
      <c r="F91" s="325"/>
      <c r="G91" s="319" t="str">
        <f>IFERROR(IF(E91="","",IF(F91="Direct-from-manufacturer",(E91*H91/1000*'Reporting Year &amp; Inflation Adj.'!$F$9),(E91*I91/1000*'Reporting Year &amp; Inflation Adj.'!$F$9))),"")</f>
        <v/>
      </c>
      <c r="H91" s="791">
        <v>4.8645968315000003E-2</v>
      </c>
      <c r="I91" s="794">
        <v>9.3569343035000002E-2</v>
      </c>
      <c r="J91" s="324">
        <v>0.4800855605366065</v>
      </c>
      <c r="K91" s="68">
        <v>339910</v>
      </c>
      <c r="L91" s="68" t="s">
        <v>3492</v>
      </c>
      <c r="M91" s="69" t="s">
        <v>440</v>
      </c>
      <c r="N91" s="69" t="s">
        <v>845</v>
      </c>
      <c r="O91" s="70">
        <v>5.4989989879999999E-2</v>
      </c>
      <c r="P91" s="70">
        <v>5.3982164269999987E-2</v>
      </c>
      <c r="Q91" s="70">
        <v>0.10896814185999998</v>
      </c>
    </row>
    <row r="92" spans="3:17" ht="42.75">
      <c r="C92" s="321" t="s">
        <v>586</v>
      </c>
      <c r="D92" s="322"/>
      <c r="E92" s="784"/>
      <c r="F92" s="325"/>
      <c r="G92" s="319" t="str">
        <f>IFERROR(IF(E92="","",IF(F92="Direct-from-manufacturer",(E92*H92/1000*'Reporting Year &amp; Inflation Adj.'!$F$9),(E92*I92/1000*'Reporting Year &amp; Inflation Adj.'!$F$9))),"")</f>
        <v/>
      </c>
      <c r="H92" s="791">
        <v>0.37356001502000008</v>
      </c>
      <c r="I92" s="794">
        <v>0.39028817868999999</v>
      </c>
      <c r="J92" s="324">
        <v>4.4667516778280215E-2</v>
      </c>
      <c r="K92" s="68">
        <v>326130</v>
      </c>
      <c r="L92" s="68" t="s">
        <v>3493</v>
      </c>
      <c r="M92" s="69" t="s">
        <v>440</v>
      </c>
      <c r="N92" s="69" t="s">
        <v>584</v>
      </c>
      <c r="O92" s="70">
        <v>0.44277992917000009</v>
      </c>
      <c r="P92" s="70">
        <v>1.9023083191999999E-2</v>
      </c>
      <c r="Q92" s="70">
        <v>0.46204104807000002</v>
      </c>
    </row>
    <row r="93" spans="3:17" ht="57">
      <c r="C93" s="321" t="s">
        <v>682</v>
      </c>
      <c r="D93" s="322"/>
      <c r="E93" s="784"/>
      <c r="F93" s="325"/>
      <c r="G93" s="319" t="str">
        <f>IFERROR(IF(E93="","",IF(F93="Direct-from-manufacturer",(E93*H93/1000*'Reporting Year &amp; Inflation Adj.'!$F$9),(E93*I93/1000*'Reporting Year &amp; Inflation Adj.'!$F$9))),"")</f>
        <v/>
      </c>
      <c r="H93" s="791">
        <v>4.5442194774999993E-2</v>
      </c>
      <c r="I93" s="794">
        <v>0.10575653463</v>
      </c>
      <c r="J93" s="324">
        <v>0.57016831140470214</v>
      </c>
      <c r="K93" s="68">
        <v>333112</v>
      </c>
      <c r="L93" s="68" t="s">
        <v>3495</v>
      </c>
      <c r="M93" s="69" t="s">
        <v>440</v>
      </c>
      <c r="N93" s="69" t="s">
        <v>681</v>
      </c>
      <c r="O93" s="70">
        <v>5.1969694279000007E-2</v>
      </c>
      <c r="P93" s="70">
        <v>6.9030405209999993E-2</v>
      </c>
      <c r="Q93" s="70">
        <v>0.12122637351999997</v>
      </c>
    </row>
    <row r="94" spans="3:17" ht="171">
      <c r="C94" s="321" t="s">
        <v>512</v>
      </c>
      <c r="D94" s="322"/>
      <c r="E94" s="784"/>
      <c r="F94" s="325"/>
      <c r="G94" s="319" t="str">
        <f>IFERROR(IF(E94="","",IF(F94="Direct-from-manufacturer",(E94*H94/1000*'Reporting Year &amp; Inflation Adj.'!$F$9),(E94*I94/1000*'Reporting Year &amp; Inflation Adj.'!$F$9))),"")</f>
        <v/>
      </c>
      <c r="H94" s="791">
        <v>0.19587081180000007</v>
      </c>
      <c r="I94" s="794">
        <v>0.24956612236000003</v>
      </c>
      <c r="J94" s="324">
        <v>0.21520679254103867</v>
      </c>
      <c r="K94" s="68">
        <v>316000</v>
      </c>
      <c r="L94" s="68" t="s">
        <v>3496</v>
      </c>
      <c r="M94" s="69" t="s">
        <v>440</v>
      </c>
      <c r="N94" s="69" t="s">
        <v>514</v>
      </c>
      <c r="O94" s="70">
        <v>0.22960933227999991</v>
      </c>
      <c r="P94" s="70">
        <v>6.0481978990000004E-2</v>
      </c>
      <c r="Q94" s="70">
        <v>0.28988555207</v>
      </c>
    </row>
    <row r="95" spans="3:17" ht="114">
      <c r="C95" s="321" t="s">
        <v>643</v>
      </c>
      <c r="D95" s="322"/>
      <c r="E95" s="784"/>
      <c r="F95" s="325"/>
      <c r="G95" s="319" t="str">
        <f>IFERROR(IF(E95="","",IF(F95="Direct-from-manufacturer",(E95*H95/1000*'Reporting Year &amp; Inflation Adj.'!$F$9),(E95*I95/1000*'Reporting Year &amp; Inflation Adj.'!$F$9))),"")</f>
        <v/>
      </c>
      <c r="H95" s="791">
        <v>0.26717776914000002</v>
      </c>
      <c r="I95" s="794">
        <v>0.29221426625499997</v>
      </c>
      <c r="J95" s="324">
        <v>8.5729940622196965E-2</v>
      </c>
      <c r="K95" s="68">
        <v>332119</v>
      </c>
      <c r="L95" s="68" t="s">
        <v>3500</v>
      </c>
      <c r="M95" s="69" t="s">
        <v>440</v>
      </c>
      <c r="N95" s="69" t="s">
        <v>640</v>
      </c>
      <c r="O95" s="70">
        <v>0.29404339915000005</v>
      </c>
      <c r="P95" s="70">
        <v>2.6377178970000005E-2</v>
      </c>
      <c r="Q95" s="70">
        <v>0.32064563653</v>
      </c>
    </row>
    <row r="96" spans="3:17" ht="42.75">
      <c r="C96" s="321" t="s">
        <v>758</v>
      </c>
      <c r="D96" s="322"/>
      <c r="E96" s="784"/>
      <c r="F96" s="325"/>
      <c r="G96" s="319" t="str">
        <f>IFERROR(IF(E96="","",IF(F96="Direct-from-manufacturer",(E96*H96/1000*'Reporting Year &amp; Inflation Adj.'!$F$9),(E96*I96/1000*'Reporting Year &amp; Inflation Adj.'!$F$9))),"")</f>
        <v/>
      </c>
      <c r="H96" s="791">
        <v>8.3538911415000014E-2</v>
      </c>
      <c r="I96" s="794">
        <v>0.14570747029499997</v>
      </c>
      <c r="J96" s="324">
        <v>0.42812371193943266</v>
      </c>
      <c r="K96" s="68">
        <v>335110</v>
      </c>
      <c r="L96" s="68" t="s">
        <v>3501</v>
      </c>
      <c r="M96" s="69" t="s">
        <v>440</v>
      </c>
      <c r="N96" s="69" t="s">
        <v>760</v>
      </c>
      <c r="O96" s="70">
        <v>9.9619945400000021E-2</v>
      </c>
      <c r="P96" s="70">
        <v>7.4918326369999996E-2</v>
      </c>
      <c r="Q96" s="70">
        <v>0.17483735181999999</v>
      </c>
    </row>
    <row r="97" spans="3:17" ht="42.75">
      <c r="C97" s="321" t="s">
        <v>761</v>
      </c>
      <c r="D97" s="322"/>
      <c r="E97" s="784"/>
      <c r="F97" s="325"/>
      <c r="G97" s="319" t="str">
        <f>IFERROR(IF(E97="","",IF(F97="Direct-from-manufacturer",(E97*H97/1000*'Reporting Year &amp; Inflation Adj.'!$F$9),(E97*I97/1000*'Reporting Year &amp; Inflation Adj.'!$F$9))),"")</f>
        <v/>
      </c>
      <c r="H97" s="791">
        <v>0.12144595032499998</v>
      </c>
      <c r="I97" s="794">
        <v>0.16551800824499996</v>
      </c>
      <c r="J97" s="324">
        <v>0.26698414781906316</v>
      </c>
      <c r="K97" s="68">
        <v>335120</v>
      </c>
      <c r="L97" s="68" t="s">
        <v>3502</v>
      </c>
      <c r="M97" s="69" t="s">
        <v>440</v>
      </c>
      <c r="N97" s="69" t="s">
        <v>760</v>
      </c>
      <c r="O97" s="70">
        <v>0.13818442533000003</v>
      </c>
      <c r="P97" s="70">
        <v>4.774318327999999E-2</v>
      </c>
      <c r="Q97" s="70">
        <v>0.18642977860999999</v>
      </c>
    </row>
    <row r="98" spans="3:17" ht="57">
      <c r="C98" s="321" t="s">
        <v>655</v>
      </c>
      <c r="D98" s="322"/>
      <c r="E98" s="784"/>
      <c r="F98" s="325"/>
      <c r="G98" s="319" t="str">
        <f>IFERROR(IF(E98="","",IF(F98="Direct-from-manufacturer",(E98*H98/1000*'Reporting Year &amp; Inflation Adj.'!$F$9),(E98*I98/1000*'Reporting Year &amp; Inflation Adj.'!$F$9))),"")</f>
        <v/>
      </c>
      <c r="H98" s="791">
        <v>0.30365725708000002</v>
      </c>
      <c r="I98" s="794">
        <v>0.32112661749499999</v>
      </c>
      <c r="J98" s="324">
        <v>5.3797857461220865E-2</v>
      </c>
      <c r="K98" s="68">
        <v>332430</v>
      </c>
      <c r="L98" s="68" t="s">
        <v>3503</v>
      </c>
      <c r="M98" s="69" t="s">
        <v>440</v>
      </c>
      <c r="N98" s="69" t="s">
        <v>653</v>
      </c>
      <c r="O98" s="70">
        <v>0.30446170125000005</v>
      </c>
      <c r="P98" s="70">
        <v>1.6628336758999995E-2</v>
      </c>
      <c r="Q98" s="70">
        <v>0.3210771509</v>
      </c>
    </row>
    <row r="99" spans="3:17" ht="42.75">
      <c r="C99" s="321" t="s">
        <v>608</v>
      </c>
      <c r="D99" s="322"/>
      <c r="E99" s="784"/>
      <c r="F99" s="325"/>
      <c r="G99" s="319" t="str">
        <f>IFERROR(IF(E99="","",IF(F99="Direct-from-manufacturer",(E99*H99/1000*'Reporting Year &amp; Inflation Adj.'!$F$9),(E99*I99/1000*'Reporting Year &amp; Inflation Adj.'!$F$9))),"")</f>
        <v/>
      </c>
      <c r="H99" s="791">
        <v>1.1301121352450003</v>
      </c>
      <c r="I99" s="794">
        <v>1.1869002558399999</v>
      </c>
      <c r="J99" s="324">
        <v>4.6118154196757473E-2</v>
      </c>
      <c r="K99" s="68">
        <v>327400</v>
      </c>
      <c r="L99" s="68" t="s">
        <v>3504</v>
      </c>
      <c r="M99" s="69" t="s">
        <v>440</v>
      </c>
      <c r="N99" s="69" t="s">
        <v>610</v>
      </c>
      <c r="O99" s="70">
        <v>1.5648657424599999</v>
      </c>
      <c r="P99" s="70">
        <v>6.3704883390000022E-2</v>
      </c>
      <c r="Q99" s="70">
        <v>1.6238222908600002</v>
      </c>
    </row>
    <row r="100" spans="3:17" ht="71.25">
      <c r="C100" s="321" t="s">
        <v>515</v>
      </c>
      <c r="D100" s="322"/>
      <c r="E100" s="784"/>
      <c r="F100" s="325"/>
      <c r="G100" s="319" t="str">
        <f>IFERROR(IF(E100="","",IF(F100="Direct-from-manufacturer",(E100*H100/1000*'Reporting Year &amp; Inflation Adj.'!$F$9),(E100*I100/1000*'Reporting Year &amp; Inflation Adj.'!$F$9))),"")</f>
        <v/>
      </c>
      <c r="H100" s="791">
        <v>0.25826116233999996</v>
      </c>
      <c r="I100" s="794">
        <v>0.30456027269999997</v>
      </c>
      <c r="J100" s="324">
        <v>0.15206480030840874</v>
      </c>
      <c r="K100" s="68">
        <v>321100</v>
      </c>
      <c r="L100" s="68" t="s">
        <v>3506</v>
      </c>
      <c r="M100" s="69" t="s">
        <v>440</v>
      </c>
      <c r="N100" s="69" t="s">
        <v>517</v>
      </c>
      <c r="O100" s="70">
        <v>0.22934040504999997</v>
      </c>
      <c r="P100" s="70">
        <v>3.7349531500000005E-2</v>
      </c>
      <c r="Q100" s="70">
        <v>0.26688500294999995</v>
      </c>
    </row>
    <row r="101" spans="3:17" ht="71.25">
      <c r="C101" s="321" t="s">
        <v>662</v>
      </c>
      <c r="D101" s="322"/>
      <c r="E101" s="784"/>
      <c r="F101" s="325"/>
      <c r="G101" s="319" t="str">
        <f>IFERROR(IF(E101="","",IF(F101="Direct-from-manufacturer",(E101*H101/1000*'Reporting Year &amp; Inflation Adj.'!$F$9),(E101*I101/1000*'Reporting Year &amp; Inflation Adj.'!$F$9))),"")</f>
        <v/>
      </c>
      <c r="H101" s="791">
        <v>0.239481297195</v>
      </c>
      <c r="I101" s="794">
        <v>0.25625921738000002</v>
      </c>
      <c r="J101" s="324">
        <v>6.2293342624739727E-2</v>
      </c>
      <c r="K101" s="68">
        <v>332710</v>
      </c>
      <c r="L101" s="68" t="s">
        <v>3507</v>
      </c>
      <c r="M101" s="69" t="s">
        <v>440</v>
      </c>
      <c r="N101" s="69" t="s">
        <v>664</v>
      </c>
      <c r="O101" s="70">
        <v>0.26290904342000004</v>
      </c>
      <c r="P101" s="70">
        <v>1.5984254212499997E-2</v>
      </c>
      <c r="Q101" s="70">
        <v>0.27897979502999992</v>
      </c>
    </row>
    <row r="102" spans="3:17" ht="99.75">
      <c r="C102" s="321" t="s">
        <v>685</v>
      </c>
      <c r="D102" s="322"/>
      <c r="E102" s="784"/>
      <c r="F102" s="325"/>
      <c r="G102" s="319" t="str">
        <f>IFERROR(IF(E102="","",IF(F102="Direct-from-manufacturer",(E102*H102/1000*'Reporting Year &amp; Inflation Adj.'!$F$9),(E102*I102/1000*'Reporting Year &amp; Inflation Adj.'!$F$9))),"")</f>
        <v/>
      </c>
      <c r="H102" s="791">
        <v>0.148825685565</v>
      </c>
      <c r="I102" s="794">
        <v>0.16545073474999999</v>
      </c>
      <c r="J102" s="324">
        <v>0.10366740365896139</v>
      </c>
      <c r="K102" s="68" t="s">
        <v>686</v>
      </c>
      <c r="L102" s="68" t="s">
        <v>3508</v>
      </c>
      <c r="M102" s="69" t="s">
        <v>440</v>
      </c>
      <c r="N102" s="69" t="s">
        <v>687</v>
      </c>
      <c r="O102" s="70">
        <v>0.16699157810000001</v>
      </c>
      <c r="P102" s="70">
        <v>1.9184227981000002E-2</v>
      </c>
      <c r="Q102" s="70">
        <v>0.18618044695000002</v>
      </c>
    </row>
    <row r="103" spans="3:17" ht="71.25">
      <c r="C103" s="321" t="s">
        <v>906</v>
      </c>
      <c r="D103" s="322"/>
      <c r="E103" s="784"/>
      <c r="F103" s="325"/>
      <c r="G103" s="319" t="str">
        <f>IFERROR(IF(E103="","",IF(F103="Direct-from-manufacturer",(E103*H103/1000*'Reporting Year &amp; Inflation Adj.'!$F$9),(E103*I103/1000*'Reporting Year &amp; Inflation Adj.'!$F$9))),"")</f>
        <v/>
      </c>
      <c r="H103" s="791">
        <v>5.8711732764999996E-2</v>
      </c>
      <c r="I103" s="794">
        <v>0.10221566179000001</v>
      </c>
      <c r="J103" s="324">
        <v>0.42571200829672784</v>
      </c>
      <c r="K103" s="68">
        <v>511120</v>
      </c>
      <c r="L103" s="68" t="s">
        <v>3510</v>
      </c>
      <c r="M103" s="69" t="s">
        <v>904</v>
      </c>
      <c r="N103" s="69" t="s">
        <v>905</v>
      </c>
      <c r="O103" s="70">
        <v>5.9924941680000003E-2</v>
      </c>
      <c r="P103" s="70">
        <v>4.3694051579999997E-2</v>
      </c>
      <c r="Q103" s="70">
        <v>0.10364235376000001</v>
      </c>
    </row>
    <row r="104" spans="3:17" ht="85.5">
      <c r="C104" s="321" t="s">
        <v>4267</v>
      </c>
      <c r="D104" s="322"/>
      <c r="E104" s="784"/>
      <c r="F104" s="325"/>
      <c r="G104" s="319" t="str">
        <f>IFERROR(IF(E104="","",IF(F104="Direct-from-manufacturer",(E104*H104/1000*'Reporting Year &amp; Inflation Adj.'!$F$9),(E104*I104/1000*'Reporting Year &amp; Inflation Adj.'!$F$9))),"")</f>
        <v/>
      </c>
      <c r="H104" s="791">
        <v>0.1269146635</v>
      </c>
      <c r="I104" s="794">
        <v>0.15909099899999998</v>
      </c>
      <c r="J104" s="324">
        <v>0.19910927003481829</v>
      </c>
      <c r="K104" s="68">
        <v>335220</v>
      </c>
      <c r="L104" s="68" t="s">
        <v>3511</v>
      </c>
      <c r="M104" s="69" t="s">
        <v>440</v>
      </c>
      <c r="N104" s="69" t="s">
        <v>764</v>
      </c>
      <c r="O104" s="70">
        <v>0.13805835342000003</v>
      </c>
      <c r="P104" s="70">
        <v>3.4537123150000001E-2</v>
      </c>
      <c r="Q104" s="70">
        <v>0.17280543186999997</v>
      </c>
    </row>
    <row r="105" spans="3:17" ht="57">
      <c r="C105" s="321" t="s">
        <v>716</v>
      </c>
      <c r="D105" s="322"/>
      <c r="E105" s="784"/>
      <c r="F105" s="325"/>
      <c r="G105" s="319" t="str">
        <f>IFERROR(IF(E105="","",IF(F105="Direct-from-manufacturer",(E105*H105/1000*'Reporting Year &amp; Inflation Adj.'!$F$9),(E105*I105/1000*'Reporting Year &amp; Inflation Adj.'!$F$9))),"")</f>
        <v/>
      </c>
      <c r="H105" s="791">
        <v>0.19902551700000001</v>
      </c>
      <c r="I105" s="794">
        <v>0.21803613956500001</v>
      </c>
      <c r="J105" s="324">
        <v>8.903612359277098E-2</v>
      </c>
      <c r="K105" s="68">
        <v>333920</v>
      </c>
      <c r="L105" s="68" t="s">
        <v>3514</v>
      </c>
      <c r="M105" s="69" t="s">
        <v>440</v>
      </c>
      <c r="N105" s="69" t="s">
        <v>715</v>
      </c>
      <c r="O105" s="70">
        <v>0.23506925406000001</v>
      </c>
      <c r="P105" s="70">
        <v>2.1880161209999999E-2</v>
      </c>
      <c r="Q105" s="70">
        <v>0.25672919133</v>
      </c>
    </row>
    <row r="106" spans="3:17" ht="42.75">
      <c r="C106" s="321" t="s">
        <v>833</v>
      </c>
      <c r="D106" s="322"/>
      <c r="E106" s="784"/>
      <c r="F106" s="325"/>
      <c r="G106" s="319" t="str">
        <f>IFERROR(IF(E106="","",IF(F106="Direct-from-manufacturer",(E106*H106/1000*'Reporting Year &amp; Inflation Adj.'!$F$9),(E106*I106/1000*'Reporting Year &amp; Inflation Adj.'!$F$9))),"")</f>
        <v/>
      </c>
      <c r="H106" s="791">
        <v>0.10098023998</v>
      </c>
      <c r="I106" s="794">
        <v>0.15884243544999999</v>
      </c>
      <c r="J106" s="324">
        <v>0.36628243378523451</v>
      </c>
      <c r="K106" s="68">
        <v>337900</v>
      </c>
      <c r="L106" s="68" t="s">
        <v>3515</v>
      </c>
      <c r="M106" s="69" t="s">
        <v>440</v>
      </c>
      <c r="N106" s="69" t="s">
        <v>835</v>
      </c>
      <c r="O106" s="70">
        <v>0.11213536111999997</v>
      </c>
      <c r="P106" s="70">
        <v>6.3218875420000001E-2</v>
      </c>
      <c r="Q106" s="70">
        <v>0.17517077397999997</v>
      </c>
    </row>
    <row r="107" spans="3:17" ht="71.25">
      <c r="C107" s="321" t="s">
        <v>711</v>
      </c>
      <c r="D107" s="322"/>
      <c r="E107" s="784"/>
      <c r="F107" s="325"/>
      <c r="G107" s="319" t="str">
        <f>IFERROR(IF(E107="","",IF(F107="Direct-from-manufacturer",(E107*H107/1000*'Reporting Year &amp; Inflation Adj.'!$F$9),(E107*I107/1000*'Reporting Year &amp; Inflation Adj.'!$F$9))),"")</f>
        <v/>
      </c>
      <c r="H107" s="791">
        <v>0.15171620014499998</v>
      </c>
      <c r="I107" s="794">
        <v>0.17078110394500004</v>
      </c>
      <c r="J107" s="324">
        <v>0.11090014540542785</v>
      </c>
      <c r="K107" s="68">
        <v>333613</v>
      </c>
      <c r="L107" s="68" t="s">
        <v>3517</v>
      </c>
      <c r="M107" s="69" t="s">
        <v>440</v>
      </c>
      <c r="N107" s="69" t="s">
        <v>709</v>
      </c>
      <c r="O107" s="70">
        <v>0.18769892819999998</v>
      </c>
      <c r="P107" s="70">
        <v>2.211478955E-2</v>
      </c>
      <c r="Q107" s="70">
        <v>0.20954683108000002</v>
      </c>
    </row>
    <row r="108" spans="3:17" ht="57">
      <c r="C108" s="321" t="s">
        <v>563</v>
      </c>
      <c r="D108" s="322"/>
      <c r="E108" s="784"/>
      <c r="F108" s="325"/>
      <c r="G108" s="319" t="str">
        <f>IFERROR(IF(E108="","",IF(F108="Direct-from-manufacturer",(E108*H108/1000*'Reporting Year &amp; Inflation Adj.'!$F$9),(E108*I108/1000*'Reporting Year &amp; Inflation Adj.'!$F$9))),"")</f>
        <v/>
      </c>
      <c r="H108" s="791">
        <v>0.13868467519999997</v>
      </c>
      <c r="I108" s="794">
        <v>0.17272508098999997</v>
      </c>
      <c r="J108" s="324">
        <v>0.19937885735884411</v>
      </c>
      <c r="K108" s="68">
        <v>325411</v>
      </c>
      <c r="L108" s="68" t="s">
        <v>3519</v>
      </c>
      <c r="M108" s="69" t="s">
        <v>440</v>
      </c>
      <c r="N108" s="69" t="s">
        <v>565</v>
      </c>
      <c r="O108" s="70">
        <v>0.15216258832999996</v>
      </c>
      <c r="P108" s="70">
        <v>3.783716116E-2</v>
      </c>
      <c r="Q108" s="70">
        <v>0.19012767231</v>
      </c>
    </row>
    <row r="109" spans="3:17" ht="142.5">
      <c r="C109" s="321" t="s">
        <v>666</v>
      </c>
      <c r="D109" s="322"/>
      <c r="E109" s="784"/>
      <c r="F109" s="325"/>
      <c r="G109" s="319" t="str">
        <f>IFERROR(IF(E109="","",IF(F109="Direct-from-manufacturer",(E109*H109/1000*'Reporting Year &amp; Inflation Adj.'!$F$9),(E109*I109/1000*'Reporting Year &amp; Inflation Adj.'!$F$9))),"")</f>
        <v/>
      </c>
      <c r="H109" s="791">
        <v>0.32779011209999998</v>
      </c>
      <c r="I109" s="794">
        <v>0.341383834035</v>
      </c>
      <c r="J109" s="324">
        <v>4.2143192937557167E-2</v>
      </c>
      <c r="K109" s="68">
        <v>332800</v>
      </c>
      <c r="L109" s="68" t="s">
        <v>3520</v>
      </c>
      <c r="M109" s="69" t="s">
        <v>440</v>
      </c>
      <c r="N109" s="69" t="s">
        <v>668</v>
      </c>
      <c r="O109" s="70">
        <v>0.36949350787999996</v>
      </c>
      <c r="P109" s="70">
        <v>1.5065600589399999E-2</v>
      </c>
      <c r="Q109" s="70">
        <v>0.38448567083999996</v>
      </c>
    </row>
    <row r="110" spans="3:17" ht="57">
      <c r="C110" s="321" t="s">
        <v>706</v>
      </c>
      <c r="D110" s="322"/>
      <c r="E110" s="784"/>
      <c r="F110" s="325"/>
      <c r="G110" s="319" t="str">
        <f>IFERROR(IF(E110="","",IF(F110="Direct-from-manufacturer",(E110*H110/1000*'Reporting Year &amp; Inflation Adj.'!$F$9),(E110*I110/1000*'Reporting Year &amp; Inflation Adj.'!$F$9))),"")</f>
        <v/>
      </c>
      <c r="H110" s="791">
        <v>0.15757936383999999</v>
      </c>
      <c r="I110" s="794">
        <v>0.178879735895</v>
      </c>
      <c r="J110" s="324">
        <v>0.11970622646474138</v>
      </c>
      <c r="K110" s="68">
        <v>333517</v>
      </c>
      <c r="L110" s="68" t="s">
        <v>3521</v>
      </c>
      <c r="M110" s="69" t="s">
        <v>440</v>
      </c>
      <c r="N110" s="69" t="s">
        <v>702</v>
      </c>
      <c r="O110" s="70">
        <v>0.17665353891000002</v>
      </c>
      <c r="P110" s="70">
        <v>2.3260007570000001E-2</v>
      </c>
      <c r="Q110" s="70">
        <v>0.20048473758999999</v>
      </c>
    </row>
    <row r="111" spans="3:17" ht="30">
      <c r="C111" s="321" t="s">
        <v>656</v>
      </c>
      <c r="D111" s="322"/>
      <c r="E111" s="784"/>
      <c r="F111" s="325"/>
      <c r="G111" s="319" t="str">
        <f>IFERROR(IF(E111="","",IF(F111="Direct-from-manufacturer",(E111*H111/1000*'Reporting Year &amp; Inflation Adj.'!$F$9),(E111*I111/1000*'Reporting Year &amp; Inflation Adj.'!$F$9))),"")</f>
        <v/>
      </c>
      <c r="H111" s="791">
        <v>0.14821991852000005</v>
      </c>
      <c r="I111" s="794">
        <v>0.17948298181000003</v>
      </c>
      <c r="J111" s="324">
        <v>0.17752684498929316</v>
      </c>
      <c r="K111" s="68">
        <v>332500</v>
      </c>
      <c r="L111" s="68" t="s">
        <v>3522</v>
      </c>
      <c r="M111" s="69" t="s">
        <v>440</v>
      </c>
      <c r="N111" s="69" t="s">
        <v>658</v>
      </c>
      <c r="O111" s="70">
        <v>0.15773793158999996</v>
      </c>
      <c r="P111" s="70">
        <v>3.3986597080000007E-2</v>
      </c>
      <c r="Q111" s="70">
        <v>0.19153918420999999</v>
      </c>
    </row>
    <row r="112" spans="3:17" ht="57">
      <c r="C112" s="321" t="s">
        <v>672</v>
      </c>
      <c r="D112" s="322"/>
      <c r="E112" s="784"/>
      <c r="F112" s="325"/>
      <c r="G112" s="319" t="str">
        <f>IFERROR(IF(E112="","",IF(F112="Direct-from-manufacturer",(E112*H112/1000*'Reporting Year &amp; Inflation Adj.'!$F$9),(E112*I112/1000*'Reporting Year &amp; Inflation Adj.'!$F$9))),"")</f>
        <v/>
      </c>
      <c r="H112" s="791">
        <v>0.116810439445</v>
      </c>
      <c r="I112" s="794">
        <v>0.15741745796499998</v>
      </c>
      <c r="J112" s="324">
        <v>0.25982077114403496</v>
      </c>
      <c r="K112" s="68">
        <v>332913</v>
      </c>
      <c r="L112" s="68" t="s">
        <v>3523</v>
      </c>
      <c r="M112" s="69" t="s">
        <v>440</v>
      </c>
      <c r="N112" s="69" t="s">
        <v>671</v>
      </c>
      <c r="O112" s="70">
        <v>0.12694159949999997</v>
      </c>
      <c r="P112" s="70">
        <v>4.5281268800000003E-2</v>
      </c>
      <c r="Q112" s="70">
        <v>0.17242699350000004</v>
      </c>
    </row>
    <row r="113" spans="3:17" ht="42.75">
      <c r="C113" s="321" t="s">
        <v>647</v>
      </c>
      <c r="D113" s="322"/>
      <c r="E113" s="784"/>
      <c r="F113" s="325"/>
      <c r="G113" s="319" t="str">
        <f>IFERROR(IF(E113="","",IF(F113="Direct-from-manufacturer",(E113*H113/1000*'Reporting Year &amp; Inflation Adj.'!$F$9),(E113*I113/1000*'Reporting Year &amp; Inflation Adj.'!$F$9))),"")</f>
        <v/>
      </c>
      <c r="H113" s="791">
        <v>0.234686801295</v>
      </c>
      <c r="I113" s="794">
        <v>0.25128445093000001</v>
      </c>
      <c r="J113" s="324">
        <v>6.755521613921453E-2</v>
      </c>
      <c r="K113" s="68">
        <v>332310</v>
      </c>
      <c r="L113" s="68" t="s">
        <v>3524</v>
      </c>
      <c r="M113" s="69" t="s">
        <v>440</v>
      </c>
      <c r="N113" s="69" t="s">
        <v>649</v>
      </c>
      <c r="O113" s="70">
        <v>0.24614917736999997</v>
      </c>
      <c r="P113" s="70">
        <v>1.6864152746999997E-2</v>
      </c>
      <c r="Q113" s="70">
        <v>0.26390643343000003</v>
      </c>
    </row>
    <row r="114" spans="3:17" ht="57">
      <c r="C114" s="321" t="s">
        <v>650</v>
      </c>
      <c r="D114" s="322"/>
      <c r="E114" s="784"/>
      <c r="F114" s="325"/>
      <c r="G114" s="319" t="str">
        <f>IFERROR(IF(E114="","",IF(F114="Direct-from-manufacturer",(E114*H114/1000*'Reporting Year &amp; Inflation Adj.'!$F$9),(E114*I114/1000*'Reporting Year &amp; Inflation Adj.'!$F$9))),"")</f>
        <v/>
      </c>
      <c r="H114" s="791">
        <v>0.17751361817500003</v>
      </c>
      <c r="I114" s="794">
        <v>0.20217152897500001</v>
      </c>
      <c r="J114" s="324">
        <v>0.12047551951794304</v>
      </c>
      <c r="K114" s="68">
        <v>332320</v>
      </c>
      <c r="L114" s="68" t="s">
        <v>3525</v>
      </c>
      <c r="M114" s="69" t="s">
        <v>440</v>
      </c>
      <c r="N114" s="69" t="s">
        <v>649</v>
      </c>
      <c r="O114" s="70">
        <v>0.19616578158000009</v>
      </c>
      <c r="P114" s="70">
        <v>2.6084086909999998E-2</v>
      </c>
      <c r="Q114" s="70">
        <v>0.22224129030000003</v>
      </c>
    </row>
    <row r="115" spans="3:17" ht="57">
      <c r="C115" s="321" t="s">
        <v>818</v>
      </c>
      <c r="D115" s="322"/>
      <c r="E115" s="784"/>
      <c r="F115" s="325"/>
      <c r="G115" s="319" t="str">
        <f>IFERROR(IF(E115="","",IF(F115="Direct-from-manufacturer",(E115*H115/1000*'Reporting Year &amp; Inflation Adj.'!$F$9),(E115*I115/1000*'Reporting Year &amp; Inflation Adj.'!$F$9))),"")</f>
        <v/>
      </c>
      <c r="H115" s="791">
        <v>0.42878578600500006</v>
      </c>
      <c r="I115" s="794">
        <v>0.43956281938500008</v>
      </c>
      <c r="J115" s="324">
        <v>2.6268261320770894E-2</v>
      </c>
      <c r="K115" s="68">
        <v>336992</v>
      </c>
      <c r="L115" s="68" t="s">
        <v>3526</v>
      </c>
      <c r="M115" s="69" t="s">
        <v>440</v>
      </c>
      <c r="N115" s="69" t="s">
        <v>817</v>
      </c>
      <c r="O115" s="70">
        <v>0.43472835452000003</v>
      </c>
      <c r="P115" s="70">
        <v>1.1999933338E-2</v>
      </c>
      <c r="Q115" s="70">
        <v>0.44669559297</v>
      </c>
    </row>
    <row r="116" spans="3:17" ht="57">
      <c r="C116" s="321" t="s">
        <v>616</v>
      </c>
      <c r="D116" s="322"/>
      <c r="E116" s="784"/>
      <c r="F116" s="325"/>
      <c r="G116" s="319" t="str">
        <f>IFERROR(IF(E116="","",IF(F116="Direct-from-manufacturer",(E116*H116/1000*'Reporting Year &amp; Inflation Adj.'!$F$9),(E116*I116/1000*'Reporting Year &amp; Inflation Adj.'!$F$9))),"")</f>
        <v/>
      </c>
      <c r="H116" s="791">
        <v>0.2892536637</v>
      </c>
      <c r="I116" s="794">
        <v>0.33727425186999999</v>
      </c>
      <c r="J116" s="324">
        <v>0.14291397491136923</v>
      </c>
      <c r="K116" s="68">
        <v>327993</v>
      </c>
      <c r="L116" s="68" t="s">
        <v>3527</v>
      </c>
      <c r="M116" s="69" t="s">
        <v>440</v>
      </c>
      <c r="N116" s="69" t="s">
        <v>613</v>
      </c>
      <c r="O116" s="70">
        <v>0.34039864989999996</v>
      </c>
      <c r="P116" s="70">
        <v>5.3911321839999998E-2</v>
      </c>
      <c r="Q116" s="70">
        <v>0.39510705652999994</v>
      </c>
    </row>
    <row r="117" spans="3:17" ht="57">
      <c r="C117" s="321" t="s">
        <v>684</v>
      </c>
      <c r="D117" s="322"/>
      <c r="E117" s="784"/>
      <c r="F117" s="325"/>
      <c r="G117" s="319" t="str">
        <f>IFERROR(IF(E117="","",IF(F117="Direct-from-manufacturer",(E117*H117/1000*'Reporting Year &amp; Inflation Adj.'!$F$9),(E117*I117/1000*'Reporting Year &amp; Inflation Adj.'!$F$9))),"")</f>
        <v/>
      </c>
      <c r="H117" s="791">
        <v>0.13554474814</v>
      </c>
      <c r="I117" s="794">
        <v>0.17076177072000001</v>
      </c>
      <c r="J117" s="324">
        <v>0.2050057541122691</v>
      </c>
      <c r="K117" s="68">
        <v>333130</v>
      </c>
      <c r="L117" s="68" t="s">
        <v>3528</v>
      </c>
      <c r="M117" s="69" t="s">
        <v>440</v>
      </c>
      <c r="N117" s="69" t="s">
        <v>681</v>
      </c>
      <c r="O117" s="70">
        <v>0.17547986597999998</v>
      </c>
      <c r="P117" s="70">
        <v>4.4666078129999988E-2</v>
      </c>
      <c r="Q117" s="70">
        <v>0.22076315070000005</v>
      </c>
    </row>
    <row r="118" spans="3:17" ht="71.25">
      <c r="C118" s="321" t="s">
        <v>678</v>
      </c>
      <c r="D118" s="322"/>
      <c r="E118" s="784"/>
      <c r="F118" s="325"/>
      <c r="G118" s="319" t="str">
        <f>IFERROR(IF(E118="","",IF(F118="Direct-from-manufacturer",(E118*H118/1000*'Reporting Year &amp; Inflation Adj.'!$F$9),(E118*I118/1000*'Reporting Year &amp; Inflation Adj.'!$F$9))),"")</f>
        <v/>
      </c>
      <c r="H118" s="791">
        <v>0.23163836678500002</v>
      </c>
      <c r="I118" s="794">
        <v>0.25530224662500001</v>
      </c>
      <c r="J118" s="324">
        <v>9.0322699348866317E-2</v>
      </c>
      <c r="K118" s="68">
        <v>332999</v>
      </c>
      <c r="L118" s="68" t="s">
        <v>3529</v>
      </c>
      <c r="M118" s="69" t="s">
        <v>440</v>
      </c>
      <c r="N118" s="69" t="s">
        <v>671</v>
      </c>
      <c r="O118" s="70">
        <v>0.24895806993</v>
      </c>
      <c r="P118" s="70">
        <v>2.4344083249999999E-2</v>
      </c>
      <c r="Q118" s="70">
        <v>0.27399856318000004</v>
      </c>
    </row>
    <row r="119" spans="3:17" ht="57">
      <c r="C119" s="321" t="s">
        <v>788</v>
      </c>
      <c r="D119" s="322"/>
      <c r="E119" s="784"/>
      <c r="F119" s="325"/>
      <c r="G119" s="319" t="str">
        <f>IFERROR(IF(E119="","",IF(F119="Direct-from-manufacturer",(E119*H119/1000*'Reporting Year &amp; Inflation Adj.'!$F$9),(E119*I119/1000*'Reporting Year &amp; Inflation Adj.'!$F$9))),"")</f>
        <v/>
      </c>
      <c r="H119" s="791">
        <v>5.1609785270000007E-2</v>
      </c>
      <c r="I119" s="794">
        <v>0.10056514502</v>
      </c>
      <c r="J119" s="324">
        <v>0.48685389212398505</v>
      </c>
      <c r="K119" s="68">
        <v>336213</v>
      </c>
      <c r="L119" s="68" t="s">
        <v>3531</v>
      </c>
      <c r="M119" s="69" t="s">
        <v>440</v>
      </c>
      <c r="N119" s="69" t="s">
        <v>786</v>
      </c>
      <c r="O119" s="70">
        <v>5.5455154110000002E-2</v>
      </c>
      <c r="P119" s="70">
        <v>5.2085737991000004E-2</v>
      </c>
      <c r="Q119" s="70">
        <v>0.10754835843</v>
      </c>
    </row>
    <row r="120" spans="3:17" ht="114">
      <c r="C120" s="321" t="s">
        <v>794</v>
      </c>
      <c r="D120" s="322"/>
      <c r="E120" s="784"/>
      <c r="F120" s="325"/>
      <c r="G120" s="319" t="str">
        <f>IFERROR(IF(E120="","",IF(F120="Direct-from-manufacturer",(E120*H120/1000*'Reporting Year &amp; Inflation Adj.'!$F$9),(E120*I120/1000*'Reporting Year &amp; Inflation Adj.'!$F$9))),"")</f>
        <v/>
      </c>
      <c r="H120" s="791">
        <v>0.23763090855000002</v>
      </c>
      <c r="I120" s="794">
        <v>0.26481318108999996</v>
      </c>
      <c r="J120" s="324">
        <v>9.9684432196101319E-2</v>
      </c>
      <c r="K120" s="68" t="s">
        <v>795</v>
      </c>
      <c r="L120" s="68" t="s">
        <v>3533</v>
      </c>
      <c r="M120" s="69" t="s">
        <v>440</v>
      </c>
      <c r="N120" s="69" t="s">
        <v>792</v>
      </c>
      <c r="O120" s="70">
        <v>0.25139128535999999</v>
      </c>
      <c r="P120" s="70">
        <v>2.7809369100000002E-2</v>
      </c>
      <c r="Q120" s="70">
        <v>0.27993925558999988</v>
      </c>
    </row>
    <row r="121" spans="3:17" ht="57">
      <c r="C121" s="321" t="s">
        <v>815</v>
      </c>
      <c r="D121" s="322"/>
      <c r="E121" s="784"/>
      <c r="F121" s="325"/>
      <c r="G121" s="319" t="str">
        <f>IFERROR(IF(E121="","",IF(F121="Direct-from-manufacturer",(E121*H121/1000*'Reporting Year &amp; Inflation Adj.'!$F$9),(E121*I121/1000*'Reporting Year &amp; Inflation Adj.'!$F$9))),"")</f>
        <v/>
      </c>
      <c r="H121" s="791">
        <v>0.18786293635999995</v>
      </c>
      <c r="I121" s="794">
        <v>0.22818258487000001</v>
      </c>
      <c r="J121" s="324">
        <v>0.17666775855382125</v>
      </c>
      <c r="K121" s="68">
        <v>336991</v>
      </c>
      <c r="L121" s="68" t="s">
        <v>3534</v>
      </c>
      <c r="M121" s="69" t="s">
        <v>440</v>
      </c>
      <c r="N121" s="69" t="s">
        <v>817</v>
      </c>
      <c r="O121" s="70">
        <v>0.17845712620000001</v>
      </c>
      <c r="P121" s="70">
        <v>4.4248408779999998E-2</v>
      </c>
      <c r="Q121" s="70">
        <v>0.22240127508000002</v>
      </c>
    </row>
    <row r="122" spans="3:17" ht="57">
      <c r="C122" s="321" t="s">
        <v>768</v>
      </c>
      <c r="D122" s="322"/>
      <c r="E122" s="784"/>
      <c r="F122" s="325"/>
      <c r="G122" s="319" t="str">
        <f>IFERROR(IF(E122="","",IF(F122="Direct-from-manufacturer",(E122*H122/1000*'Reporting Year &amp; Inflation Adj.'!$F$9),(E122*I122/1000*'Reporting Year &amp; Inflation Adj.'!$F$9))),"")</f>
        <v/>
      </c>
      <c r="H122" s="791">
        <v>0.11248662950499999</v>
      </c>
      <c r="I122" s="794">
        <v>0.12934799046500001</v>
      </c>
      <c r="J122" s="324">
        <v>0.1265831432026028</v>
      </c>
      <c r="K122" s="68">
        <v>335312</v>
      </c>
      <c r="L122" s="68" t="s">
        <v>3535</v>
      </c>
      <c r="M122" s="69" t="s">
        <v>440</v>
      </c>
      <c r="N122" s="69" t="s">
        <v>767</v>
      </c>
      <c r="O122" s="70">
        <v>0.13415954056999999</v>
      </c>
      <c r="P122" s="70">
        <v>1.9417250790000003E-2</v>
      </c>
      <c r="Q122" s="70">
        <v>0.15369115055999999</v>
      </c>
    </row>
    <row r="123" spans="3:17" ht="71.25">
      <c r="C123" s="321" t="s">
        <v>913</v>
      </c>
      <c r="D123" s="322"/>
      <c r="E123" s="784"/>
      <c r="F123" s="325"/>
      <c r="G123" s="319" t="str">
        <f>IFERROR(IF(E123="","",IF(F123="Direct-from-manufacturer",(E123*H123/1000*'Reporting Year &amp; Inflation Adj.'!$F$9),(E123*I123/1000*'Reporting Year &amp; Inflation Adj.'!$F$9))),"")</f>
        <v/>
      </c>
      <c r="H123" s="791">
        <v>4.4156467234999996E-2</v>
      </c>
      <c r="I123" s="794">
        <v>4.9020536115000006E-2</v>
      </c>
      <c r="J123" s="324">
        <v>9.8462373925834401E-2</v>
      </c>
      <c r="K123" s="68">
        <v>512100</v>
      </c>
      <c r="L123" s="68" t="s">
        <v>3536</v>
      </c>
      <c r="M123" s="69" t="s">
        <v>904</v>
      </c>
      <c r="N123" s="69" t="s">
        <v>915</v>
      </c>
      <c r="O123" s="70">
        <v>4.6954067701000003E-2</v>
      </c>
      <c r="P123" s="70">
        <v>5.103385412999999E-3</v>
      </c>
      <c r="Q123" s="70">
        <v>5.2086446556000011E-2</v>
      </c>
    </row>
    <row r="124" spans="3:17" ht="71.25">
      <c r="C124" s="321" t="s">
        <v>746</v>
      </c>
      <c r="D124" s="322"/>
      <c r="E124" s="784"/>
      <c r="F124" s="325"/>
      <c r="G124" s="319" t="str">
        <f>IFERROR(IF(E124="","",IF(F124="Direct-from-manufacturer",(E124*H124/1000*'Reporting Year &amp; Inflation Adj.'!$F$9),(E124*I124/1000*'Reporting Year &amp; Inflation Adj.'!$F$9))),"")</f>
        <v/>
      </c>
      <c r="H124" s="791">
        <v>4.6855302889999999E-2</v>
      </c>
      <c r="I124" s="794">
        <v>6.3714119429999994E-2</v>
      </c>
      <c r="J124" s="324">
        <v>0.26609459083283143</v>
      </c>
      <c r="K124" s="68">
        <v>334511</v>
      </c>
      <c r="L124" s="68" t="s">
        <v>3540</v>
      </c>
      <c r="M124" s="69" t="s">
        <v>440</v>
      </c>
      <c r="N124" s="69" t="s">
        <v>745</v>
      </c>
      <c r="O124" s="70">
        <v>5.1906277309999992E-2</v>
      </c>
      <c r="P124" s="70">
        <v>1.9225807470000002E-2</v>
      </c>
      <c r="Q124" s="70">
        <v>7.1224082559999999E-2</v>
      </c>
    </row>
    <row r="125" spans="3:17" ht="57">
      <c r="C125" s="321" t="s">
        <v>902</v>
      </c>
      <c r="D125" s="322"/>
      <c r="E125" s="784"/>
      <c r="F125" s="325"/>
      <c r="G125" s="319" t="str">
        <f>IFERROR(IF(E125="","",IF(F125="Direct-from-manufacturer",(E125*H125/1000*'Reporting Year &amp; Inflation Adj.'!$F$9),(E125*I125/1000*'Reporting Year &amp; Inflation Adj.'!$F$9))),"")</f>
        <v/>
      </c>
      <c r="H125" s="791">
        <v>3.9811975144999998E-2</v>
      </c>
      <c r="I125" s="794">
        <v>7.7439795200000022E-2</v>
      </c>
      <c r="J125" s="324">
        <v>0.48592602624806525</v>
      </c>
      <c r="K125" s="68">
        <v>511110</v>
      </c>
      <c r="L125" s="68" t="s">
        <v>3543</v>
      </c>
      <c r="M125" s="69" t="s">
        <v>904</v>
      </c>
      <c r="N125" s="69" t="s">
        <v>905</v>
      </c>
      <c r="O125" s="70">
        <v>4.3100165610999996E-2</v>
      </c>
      <c r="P125" s="70">
        <v>3.9805882729999999E-2</v>
      </c>
      <c r="Q125" s="70">
        <v>8.2877987159999986E-2</v>
      </c>
    </row>
    <row r="126" spans="3:17" ht="42.75">
      <c r="C126" s="321" t="s">
        <v>637</v>
      </c>
      <c r="D126" s="322"/>
      <c r="E126" s="784"/>
      <c r="F126" s="325"/>
      <c r="G126" s="319" t="str">
        <f>IFERROR(IF(E126="","",IF(F126="Direct-from-manufacturer",(E126*H126/1000*'Reporting Year &amp; Inflation Adj.'!$F$9),(E126*I126/1000*'Reporting Year &amp; Inflation Adj.'!$F$9))),"")</f>
        <v/>
      </c>
      <c r="H126" s="791">
        <v>0.43761331102500001</v>
      </c>
      <c r="I126" s="794">
        <v>0.46211206097000002</v>
      </c>
      <c r="J126" s="324">
        <v>5.325692524306936E-2</v>
      </c>
      <c r="K126" s="68">
        <v>331520</v>
      </c>
      <c r="L126" s="68" t="s">
        <v>3545</v>
      </c>
      <c r="M126" s="69" t="s">
        <v>440</v>
      </c>
      <c r="N126" s="69" t="s">
        <v>636</v>
      </c>
      <c r="O126" s="70">
        <v>0.44063181472999996</v>
      </c>
      <c r="P126" s="70">
        <v>2.482392315E-2</v>
      </c>
      <c r="Q126" s="70">
        <v>0.46558988129999995</v>
      </c>
    </row>
    <row r="127" spans="3:17" ht="45">
      <c r="C127" s="321" t="s">
        <v>828</v>
      </c>
      <c r="D127" s="322"/>
      <c r="E127" s="784"/>
      <c r="F127" s="325"/>
      <c r="G127" s="319" t="str">
        <f>IFERROR(IF(E127="","",IF(F127="Direct-from-manufacturer",(E127*H127/1000*'Reporting Year &amp; Inflation Adj.'!$F$9),(E127*I127/1000*'Reporting Year &amp; Inflation Adj.'!$F$9))),"")</f>
        <v/>
      </c>
      <c r="H127" s="791">
        <v>0.15714181503999999</v>
      </c>
      <c r="I127" s="794">
        <v>0.20883908921999997</v>
      </c>
      <c r="J127" s="324">
        <v>0.24834302655555315</v>
      </c>
      <c r="K127" s="68" t="s">
        <v>829</v>
      </c>
      <c r="L127" s="68" t="s">
        <v>3548</v>
      </c>
      <c r="M127" s="69" t="s">
        <v>440</v>
      </c>
      <c r="N127" s="69" t="s">
        <v>830</v>
      </c>
      <c r="O127" s="70">
        <v>0.18425269961000001</v>
      </c>
      <c r="P127" s="70">
        <v>5.6988688410000009E-2</v>
      </c>
      <c r="Q127" s="70">
        <v>0.24150189271999997</v>
      </c>
    </row>
    <row r="128" spans="3:17" ht="42.75">
      <c r="C128" s="321" t="s">
        <v>848</v>
      </c>
      <c r="D128" s="322"/>
      <c r="E128" s="784"/>
      <c r="F128" s="325"/>
      <c r="G128" s="319" t="str">
        <f>IFERROR(IF(E128="","",IF(F128="Direct-from-manufacturer",(E128*H128/1000*'Reporting Year &amp; Inflation Adj.'!$F$9),(E128*I128/1000*'Reporting Year &amp; Inflation Adj.'!$F$9))),"")</f>
        <v/>
      </c>
      <c r="H128" s="791">
        <v>0.17970703505999999</v>
      </c>
      <c r="I128" s="794">
        <v>0.23638118847999998</v>
      </c>
      <c r="J128" s="324">
        <v>0.24264436609283274</v>
      </c>
      <c r="K128" s="68">
        <v>339940</v>
      </c>
      <c r="L128" s="68" t="s">
        <v>3549</v>
      </c>
      <c r="M128" s="69" t="s">
        <v>440</v>
      </c>
      <c r="N128" s="69" t="s">
        <v>845</v>
      </c>
      <c r="O128" s="70">
        <v>0.20534862478999999</v>
      </c>
      <c r="P128" s="70">
        <v>6.1414922740000003E-2</v>
      </c>
      <c r="Q128" s="70">
        <v>0.26623699469000001</v>
      </c>
    </row>
    <row r="129" spans="3:17" ht="57">
      <c r="C129" s="321" t="s">
        <v>841</v>
      </c>
      <c r="D129" s="322"/>
      <c r="E129" s="784"/>
      <c r="F129" s="325"/>
      <c r="G129" s="319" t="str">
        <f>IFERROR(IF(E129="","",IF(F129="Direct-from-manufacturer",(E129*H129/1000*'Reporting Year &amp; Inflation Adj.'!$F$9),(E129*I129/1000*'Reporting Year &amp; Inflation Adj.'!$F$9))),"")</f>
        <v/>
      </c>
      <c r="H129" s="791">
        <v>7.0368737760000022E-2</v>
      </c>
      <c r="I129" s="794">
        <v>0.114795582605</v>
      </c>
      <c r="J129" s="324">
        <v>0.38961114539482233</v>
      </c>
      <c r="K129" s="68">
        <v>339115</v>
      </c>
      <c r="L129" s="68" t="s">
        <v>3550</v>
      </c>
      <c r="M129" s="69" t="s">
        <v>440</v>
      </c>
      <c r="N129" s="69" t="s">
        <v>838</v>
      </c>
      <c r="O129" s="70">
        <v>8.6701114270000018E-2</v>
      </c>
      <c r="P129" s="70">
        <v>5.2742876000000001E-2</v>
      </c>
      <c r="Q129" s="70">
        <v>0.13983641998999993</v>
      </c>
    </row>
    <row r="130" spans="3:17" ht="71.25">
      <c r="C130" s="321" t="s">
        <v>690</v>
      </c>
      <c r="D130" s="322"/>
      <c r="E130" s="784"/>
      <c r="F130" s="325"/>
      <c r="G130" s="319" t="str">
        <f>IFERROR(IF(E130="","",IF(F130="Direct-from-manufacturer",(E130*H130/1000*'Reporting Year &amp; Inflation Adj.'!$F$9),(E130*I130/1000*'Reporting Year &amp; Inflation Adj.'!$F$9))),"")</f>
        <v/>
      </c>
      <c r="H130" s="791">
        <v>0.13614398077500001</v>
      </c>
      <c r="I130" s="794">
        <v>0.15759475889999999</v>
      </c>
      <c r="J130" s="324">
        <v>0.13476310308946449</v>
      </c>
      <c r="K130" s="68">
        <v>333314</v>
      </c>
      <c r="L130" s="68" t="s">
        <v>3551</v>
      </c>
      <c r="M130" s="69" t="s">
        <v>440</v>
      </c>
      <c r="N130" s="69" t="s">
        <v>692</v>
      </c>
      <c r="O130" s="70">
        <v>0.15302631149999998</v>
      </c>
      <c r="P130" s="70">
        <v>2.3329212679999999E-2</v>
      </c>
      <c r="Q130" s="70">
        <v>0.17602944428999998</v>
      </c>
    </row>
    <row r="131" spans="3:17" ht="71.25">
      <c r="C131" s="321" t="s">
        <v>804</v>
      </c>
      <c r="D131" s="322"/>
      <c r="E131" s="784"/>
      <c r="F131" s="325"/>
      <c r="G131" s="319" t="str">
        <f>IFERROR(IF(E131="","",IF(F131="Direct-from-manufacturer",(E131*H131/1000*'Reporting Year &amp; Inflation Adj.'!$F$9),(E131*I131/1000*'Reporting Year &amp; Inflation Adj.'!$F$9))),"")</f>
        <v/>
      </c>
      <c r="H131" s="791">
        <v>0.14570594591500002</v>
      </c>
      <c r="I131" s="794">
        <v>0.151602669685</v>
      </c>
      <c r="J131" s="324">
        <v>4.1405671091035441E-2</v>
      </c>
      <c r="K131" s="68">
        <v>336413</v>
      </c>
      <c r="L131" s="68" t="s">
        <v>3552</v>
      </c>
      <c r="M131" s="69" t="s">
        <v>440</v>
      </c>
      <c r="N131" s="69" t="s">
        <v>802</v>
      </c>
      <c r="O131" s="70">
        <v>0.16476222017999997</v>
      </c>
      <c r="P131" s="70">
        <v>6.5820633429999999E-3</v>
      </c>
      <c r="Q131" s="70">
        <v>0.17078959882</v>
      </c>
    </row>
    <row r="132" spans="3:17" ht="28.5">
      <c r="C132" s="321" t="s">
        <v>442</v>
      </c>
      <c r="D132" s="322"/>
      <c r="E132" s="784"/>
      <c r="F132" s="325"/>
      <c r="G132" s="319" t="str">
        <f>IFERROR(IF(E132="","",IF(F132="Direct-from-manufacturer",(E132*H132/1000*'Reporting Year &amp; Inflation Adj.'!$F$9),(E132*I132/1000*'Reporting Year &amp; Inflation Adj.'!$F$9))),"")</f>
        <v/>
      </c>
      <c r="H132" s="791">
        <v>0.47672803205000003</v>
      </c>
      <c r="I132" s="794">
        <v>0.51421365533999996</v>
      </c>
      <c r="J132" s="324">
        <v>7.2203391468573228E-2</v>
      </c>
      <c r="K132" s="68">
        <v>311119</v>
      </c>
      <c r="L132" s="68" t="s">
        <v>3553</v>
      </c>
      <c r="M132" s="69" t="s">
        <v>440</v>
      </c>
      <c r="N132" s="69" t="s">
        <v>441</v>
      </c>
      <c r="O132" s="70">
        <v>0.43753139026000004</v>
      </c>
      <c r="P132" s="70">
        <v>3.1722873290000002E-2</v>
      </c>
      <c r="Q132" s="70">
        <v>0.46927851737000004</v>
      </c>
    </row>
    <row r="133" spans="3:17" ht="28.5">
      <c r="C133" s="321" t="s">
        <v>553</v>
      </c>
      <c r="D133" s="322"/>
      <c r="E133" s="784"/>
      <c r="F133" s="325"/>
      <c r="G133" s="319" t="str">
        <f>IFERROR(IF(E133="","",IF(F133="Direct-from-manufacturer",(E133*H133/1000*'Reporting Year &amp; Inflation Adj.'!$F$9),(E133*I133/1000*'Reporting Year &amp; Inflation Adj.'!$F$9))),"")</f>
        <v/>
      </c>
      <c r="H133" s="791">
        <v>0.94485798065999993</v>
      </c>
      <c r="I133" s="794">
        <v>0.98596857163000007</v>
      </c>
      <c r="J133" s="324">
        <v>4.1233281972456529E-2</v>
      </c>
      <c r="K133" s="68">
        <v>325180</v>
      </c>
      <c r="L133" s="68" t="s">
        <v>3554</v>
      </c>
      <c r="M133" s="69" t="s">
        <v>440</v>
      </c>
      <c r="N133" s="69" t="s">
        <v>550</v>
      </c>
      <c r="O133" s="70">
        <v>0.97585376801000001</v>
      </c>
      <c r="P133" s="70">
        <v>3.6625184010999998E-2</v>
      </c>
      <c r="Q133" s="70">
        <v>1.0130743526499999</v>
      </c>
    </row>
    <row r="134" spans="3:17" ht="28.5">
      <c r="C134" s="321" t="s">
        <v>554</v>
      </c>
      <c r="D134" s="322"/>
      <c r="E134" s="784"/>
      <c r="F134" s="325"/>
      <c r="G134" s="319" t="str">
        <f>IFERROR(IF(E134="","",IF(F134="Direct-from-manufacturer",(E134*H134/1000*'Reporting Year &amp; Inflation Adj.'!$F$9),(E134*I134/1000*'Reporting Year &amp; Inflation Adj.'!$F$9))),"")</f>
        <v/>
      </c>
      <c r="H134" s="791">
        <v>1.26705593108</v>
      </c>
      <c r="I134" s="794">
        <v>1.29012241396</v>
      </c>
      <c r="J134" s="324">
        <v>1.7705535139790403E-2</v>
      </c>
      <c r="K134" s="68">
        <v>325190</v>
      </c>
      <c r="L134" s="68" t="s">
        <v>3555</v>
      </c>
      <c r="M134" s="69" t="s">
        <v>440</v>
      </c>
      <c r="N134" s="69" t="s">
        <v>550</v>
      </c>
      <c r="O134" s="70">
        <v>1.1750465754999997</v>
      </c>
      <c r="P134" s="70">
        <v>1.8629732005999999E-2</v>
      </c>
      <c r="Q134" s="70">
        <v>1.1939033807799999</v>
      </c>
    </row>
    <row r="135" spans="3:17" ht="57">
      <c r="C135" s="321" t="s">
        <v>694</v>
      </c>
      <c r="D135" s="322"/>
      <c r="E135" s="784"/>
      <c r="F135" s="325"/>
      <c r="G135" s="319" t="str">
        <f>IFERROR(IF(E135="","",IF(F135="Direct-from-manufacturer",(E135*H135/1000*'Reporting Year &amp; Inflation Adj.'!$F$9),(E135*I135/1000*'Reporting Year &amp; Inflation Adj.'!$F$9))),"")</f>
        <v/>
      </c>
      <c r="H135" s="791">
        <v>0.15517251534999998</v>
      </c>
      <c r="I135" s="794">
        <v>0.18622971804999999</v>
      </c>
      <c r="J135" s="324">
        <v>0.16568836852728078</v>
      </c>
      <c r="K135" s="68">
        <v>333318</v>
      </c>
      <c r="L135" s="68" t="s">
        <v>3556</v>
      </c>
      <c r="M135" s="69" t="s">
        <v>440</v>
      </c>
      <c r="N135" s="69" t="s">
        <v>692</v>
      </c>
      <c r="O135" s="70">
        <v>0.17250188114000001</v>
      </c>
      <c r="P135" s="70">
        <v>3.4206105340000001E-2</v>
      </c>
      <c r="Q135" s="70">
        <v>0.20637127433999997</v>
      </c>
    </row>
    <row r="136" spans="3:17" ht="42.75">
      <c r="C136" s="321" t="s">
        <v>607</v>
      </c>
      <c r="D136" s="322"/>
      <c r="E136" s="784"/>
      <c r="F136" s="325"/>
      <c r="G136" s="319" t="str">
        <f>IFERROR(IF(E136="","",IF(F136="Direct-from-manufacturer",(E136*H136/1000*'Reporting Year &amp; Inflation Adj.'!$F$9),(E136*I136/1000*'Reporting Year &amp; Inflation Adj.'!$F$9))),"")</f>
        <v/>
      </c>
      <c r="H136" s="791">
        <v>0.20925042366500002</v>
      </c>
      <c r="I136" s="794">
        <v>0.25486537509000001</v>
      </c>
      <c r="J136" s="324">
        <v>0.17626111294692931</v>
      </c>
      <c r="K136" s="68">
        <v>327390</v>
      </c>
      <c r="L136" s="68" t="s">
        <v>3558</v>
      </c>
      <c r="M136" s="69" t="s">
        <v>440</v>
      </c>
      <c r="N136" s="69" t="s">
        <v>604</v>
      </c>
      <c r="O136" s="70">
        <v>0.26852516270000004</v>
      </c>
      <c r="P136" s="70">
        <v>5.0640952850000004E-2</v>
      </c>
      <c r="Q136" s="70">
        <v>0.31877463904999997</v>
      </c>
    </row>
    <row r="137" spans="3:17" ht="71.25">
      <c r="C137" s="321" t="s">
        <v>712</v>
      </c>
      <c r="D137" s="322"/>
      <c r="E137" s="784"/>
      <c r="F137" s="325"/>
      <c r="G137" s="319" t="str">
        <f>IFERROR(IF(E137="","",IF(F137="Direct-from-manufacturer",(E137*H137/1000*'Reporting Year &amp; Inflation Adj.'!$F$9),(E137*I137/1000*'Reporting Year &amp; Inflation Adj.'!$F$9))),"")</f>
        <v/>
      </c>
      <c r="H137" s="791">
        <v>0.23310138384000001</v>
      </c>
      <c r="I137" s="794">
        <v>0.25553540661000007</v>
      </c>
      <c r="J137" s="324">
        <v>8.6533319133140663E-2</v>
      </c>
      <c r="K137" s="68">
        <v>333618</v>
      </c>
      <c r="L137" s="68" t="s">
        <v>3560</v>
      </c>
      <c r="M137" s="69" t="s">
        <v>440</v>
      </c>
      <c r="N137" s="69" t="s">
        <v>709</v>
      </c>
      <c r="O137" s="70">
        <v>0.27439556084000011</v>
      </c>
      <c r="P137" s="70">
        <v>2.4732114409999999E-2</v>
      </c>
      <c r="Q137" s="70">
        <v>0.29855072457000004</v>
      </c>
    </row>
    <row r="138" spans="3:17" ht="99.75">
      <c r="C138" s="321" t="s">
        <v>778</v>
      </c>
      <c r="D138" s="322"/>
      <c r="E138" s="784"/>
      <c r="F138" s="325"/>
      <c r="G138" s="319" t="str">
        <f>IFERROR(IF(E138="","",IF(F138="Direct-from-manufacturer",(E138*H138/1000*'Reporting Year &amp; Inflation Adj.'!$F$9),(E138*I138/1000*'Reporting Year &amp; Inflation Adj.'!$F$9))),"")</f>
        <v/>
      </c>
      <c r="H138" s="791">
        <v>0.10832362529999999</v>
      </c>
      <c r="I138" s="794">
        <v>0.12398090406499998</v>
      </c>
      <c r="J138" s="324">
        <v>0.12462744594844394</v>
      </c>
      <c r="K138" s="68">
        <v>335999</v>
      </c>
      <c r="L138" s="68" t="s">
        <v>3561</v>
      </c>
      <c r="M138" s="69" t="s">
        <v>440</v>
      </c>
      <c r="N138" s="69" t="s">
        <v>773</v>
      </c>
      <c r="O138" s="70">
        <v>0.11276621913000001</v>
      </c>
      <c r="P138" s="70">
        <v>1.6443919543999999E-2</v>
      </c>
      <c r="Q138" s="70">
        <v>0.12880740805000004</v>
      </c>
    </row>
    <row r="139" spans="3:17" ht="71.25">
      <c r="C139" s="321" t="s">
        <v>617</v>
      </c>
      <c r="D139" s="322"/>
      <c r="E139" s="784"/>
      <c r="F139" s="325"/>
      <c r="G139" s="319" t="str">
        <f>IFERROR(IF(E139="","",IF(F139="Direct-from-manufacturer",(E139*H139/1000*'Reporting Year &amp; Inflation Adj.'!$F$9),(E139*I139/1000*'Reporting Year &amp; Inflation Adj.'!$F$9))),"")</f>
        <v/>
      </c>
      <c r="H139" s="791">
        <v>0.56461848641500001</v>
      </c>
      <c r="I139" s="794">
        <v>0.62635244583999983</v>
      </c>
      <c r="J139" s="324">
        <v>9.8869408200282075E-2</v>
      </c>
      <c r="K139" s="68">
        <v>327999</v>
      </c>
      <c r="L139" s="68" t="s">
        <v>3563</v>
      </c>
      <c r="M139" s="69" t="s">
        <v>440</v>
      </c>
      <c r="N139" s="69" t="s">
        <v>613</v>
      </c>
      <c r="O139" s="70">
        <v>0.72153242747000002</v>
      </c>
      <c r="P139" s="70">
        <v>6.8358420279999998E-2</v>
      </c>
      <c r="Q139" s="70">
        <v>0.78933438853000004</v>
      </c>
    </row>
    <row r="140" spans="3:17" ht="28.5">
      <c r="C140" s="321" t="s">
        <v>408</v>
      </c>
      <c r="D140" s="322"/>
      <c r="E140" s="784"/>
      <c r="F140" s="325" t="s">
        <v>366</v>
      </c>
      <c r="G140" s="319" t="str">
        <f>IFERROR(IF(E140="","",IF(F140="Direct-from-manufacturer",(E140*H140/1000*'Reporting Year &amp; Inflation Adj.'!$F$9),(E140*I140/1000*'Reporting Year &amp; Inflation Adj.'!$F$9))),"")</f>
        <v/>
      </c>
      <c r="H140" s="791">
        <v>0.17371614970000002</v>
      </c>
      <c r="I140" s="794">
        <v>0.17371614970000002</v>
      </c>
      <c r="J140" s="324">
        <v>0</v>
      </c>
      <c r="K140" s="68" t="s">
        <v>409</v>
      </c>
      <c r="L140" s="68" t="s">
        <v>3564</v>
      </c>
      <c r="M140" s="69" t="s">
        <v>397</v>
      </c>
      <c r="N140" s="69" t="s">
        <v>403</v>
      </c>
      <c r="O140" s="786">
        <v>0.20379498792</v>
      </c>
      <c r="P140" s="786">
        <v>0</v>
      </c>
      <c r="Q140" s="786">
        <v>0.20379498792</v>
      </c>
    </row>
    <row r="141" spans="3:17" ht="42.75">
      <c r="C141" s="321" t="s">
        <v>547</v>
      </c>
      <c r="D141" s="322"/>
      <c r="E141" s="784"/>
      <c r="F141" s="325"/>
      <c r="G141" s="319" t="str">
        <f>IFERROR(IF(E141="","",IF(F141="Direct-from-manufacturer",(E141*H141/1000*'Reporting Year &amp; Inflation Adj.'!$F$9),(E141*I141/1000*'Reporting Year &amp; Inflation Adj.'!$F$9))),"")</f>
        <v/>
      </c>
      <c r="H141" s="791">
        <v>0.49215754710999998</v>
      </c>
      <c r="I141" s="794">
        <v>0.54388252924000002</v>
      </c>
      <c r="J141" s="324">
        <v>9.4325257104116211E-2</v>
      </c>
      <c r="K141" s="68">
        <v>324190</v>
      </c>
      <c r="L141" s="68" t="s">
        <v>3565</v>
      </c>
      <c r="M141" s="69" t="s">
        <v>440</v>
      </c>
      <c r="N141" s="69" t="s">
        <v>544</v>
      </c>
      <c r="O141" s="70">
        <v>0.36239404805000003</v>
      </c>
      <c r="P141" s="70">
        <v>3.2777612609000001E-2</v>
      </c>
      <c r="Q141" s="70">
        <v>0.39495476005000008</v>
      </c>
    </row>
    <row r="142" spans="3:17" ht="42.75">
      <c r="C142" s="321" t="s">
        <v>590</v>
      </c>
      <c r="D142" s="322"/>
      <c r="E142" s="784"/>
      <c r="F142" s="325"/>
      <c r="G142" s="319" t="str">
        <f>IFERROR(IF(E142="","",IF(F142="Direct-from-manufacturer",(E142*H142/1000*'Reporting Year &amp; Inflation Adj.'!$F$9),(E142*I142/1000*'Reporting Year &amp; Inflation Adj.'!$F$9))),"")</f>
        <v/>
      </c>
      <c r="H142" s="791">
        <v>0.30548257347999996</v>
      </c>
      <c r="I142" s="794">
        <v>0.33153348666999999</v>
      </c>
      <c r="J142" s="324">
        <v>7.701098800439915E-2</v>
      </c>
      <c r="K142" s="68">
        <v>326190</v>
      </c>
      <c r="L142" s="68" t="s">
        <v>3566</v>
      </c>
      <c r="M142" s="69" t="s">
        <v>440</v>
      </c>
      <c r="N142" s="69" t="s">
        <v>584</v>
      </c>
      <c r="O142" s="70">
        <v>0.34586472144999997</v>
      </c>
      <c r="P142" s="70">
        <v>2.7005266859999995E-2</v>
      </c>
      <c r="Q142" s="70">
        <v>0.37328631645999999</v>
      </c>
    </row>
    <row r="143" spans="3:17" ht="28.5">
      <c r="C143" s="321" t="s">
        <v>595</v>
      </c>
      <c r="D143" s="322"/>
      <c r="E143" s="784"/>
      <c r="F143" s="325"/>
      <c r="G143" s="319" t="str">
        <f>IFERROR(IF(E143="","",IF(F143="Direct-from-manufacturer",(E143*H143/1000*'Reporting Year &amp; Inflation Adj.'!$F$9),(E143*I143/1000*'Reporting Year &amp; Inflation Adj.'!$F$9))),"")</f>
        <v/>
      </c>
      <c r="H143" s="791">
        <v>0.26846910409000002</v>
      </c>
      <c r="I143" s="794">
        <v>0.29492997634000001</v>
      </c>
      <c r="J143" s="324">
        <v>9.2055630566697924E-2</v>
      </c>
      <c r="K143" s="68">
        <v>326290</v>
      </c>
      <c r="L143" s="68" t="s">
        <v>3568</v>
      </c>
      <c r="M143" s="69" t="s">
        <v>440</v>
      </c>
      <c r="N143" s="69" t="s">
        <v>593</v>
      </c>
      <c r="O143" s="70">
        <v>0.31456555627000005</v>
      </c>
      <c r="P143" s="70">
        <v>3.0503052339999996E-2</v>
      </c>
      <c r="Q143" s="70">
        <v>0.34476740673000006</v>
      </c>
    </row>
    <row r="144" spans="3:17" ht="85.5">
      <c r="C144" s="321" t="s">
        <v>633</v>
      </c>
      <c r="D144" s="322"/>
      <c r="E144" s="784"/>
      <c r="F144" s="325"/>
      <c r="G144" s="319" t="str">
        <f>IFERROR(IF(E144="","",IF(F144="Direct-from-manufacturer",(E144*H144/1000*'Reporting Year &amp; Inflation Adj.'!$F$9),(E144*I144/1000*'Reporting Year &amp; Inflation Adj.'!$F$9))),"")</f>
        <v/>
      </c>
      <c r="H144" s="791">
        <v>0.42309209008499993</v>
      </c>
      <c r="I144" s="794">
        <v>0.43948960778500001</v>
      </c>
      <c r="J144" s="324">
        <v>3.846069204045674E-2</v>
      </c>
      <c r="K144" s="68">
        <v>331490</v>
      </c>
      <c r="L144" s="68" t="s">
        <v>3569</v>
      </c>
      <c r="M144" s="69" t="s">
        <v>440</v>
      </c>
      <c r="N144" s="69" t="s">
        <v>631</v>
      </c>
      <c r="O144" s="70">
        <v>0.41561787219000002</v>
      </c>
      <c r="P144" s="70">
        <v>1.7676942274000004E-2</v>
      </c>
      <c r="Q144" s="70">
        <v>0.43342912461000005</v>
      </c>
    </row>
    <row r="145" spans="3:17" ht="28.5">
      <c r="C145" s="321" t="s">
        <v>506</v>
      </c>
      <c r="D145" s="322"/>
      <c r="E145" s="784"/>
      <c r="F145" s="325"/>
      <c r="G145" s="319" t="str">
        <f>IFERROR(IF(E145="","",IF(F145="Direct-from-manufacturer",(E145*H145/1000*'Reporting Year &amp; Inflation Adj.'!$F$9),(E145*I145/1000*'Reporting Year &amp; Inflation Adj.'!$F$9))),"")</f>
        <v/>
      </c>
      <c r="H145" s="791">
        <v>0.17673355617999997</v>
      </c>
      <c r="I145" s="794">
        <v>0.21843853084000006</v>
      </c>
      <c r="J145" s="324">
        <v>0.19234547606335653</v>
      </c>
      <c r="K145" s="68">
        <v>314900</v>
      </c>
      <c r="L145" s="68" t="s">
        <v>3572</v>
      </c>
      <c r="M145" s="69" t="s">
        <v>440</v>
      </c>
      <c r="N145" s="69" t="s">
        <v>508</v>
      </c>
      <c r="O145" s="70">
        <v>0.19902708847999998</v>
      </c>
      <c r="P145" s="70">
        <v>4.5984782549999992E-2</v>
      </c>
      <c r="Q145" s="70">
        <v>0.24460090095000001</v>
      </c>
    </row>
    <row r="146" spans="3:17" ht="57">
      <c r="C146" s="321" t="s">
        <v>819</v>
      </c>
      <c r="D146" s="322"/>
      <c r="E146" s="784"/>
      <c r="F146" s="325"/>
      <c r="G146" s="319" t="str">
        <f>IFERROR(IF(E146="","",IF(F146="Direct-from-manufacturer",(E146*H146/1000*'Reporting Year &amp; Inflation Adj.'!$F$9),(E146*I146/1000*'Reporting Year &amp; Inflation Adj.'!$F$9))),"")</f>
        <v/>
      </c>
      <c r="H146" s="791">
        <v>0.14884952899000004</v>
      </c>
      <c r="I146" s="794">
        <v>0.18533760860500004</v>
      </c>
      <c r="J146" s="324">
        <v>0.19580726981507496</v>
      </c>
      <c r="K146" s="68">
        <v>336999</v>
      </c>
      <c r="L146" s="68" t="s">
        <v>3573</v>
      </c>
      <c r="M146" s="69" t="s">
        <v>440</v>
      </c>
      <c r="N146" s="69" t="s">
        <v>817</v>
      </c>
      <c r="O146" s="70">
        <v>0.15818096037000001</v>
      </c>
      <c r="P146" s="70">
        <v>3.8647905687000002E-2</v>
      </c>
      <c r="Q146" s="70">
        <v>0.19702006317999998</v>
      </c>
    </row>
    <row r="147" spans="3:17" ht="71.25">
      <c r="C147" s="321" t="s">
        <v>799</v>
      </c>
      <c r="D147" s="322"/>
      <c r="E147" s="784"/>
      <c r="F147" s="325"/>
      <c r="G147" s="319" t="str">
        <f>IFERROR(IF(E147="","",IF(F147="Direct-from-manufacturer",(E147*H147/1000*'Reporting Year &amp; Inflation Adj.'!$F$9),(E147*I147/1000*'Reporting Year &amp; Inflation Adj.'!$F$9))),"")</f>
        <v/>
      </c>
      <c r="H147" s="791">
        <v>0.22226632837000002</v>
      </c>
      <c r="I147" s="794">
        <v>0.24481834794999999</v>
      </c>
      <c r="J147" s="324">
        <v>9.0931154798685923E-2</v>
      </c>
      <c r="K147" s="68">
        <v>336390</v>
      </c>
      <c r="L147" s="68" t="s">
        <v>3574</v>
      </c>
      <c r="M147" s="69" t="s">
        <v>440</v>
      </c>
      <c r="N147" s="69" t="s">
        <v>792</v>
      </c>
      <c r="O147" s="70">
        <v>0.24308240607000001</v>
      </c>
      <c r="P147" s="70">
        <v>2.3916725109999998E-2</v>
      </c>
      <c r="Q147" s="70">
        <v>0.26699881278999998</v>
      </c>
    </row>
    <row r="148" spans="3:17" ht="71.25">
      <c r="C148" s="321" t="s">
        <v>464</v>
      </c>
      <c r="D148" s="322"/>
      <c r="E148" s="784"/>
      <c r="F148" s="325"/>
      <c r="G148" s="319" t="str">
        <f>IFERROR(IF(E148="","",IF(F148="Direct-from-manufacturer",(E148*H148/1000*'Reporting Year &amp; Inflation Adj.'!$F$9),(E148*I148/1000*'Reporting Year &amp; Inflation Adj.'!$F$9))),"")</f>
        <v/>
      </c>
      <c r="H148" s="791">
        <v>0.90184057032500009</v>
      </c>
      <c r="I148" s="794">
        <v>0.93037815791000023</v>
      </c>
      <c r="J148" s="324">
        <v>3.0476859827294991E-2</v>
      </c>
      <c r="K148" s="68" t="s">
        <v>465</v>
      </c>
      <c r="L148" s="68" t="s">
        <v>3576</v>
      </c>
      <c r="M148" s="69" t="s">
        <v>440</v>
      </c>
      <c r="N148" s="69" t="s">
        <v>466</v>
      </c>
      <c r="O148" s="70">
        <v>1.1325682626499998</v>
      </c>
      <c r="P148" s="70">
        <v>3.3685192740000001E-2</v>
      </c>
      <c r="Q148" s="70">
        <v>1.16719155161</v>
      </c>
    </row>
    <row r="149" spans="3:17" ht="42.75">
      <c r="C149" s="321" t="s">
        <v>467</v>
      </c>
      <c r="D149" s="322"/>
      <c r="E149" s="784"/>
      <c r="F149" s="325"/>
      <c r="G149" s="319" t="str">
        <f>IFERROR(IF(E149="","",IF(F149="Direct-from-manufacturer",(E149*H149/1000*'Reporting Year &amp; Inflation Adj.'!$F$9),(E149*I149/1000*'Reporting Year &amp; Inflation Adj.'!$F$9))),"")</f>
        <v/>
      </c>
      <c r="H149" s="791">
        <v>0.43645850016999999</v>
      </c>
      <c r="I149" s="794">
        <v>0.47508573244999996</v>
      </c>
      <c r="J149" s="324">
        <v>8.0599903563784658E-2</v>
      </c>
      <c r="K149" s="68">
        <v>311615</v>
      </c>
      <c r="L149" s="68" t="s">
        <v>3577</v>
      </c>
      <c r="M149" s="69" t="s">
        <v>440</v>
      </c>
      <c r="N149" s="69" t="s">
        <v>466</v>
      </c>
      <c r="O149" s="70">
        <v>0.36950888717000002</v>
      </c>
      <c r="P149" s="70">
        <v>3.0894838415E-2</v>
      </c>
      <c r="Q149" s="70">
        <v>0.40007067654000006</v>
      </c>
    </row>
    <row r="150" spans="3:17" ht="42.75">
      <c r="C150" s="321" t="s">
        <v>720</v>
      </c>
      <c r="D150" s="322"/>
      <c r="E150" s="784"/>
      <c r="F150" s="325"/>
      <c r="G150" s="319" t="str">
        <f>IFERROR(IF(E150="","",IF(F150="Direct-from-manufacturer",(E150*H150/1000*'Reporting Year &amp; Inflation Adj.'!$F$9),(E150*I150/1000*'Reporting Year &amp; Inflation Adj.'!$F$9))),"")</f>
        <v/>
      </c>
      <c r="H150" s="791">
        <v>9.3657481550000005E-2</v>
      </c>
      <c r="I150" s="794">
        <v>0.11347922044</v>
      </c>
      <c r="J150" s="324">
        <v>0.17200978077145485</v>
      </c>
      <c r="K150" s="68">
        <v>333993</v>
      </c>
      <c r="L150" s="68" t="s">
        <v>3578</v>
      </c>
      <c r="M150" s="69" t="s">
        <v>440</v>
      </c>
      <c r="N150" s="69" t="s">
        <v>715</v>
      </c>
      <c r="O150" s="70">
        <v>0.11316522891</v>
      </c>
      <c r="P150" s="70">
        <v>2.331194961E-2</v>
      </c>
      <c r="Q150" s="70">
        <v>0.13708281952000001</v>
      </c>
    </row>
    <row r="151" spans="3:17" ht="71.25">
      <c r="C151" s="321" t="s">
        <v>569</v>
      </c>
      <c r="D151" s="322"/>
      <c r="E151" s="784"/>
      <c r="F151" s="325"/>
      <c r="G151" s="319" t="str">
        <f>IFERROR(IF(E151="","",IF(F151="Direct-from-manufacturer",(E151*H151/1000*'Reporting Year &amp; Inflation Adj.'!$F$9),(E151*I151/1000*'Reporting Year &amp; Inflation Adj.'!$F$9))),"")</f>
        <v/>
      </c>
      <c r="H151" s="791">
        <v>0.23381680672999999</v>
      </c>
      <c r="I151" s="794">
        <v>0.25979084622000004</v>
      </c>
      <c r="J151" s="324">
        <v>0.10038565880768237</v>
      </c>
      <c r="K151" s="68">
        <v>325510</v>
      </c>
      <c r="L151" s="68" t="s">
        <v>3579</v>
      </c>
      <c r="M151" s="69" t="s">
        <v>440</v>
      </c>
      <c r="N151" s="69" t="s">
        <v>571</v>
      </c>
      <c r="O151" s="70">
        <v>0.26528996117000003</v>
      </c>
      <c r="P151" s="70">
        <v>2.7608966799999999E-2</v>
      </c>
      <c r="Q151" s="70">
        <v>0.29369753056000009</v>
      </c>
    </row>
    <row r="152" spans="3:17" ht="57">
      <c r="C152" s="321" t="s">
        <v>529</v>
      </c>
      <c r="D152" s="322"/>
      <c r="E152" s="784"/>
      <c r="F152" s="325"/>
      <c r="G152" s="319" t="str">
        <f>IFERROR(IF(E152="","",IF(F152="Direct-from-manufacturer",(E152*H152/1000*'Reporting Year &amp; Inflation Adj.'!$F$9),(E152*I152/1000*'Reporting Year &amp; Inflation Adj.'!$F$9))),"")</f>
        <v/>
      </c>
      <c r="H152" s="791">
        <v>0.61318691408999992</v>
      </c>
      <c r="I152" s="794">
        <v>0.65746818335000001</v>
      </c>
      <c r="J152" s="324">
        <v>6.657778494613141E-2</v>
      </c>
      <c r="K152" s="68">
        <v>322120</v>
      </c>
      <c r="L152" s="68" t="s">
        <v>3580</v>
      </c>
      <c r="M152" s="69" t="s">
        <v>440</v>
      </c>
      <c r="N152" s="69" t="s">
        <v>528</v>
      </c>
      <c r="O152" s="70">
        <v>0.6043926944600001</v>
      </c>
      <c r="P152" s="70">
        <v>4.6905604510000004E-2</v>
      </c>
      <c r="Q152" s="70">
        <v>0.65133209347999999</v>
      </c>
    </row>
    <row r="153" spans="3:17" ht="99.75">
      <c r="C153" s="321" t="s">
        <v>534</v>
      </c>
      <c r="D153" s="322"/>
      <c r="E153" s="784"/>
      <c r="F153" s="325"/>
      <c r="G153" s="319" t="str">
        <f>IFERROR(IF(E153="","",IF(F153="Direct-from-manufacturer",(E153*H153/1000*'Reporting Year &amp; Inflation Adj.'!$F$9),(E153*I153/1000*'Reporting Year &amp; Inflation Adj.'!$F$9))),"")</f>
        <v/>
      </c>
      <c r="H153" s="791">
        <v>0.2923289302999999</v>
      </c>
      <c r="I153" s="794">
        <v>0.3239224904800001</v>
      </c>
      <c r="J153" s="324">
        <v>9.7918004992488622E-2</v>
      </c>
      <c r="K153" s="68">
        <v>322220</v>
      </c>
      <c r="L153" s="68" t="s">
        <v>3581</v>
      </c>
      <c r="M153" s="69" t="s">
        <v>440</v>
      </c>
      <c r="N153" s="69" t="s">
        <v>533</v>
      </c>
      <c r="O153" s="70">
        <v>0.33170700862999997</v>
      </c>
      <c r="P153" s="70">
        <v>3.4188710379999994E-2</v>
      </c>
      <c r="Q153" s="70">
        <v>0.36597936424999994</v>
      </c>
    </row>
    <row r="154" spans="3:17" ht="57">
      <c r="C154" s="321" t="s">
        <v>562</v>
      </c>
      <c r="D154" s="322"/>
      <c r="E154" s="784"/>
      <c r="F154" s="325"/>
      <c r="G154" s="319" t="str">
        <f>IFERROR(IF(E154="","",IF(F154="Direct-from-manufacturer",(E154*H154/1000*'Reporting Year &amp; Inflation Adj.'!$F$9),(E154*I154/1000*'Reporting Year &amp; Inflation Adj.'!$F$9))),"")</f>
        <v/>
      </c>
      <c r="H154" s="791">
        <v>0.4895777675600001</v>
      </c>
      <c r="I154" s="794">
        <v>0.52720455749999995</v>
      </c>
      <c r="J154" s="324">
        <v>7.2395615244657693E-2</v>
      </c>
      <c r="K154" s="68">
        <v>325320</v>
      </c>
      <c r="L154" s="68" t="s">
        <v>3583</v>
      </c>
      <c r="M154" s="69" t="s">
        <v>440</v>
      </c>
      <c r="N154" s="69" t="s">
        <v>561</v>
      </c>
      <c r="O154" s="70">
        <v>0.43564422722000001</v>
      </c>
      <c r="P154" s="70">
        <v>3.1160217010000005E-2</v>
      </c>
      <c r="Q154" s="70">
        <v>0.46635036561999993</v>
      </c>
    </row>
    <row r="155" spans="3:17" ht="71.25">
      <c r="C155" s="321" t="s">
        <v>548</v>
      </c>
      <c r="D155" s="322"/>
      <c r="E155" s="784"/>
      <c r="F155" s="325"/>
      <c r="G155" s="319" t="str">
        <f>IFERROR(IF(E155="","",IF(F155="Direct-from-manufacturer",(E155*H155/1000*'Reporting Year &amp; Inflation Adj.'!$F$9),(E155*I155/1000*'Reporting Year &amp; Inflation Adj.'!$F$9))),"")</f>
        <v/>
      </c>
      <c r="H155" s="791">
        <v>1.0741513641099998</v>
      </c>
      <c r="I155" s="794">
        <v>1.10096928885</v>
      </c>
      <c r="J155" s="324">
        <v>2.4493713233516051E-2</v>
      </c>
      <c r="K155" s="68">
        <v>325110</v>
      </c>
      <c r="L155" s="68" t="s">
        <v>3585</v>
      </c>
      <c r="M155" s="69" t="s">
        <v>440</v>
      </c>
      <c r="N155" s="69" t="s">
        <v>550</v>
      </c>
      <c r="O155" s="70">
        <v>0.79952337527999995</v>
      </c>
      <c r="P155" s="70">
        <v>1.6455985262000001E-2</v>
      </c>
      <c r="Q155" s="70">
        <v>0.8161715717000001</v>
      </c>
    </row>
    <row r="156" spans="3:17" ht="57">
      <c r="C156" s="321" t="s">
        <v>566</v>
      </c>
      <c r="D156" s="322"/>
      <c r="E156" s="784"/>
      <c r="F156" s="325"/>
      <c r="G156" s="319" t="str">
        <f>IFERROR(IF(E156="","",IF(F156="Direct-from-manufacturer",(E156*H156/1000*'Reporting Year &amp; Inflation Adj.'!$F$9),(E156*I156/1000*'Reporting Year &amp; Inflation Adj.'!$F$9))),"")</f>
        <v/>
      </c>
      <c r="H156" s="791">
        <v>4.3445766014999998E-2</v>
      </c>
      <c r="I156" s="794">
        <v>9.2694949965000009E-2</v>
      </c>
      <c r="J156" s="324">
        <v>0.53271160887022329</v>
      </c>
      <c r="K156" s="68">
        <v>325412</v>
      </c>
      <c r="L156" s="68" t="s">
        <v>3587</v>
      </c>
      <c r="M156" s="69" t="s">
        <v>440</v>
      </c>
      <c r="N156" s="69" t="s">
        <v>565</v>
      </c>
      <c r="O156" s="70">
        <v>4.5614550110000006E-2</v>
      </c>
      <c r="P156" s="70">
        <v>5.3858263049999994E-2</v>
      </c>
      <c r="Q156" s="70">
        <v>9.9569669200000002E-2</v>
      </c>
    </row>
    <row r="157" spans="3:17" ht="57">
      <c r="C157" s="321" t="s">
        <v>693</v>
      </c>
      <c r="D157" s="322"/>
      <c r="E157" s="784"/>
      <c r="F157" s="325"/>
      <c r="G157" s="319" t="str">
        <f>IFERROR(IF(E157="","",IF(F157="Direct-from-manufacturer",(E157*H157/1000*'Reporting Year &amp; Inflation Adj.'!$F$9),(E157*I157/1000*'Reporting Year &amp; Inflation Adj.'!$F$9))),"")</f>
        <v/>
      </c>
      <c r="H157" s="791">
        <v>6.9672254334999989E-2</v>
      </c>
      <c r="I157" s="794">
        <v>0.11280962276000001</v>
      </c>
      <c r="J157" s="324">
        <v>0.38318396784256742</v>
      </c>
      <c r="K157" s="68">
        <v>333316</v>
      </c>
      <c r="L157" s="68" t="s">
        <v>3589</v>
      </c>
      <c r="M157" s="69" t="s">
        <v>440</v>
      </c>
      <c r="N157" s="69" t="s">
        <v>692</v>
      </c>
      <c r="O157" s="70">
        <v>8.5510410029999998E-2</v>
      </c>
      <c r="P157" s="70">
        <v>5.0440933330000007E-2</v>
      </c>
      <c r="Q157" s="70">
        <v>0.13614725919000001</v>
      </c>
    </row>
    <row r="158" spans="3:17" ht="57">
      <c r="C158" s="321" t="s">
        <v>782</v>
      </c>
      <c r="D158" s="322"/>
      <c r="E158" s="784"/>
      <c r="F158" s="325"/>
      <c r="G158" s="319" t="str">
        <f>IFERROR(IF(E158="","",IF(F158="Direct-from-manufacturer",(E158*H158/1000*'Reporting Year &amp; Inflation Adj.'!$F$9),(E158*I158/1000*'Reporting Year &amp; Inflation Adj.'!$F$9))),"")</f>
        <v/>
      </c>
      <c r="H158" s="791">
        <v>0.22081176025999999</v>
      </c>
      <c r="I158" s="794">
        <v>0.24542484462</v>
      </c>
      <c r="J158" s="324">
        <v>0.10018410319489029</v>
      </c>
      <c r="K158" s="68">
        <v>336112</v>
      </c>
      <c r="L158" s="68" t="s">
        <v>3591</v>
      </c>
      <c r="M158" s="69" t="s">
        <v>440</v>
      </c>
      <c r="N158" s="69" t="s">
        <v>781</v>
      </c>
      <c r="O158" s="70">
        <v>0.24326222783999993</v>
      </c>
      <c r="P158" s="70">
        <v>2.6772232646E-2</v>
      </c>
      <c r="Q158" s="70">
        <v>0.26921807885999999</v>
      </c>
    </row>
    <row r="159" spans="3:17" ht="42.75">
      <c r="C159" s="321" t="s">
        <v>582</v>
      </c>
      <c r="D159" s="322"/>
      <c r="E159" s="784"/>
      <c r="F159" s="325"/>
      <c r="G159" s="319" t="str">
        <f>IFERROR(IF(E159="","",IF(F159="Direct-from-manufacturer",(E159*H159/1000*'Reporting Year &amp; Inflation Adj.'!$F$9),(E159*I159/1000*'Reporting Year &amp; Inflation Adj.'!$F$9))),"")</f>
        <v/>
      </c>
      <c r="H159" s="791">
        <v>0.48238730217000003</v>
      </c>
      <c r="I159" s="794">
        <v>0.50606931673</v>
      </c>
      <c r="J159" s="324">
        <v>4.7183645195663149E-2</v>
      </c>
      <c r="K159" s="68">
        <v>326110</v>
      </c>
      <c r="L159" s="68" t="s">
        <v>3592</v>
      </c>
      <c r="M159" s="69" t="s">
        <v>440</v>
      </c>
      <c r="N159" s="69" t="s">
        <v>584</v>
      </c>
      <c r="O159" s="70">
        <v>0.52348421889000007</v>
      </c>
      <c r="P159" s="70">
        <v>2.351999233E-2</v>
      </c>
      <c r="Q159" s="70">
        <v>0.54729505430000014</v>
      </c>
    </row>
    <row r="160" spans="3:17" ht="42.75">
      <c r="C160" s="321" t="s">
        <v>589</v>
      </c>
      <c r="D160" s="322"/>
      <c r="E160" s="784"/>
      <c r="F160" s="325"/>
      <c r="G160" s="319" t="str">
        <f>IFERROR(IF(E160="","",IF(F160="Direct-from-manufacturer",(E160*H160/1000*'Reporting Year &amp; Inflation Adj.'!$F$9),(E160*I160/1000*'Reporting Year &amp; Inflation Adj.'!$F$9))),"")</f>
        <v/>
      </c>
      <c r="H160" s="791">
        <v>0.49861901169999989</v>
      </c>
      <c r="I160" s="794">
        <v>0.52395571944999997</v>
      </c>
      <c r="J160" s="324">
        <v>4.8409477229536139E-2</v>
      </c>
      <c r="K160" s="68">
        <v>326160</v>
      </c>
      <c r="L160" s="68" t="s">
        <v>3593</v>
      </c>
      <c r="M160" s="69" t="s">
        <v>440</v>
      </c>
      <c r="N160" s="69" t="s">
        <v>584</v>
      </c>
      <c r="O160" s="70">
        <v>0.5556512979799999</v>
      </c>
      <c r="P160" s="70">
        <v>2.5777474839999998E-2</v>
      </c>
      <c r="Q160" s="70">
        <v>0.58135383307999999</v>
      </c>
    </row>
    <row r="161" spans="3:17" ht="42.75">
      <c r="C161" s="321" t="s">
        <v>585</v>
      </c>
      <c r="D161" s="322"/>
      <c r="E161" s="784"/>
      <c r="F161" s="325"/>
      <c r="G161" s="319" t="str">
        <f>IFERROR(IF(E161="","",IF(F161="Direct-from-manufacturer",(E161*H161/1000*'Reporting Year &amp; Inflation Adj.'!$F$9),(E161*I161/1000*'Reporting Year &amp; Inflation Adj.'!$F$9))),"")</f>
        <v/>
      </c>
      <c r="H161" s="791">
        <v>0.32636045278999998</v>
      </c>
      <c r="I161" s="794">
        <v>0.34749342882000006</v>
      </c>
      <c r="J161" s="324">
        <v>5.945266130687462E-2</v>
      </c>
      <c r="K161" s="68">
        <v>326120</v>
      </c>
      <c r="L161" s="68" t="s">
        <v>3594</v>
      </c>
      <c r="M161" s="69" t="s">
        <v>440</v>
      </c>
      <c r="N161" s="69" t="s">
        <v>584</v>
      </c>
      <c r="O161" s="70">
        <v>0.3334695438100001</v>
      </c>
      <c r="P161" s="70">
        <v>1.9263914397999998E-2</v>
      </c>
      <c r="Q161" s="70">
        <v>0.35255396824999996</v>
      </c>
    </row>
    <row r="162" spans="3:17" ht="71.25">
      <c r="C162" s="321" t="s">
        <v>20</v>
      </c>
      <c r="D162" s="322"/>
      <c r="E162" s="784"/>
      <c r="F162" s="325"/>
      <c r="G162" s="319" t="str">
        <f>IFERROR(IF(E162="","",IF(F162="Direct-from-manufacturer",(E162*H162/1000*'Reporting Year &amp; Inflation Adj.'!$F$9),(E162*I162/1000*'Reporting Year &amp; Inflation Adj.'!$F$9))),"")</f>
        <v/>
      </c>
      <c r="H162" s="791">
        <v>1.0794284655500002</v>
      </c>
      <c r="I162" s="794">
        <v>1.1084648110699997</v>
      </c>
      <c r="J162" s="324">
        <v>2.637493618022824E-2</v>
      </c>
      <c r="K162" s="68">
        <v>325211</v>
      </c>
      <c r="L162" s="68" t="s">
        <v>3595</v>
      </c>
      <c r="M162" s="69" t="s">
        <v>440</v>
      </c>
      <c r="N162" s="69" t="s">
        <v>556</v>
      </c>
      <c r="O162" s="70">
        <v>1.0265126327300003</v>
      </c>
      <c r="P162" s="70">
        <v>2.3765596268000001E-2</v>
      </c>
      <c r="Q162" s="70">
        <v>1.0503593402699998</v>
      </c>
    </row>
    <row r="163" spans="3:17" ht="85.5">
      <c r="C163" s="321" t="s">
        <v>518</v>
      </c>
      <c r="D163" s="322"/>
      <c r="E163" s="784"/>
      <c r="F163" s="325"/>
      <c r="G163" s="319" t="str">
        <f>IFERROR(IF(E163="","",IF(F163="Direct-from-manufacturer",(E163*H163/1000*'Reporting Year &amp; Inflation Adj.'!$F$9),(E163*I163/1000*'Reporting Year &amp; Inflation Adj.'!$F$9))),"")</f>
        <v/>
      </c>
      <c r="H163" s="791">
        <v>0.22250287687</v>
      </c>
      <c r="I163" s="794">
        <v>0.25041557557499999</v>
      </c>
      <c r="J163" s="324">
        <v>0.11109256826825478</v>
      </c>
      <c r="K163" s="68">
        <v>321200</v>
      </c>
      <c r="L163" s="68" t="s">
        <v>3596</v>
      </c>
      <c r="M163" s="69" t="s">
        <v>440</v>
      </c>
      <c r="N163" s="69" t="s">
        <v>520</v>
      </c>
      <c r="O163" s="70">
        <v>0.18880233258000004</v>
      </c>
      <c r="P163" s="70">
        <v>2.0890683063000005E-2</v>
      </c>
      <c r="Q163" s="70">
        <v>0.20898383300000001</v>
      </c>
    </row>
    <row r="164" spans="3:17" ht="42.75">
      <c r="C164" s="321" t="s">
        <v>587</v>
      </c>
      <c r="D164" s="322"/>
      <c r="E164" s="784"/>
      <c r="F164" s="325"/>
      <c r="G164" s="319" t="str">
        <f>IFERROR(IF(E164="","",IF(F164="Direct-from-manufacturer",(E164*H164/1000*'Reporting Year &amp; Inflation Adj.'!$F$9),(E164*I164/1000*'Reporting Year &amp; Inflation Adj.'!$F$9))),"")</f>
        <v/>
      </c>
      <c r="H164" s="791">
        <v>0.23095759288000001</v>
      </c>
      <c r="I164" s="794">
        <v>0.25512384109000003</v>
      </c>
      <c r="J164" s="324">
        <v>9.398112768512959E-2</v>
      </c>
      <c r="K164" s="68">
        <v>326140</v>
      </c>
      <c r="L164" s="68" t="s">
        <v>3597</v>
      </c>
      <c r="M164" s="69" t="s">
        <v>440</v>
      </c>
      <c r="N164" s="69" t="s">
        <v>584</v>
      </c>
      <c r="O164" s="70">
        <v>0.24782822651</v>
      </c>
      <c r="P164" s="70">
        <v>2.3910188079999999E-2</v>
      </c>
      <c r="Q164" s="70">
        <v>0.27213807374000004</v>
      </c>
    </row>
    <row r="165" spans="3:17" ht="57">
      <c r="C165" s="321" t="s">
        <v>651</v>
      </c>
      <c r="D165" s="322"/>
      <c r="E165" s="784"/>
      <c r="F165" s="325"/>
      <c r="G165" s="319" t="str">
        <f>IFERROR(IF(E165="","",IF(F165="Direct-from-manufacturer",(E165*H165/1000*'Reporting Year &amp; Inflation Adj.'!$F$9),(E165*I165/1000*'Reporting Year &amp; Inflation Adj.'!$F$9))),"")</f>
        <v/>
      </c>
      <c r="H165" s="791">
        <v>0.14277550233</v>
      </c>
      <c r="I165" s="794">
        <v>0.16446235712500001</v>
      </c>
      <c r="J165" s="324">
        <v>0.13057291717324945</v>
      </c>
      <c r="K165" s="68">
        <v>332410</v>
      </c>
      <c r="L165" s="68" t="s">
        <v>3600</v>
      </c>
      <c r="M165" s="69" t="s">
        <v>440</v>
      </c>
      <c r="N165" s="69" t="s">
        <v>653</v>
      </c>
      <c r="O165" s="70">
        <v>0.18240474083000008</v>
      </c>
      <c r="P165" s="70">
        <v>2.7458899169999995E-2</v>
      </c>
      <c r="Q165" s="70">
        <v>0.21035898907</v>
      </c>
    </row>
    <row r="166" spans="3:17" ht="42.75">
      <c r="C166" s="321" t="s">
        <v>717</v>
      </c>
      <c r="D166" s="322"/>
      <c r="E166" s="784"/>
      <c r="F166" s="325"/>
      <c r="G166" s="319" t="str">
        <f>IFERROR(IF(E166="","",IF(F166="Direct-from-manufacturer",(E166*H166/1000*'Reporting Year &amp; Inflation Adj.'!$F$9),(E166*I166/1000*'Reporting Year &amp; Inflation Adj.'!$F$9))),"")</f>
        <v/>
      </c>
      <c r="H166" s="791">
        <v>6.9699774785000029E-2</v>
      </c>
      <c r="I166" s="794">
        <v>0.11270584881500002</v>
      </c>
      <c r="J166" s="324">
        <v>0.38249529233182583</v>
      </c>
      <c r="K166" s="68">
        <v>333991</v>
      </c>
      <c r="L166" s="68" t="s">
        <v>3601</v>
      </c>
      <c r="M166" s="69" t="s">
        <v>440</v>
      </c>
      <c r="N166" s="69" t="s">
        <v>715</v>
      </c>
      <c r="O166" s="70">
        <v>8.3811345370000012E-2</v>
      </c>
      <c r="P166" s="70">
        <v>5.3077349519999997E-2</v>
      </c>
      <c r="Q166" s="70">
        <v>0.13708540869000002</v>
      </c>
    </row>
    <row r="167" spans="3:17" ht="71.25">
      <c r="C167" s="321" t="s">
        <v>624</v>
      </c>
      <c r="D167" s="322"/>
      <c r="E167" s="784"/>
      <c r="F167" s="325"/>
      <c r="G167" s="319" t="str">
        <f>IFERROR(IF(E167="","",IF(F167="Direct-from-manufacturer",(E167*H167/1000*'Reporting Year &amp; Inflation Adj.'!$F$9),(E167*I167/1000*'Reporting Year &amp; Inflation Adj.'!$F$9))),"")</f>
        <v/>
      </c>
      <c r="H167" s="791">
        <v>0.98188257017000002</v>
      </c>
      <c r="I167" s="794">
        <v>0.99579883295999994</v>
      </c>
      <c r="J167" s="324">
        <v>1.3993036028251424E-2</v>
      </c>
      <c r="K167" s="68">
        <v>331313</v>
      </c>
      <c r="L167" s="68" t="s">
        <v>3602</v>
      </c>
      <c r="M167" s="69" t="s">
        <v>440</v>
      </c>
      <c r="N167" s="69" t="s">
        <v>626</v>
      </c>
      <c r="O167" s="70">
        <v>1.0153660234199999</v>
      </c>
      <c r="P167" s="70">
        <v>1.4563116326999999E-2</v>
      </c>
      <c r="Q167" s="70">
        <v>1.0296261698600002</v>
      </c>
    </row>
    <row r="168" spans="3:17" ht="57">
      <c r="C168" s="321" t="s">
        <v>774</v>
      </c>
      <c r="D168" s="322"/>
      <c r="E168" s="784"/>
      <c r="F168" s="325"/>
      <c r="G168" s="319" t="str">
        <f>IFERROR(IF(E168="","",IF(F168="Direct-from-manufacturer",(E168*H168/1000*'Reporting Year &amp; Inflation Adj.'!$F$9),(E168*I168/1000*'Reporting Year &amp; Inflation Adj.'!$F$9))),"")</f>
        <v/>
      </c>
      <c r="H168" s="791">
        <v>3.9737992139999991E-2</v>
      </c>
      <c r="I168" s="794">
        <v>9.1219790034999998E-2</v>
      </c>
      <c r="J168" s="324">
        <v>0.56415855364558998</v>
      </c>
      <c r="K168" s="68">
        <v>335912</v>
      </c>
      <c r="L168" s="68" t="s">
        <v>3603</v>
      </c>
      <c r="M168" s="69" t="s">
        <v>440</v>
      </c>
      <c r="N168" s="69" t="s">
        <v>773</v>
      </c>
      <c r="O168" s="70">
        <v>4.6132598218999996E-2</v>
      </c>
      <c r="P168" s="70">
        <v>5.7275976110000001E-2</v>
      </c>
      <c r="Q168" s="70">
        <v>0.10330124572999999</v>
      </c>
    </row>
    <row r="169" spans="3:17" ht="71.25">
      <c r="C169" s="321" t="s">
        <v>618</v>
      </c>
      <c r="D169" s="322"/>
      <c r="E169" s="784"/>
      <c r="F169" s="325"/>
      <c r="G169" s="319" t="str">
        <f>IFERROR(IF(E169="","",IF(F169="Direct-from-manufacturer",(E169*H169/1000*'Reporting Year &amp; Inflation Adj.'!$F$9),(E169*I169/1000*'Reporting Year &amp; Inflation Adj.'!$F$9))),"")</f>
        <v/>
      </c>
      <c r="H169" s="791">
        <v>0.97987255645499982</v>
      </c>
      <c r="I169" s="794">
        <v>1.0052146967749997</v>
      </c>
      <c r="J169" s="324">
        <v>2.5246835612751234E-2</v>
      </c>
      <c r="K169" s="68">
        <v>331110</v>
      </c>
      <c r="L169" s="68" t="s">
        <v>3604</v>
      </c>
      <c r="M169" s="69" t="s">
        <v>440</v>
      </c>
      <c r="N169" s="69" t="s">
        <v>620</v>
      </c>
      <c r="O169" s="70">
        <v>0.77183945699000012</v>
      </c>
      <c r="P169" s="70">
        <v>1.8245943663999998E-2</v>
      </c>
      <c r="Q169" s="70">
        <v>0.79054003512999993</v>
      </c>
    </row>
    <row r="170" spans="3:17" ht="71.25">
      <c r="C170" s="321" t="s">
        <v>742</v>
      </c>
      <c r="D170" s="322"/>
      <c r="E170" s="784"/>
      <c r="F170" s="325"/>
      <c r="G170" s="319" t="str">
        <f>IFERROR(IF(E170="","",IF(F170="Direct-from-manufacturer",(E170*H170/1000*'Reporting Year &amp; Inflation Adj.'!$F$9),(E170*I170/1000*'Reporting Year &amp; Inflation Adj.'!$F$9))),"")</f>
        <v/>
      </c>
      <c r="H170" s="791">
        <v>7.4854993345000009E-2</v>
      </c>
      <c r="I170" s="794">
        <v>0.11184467555499999</v>
      </c>
      <c r="J170" s="324">
        <v>0.33044241852912942</v>
      </c>
      <c r="K170" s="68">
        <v>334418</v>
      </c>
      <c r="L170" s="68" t="s">
        <v>3605</v>
      </c>
      <c r="M170" s="69" t="s">
        <v>440</v>
      </c>
      <c r="N170" s="69" t="s">
        <v>739</v>
      </c>
      <c r="O170" s="70">
        <v>6.8991964189999991E-2</v>
      </c>
      <c r="P170" s="70">
        <v>3.2974296680000001E-2</v>
      </c>
      <c r="Q170" s="70">
        <v>0.10196279913000002</v>
      </c>
    </row>
    <row r="171" spans="3:17" ht="42.75">
      <c r="C171" s="321" t="s">
        <v>541</v>
      </c>
      <c r="D171" s="322"/>
      <c r="E171" s="784"/>
      <c r="F171" s="325"/>
      <c r="G171" s="319" t="str">
        <f>IFERROR(IF(E171="","",IF(F171="Direct-from-manufacturer",(E171*H171/1000*'Reporting Year &amp; Inflation Adj.'!$F$9),(E171*I171/1000*'Reporting Year &amp; Inflation Adj.'!$F$9))),"")</f>
        <v/>
      </c>
      <c r="H171" s="791">
        <v>0.19966070693999999</v>
      </c>
      <c r="I171" s="794">
        <v>0.22219662226999998</v>
      </c>
      <c r="J171" s="324">
        <v>0.10323620085964326</v>
      </c>
      <c r="K171" s="68">
        <v>323120</v>
      </c>
      <c r="L171" s="68" t="s">
        <v>3606</v>
      </c>
      <c r="M171" s="69" t="s">
        <v>440</v>
      </c>
      <c r="N171" s="69" t="s">
        <v>540</v>
      </c>
      <c r="O171" s="70">
        <v>0.21558926702</v>
      </c>
      <c r="P171" s="70">
        <v>2.2997494842399994E-2</v>
      </c>
      <c r="Q171" s="70">
        <v>0.23861667911999995</v>
      </c>
    </row>
    <row r="172" spans="3:17" ht="85.5">
      <c r="C172" s="321" t="s">
        <v>806</v>
      </c>
      <c r="D172" s="322"/>
      <c r="E172" s="784"/>
      <c r="F172" s="325"/>
      <c r="G172" s="319" t="str">
        <f>IFERROR(IF(E172="","",IF(F172="Direct-from-manufacturer",(E172*H172/1000*'Reporting Year &amp; Inflation Adj.'!$F$9),(E172*I172/1000*'Reporting Year &amp; Inflation Adj.'!$F$9))),"")</f>
        <v/>
      </c>
      <c r="H172" s="791">
        <v>0.25144827287000004</v>
      </c>
      <c r="I172" s="794">
        <v>0.25949053658999999</v>
      </c>
      <c r="J172" s="324">
        <v>2.8743954804737338E-2</v>
      </c>
      <c r="K172" s="68" t="s">
        <v>807</v>
      </c>
      <c r="L172" s="68" t="s">
        <v>3609</v>
      </c>
      <c r="M172" s="69" t="s">
        <v>440</v>
      </c>
      <c r="N172" s="69" t="s">
        <v>802</v>
      </c>
      <c r="O172" s="70">
        <v>0.28799345346000005</v>
      </c>
      <c r="P172" s="70">
        <v>7.4908710909999997E-3</v>
      </c>
      <c r="Q172" s="70">
        <v>0.29516768837999996</v>
      </c>
    </row>
    <row r="173" spans="3:17" ht="71.25">
      <c r="C173" s="321" t="s">
        <v>808</v>
      </c>
      <c r="D173" s="322"/>
      <c r="E173" s="784"/>
      <c r="F173" s="325"/>
      <c r="G173" s="319" t="str">
        <f>IFERROR(IF(E173="","",IF(F173="Direct-from-manufacturer",(E173*H173/1000*'Reporting Year &amp; Inflation Adj.'!$F$9),(E173*I173/1000*'Reporting Year &amp; Inflation Adj.'!$F$9))),"")</f>
        <v/>
      </c>
      <c r="H173" s="791">
        <v>0.36469741004000011</v>
      </c>
      <c r="I173" s="794">
        <v>0.39658558694000007</v>
      </c>
      <c r="J173" s="324">
        <v>7.8799036136499689E-2</v>
      </c>
      <c r="K173" s="68">
        <v>336500</v>
      </c>
      <c r="L173" s="68" t="s">
        <v>3611</v>
      </c>
      <c r="M173" s="69" t="s">
        <v>440</v>
      </c>
      <c r="N173" s="69" t="s">
        <v>810</v>
      </c>
      <c r="O173" s="70">
        <v>0.41443393199000006</v>
      </c>
      <c r="P173" s="70">
        <v>3.1586132583000005E-2</v>
      </c>
      <c r="Q173" s="70">
        <v>0.44590837721000004</v>
      </c>
    </row>
    <row r="174" spans="3:17" ht="42.75">
      <c r="C174" s="321" t="s">
        <v>605</v>
      </c>
      <c r="D174" s="322"/>
      <c r="E174" s="784"/>
      <c r="F174" s="325"/>
      <c r="G174" s="319" t="str">
        <f>IFERROR(IF(E174="","",IF(F174="Direct-from-manufacturer",(E174*H174/1000*'Reporting Year &amp; Inflation Adj.'!$F$9),(E174*I174/1000*'Reporting Year &amp; Inflation Adj.'!$F$9))),"")</f>
        <v/>
      </c>
      <c r="H174" s="791">
        <v>0.385232088275</v>
      </c>
      <c r="I174" s="794">
        <v>0.43835015037499997</v>
      </c>
      <c r="J174" s="324">
        <v>0.12255913970610099</v>
      </c>
      <c r="K174" s="68">
        <v>327320</v>
      </c>
      <c r="L174" s="68" t="s">
        <v>3612</v>
      </c>
      <c r="M174" s="69" t="s">
        <v>440</v>
      </c>
      <c r="N174" s="69" t="s">
        <v>604</v>
      </c>
      <c r="O174" s="70">
        <v>0.54032261407999993</v>
      </c>
      <c r="P174" s="70">
        <v>6.7210360769999991E-2</v>
      </c>
      <c r="Q174" s="70">
        <v>0.60802484657999989</v>
      </c>
    </row>
    <row r="175" spans="3:17" ht="57">
      <c r="C175" s="321" t="s">
        <v>448</v>
      </c>
      <c r="D175" s="322"/>
      <c r="E175" s="784"/>
      <c r="F175" s="325"/>
      <c r="G175" s="319" t="str">
        <f>IFERROR(IF(E175="","",IF(F175="Direct-from-manufacturer",(E175*H175/1000*'Reporting Year &amp; Inflation Adj.'!$F$9),(E175*I175/1000*'Reporting Year &amp; Inflation Adj.'!$F$9))),"")</f>
        <v/>
      </c>
      <c r="H175" s="791">
        <v>0.41315716136000002</v>
      </c>
      <c r="I175" s="794">
        <v>0.44192409436000007</v>
      </c>
      <c r="J175" s="324">
        <v>6.5831525857697734E-2</v>
      </c>
      <c r="K175" s="68">
        <v>311225</v>
      </c>
      <c r="L175" s="68" t="s">
        <v>3613</v>
      </c>
      <c r="M175" s="69" t="s">
        <v>440</v>
      </c>
      <c r="N175" s="69" t="s">
        <v>445</v>
      </c>
      <c r="O175" s="70">
        <v>0.36608846545000001</v>
      </c>
      <c r="P175" s="70">
        <v>2.5554933170000002E-2</v>
      </c>
      <c r="Q175" s="70">
        <v>0.39217908142000002</v>
      </c>
    </row>
    <row r="176" spans="3:17" ht="42.75">
      <c r="C176" s="321" t="s">
        <v>770</v>
      </c>
      <c r="D176" s="322"/>
      <c r="E176" s="784"/>
      <c r="F176" s="325"/>
      <c r="G176" s="319" t="str">
        <f>IFERROR(IF(E176="","",IF(F176="Direct-from-manufacturer",(E176*H176/1000*'Reporting Year &amp; Inflation Adj.'!$F$9),(E176*I176/1000*'Reporting Year &amp; Inflation Adj.'!$F$9))),"")</f>
        <v/>
      </c>
      <c r="H176" s="791">
        <v>0.10124125599999999</v>
      </c>
      <c r="I176" s="794">
        <v>0.11621965322</v>
      </c>
      <c r="J176" s="324">
        <v>0.13241895198971065</v>
      </c>
      <c r="K176" s="68">
        <v>335314</v>
      </c>
      <c r="L176" s="68" t="s">
        <v>3614</v>
      </c>
      <c r="M176" s="69" t="s">
        <v>440</v>
      </c>
      <c r="N176" s="69" t="s">
        <v>767</v>
      </c>
      <c r="O176" s="70">
        <v>0.12015783872999999</v>
      </c>
      <c r="P176" s="70">
        <v>1.846982682E-2</v>
      </c>
      <c r="Q176" s="70">
        <v>0.13861999466</v>
      </c>
    </row>
    <row r="177" spans="3:17" ht="57">
      <c r="C177" s="321" t="s">
        <v>594</v>
      </c>
      <c r="D177" s="322"/>
      <c r="E177" s="784"/>
      <c r="F177" s="325"/>
      <c r="G177" s="319" t="str">
        <f>IFERROR(IF(E177="","",IF(F177="Direct-from-manufacturer",(E177*H177/1000*'Reporting Year &amp; Inflation Adj.'!$F$9),(E177*I177/1000*'Reporting Year &amp; Inflation Adj.'!$F$9))),"")</f>
        <v/>
      </c>
      <c r="H177" s="791">
        <v>0.25341746737999998</v>
      </c>
      <c r="I177" s="794">
        <v>0.28073223889999999</v>
      </c>
      <c r="J177" s="324">
        <v>9.445939073084493E-2</v>
      </c>
      <c r="K177" s="68">
        <v>326220</v>
      </c>
      <c r="L177" s="68" t="s">
        <v>3617</v>
      </c>
      <c r="M177" s="69" t="s">
        <v>440</v>
      </c>
      <c r="N177" s="69" t="s">
        <v>593</v>
      </c>
      <c r="O177" s="70">
        <v>0.28222707252000007</v>
      </c>
      <c r="P177" s="70">
        <v>2.8248525270000005E-2</v>
      </c>
      <c r="Q177" s="70">
        <v>0.31099099503999994</v>
      </c>
    </row>
    <row r="178" spans="3:17" ht="28.5">
      <c r="C178" s="321" t="s">
        <v>591</v>
      </c>
      <c r="D178" s="322"/>
      <c r="E178" s="784"/>
      <c r="F178" s="325"/>
      <c r="G178" s="319" t="str">
        <f>IFERROR(IF(E178="","",IF(F178="Direct-from-manufacturer",(E178*H178/1000*'Reporting Year &amp; Inflation Adj.'!$F$9),(E178*I178/1000*'Reporting Year &amp; Inflation Adj.'!$F$9))),"")</f>
        <v/>
      </c>
      <c r="H178" s="791">
        <v>0.19359245234499994</v>
      </c>
      <c r="I178" s="794">
        <v>0.23037858969000002</v>
      </c>
      <c r="J178" s="324">
        <v>0.15878338329626399</v>
      </c>
      <c r="K178" s="68">
        <v>326210</v>
      </c>
      <c r="L178" s="68" t="s">
        <v>3618</v>
      </c>
      <c r="M178" s="69" t="s">
        <v>440</v>
      </c>
      <c r="N178" s="69" t="s">
        <v>593</v>
      </c>
      <c r="O178" s="70">
        <v>0.23474037034000003</v>
      </c>
      <c r="P178" s="70">
        <v>4.3445601030000003E-2</v>
      </c>
      <c r="Q178" s="70">
        <v>0.27769541165</v>
      </c>
    </row>
    <row r="179" spans="3:17" ht="199.5">
      <c r="C179" s="321" t="s">
        <v>383</v>
      </c>
      <c r="D179" s="322"/>
      <c r="E179" s="784"/>
      <c r="F179" s="325"/>
      <c r="G179" s="319" t="str">
        <f>IFERROR(IF(E179="","",IF(F179="Direct-from-manufacturer",(E179*H179/1000*'Reporting Year &amp; Inflation Adj.'!$F$9),(E179*I179/1000*'Reporting Year &amp; Inflation Adj.'!$F$9))),"")</f>
        <v/>
      </c>
      <c r="H179" s="791">
        <v>0.15494301827499998</v>
      </c>
      <c r="I179" s="794">
        <v>0.27599302729499997</v>
      </c>
      <c r="J179" s="324">
        <v>0.43852533506447994</v>
      </c>
      <c r="K179" s="68" t="s">
        <v>384</v>
      </c>
      <c r="L179" s="68" t="s">
        <v>3620</v>
      </c>
      <c r="M179" s="69" t="s">
        <v>371</v>
      </c>
      <c r="N179" s="69" t="s">
        <v>382</v>
      </c>
      <c r="O179" s="70">
        <v>0.18443338910000001</v>
      </c>
      <c r="P179" s="70">
        <v>0.12603326486999999</v>
      </c>
      <c r="Q179" s="70">
        <v>0.31149319929000008</v>
      </c>
    </row>
    <row r="180" spans="3:17" ht="42.75">
      <c r="C180" s="321" t="s">
        <v>536</v>
      </c>
      <c r="D180" s="322"/>
      <c r="E180" s="784"/>
      <c r="F180" s="325"/>
      <c r="G180" s="319" t="str">
        <f>IFERROR(IF(E180="","",IF(F180="Direct-from-manufacturer",(E180*H180/1000*'Reporting Year &amp; Inflation Adj.'!$F$9),(E180*I180/1000*'Reporting Year &amp; Inflation Adj.'!$F$9))),"")</f>
        <v/>
      </c>
      <c r="H180" s="791">
        <v>0.27202439321000005</v>
      </c>
      <c r="I180" s="794">
        <v>0.33189288315999993</v>
      </c>
      <c r="J180" s="324">
        <v>0.17978848936701619</v>
      </c>
      <c r="K180" s="68">
        <v>322291</v>
      </c>
      <c r="L180" s="68" t="s">
        <v>3621</v>
      </c>
      <c r="M180" s="69" t="s">
        <v>440</v>
      </c>
      <c r="N180" s="69" t="s">
        <v>533</v>
      </c>
      <c r="O180" s="70">
        <v>0.27692581413000006</v>
      </c>
      <c r="P180" s="70">
        <v>6.5279433380000015E-2</v>
      </c>
      <c r="Q180" s="70">
        <v>0.34168785508999994</v>
      </c>
    </row>
    <row r="181" spans="3:17" ht="57">
      <c r="C181" s="321" t="s">
        <v>665</v>
      </c>
      <c r="D181" s="322"/>
      <c r="E181" s="784"/>
      <c r="F181" s="325"/>
      <c r="G181" s="319" t="str">
        <f>IFERROR(IF(E181="","",IF(F181="Direct-from-manufacturer",(E181*H181/1000*'Reporting Year &amp; Inflation Adj.'!$F$9),(E181*I181/1000*'Reporting Year &amp; Inflation Adj.'!$F$9))),"")</f>
        <v/>
      </c>
      <c r="H181" s="791">
        <v>0.18386147517499998</v>
      </c>
      <c r="I181" s="794">
        <v>0.20641237660500003</v>
      </c>
      <c r="J181" s="324">
        <v>0.10974550364947092</v>
      </c>
      <c r="K181" s="68">
        <v>332720</v>
      </c>
      <c r="L181" s="68" t="s">
        <v>3624</v>
      </c>
      <c r="M181" s="69" t="s">
        <v>440</v>
      </c>
      <c r="N181" s="69" t="s">
        <v>664</v>
      </c>
      <c r="O181" s="70">
        <v>0.22279828508999999</v>
      </c>
      <c r="P181" s="70">
        <v>2.6651160540000007E-2</v>
      </c>
      <c r="Q181" s="70">
        <v>0.24924633873999999</v>
      </c>
    </row>
    <row r="182" spans="3:17" ht="85.5">
      <c r="C182" s="321" t="s">
        <v>469</v>
      </c>
      <c r="D182" s="322"/>
      <c r="E182" s="784"/>
      <c r="F182" s="325"/>
      <c r="G182" s="319" t="str">
        <f>IFERROR(IF(E182="","",IF(F182="Direct-from-manufacturer",(E182*H182/1000*'Reporting Year &amp; Inflation Adj.'!$F$9),(E182*I182/1000*'Reporting Year &amp; Inflation Adj.'!$F$9))),"")</f>
        <v/>
      </c>
      <c r="H182" s="791">
        <v>0.24123004120000002</v>
      </c>
      <c r="I182" s="794">
        <v>0.26730087316500001</v>
      </c>
      <c r="J182" s="324">
        <v>9.8359164052452389E-2</v>
      </c>
      <c r="K182" s="68">
        <v>311700</v>
      </c>
      <c r="L182" s="68" t="s">
        <v>3625</v>
      </c>
      <c r="M182" s="69" t="s">
        <v>440</v>
      </c>
      <c r="N182" s="69" t="s">
        <v>471</v>
      </c>
      <c r="O182" s="70">
        <v>0.24211876826599998</v>
      </c>
      <c r="P182" s="70">
        <v>2.7034874819999999E-2</v>
      </c>
      <c r="Q182" s="70">
        <v>0.26924377116999998</v>
      </c>
    </row>
    <row r="183" spans="3:17" ht="99.75">
      <c r="C183" s="321" t="s">
        <v>482</v>
      </c>
      <c r="D183" s="322"/>
      <c r="E183" s="784"/>
      <c r="F183" s="325"/>
      <c r="G183" s="319" t="str">
        <f>IFERROR(IF(E183="","",IF(F183="Direct-from-manufacturer",(E183*H183/1000*'Reporting Year &amp; Inflation Adj.'!$F$9),(E183*I183/1000*'Reporting Year &amp; Inflation Adj.'!$F$9))),"")</f>
        <v/>
      </c>
      <c r="H183" s="791">
        <v>0.25757074859000001</v>
      </c>
      <c r="I183" s="794">
        <v>0.29299504563000001</v>
      </c>
      <c r="J183" s="324">
        <v>0.1217814994901284</v>
      </c>
      <c r="K183" s="68">
        <v>311940</v>
      </c>
      <c r="L183" s="68" t="s">
        <v>3626</v>
      </c>
      <c r="M183" s="69" t="s">
        <v>440</v>
      </c>
      <c r="N183" s="69" t="s">
        <v>479</v>
      </c>
      <c r="O183" s="70">
        <v>0.30880552889000012</v>
      </c>
      <c r="P183" s="70">
        <v>4.0835578340000005E-2</v>
      </c>
      <c r="Q183" s="70">
        <v>0.34950990846999991</v>
      </c>
    </row>
    <row r="184" spans="3:17" ht="156.75">
      <c r="C184" s="321" t="s">
        <v>627</v>
      </c>
      <c r="D184" s="322"/>
      <c r="E184" s="784"/>
      <c r="F184" s="325"/>
      <c r="G184" s="319" t="str">
        <f>IFERROR(IF(E184="","",IF(F184="Direct-from-manufacturer",(E184*H184/1000*'Reporting Year &amp; Inflation Adj.'!$F$9),(E184*I184/1000*'Reporting Year &amp; Inflation Adj.'!$F$9))),"")</f>
        <v/>
      </c>
      <c r="H184" s="791">
        <v>0.76708773340499992</v>
      </c>
      <c r="I184" s="794">
        <v>0.79138941594999979</v>
      </c>
      <c r="J184" s="324">
        <v>3.0124676707208135E-2</v>
      </c>
      <c r="K184" s="68" t="s">
        <v>628</v>
      </c>
      <c r="L184" s="68" t="s">
        <v>3627</v>
      </c>
      <c r="M184" s="69" t="s">
        <v>440</v>
      </c>
      <c r="N184" s="69" t="s">
        <v>626</v>
      </c>
      <c r="O184" s="70">
        <v>0.70626089218999999</v>
      </c>
      <c r="P184" s="70">
        <v>2.1201341824999997E-2</v>
      </c>
      <c r="Q184" s="70">
        <v>0.72777907005999998</v>
      </c>
    </row>
    <row r="185" spans="3:17" ht="71.25">
      <c r="C185" s="321" t="s">
        <v>632</v>
      </c>
      <c r="D185" s="322"/>
      <c r="E185" s="784"/>
      <c r="F185" s="325"/>
      <c r="G185" s="319" t="str">
        <f>IFERROR(IF(E185="","",IF(F185="Direct-from-manufacturer",(E185*H185/1000*'Reporting Year &amp; Inflation Adj.'!$F$9),(E185*I185/1000*'Reporting Year &amp; Inflation Adj.'!$F$9))),"")</f>
        <v/>
      </c>
      <c r="H185" s="791">
        <v>0.31782797721499995</v>
      </c>
      <c r="I185" s="794">
        <v>0.33641808841000004</v>
      </c>
      <c r="J185" s="324">
        <v>5.3667173115841682E-2</v>
      </c>
      <c r="K185" s="68">
        <v>331420</v>
      </c>
      <c r="L185" s="68" t="s">
        <v>3628</v>
      </c>
      <c r="M185" s="69" t="s">
        <v>440</v>
      </c>
      <c r="N185" s="69" t="s">
        <v>631</v>
      </c>
      <c r="O185" s="70">
        <v>0.31700213457000004</v>
      </c>
      <c r="P185" s="70">
        <v>1.8743245710000002E-2</v>
      </c>
      <c r="Q185" s="70">
        <v>0.33595611052999996</v>
      </c>
    </row>
    <row r="186" spans="3:17" ht="42.75">
      <c r="C186" s="321" t="s">
        <v>621</v>
      </c>
      <c r="D186" s="322"/>
      <c r="E186" s="784"/>
      <c r="F186" s="325"/>
      <c r="G186" s="319" t="str">
        <f>IFERROR(IF(E186="","",IF(F186="Direct-from-manufacturer",(E186*H186/1000*'Reporting Year &amp; Inflation Adj.'!$F$9),(E186*I186/1000*'Reporting Year &amp; Inflation Adj.'!$F$9))),"")</f>
        <v/>
      </c>
      <c r="H186" s="791">
        <v>0.37400579378000004</v>
      </c>
      <c r="I186" s="794">
        <v>0.39284536914500001</v>
      </c>
      <c r="J186" s="324">
        <v>4.9729318223907186E-2</v>
      </c>
      <c r="K186" s="68">
        <v>331200</v>
      </c>
      <c r="L186" s="68" t="s">
        <v>3629</v>
      </c>
      <c r="M186" s="69" t="s">
        <v>440</v>
      </c>
      <c r="N186" s="69" t="s">
        <v>623</v>
      </c>
      <c r="O186" s="70">
        <v>0.34387831744999997</v>
      </c>
      <c r="P186" s="70">
        <v>1.6913450738999997E-2</v>
      </c>
      <c r="Q186" s="70">
        <v>0.36146774197000003</v>
      </c>
    </row>
    <row r="187" spans="3:17" ht="42.75">
      <c r="C187" s="321" t="s">
        <v>688</v>
      </c>
      <c r="D187" s="322"/>
      <c r="E187" s="784"/>
      <c r="F187" s="325"/>
      <c r="G187" s="319" t="str">
        <f>IFERROR(IF(E187="","",IF(F187="Direct-from-manufacturer",(E187*H187/1000*'Reporting Year &amp; Inflation Adj.'!$F$9),(E187*I187/1000*'Reporting Year &amp; Inflation Adj.'!$F$9))),"")</f>
        <v/>
      </c>
      <c r="H187" s="791">
        <v>0.11586878079499999</v>
      </c>
      <c r="I187" s="794">
        <v>0.13366218905000002</v>
      </c>
      <c r="J187" s="324">
        <v>0.13455221557289018</v>
      </c>
      <c r="K187" s="68">
        <v>333242</v>
      </c>
      <c r="L187" s="68" t="s">
        <v>3631</v>
      </c>
      <c r="M187" s="69" t="s">
        <v>440</v>
      </c>
      <c r="N187" s="69" t="s">
        <v>687</v>
      </c>
      <c r="O187" s="70">
        <v>0.13155034077000002</v>
      </c>
      <c r="P187" s="70">
        <v>2.0184457319999998E-2</v>
      </c>
      <c r="Q187" s="70">
        <v>0.15094020688000001</v>
      </c>
    </row>
    <row r="188" spans="3:17" ht="57">
      <c r="C188" s="321" t="s">
        <v>740</v>
      </c>
      <c r="D188" s="322"/>
      <c r="E188" s="784"/>
      <c r="F188" s="325"/>
      <c r="G188" s="319" t="str">
        <f>IFERROR(IF(E188="","",IF(F188="Direct-from-manufacturer",(E188*H188/1000*'Reporting Year &amp; Inflation Adj.'!$F$9),(E188*I188/1000*'Reporting Year &amp; Inflation Adj.'!$F$9))),"")</f>
        <v/>
      </c>
      <c r="H188" s="791">
        <v>0.17894751290000002</v>
      </c>
      <c r="I188" s="794">
        <v>0.20616808105000001</v>
      </c>
      <c r="J188" s="324">
        <v>0.13268080156096501</v>
      </c>
      <c r="K188" s="68">
        <v>334413</v>
      </c>
      <c r="L188" s="68" t="s">
        <v>3632</v>
      </c>
      <c r="M188" s="69" t="s">
        <v>440</v>
      </c>
      <c r="N188" s="69" t="s">
        <v>739</v>
      </c>
      <c r="O188" s="70">
        <v>0.19313321034000003</v>
      </c>
      <c r="P188" s="70">
        <v>2.7888705189999998E-2</v>
      </c>
      <c r="Q188" s="70">
        <v>0.22072433416000001</v>
      </c>
    </row>
    <row r="189" spans="3:17" ht="42.75">
      <c r="C189" s="321" t="s">
        <v>831</v>
      </c>
      <c r="D189" s="322"/>
      <c r="E189" s="784"/>
      <c r="F189" s="325"/>
      <c r="G189" s="319" t="str">
        <f>IFERROR(IF(E189="","",IF(F189="Direct-from-manufacturer",(E189*H189/1000*'Reporting Year &amp; Inflation Adj.'!$F$9),(E189*I189/1000*'Reporting Year &amp; Inflation Adj.'!$F$9))),"")</f>
        <v/>
      </c>
      <c r="H189" s="791">
        <v>0.19042906213499999</v>
      </c>
      <c r="I189" s="794">
        <v>0.22953425472499997</v>
      </c>
      <c r="J189" s="324">
        <v>0.17343773983841926</v>
      </c>
      <c r="K189" s="68">
        <v>337215</v>
      </c>
      <c r="L189" s="68" t="s">
        <v>3633</v>
      </c>
      <c r="M189" s="69" t="s">
        <v>440</v>
      </c>
      <c r="N189" s="69" t="s">
        <v>830</v>
      </c>
      <c r="O189" s="70">
        <v>0.20780614905</v>
      </c>
      <c r="P189" s="70">
        <v>4.0220665199999998E-2</v>
      </c>
      <c r="Q189" s="70">
        <v>0.24761506733000005</v>
      </c>
    </row>
    <row r="190" spans="3:17" ht="85.5">
      <c r="C190" s="321" t="s">
        <v>811</v>
      </c>
      <c r="D190" s="322"/>
      <c r="E190" s="784"/>
      <c r="F190" s="325"/>
      <c r="G190" s="319" t="str">
        <f>IFERROR(IF(E190="","",IF(F190="Direct-from-manufacturer",(E190*H190/1000*'Reporting Year &amp; Inflation Adj.'!$F$9),(E190*I190/1000*'Reporting Year &amp; Inflation Adj.'!$F$9))),"")</f>
        <v/>
      </c>
      <c r="H190" s="791">
        <v>0.17359843200499997</v>
      </c>
      <c r="I190" s="794">
        <v>0.181695725255</v>
      </c>
      <c r="J190" s="324">
        <v>4.4125099009611264E-2</v>
      </c>
      <c r="K190" s="68">
        <v>336611</v>
      </c>
      <c r="L190" s="68" t="s">
        <v>3634</v>
      </c>
      <c r="M190" s="69" t="s">
        <v>440</v>
      </c>
      <c r="N190" s="69" t="s">
        <v>813</v>
      </c>
      <c r="O190" s="70">
        <v>0.18831353233000003</v>
      </c>
      <c r="P190" s="70">
        <v>8.2884800729999993E-3</v>
      </c>
      <c r="Q190" s="70">
        <v>0.19654816274</v>
      </c>
    </row>
    <row r="191" spans="3:17" ht="71.25">
      <c r="C191" s="321" t="s">
        <v>750</v>
      </c>
      <c r="D191" s="322"/>
      <c r="E191" s="784"/>
      <c r="F191" s="325"/>
      <c r="G191" s="319" t="str">
        <f>IFERROR(IF(E191="","",IF(F191="Direct-from-manufacturer",(E191*H191/1000*'Reporting Year &amp; Inflation Adj.'!$F$9),(E191*I191/1000*'Reporting Year &amp; Inflation Adj.'!$F$9))),"")</f>
        <v/>
      </c>
      <c r="H191" s="791">
        <v>5.0179844224999999E-2</v>
      </c>
      <c r="I191" s="794">
        <v>7.2443507439999999E-2</v>
      </c>
      <c r="J191" s="324">
        <v>0.30710196926102895</v>
      </c>
      <c r="K191" s="68">
        <v>334515</v>
      </c>
      <c r="L191" s="68" t="s">
        <v>3635</v>
      </c>
      <c r="M191" s="69" t="s">
        <v>440</v>
      </c>
      <c r="N191" s="69" t="s">
        <v>745</v>
      </c>
      <c r="O191" s="70">
        <v>5.5888787369999998E-2</v>
      </c>
      <c r="P191" s="70">
        <v>2.4269926989999992E-2</v>
      </c>
      <c r="Q191" s="70">
        <v>8.014884186E-2</v>
      </c>
    </row>
    <row r="192" spans="3:17" ht="42.75">
      <c r="C192" s="321" t="s">
        <v>849</v>
      </c>
      <c r="D192" s="322"/>
      <c r="E192" s="784"/>
      <c r="F192" s="325"/>
      <c r="G192" s="319" t="str">
        <f>IFERROR(IF(E192="","",IF(F192="Direct-from-manufacturer",(E192*H192/1000*'Reporting Year &amp; Inflation Adj.'!$F$9),(E192*I192/1000*'Reporting Year &amp; Inflation Adj.'!$F$9))),"")</f>
        <v/>
      </c>
      <c r="H192" s="791">
        <v>0.1502348379</v>
      </c>
      <c r="I192" s="794">
        <v>0.20550840404999995</v>
      </c>
      <c r="J192" s="324">
        <v>0.26750122784090596</v>
      </c>
      <c r="K192" s="68">
        <v>339950</v>
      </c>
      <c r="L192" s="68" t="s">
        <v>3636</v>
      </c>
      <c r="M192" s="69" t="s">
        <v>440</v>
      </c>
      <c r="N192" s="69" t="s">
        <v>845</v>
      </c>
      <c r="O192" s="70">
        <v>0.18868030039000003</v>
      </c>
      <c r="P192" s="70">
        <v>6.3338243379999992E-2</v>
      </c>
      <c r="Q192" s="70">
        <v>0.25110568018000001</v>
      </c>
    </row>
    <row r="193" spans="3:17" ht="42.75">
      <c r="C193" s="321" t="s">
        <v>762</v>
      </c>
      <c r="D193" s="322"/>
      <c r="E193" s="784"/>
      <c r="F193" s="325"/>
      <c r="G193" s="319" t="str">
        <f>IFERROR(IF(E193="","",IF(F193="Direct-from-manufacturer",(E193*H193/1000*'Reporting Year &amp; Inflation Adj.'!$F$9),(E193*I193/1000*'Reporting Year &amp; Inflation Adj.'!$F$9))),"")</f>
        <v/>
      </c>
      <c r="H193" s="791">
        <v>9.6044082635000028E-2</v>
      </c>
      <c r="I193" s="794">
        <v>0.14624881850000004</v>
      </c>
      <c r="J193" s="324">
        <v>0.33957151828204341</v>
      </c>
      <c r="K193" s="68">
        <v>335210</v>
      </c>
      <c r="L193" s="68" t="s">
        <v>3638</v>
      </c>
      <c r="M193" s="69" t="s">
        <v>440</v>
      </c>
      <c r="N193" s="69" t="s">
        <v>764</v>
      </c>
      <c r="O193" s="70">
        <v>0.10672150632999999</v>
      </c>
      <c r="P193" s="70">
        <v>5.1653949490000003E-2</v>
      </c>
      <c r="Q193" s="70">
        <v>0.15875794962000001</v>
      </c>
    </row>
    <row r="194" spans="3:17" ht="99.75">
      <c r="C194" s="321" t="s">
        <v>477</v>
      </c>
      <c r="D194" s="322"/>
      <c r="E194" s="784"/>
      <c r="F194" s="325"/>
      <c r="G194" s="319" t="str">
        <f>IFERROR(IF(E194="","",IF(F194="Direct-from-manufacturer",(E194*H194/1000*'Reporting Year &amp; Inflation Adj.'!$F$9),(E194*I194/1000*'Reporting Year &amp; Inflation Adj.'!$F$9))),"")</f>
        <v/>
      </c>
      <c r="H194" s="791">
        <v>0.25900447280000005</v>
      </c>
      <c r="I194" s="794">
        <v>0.29359258725000004</v>
      </c>
      <c r="J194" s="324">
        <v>0.12041202545722654</v>
      </c>
      <c r="K194" s="68">
        <v>311910</v>
      </c>
      <c r="L194" s="68" t="s">
        <v>3639</v>
      </c>
      <c r="M194" s="69" t="s">
        <v>440</v>
      </c>
      <c r="N194" s="69" t="s">
        <v>479</v>
      </c>
      <c r="O194" s="70">
        <v>0.33439815518999999</v>
      </c>
      <c r="P194" s="70">
        <v>4.3979837639999998E-2</v>
      </c>
      <c r="Q194" s="70">
        <v>0.37825934170999997</v>
      </c>
    </row>
    <row r="195" spans="3:17" ht="57">
      <c r="C195" s="321" t="s">
        <v>573</v>
      </c>
      <c r="D195" s="322"/>
      <c r="E195" s="784"/>
      <c r="F195" s="325"/>
      <c r="G195" s="319" t="str">
        <f>IFERROR(IF(E195="","",IF(F195="Direct-from-manufacturer",(E195*H195/1000*'Reporting Year &amp; Inflation Adj.'!$F$9),(E195*I195/1000*'Reporting Year &amp; Inflation Adj.'!$F$9))),"")</f>
        <v/>
      </c>
      <c r="H195" s="791">
        <v>0.2559034811</v>
      </c>
      <c r="I195" s="794">
        <v>0.2912554255</v>
      </c>
      <c r="J195" s="324">
        <v>0.12186325636361409</v>
      </c>
      <c r="K195" s="68">
        <v>325610</v>
      </c>
      <c r="L195" s="68" t="s">
        <v>3640</v>
      </c>
      <c r="M195" s="69" t="s">
        <v>440</v>
      </c>
      <c r="N195" s="69" t="s">
        <v>575</v>
      </c>
      <c r="O195" s="70">
        <v>0.32500165347999999</v>
      </c>
      <c r="P195" s="70">
        <v>4.0063292020000002E-2</v>
      </c>
      <c r="Q195" s="70">
        <v>0.3653817417200001</v>
      </c>
    </row>
    <row r="196" spans="3:17" ht="42.75">
      <c r="C196" s="321" t="s">
        <v>484</v>
      </c>
      <c r="D196" s="322"/>
      <c r="E196" s="784"/>
      <c r="F196" s="325"/>
      <c r="G196" s="319" t="str">
        <f>IFERROR(IF(E196="","",IF(F196="Direct-from-manufacturer",(E196*H196/1000*'Reporting Year &amp; Inflation Adj.'!$F$9),(E196*I196/1000*'Reporting Year &amp; Inflation Adj.'!$F$9))),"")</f>
        <v/>
      </c>
      <c r="H196" s="791">
        <v>0.13692032611000002</v>
      </c>
      <c r="I196" s="794">
        <v>0.17012560599999996</v>
      </c>
      <c r="J196" s="324">
        <v>0.19458438937169761</v>
      </c>
      <c r="K196" s="68">
        <v>312110</v>
      </c>
      <c r="L196" s="68" t="s">
        <v>3641</v>
      </c>
      <c r="M196" s="69" t="s">
        <v>440</v>
      </c>
      <c r="N196" s="69" t="s">
        <v>486</v>
      </c>
      <c r="O196" s="70">
        <v>0.17481235582000001</v>
      </c>
      <c r="P196" s="70">
        <v>4.2216654900000004E-2</v>
      </c>
      <c r="Q196" s="70">
        <v>0.21651435390000007</v>
      </c>
    </row>
    <row r="197" spans="3:17" ht="71.25">
      <c r="C197" s="321" t="s">
        <v>910</v>
      </c>
      <c r="D197" s="322"/>
      <c r="E197" s="784"/>
      <c r="F197" s="325"/>
      <c r="G197" s="319" t="str">
        <f>IFERROR(IF(E197="","",IF(F197="Direct-from-manufacturer",(E197*H197/1000*'Reporting Year &amp; Inflation Adj.'!$F$9),(E197*I197/1000*'Reporting Year &amp; Inflation Adj.'!$F$9))),"")</f>
        <v/>
      </c>
      <c r="H197" s="791">
        <v>3.2579004410000001E-2</v>
      </c>
      <c r="I197" s="794">
        <v>7.4173864955000002E-2</v>
      </c>
      <c r="J197" s="324">
        <v>0.56113050641558015</v>
      </c>
      <c r="K197" s="68">
        <v>511200</v>
      </c>
      <c r="L197" s="68" t="s">
        <v>3642</v>
      </c>
      <c r="M197" s="69" t="s">
        <v>904</v>
      </c>
      <c r="N197" s="69" t="s">
        <v>912</v>
      </c>
      <c r="O197" s="70">
        <v>3.5854920470000003E-2</v>
      </c>
      <c r="P197" s="70">
        <v>4.5433523160000003E-2</v>
      </c>
      <c r="Q197" s="70">
        <v>8.1184150829999982E-2</v>
      </c>
    </row>
    <row r="198" spans="3:17" ht="28.5">
      <c r="C198" s="321" t="s">
        <v>916</v>
      </c>
      <c r="D198" s="322"/>
      <c r="E198" s="784"/>
      <c r="F198" s="325"/>
      <c r="G198" s="319" t="str">
        <f>IFERROR(IF(E198="","",IF(F198="Direct-from-manufacturer",(E198*H198/1000*'Reporting Year &amp; Inflation Adj.'!$F$9),(E198*I198/1000*'Reporting Year &amp; Inflation Adj.'!$F$9))),"")</f>
        <v/>
      </c>
      <c r="H198" s="791">
        <v>2.3915154050000002E-2</v>
      </c>
      <c r="I198" s="794">
        <v>4.0206235659999999E-2</v>
      </c>
      <c r="J198" s="324">
        <v>0.40533022695315912</v>
      </c>
      <c r="K198" s="68">
        <v>512200</v>
      </c>
      <c r="L198" s="68" t="s">
        <v>3643</v>
      </c>
      <c r="M198" s="69" t="s">
        <v>904</v>
      </c>
      <c r="N198" s="69" t="s">
        <v>918</v>
      </c>
      <c r="O198" s="70">
        <v>2.6393777782000007E-2</v>
      </c>
      <c r="P198" s="70">
        <v>1.8227289521000001E-2</v>
      </c>
      <c r="Q198" s="70">
        <v>4.4635745090000012E-2</v>
      </c>
    </row>
    <row r="199" spans="3:17" ht="42.75">
      <c r="C199" s="321" t="s">
        <v>703</v>
      </c>
      <c r="D199" s="322"/>
      <c r="E199" s="784"/>
      <c r="F199" s="325"/>
      <c r="G199" s="319" t="str">
        <f>IFERROR(IF(E199="","",IF(F199="Direct-from-manufacturer",(E199*H199/1000*'Reporting Year &amp; Inflation Adj.'!$F$9),(E199*I199/1000*'Reporting Year &amp; Inflation Adj.'!$F$9))),"")</f>
        <v/>
      </c>
      <c r="H199" s="791">
        <v>0.16208735524000004</v>
      </c>
      <c r="I199" s="794">
        <v>0.18571072511000006</v>
      </c>
      <c r="J199" s="324">
        <v>0.12615173986921491</v>
      </c>
      <c r="K199" s="68">
        <v>333514</v>
      </c>
      <c r="L199" s="68" t="s">
        <v>3644</v>
      </c>
      <c r="M199" s="69" t="s">
        <v>440</v>
      </c>
      <c r="N199" s="69" t="s">
        <v>702</v>
      </c>
      <c r="O199" s="70">
        <v>0.18490337550000002</v>
      </c>
      <c r="P199" s="70">
        <v>2.5839105580000004E-2</v>
      </c>
      <c r="Q199" s="70">
        <v>0.21124523005999998</v>
      </c>
    </row>
    <row r="200" spans="3:17" ht="57">
      <c r="C200" s="321" t="s">
        <v>765</v>
      </c>
      <c r="D200" s="322"/>
      <c r="E200" s="784"/>
      <c r="F200" s="325"/>
      <c r="G200" s="319" t="str">
        <f>IFERROR(IF(E200="","",IF(F200="Direct-from-manufacturer",(E200*H200/1000*'Reporting Year &amp; Inflation Adj.'!$F$9),(E200*I200/1000*'Reporting Year &amp; Inflation Adj.'!$F$9))),"")</f>
        <v/>
      </c>
      <c r="H200" s="791">
        <v>9.9984565235000003E-2</v>
      </c>
      <c r="I200" s="794">
        <v>0.11261668092499999</v>
      </c>
      <c r="J200" s="324">
        <v>0.11582294135170547</v>
      </c>
      <c r="K200" s="68">
        <v>335311</v>
      </c>
      <c r="L200" s="68" t="s">
        <v>3646</v>
      </c>
      <c r="M200" s="69" t="s">
        <v>440</v>
      </c>
      <c r="N200" s="69" t="s">
        <v>767</v>
      </c>
      <c r="O200" s="70">
        <v>0.11876676388</v>
      </c>
      <c r="P200" s="70">
        <v>1.5369218896999997E-2</v>
      </c>
      <c r="Q200" s="70">
        <v>0.13364481585999996</v>
      </c>
    </row>
    <row r="201" spans="3:17" ht="71.25">
      <c r="C201" s="321" t="s">
        <v>710</v>
      </c>
      <c r="D201" s="322"/>
      <c r="E201" s="784"/>
      <c r="F201" s="325"/>
      <c r="G201" s="319" t="str">
        <f>IFERROR(IF(E201="","",IF(F201="Direct-from-manufacturer",(E201*H201/1000*'Reporting Year &amp; Inflation Adj.'!$F$9),(E201*I201/1000*'Reporting Year &amp; Inflation Adj.'!$F$9))),"")</f>
        <v/>
      </c>
      <c r="H201" s="791">
        <v>0.13750313211500004</v>
      </c>
      <c r="I201" s="794">
        <v>0.15167449485499998</v>
      </c>
      <c r="J201" s="324">
        <v>9.2120638136012886E-2</v>
      </c>
      <c r="K201" s="68">
        <v>333612</v>
      </c>
      <c r="L201" s="68" t="s">
        <v>3647</v>
      </c>
      <c r="M201" s="69" t="s">
        <v>440</v>
      </c>
      <c r="N201" s="69" t="s">
        <v>709</v>
      </c>
      <c r="O201" s="70">
        <v>0.16449278955999999</v>
      </c>
      <c r="P201" s="70">
        <v>1.5745833661000002E-2</v>
      </c>
      <c r="Q201" s="70">
        <v>0.18016226941000002</v>
      </c>
    </row>
    <row r="202" spans="3:17" ht="42.75">
      <c r="C202" s="321" t="s">
        <v>846</v>
      </c>
      <c r="D202" s="322"/>
      <c r="E202" s="784"/>
      <c r="F202" s="325"/>
      <c r="G202" s="319" t="str">
        <f>IFERROR(IF(E202="","",IF(F202="Direct-from-manufacturer",(E202*H202/1000*'Reporting Year &amp; Inflation Adj.'!$F$9),(E202*I202/1000*'Reporting Year &amp; Inflation Adj.'!$F$9))),"")</f>
        <v/>
      </c>
      <c r="H202" s="791">
        <v>9.2296552665000003E-2</v>
      </c>
      <c r="I202" s="794">
        <v>0.15027903540000004</v>
      </c>
      <c r="J202" s="324">
        <v>0.38299411615733586</v>
      </c>
      <c r="K202" s="68">
        <v>339920</v>
      </c>
      <c r="L202" s="68" t="s">
        <v>3648</v>
      </c>
      <c r="M202" s="69" t="s">
        <v>440</v>
      </c>
      <c r="N202" s="69" t="s">
        <v>845</v>
      </c>
      <c r="O202" s="70">
        <v>0.10437189890000004</v>
      </c>
      <c r="P202" s="70">
        <v>6.4242298369999992E-2</v>
      </c>
      <c r="Q202" s="70">
        <v>0.16901058745</v>
      </c>
    </row>
    <row r="203" spans="3:17" ht="57">
      <c r="C203" s="321" t="s">
        <v>659</v>
      </c>
      <c r="D203" s="322"/>
      <c r="E203" s="784"/>
      <c r="F203" s="325"/>
      <c r="G203" s="319" t="str">
        <f>IFERROR(IF(E203="","",IF(F203="Direct-from-manufacturer",(E203*H203/1000*'Reporting Year &amp; Inflation Adj.'!$F$9),(E203*I203/1000*'Reporting Year &amp; Inflation Adj.'!$F$9))),"")</f>
        <v/>
      </c>
      <c r="H203" s="791">
        <v>0.19788211394500002</v>
      </c>
      <c r="I203" s="794">
        <v>0.21073330875500002</v>
      </c>
      <c r="J203" s="324">
        <v>6.1548484658774938E-2</v>
      </c>
      <c r="K203" s="68">
        <v>332600</v>
      </c>
      <c r="L203" s="68" t="s">
        <v>3650</v>
      </c>
      <c r="M203" s="69" t="s">
        <v>440</v>
      </c>
      <c r="N203" s="69" t="s">
        <v>661</v>
      </c>
      <c r="O203" s="70">
        <v>0.21969225398000003</v>
      </c>
      <c r="P203" s="70">
        <v>1.3756170960999998E-2</v>
      </c>
      <c r="Q203" s="70">
        <v>0.23385933550999999</v>
      </c>
    </row>
    <row r="204" spans="3:17" ht="42.75">
      <c r="C204" s="321" t="s">
        <v>535</v>
      </c>
      <c r="D204" s="322"/>
      <c r="E204" s="784"/>
      <c r="F204" s="325"/>
      <c r="G204" s="319" t="str">
        <f>IFERROR(IF(E204="","",IF(F204="Direct-from-manufacturer",(E204*H204/1000*'Reporting Year &amp; Inflation Adj.'!$F$9),(E204*I204/1000*'Reporting Year &amp; Inflation Adj.'!$F$9))),"")</f>
        <v/>
      </c>
      <c r="H204" s="791">
        <v>0.23170521500500002</v>
      </c>
      <c r="I204" s="794">
        <v>0.26090053294999987</v>
      </c>
      <c r="J204" s="324">
        <v>0.10999648195620912</v>
      </c>
      <c r="K204" s="68">
        <v>322230</v>
      </c>
      <c r="L204" s="68" t="s">
        <v>3651</v>
      </c>
      <c r="M204" s="69" t="s">
        <v>440</v>
      </c>
      <c r="N204" s="69" t="s">
        <v>533</v>
      </c>
      <c r="O204" s="70">
        <v>0.26653690626999998</v>
      </c>
      <c r="P204" s="70">
        <v>3.1294839549999995E-2</v>
      </c>
      <c r="Q204" s="70">
        <v>0.29841902962000011</v>
      </c>
    </row>
    <row r="205" spans="3:17" ht="57">
      <c r="C205" s="321" t="s">
        <v>771</v>
      </c>
      <c r="D205" s="322"/>
      <c r="E205" s="784"/>
      <c r="F205" s="325"/>
      <c r="G205" s="319" t="str">
        <f>IFERROR(IF(E205="","",IF(F205="Direct-from-manufacturer",(E205*H205/1000*'Reporting Year &amp; Inflation Adj.'!$F$9),(E205*I205/1000*'Reporting Year &amp; Inflation Adj.'!$F$9))),"")</f>
        <v/>
      </c>
      <c r="H205" s="791">
        <v>0.24495941232500004</v>
      </c>
      <c r="I205" s="794">
        <v>0.26781332346999992</v>
      </c>
      <c r="J205" s="324">
        <v>8.7929973142795895E-2</v>
      </c>
      <c r="K205" s="68">
        <v>335911</v>
      </c>
      <c r="L205" s="68" t="s">
        <v>3652</v>
      </c>
      <c r="M205" s="69" t="s">
        <v>440</v>
      </c>
      <c r="N205" s="69" t="s">
        <v>773</v>
      </c>
      <c r="O205" s="70">
        <v>0.31302456237999998</v>
      </c>
      <c r="P205" s="70">
        <v>2.5879296299999997E-2</v>
      </c>
      <c r="Q205" s="70">
        <v>0.33830367888000007</v>
      </c>
    </row>
    <row r="206" spans="3:17" ht="57">
      <c r="C206" s="321" t="s">
        <v>450</v>
      </c>
      <c r="D206" s="322"/>
      <c r="E206" s="784"/>
      <c r="F206" s="325"/>
      <c r="G206" s="319" t="str">
        <f>IFERROR(IF(E206="","",IF(F206="Direct-from-manufacturer",(E206*H206/1000*'Reporting Year &amp; Inflation Adj.'!$F$9),(E206*I206/1000*'Reporting Year &amp; Inflation Adj.'!$F$9))),"")</f>
        <v/>
      </c>
      <c r="H206" s="791">
        <v>0.33055147623000003</v>
      </c>
      <c r="I206" s="794">
        <v>0.36099195298000009</v>
      </c>
      <c r="J206" s="324">
        <v>8.4337012483729032E-2</v>
      </c>
      <c r="K206" s="68">
        <v>311300</v>
      </c>
      <c r="L206" s="68" t="s">
        <v>3653</v>
      </c>
      <c r="M206" s="69" t="s">
        <v>440</v>
      </c>
      <c r="N206" s="69" t="s">
        <v>452</v>
      </c>
      <c r="O206" s="70">
        <v>0.44729847981000004</v>
      </c>
      <c r="P206" s="70">
        <v>4.031134351E-2</v>
      </c>
      <c r="Q206" s="70">
        <v>0.4876606376</v>
      </c>
    </row>
    <row r="207" spans="3:17" ht="71.25">
      <c r="C207" s="321" t="s">
        <v>836</v>
      </c>
      <c r="D207" s="322"/>
      <c r="E207" s="784"/>
      <c r="F207" s="325"/>
      <c r="G207" s="319" t="str">
        <f>IFERROR(IF(E207="","",IF(F207="Direct-from-manufacturer",(E207*H207/1000*'Reporting Year &amp; Inflation Adj.'!$F$9),(E207*I207/1000*'Reporting Year &amp; Inflation Adj.'!$F$9))),"")</f>
        <v/>
      </c>
      <c r="H207" s="791">
        <v>0.10288027978999999</v>
      </c>
      <c r="I207" s="794">
        <v>0.13594991909999998</v>
      </c>
      <c r="J207" s="324">
        <v>0.2425174100011657</v>
      </c>
      <c r="K207" s="68">
        <v>339112</v>
      </c>
      <c r="L207" s="68" t="s">
        <v>3654</v>
      </c>
      <c r="M207" s="69" t="s">
        <v>440</v>
      </c>
      <c r="N207" s="69" t="s">
        <v>838</v>
      </c>
      <c r="O207" s="70">
        <v>0.12011926065999999</v>
      </c>
      <c r="P207" s="70">
        <v>3.7060093000000002E-2</v>
      </c>
      <c r="Q207" s="70">
        <v>0.15715856869000003</v>
      </c>
    </row>
    <row r="208" spans="3:17" ht="57">
      <c r="C208" s="321" t="s">
        <v>839</v>
      </c>
      <c r="D208" s="322"/>
      <c r="E208" s="784"/>
      <c r="F208" s="325"/>
      <c r="G208" s="319" t="str">
        <f>IFERROR(IF(E208="","",IF(F208="Direct-from-manufacturer",(E208*H208/1000*'Reporting Year &amp; Inflation Adj.'!$F$9),(E208*I208/1000*'Reporting Year &amp; Inflation Adj.'!$F$9))),"")</f>
        <v/>
      </c>
      <c r="H208" s="791">
        <v>8.2925477965000008E-2</v>
      </c>
      <c r="I208" s="794">
        <v>0.12213769005000001</v>
      </c>
      <c r="J208" s="324">
        <v>0.32172793958125123</v>
      </c>
      <c r="K208" s="68">
        <v>339113</v>
      </c>
      <c r="L208" s="68" t="s">
        <v>3655</v>
      </c>
      <c r="M208" s="69" t="s">
        <v>440</v>
      </c>
      <c r="N208" s="69" t="s">
        <v>838</v>
      </c>
      <c r="O208" s="70">
        <v>9.6384911100000012E-2</v>
      </c>
      <c r="P208" s="70">
        <v>4.5074250099999991E-2</v>
      </c>
      <c r="Q208" s="70">
        <v>0.14194901230000004</v>
      </c>
    </row>
    <row r="209" spans="3:17" ht="42.75">
      <c r="C209" s="321" t="s">
        <v>769</v>
      </c>
      <c r="D209" s="322"/>
      <c r="E209" s="784"/>
      <c r="F209" s="325"/>
      <c r="G209" s="319" t="str">
        <f>IFERROR(IF(E209="","",IF(F209="Direct-from-manufacturer",(E209*H209/1000*'Reporting Year &amp; Inflation Adj.'!$F$9),(E209*I209/1000*'Reporting Year &amp; Inflation Adj.'!$F$9))),"")</f>
        <v/>
      </c>
      <c r="H209" s="791">
        <v>0.122893018975</v>
      </c>
      <c r="I209" s="794">
        <v>0.13984351550499999</v>
      </c>
      <c r="J209" s="324">
        <v>0.11911009924092227</v>
      </c>
      <c r="K209" s="68">
        <v>335313</v>
      </c>
      <c r="L209" s="68" t="s">
        <v>3656</v>
      </c>
      <c r="M209" s="69" t="s">
        <v>440</v>
      </c>
      <c r="N209" s="69" t="s">
        <v>767</v>
      </c>
      <c r="O209" s="70">
        <v>0.15367667088999998</v>
      </c>
      <c r="P209" s="70">
        <v>2.130306526E-2</v>
      </c>
      <c r="Q209" s="70">
        <v>0.17456636504000003</v>
      </c>
    </row>
    <row r="210" spans="3:17" ht="28.5">
      <c r="C210" s="321" t="s">
        <v>552</v>
      </c>
      <c r="D210" s="322"/>
      <c r="E210" s="784"/>
      <c r="F210" s="325"/>
      <c r="G210" s="319" t="str">
        <f>IFERROR(IF(E210="","",IF(F210="Direct-from-manufacturer",(E210*H210/1000*'Reporting Year &amp; Inflation Adj.'!$F$9),(E210*I210/1000*'Reporting Year &amp; Inflation Adj.'!$F$9))),"")</f>
        <v/>
      </c>
      <c r="H210" s="791">
        <v>0.40333042213999998</v>
      </c>
      <c r="I210" s="794">
        <v>0.43103038791000009</v>
      </c>
      <c r="J210" s="324">
        <v>6.4939149338687732E-2</v>
      </c>
      <c r="K210" s="68">
        <v>325130</v>
      </c>
      <c r="L210" s="68" t="s">
        <v>3657</v>
      </c>
      <c r="M210" s="69" t="s">
        <v>440</v>
      </c>
      <c r="N210" s="69" t="s">
        <v>550</v>
      </c>
      <c r="O210" s="70">
        <v>0.40761407405000005</v>
      </c>
      <c r="P210" s="70">
        <v>2.6787533034E-2</v>
      </c>
      <c r="Q210" s="70">
        <v>0.43459764584000005</v>
      </c>
    </row>
    <row r="211" spans="3:17" ht="99.75">
      <c r="C211" s="321" t="s">
        <v>557</v>
      </c>
      <c r="D211" s="322"/>
      <c r="E211" s="784"/>
      <c r="F211" s="325"/>
      <c r="G211" s="319" t="str">
        <f>IFERROR(IF(E211="","",IF(F211="Direct-from-manufacturer",(E211*H211/1000*'Reporting Year &amp; Inflation Adj.'!$F$9),(E211*I211/1000*'Reporting Year &amp; Inflation Adj.'!$F$9))),"")</f>
        <v/>
      </c>
      <c r="H211" s="791">
        <v>0.83536685813000022</v>
      </c>
      <c r="I211" s="794">
        <v>0.85307943721000012</v>
      </c>
      <c r="J211" s="324">
        <v>2.0736473642893986E-2</v>
      </c>
      <c r="K211" s="68" t="s">
        <v>558</v>
      </c>
      <c r="L211" s="68" t="s">
        <v>3658</v>
      </c>
      <c r="M211" s="69" t="s">
        <v>440</v>
      </c>
      <c r="N211" s="69" t="s">
        <v>556</v>
      </c>
      <c r="O211" s="70">
        <v>0.89095166134000015</v>
      </c>
      <c r="P211" s="70">
        <v>1.6541261334000003E-2</v>
      </c>
      <c r="Q211" s="70">
        <v>0.90779730602000008</v>
      </c>
    </row>
    <row r="212" spans="3:17" ht="85.5">
      <c r="C212" s="321" t="s">
        <v>729</v>
      </c>
      <c r="D212" s="322"/>
      <c r="E212" s="784"/>
      <c r="F212" s="325"/>
      <c r="G212" s="319" t="str">
        <f>IFERROR(IF(E212="","",IF(F212="Direct-from-manufacturer",(E212*H212/1000*'Reporting Year &amp; Inflation Adj.'!$F$9),(E212*I212/1000*'Reporting Year &amp; Inflation Adj.'!$F$9))),"")</f>
        <v/>
      </c>
      <c r="H212" s="791">
        <v>4.4794109530000001E-2</v>
      </c>
      <c r="I212" s="794">
        <v>8.4881299135000018E-2</v>
      </c>
      <c r="J212" s="324">
        <v>0.47229842513649228</v>
      </c>
      <c r="K212" s="68">
        <v>334210</v>
      </c>
      <c r="L212" s="68" t="s">
        <v>3660</v>
      </c>
      <c r="M212" s="69" t="s">
        <v>440</v>
      </c>
      <c r="N212" s="69" t="s">
        <v>731</v>
      </c>
      <c r="O212" s="70">
        <v>5.1110053150000008E-2</v>
      </c>
      <c r="P212" s="70">
        <v>4.5972486780000016E-2</v>
      </c>
      <c r="Q212" s="70">
        <v>9.7087003930000013E-2</v>
      </c>
    </row>
    <row r="213" spans="3:17" ht="28.5">
      <c r="C213" s="321" t="s">
        <v>490</v>
      </c>
      <c r="D213" s="322"/>
      <c r="E213" s="784"/>
      <c r="F213" s="325"/>
      <c r="G213" s="319" t="str">
        <f>IFERROR(IF(E213="","",IF(F213="Direct-from-manufacturer",(E213*H213/1000*'Reporting Year &amp; Inflation Adj.'!$F$9),(E213*I213/1000*'Reporting Year &amp; Inflation Adj.'!$F$9))),"")</f>
        <v/>
      </c>
      <c r="H213" s="791">
        <v>4.2463721194999991E-2</v>
      </c>
      <c r="I213" s="794">
        <v>7.7916650829999989E-2</v>
      </c>
      <c r="J213" s="324">
        <v>0.45506456004328244</v>
      </c>
      <c r="K213" s="68">
        <v>312200</v>
      </c>
      <c r="L213" s="68" t="s">
        <v>3662</v>
      </c>
      <c r="M213" s="69" t="s">
        <v>440</v>
      </c>
      <c r="N213" s="69" t="s">
        <v>492</v>
      </c>
      <c r="O213" s="70">
        <v>5.5884124348999989E-2</v>
      </c>
      <c r="P213" s="70">
        <v>4.6046203019999989E-2</v>
      </c>
      <c r="Q213" s="70">
        <v>0.10183397416999998</v>
      </c>
    </row>
    <row r="214" spans="3:17" ht="57">
      <c r="C214" s="321" t="s">
        <v>576</v>
      </c>
      <c r="D214" s="322"/>
      <c r="E214" s="784"/>
      <c r="F214" s="325"/>
      <c r="G214" s="319" t="str">
        <f>IFERROR(IF(E214="","",IF(F214="Direct-from-manufacturer",(E214*H214/1000*'Reporting Year &amp; Inflation Adj.'!$F$9),(E214*I214/1000*'Reporting Year &amp; Inflation Adj.'!$F$9))),"")</f>
        <v/>
      </c>
      <c r="H214" s="791">
        <v>0.12160752143999999</v>
      </c>
      <c r="I214" s="794">
        <v>0.17445835138000002</v>
      </c>
      <c r="J214" s="324">
        <v>0.29832199873675086</v>
      </c>
      <c r="K214" s="68">
        <v>325620</v>
      </c>
      <c r="L214" s="68" t="s">
        <v>3664</v>
      </c>
      <c r="M214" s="69" t="s">
        <v>440</v>
      </c>
      <c r="N214" s="69" t="s">
        <v>575</v>
      </c>
      <c r="O214" s="70">
        <v>0.13675569884000005</v>
      </c>
      <c r="P214" s="70">
        <v>5.8662337269999996E-2</v>
      </c>
      <c r="Q214" s="70">
        <v>0.19558050494999998</v>
      </c>
    </row>
    <row r="215" spans="3:17" ht="30">
      <c r="C215" s="321" t="s">
        <v>796</v>
      </c>
      <c r="D215" s="322"/>
      <c r="E215" s="784"/>
      <c r="F215" s="325"/>
      <c r="G215" s="319" t="str">
        <f>IFERROR(IF(E215="","",IF(F215="Direct-from-manufacturer",(E215*H215/1000*'Reporting Year &amp; Inflation Adj.'!$F$9),(E215*I215/1000*'Reporting Year &amp; Inflation Adj.'!$F$9))),"")</f>
        <v/>
      </c>
      <c r="H215" s="791">
        <v>0.20609815434500001</v>
      </c>
      <c r="I215" s="794">
        <v>0.23105709349500003</v>
      </c>
      <c r="J215" s="324">
        <v>0.10623749342078168</v>
      </c>
      <c r="K215" s="68">
        <v>336350</v>
      </c>
      <c r="L215" s="68" t="s">
        <v>3665</v>
      </c>
      <c r="M215" s="69" t="s">
        <v>440</v>
      </c>
      <c r="N215" s="69" t="s">
        <v>792</v>
      </c>
      <c r="O215" s="70">
        <v>0.22724334094999996</v>
      </c>
      <c r="P215" s="70">
        <v>2.694825792E-2</v>
      </c>
      <c r="Q215" s="70">
        <v>0.25363583119000005</v>
      </c>
    </row>
    <row r="216" spans="3:17" ht="85.5">
      <c r="C216" s="321" t="s">
        <v>789</v>
      </c>
      <c r="D216" s="322"/>
      <c r="E216" s="784"/>
      <c r="F216" s="325"/>
      <c r="G216" s="319" t="str">
        <f>IFERROR(IF(E216="","",IF(F216="Direct-from-manufacturer",(E216*H216/1000*'Reporting Year &amp; Inflation Adj.'!$F$9),(E216*I216/1000*'Reporting Year &amp; Inflation Adj.'!$F$9))),"")</f>
        <v/>
      </c>
      <c r="H216" s="791">
        <v>0.12330126315499999</v>
      </c>
      <c r="I216" s="794">
        <v>0.15396649610999999</v>
      </c>
      <c r="J216" s="324">
        <v>0.20371627436784176</v>
      </c>
      <c r="K216" s="68">
        <v>336214</v>
      </c>
      <c r="L216" s="68" t="s">
        <v>3666</v>
      </c>
      <c r="M216" s="69" t="s">
        <v>440</v>
      </c>
      <c r="N216" s="69" t="s">
        <v>786</v>
      </c>
      <c r="O216" s="70">
        <v>0.12832459967999998</v>
      </c>
      <c r="P216" s="70">
        <v>3.3118057489999998E-2</v>
      </c>
      <c r="Q216" s="70">
        <v>0.16122923276999995</v>
      </c>
    </row>
    <row r="217" spans="3:17" ht="42.75">
      <c r="C217" s="321" t="s">
        <v>787</v>
      </c>
      <c r="D217" s="322"/>
      <c r="E217" s="784"/>
      <c r="F217" s="325"/>
      <c r="G217" s="319" t="str">
        <f>IFERROR(IF(E217="","",IF(F217="Direct-from-manufacturer",(E217*H217/1000*'Reporting Year &amp; Inflation Adj.'!$F$9),(E217*I217/1000*'Reporting Year &amp; Inflation Adj.'!$F$9))),"")</f>
        <v/>
      </c>
      <c r="H217" s="791">
        <v>0.17803496009500008</v>
      </c>
      <c r="I217" s="794">
        <v>0.191562193715</v>
      </c>
      <c r="J217" s="324">
        <v>7.3738436698085927E-2</v>
      </c>
      <c r="K217" s="68">
        <v>336212</v>
      </c>
      <c r="L217" s="68" t="s">
        <v>3667</v>
      </c>
      <c r="M217" s="69" t="s">
        <v>440</v>
      </c>
      <c r="N217" s="69" t="s">
        <v>786</v>
      </c>
      <c r="O217" s="70">
        <v>0.1868422435</v>
      </c>
      <c r="P217" s="70">
        <v>1.4850873255999998E-2</v>
      </c>
      <c r="Q217" s="70">
        <v>0.20160288692999995</v>
      </c>
    </row>
    <row r="218" spans="3:17" ht="71.25">
      <c r="C218" s="321" t="s">
        <v>707</v>
      </c>
      <c r="D218" s="322"/>
      <c r="E218" s="784"/>
      <c r="F218" s="325"/>
      <c r="G218" s="319" t="str">
        <f>IFERROR(IF(E218="","",IF(F218="Direct-from-manufacturer",(E218*H218/1000*'Reporting Year &amp; Inflation Adj.'!$F$9),(E218*I218/1000*'Reporting Year &amp; Inflation Adj.'!$F$9))),"")</f>
        <v/>
      </c>
      <c r="H218" s="791">
        <v>0.15272658064</v>
      </c>
      <c r="I218" s="794">
        <v>0.175080145385</v>
      </c>
      <c r="J218" s="324">
        <v>0.12365049867530414</v>
      </c>
      <c r="K218" s="68">
        <v>333611</v>
      </c>
      <c r="L218" s="68" t="s">
        <v>3668</v>
      </c>
      <c r="M218" s="69" t="s">
        <v>440</v>
      </c>
      <c r="N218" s="69" t="s">
        <v>709</v>
      </c>
      <c r="O218" s="70">
        <v>0.17814769991999999</v>
      </c>
      <c r="P218" s="70">
        <v>2.4136216280000001E-2</v>
      </c>
      <c r="Q218" s="70">
        <v>0.20219486679999998</v>
      </c>
    </row>
    <row r="219" spans="3:17" ht="185.25">
      <c r="C219" s="321" t="s">
        <v>369</v>
      </c>
      <c r="D219" s="322"/>
      <c r="E219" s="784"/>
      <c r="F219" s="325"/>
      <c r="G219" s="319" t="str">
        <f>IFERROR(IF(E219="","",IF(F219="Direct-from-manufacturer",(E219*H219/1000*'Reporting Year &amp; Inflation Adj.'!$F$9),(E219*I219/1000*'Reporting Year &amp; Inflation Adj.'!$F$9))),"")</f>
        <v/>
      </c>
      <c r="H219" s="791">
        <v>0.5873075376250001</v>
      </c>
      <c r="I219" s="794">
        <v>0.63673808096999995</v>
      </c>
      <c r="J219" s="324">
        <v>8.0266432262291507E-2</v>
      </c>
      <c r="K219" s="68">
        <v>211000</v>
      </c>
      <c r="L219" s="68" t="s">
        <v>3669</v>
      </c>
      <c r="M219" s="69" t="s">
        <v>371</v>
      </c>
      <c r="N219" s="69" t="s">
        <v>372</v>
      </c>
      <c r="O219" s="70">
        <v>0.39016657961400003</v>
      </c>
      <c r="P219" s="70">
        <v>2.8213200745E-2</v>
      </c>
      <c r="Q219" s="70">
        <v>0.41917318536599996</v>
      </c>
    </row>
    <row r="220" spans="3:17" ht="42.75">
      <c r="C220" s="321" t="s">
        <v>588</v>
      </c>
      <c r="D220" s="322"/>
      <c r="E220" s="784"/>
      <c r="F220" s="325"/>
      <c r="G220" s="319" t="str">
        <f>IFERROR(IF(E220="","",IF(F220="Direct-from-manufacturer",(E220*H220/1000*'Reporting Year &amp; Inflation Adj.'!$F$9),(E220*I220/1000*'Reporting Year &amp; Inflation Adj.'!$F$9))),"")</f>
        <v/>
      </c>
      <c r="H220" s="791">
        <v>0.30092099455000004</v>
      </c>
      <c r="I220" s="794">
        <v>0.34335698845000001</v>
      </c>
      <c r="J220" s="324">
        <v>0.12415796243858276</v>
      </c>
      <c r="K220" s="68">
        <v>326150</v>
      </c>
      <c r="L220" s="68" t="s">
        <v>3670</v>
      </c>
      <c r="M220" s="69" t="s">
        <v>440</v>
      </c>
      <c r="N220" s="69" t="s">
        <v>584</v>
      </c>
      <c r="O220" s="70">
        <v>0.32021988693000009</v>
      </c>
      <c r="P220" s="70">
        <v>4.2660458610000007E-2</v>
      </c>
      <c r="Q220" s="70">
        <v>0.36288634806999998</v>
      </c>
    </row>
    <row r="221" spans="3:17" ht="42.75">
      <c r="C221" s="321" t="s">
        <v>568</v>
      </c>
      <c r="D221" s="322"/>
      <c r="E221" s="784"/>
      <c r="F221" s="325"/>
      <c r="G221" s="319" t="str">
        <f>IFERROR(IF(E221="","",IF(F221="Direct-from-manufacturer",(E221*H221/1000*'Reporting Year &amp; Inflation Adj.'!$F$9),(E221*I221/1000*'Reporting Year &amp; Inflation Adj.'!$F$9))),"")</f>
        <v/>
      </c>
      <c r="H221" s="791">
        <v>0.120133297665</v>
      </c>
      <c r="I221" s="794">
        <v>0.14236750703500001</v>
      </c>
      <c r="J221" s="324">
        <v>0.15752006365108856</v>
      </c>
      <c r="K221" s="68">
        <v>325414</v>
      </c>
      <c r="L221" s="68" t="s">
        <v>3672</v>
      </c>
      <c r="M221" s="69" t="s">
        <v>440</v>
      </c>
      <c r="N221" s="69" t="s">
        <v>565</v>
      </c>
      <c r="O221" s="70">
        <v>0.12672107044</v>
      </c>
      <c r="P221" s="70">
        <v>2.4981266810000003E-2</v>
      </c>
      <c r="Q221" s="70">
        <v>0.15229795590999998</v>
      </c>
    </row>
    <row r="222" spans="3:17" ht="57">
      <c r="C222" s="321" t="s">
        <v>669</v>
      </c>
      <c r="D222" s="322"/>
      <c r="E222" s="784"/>
      <c r="F222" s="325"/>
      <c r="G222" s="319" t="str">
        <f>IFERROR(IF(E222="","",IF(F222="Direct-from-manufacturer",(E222*H222/1000*'Reporting Year &amp; Inflation Adj.'!$F$9),(E222*I222/1000*'Reporting Year &amp; Inflation Adj.'!$F$9))),"")</f>
        <v/>
      </c>
      <c r="H222" s="791">
        <v>0.11775819243000001</v>
      </c>
      <c r="I222" s="794">
        <v>0.13947618804499998</v>
      </c>
      <c r="J222" s="324">
        <v>0.15786914600717289</v>
      </c>
      <c r="K222" s="68" t="s">
        <v>670</v>
      </c>
      <c r="L222" s="68" t="s">
        <v>3343</v>
      </c>
      <c r="M222" s="69" t="s">
        <v>440</v>
      </c>
      <c r="N222" s="69" t="s">
        <v>671</v>
      </c>
      <c r="O222" s="70">
        <v>0.14749188716000003</v>
      </c>
      <c r="P222" s="70">
        <v>2.677316095E-2</v>
      </c>
      <c r="Q222" s="70">
        <v>0.17427236980000002</v>
      </c>
    </row>
    <row r="223" spans="3:17" ht="42.75">
      <c r="C223" s="321" t="s">
        <v>447</v>
      </c>
      <c r="D223" s="322"/>
      <c r="E223" s="784"/>
      <c r="F223" s="325"/>
      <c r="G223" s="319" t="str">
        <f>IFERROR(IF(E223="","",IF(F223="Direct-from-manufacturer",(E223*H223/1000*'Reporting Year &amp; Inflation Adj.'!$F$9),(E223*I223/1000*'Reporting Year &amp; Inflation Adj.'!$F$9))),"")</f>
        <v/>
      </c>
      <c r="H223" s="791">
        <v>0.54880636398000004</v>
      </c>
      <c r="I223" s="794">
        <v>0.58297055075000004</v>
      </c>
      <c r="J223" s="324">
        <v>6.0029923484089462E-2</v>
      </c>
      <c r="K223" s="68">
        <v>311224</v>
      </c>
      <c r="L223" s="68" t="s">
        <v>3673</v>
      </c>
      <c r="M223" s="69" t="s">
        <v>440</v>
      </c>
      <c r="N223" s="69" t="s">
        <v>445</v>
      </c>
      <c r="O223" s="70">
        <v>0.48947541996999999</v>
      </c>
      <c r="P223" s="70">
        <v>3.0651421640000003E-2</v>
      </c>
      <c r="Q223" s="70">
        <v>0.51941692100000003</v>
      </c>
    </row>
    <row r="224" spans="3:17" ht="42.75">
      <c r="C224" s="321" t="s">
        <v>784</v>
      </c>
      <c r="D224" s="322"/>
      <c r="E224" s="784"/>
      <c r="F224" s="325"/>
      <c r="G224" s="319" t="str">
        <f>IFERROR(IF(E224="","",IF(F224="Direct-from-manufacturer",(E224*H224/1000*'Reporting Year &amp; Inflation Adj.'!$F$9),(E224*I224/1000*'Reporting Year &amp; Inflation Adj.'!$F$9))),"")</f>
        <v/>
      </c>
      <c r="H224" s="791">
        <v>0.19185723220499995</v>
      </c>
      <c r="I224" s="794">
        <v>0.21597078885500001</v>
      </c>
      <c r="J224" s="324">
        <v>0.11161268576086854</v>
      </c>
      <c r="K224" s="68">
        <v>336211</v>
      </c>
      <c r="L224" s="68" t="s">
        <v>3674</v>
      </c>
      <c r="M224" s="69" t="s">
        <v>440</v>
      </c>
      <c r="N224" s="69" t="s">
        <v>786</v>
      </c>
      <c r="O224" s="70">
        <v>0.22592833542999999</v>
      </c>
      <c r="P224" s="70">
        <v>2.8341285469999998E-2</v>
      </c>
      <c r="Q224" s="70">
        <v>0.25398221707000002</v>
      </c>
    </row>
    <row r="225" spans="3:17" ht="57">
      <c r="C225" s="321" t="s">
        <v>793</v>
      </c>
      <c r="D225" s="322"/>
      <c r="E225" s="784"/>
      <c r="F225" s="325"/>
      <c r="G225" s="319" t="str">
        <f>IFERROR(IF(E225="","",IF(F225="Direct-from-manufacturer",(E225*H225/1000*'Reporting Year &amp; Inflation Adj.'!$F$9),(E225*I225/1000*'Reporting Year &amp; Inflation Adj.'!$F$9))),"")</f>
        <v/>
      </c>
      <c r="H225" s="791">
        <v>0.17483482284499999</v>
      </c>
      <c r="I225" s="794">
        <v>0.19971557660499994</v>
      </c>
      <c r="J225" s="324">
        <v>0.12213297868219131</v>
      </c>
      <c r="K225" s="68">
        <v>336320</v>
      </c>
      <c r="L225" s="68" t="s">
        <v>3675</v>
      </c>
      <c r="M225" s="69" t="s">
        <v>440</v>
      </c>
      <c r="N225" s="69" t="s">
        <v>792</v>
      </c>
      <c r="O225" s="70">
        <v>0.19220745401000003</v>
      </c>
      <c r="P225" s="70">
        <v>2.686895597E-2</v>
      </c>
      <c r="Q225" s="70">
        <v>0.21955621522000002</v>
      </c>
    </row>
    <row r="226" spans="3:17" ht="28.5">
      <c r="C226" s="321" t="s">
        <v>790</v>
      </c>
      <c r="D226" s="322"/>
      <c r="E226" s="784"/>
      <c r="F226" s="325"/>
      <c r="G226" s="319" t="str">
        <f>IFERROR(IF(E226="","",IF(F226="Direct-from-manufacturer",(E226*H226/1000*'Reporting Year &amp; Inflation Adj.'!$F$9),(E226*I226/1000*'Reporting Year &amp; Inflation Adj.'!$F$9))),"")</f>
        <v/>
      </c>
      <c r="H226" s="791">
        <v>0.22163554559000001</v>
      </c>
      <c r="I226" s="794">
        <v>0.24915151982499997</v>
      </c>
      <c r="J226" s="324">
        <v>0.11311540756321772</v>
      </c>
      <c r="K226" s="68">
        <v>336310</v>
      </c>
      <c r="L226" s="68" t="s">
        <v>3676</v>
      </c>
      <c r="M226" s="69" t="s">
        <v>440</v>
      </c>
      <c r="N226" s="69" t="s">
        <v>792</v>
      </c>
      <c r="O226" s="70">
        <v>0.23132118061000004</v>
      </c>
      <c r="P226" s="70">
        <v>2.9373836610000002E-2</v>
      </c>
      <c r="Q226" s="70">
        <v>0.26009876108000007</v>
      </c>
    </row>
    <row r="227" spans="3:17" ht="28.5">
      <c r="C227" s="321" t="s">
        <v>798</v>
      </c>
      <c r="D227" s="322"/>
      <c r="E227" s="784"/>
      <c r="F227" s="325"/>
      <c r="G227" s="319" t="str">
        <f>IFERROR(IF(E227="","",IF(F227="Direct-from-manufacturer",(E227*H227/1000*'Reporting Year &amp; Inflation Adj.'!$F$9),(E227*I227/1000*'Reporting Year &amp; Inflation Adj.'!$F$9))),"")</f>
        <v/>
      </c>
      <c r="H227" s="791">
        <v>0.42655841151499996</v>
      </c>
      <c r="I227" s="794">
        <v>0.44571347130999989</v>
      </c>
      <c r="J227" s="324">
        <v>4.1815571347263991E-2</v>
      </c>
      <c r="K227" s="68">
        <v>336370</v>
      </c>
      <c r="L227" s="68" t="s">
        <v>3677</v>
      </c>
      <c r="M227" s="69" t="s">
        <v>440</v>
      </c>
      <c r="N227" s="69" t="s">
        <v>792</v>
      </c>
      <c r="O227" s="70">
        <v>0.48484363152000004</v>
      </c>
      <c r="P227" s="70">
        <v>2.0429700119999998E-2</v>
      </c>
      <c r="Q227" s="70">
        <v>0.50545306074000007</v>
      </c>
    </row>
    <row r="228" spans="3:17" ht="30">
      <c r="C228" s="321" t="s">
        <v>797</v>
      </c>
      <c r="D228" s="322"/>
      <c r="E228" s="784"/>
      <c r="F228" s="325"/>
      <c r="G228" s="319" t="str">
        <f>IFERROR(IF(E228="","",IF(F228="Direct-from-manufacturer",(E228*H228/1000*'Reporting Year &amp; Inflation Adj.'!$F$9),(E228*I228/1000*'Reporting Year &amp; Inflation Adj.'!$F$9))),"")</f>
        <v/>
      </c>
      <c r="H228" s="791">
        <v>0.28953508265</v>
      </c>
      <c r="I228" s="794">
        <v>0.30752452029999999</v>
      </c>
      <c r="J228" s="324">
        <v>5.7801797260457345E-2</v>
      </c>
      <c r="K228" s="68">
        <v>336360</v>
      </c>
      <c r="L228" s="68" t="s">
        <v>3680</v>
      </c>
      <c r="M228" s="69" t="s">
        <v>440</v>
      </c>
      <c r="N228" s="69" t="s">
        <v>792</v>
      </c>
      <c r="O228" s="70">
        <v>0.31854248979999999</v>
      </c>
      <c r="P228" s="70">
        <v>1.8377405210000003E-2</v>
      </c>
      <c r="Q228" s="70">
        <v>0.33679329680000003</v>
      </c>
    </row>
    <row r="229" spans="3:17" ht="42.75">
      <c r="C229" s="321" t="s">
        <v>524</v>
      </c>
      <c r="D229" s="322"/>
      <c r="E229" s="784"/>
      <c r="F229" s="325"/>
      <c r="G229" s="319" t="str">
        <f>IFERROR(IF(E229="","",IF(F229="Direct-from-manufacturer",(E229*H229/1000*'Reporting Year &amp; Inflation Adj.'!$F$9),(E229*I229/1000*'Reporting Year &amp; Inflation Adj.'!$F$9))),"")</f>
        <v/>
      </c>
      <c r="H229" s="791">
        <v>0.14336990779999997</v>
      </c>
      <c r="I229" s="794">
        <v>0.17603291620000006</v>
      </c>
      <c r="J229" s="324">
        <v>0.18293489396842699</v>
      </c>
      <c r="K229" s="68" t="s">
        <v>525</v>
      </c>
      <c r="L229" s="68" t="s">
        <v>3682</v>
      </c>
      <c r="M229" s="69" t="s">
        <v>440</v>
      </c>
      <c r="N229" s="69" t="s">
        <v>523</v>
      </c>
      <c r="O229" s="70">
        <v>0.13663857592</v>
      </c>
      <c r="P229" s="70">
        <v>2.9346889169999994E-2</v>
      </c>
      <c r="Q229" s="70">
        <v>0.16520085732000001</v>
      </c>
    </row>
    <row r="230" spans="3:17" ht="71.25">
      <c r="C230" s="321" t="s">
        <v>753</v>
      </c>
      <c r="D230" s="322"/>
      <c r="E230" s="784"/>
      <c r="F230" s="325"/>
      <c r="G230" s="319" t="str">
        <f>IFERROR(IF(E230="","",IF(F230="Direct-from-manufacturer",(E230*H230/1000*'Reporting Year &amp; Inflation Adj.'!$F$9),(E230*I230/1000*'Reporting Year &amp; Inflation Adj.'!$F$9))),"")</f>
        <v/>
      </c>
      <c r="H230" s="791">
        <v>3.6458835505000002E-2</v>
      </c>
      <c r="I230" s="794">
        <v>7.1851503019999999E-2</v>
      </c>
      <c r="J230" s="324">
        <v>0.49102390669795071</v>
      </c>
      <c r="K230" s="68" t="s">
        <v>754</v>
      </c>
      <c r="L230" s="68" t="s">
        <v>3684</v>
      </c>
      <c r="M230" s="69" t="s">
        <v>440</v>
      </c>
      <c r="N230" s="69" t="s">
        <v>745</v>
      </c>
      <c r="O230" s="70">
        <v>4.4681087580000001E-2</v>
      </c>
      <c r="P230" s="70">
        <v>4.2588299699999999E-2</v>
      </c>
      <c r="Q230" s="70">
        <v>8.7381930999999996E-2</v>
      </c>
    </row>
    <row r="231" spans="3:17" ht="156.75">
      <c r="C231" s="321" t="s">
        <v>718</v>
      </c>
      <c r="D231" s="322"/>
      <c r="E231" s="784"/>
      <c r="F231" s="325"/>
      <c r="G231" s="319" t="str">
        <f>IFERROR(IF(E231="","",IF(F231="Direct-from-manufacturer",(E231*H231/1000*'Reporting Year &amp; Inflation Adj.'!$F$9),(E231*I231/1000*'Reporting Year &amp; Inflation Adj.'!$F$9))),"")</f>
        <v/>
      </c>
      <c r="H231" s="791">
        <v>0.19712561424</v>
      </c>
      <c r="I231" s="794">
        <v>0.21604474969000001</v>
      </c>
      <c r="J231" s="324">
        <v>8.7559182355245138E-2</v>
      </c>
      <c r="K231" s="68" t="s">
        <v>719</v>
      </c>
      <c r="L231" s="68" t="s">
        <v>3685</v>
      </c>
      <c r="M231" s="69" t="s">
        <v>440</v>
      </c>
      <c r="N231" s="69" t="s">
        <v>715</v>
      </c>
      <c r="O231" s="70">
        <v>0.22919756286000004</v>
      </c>
      <c r="P231" s="70">
        <v>2.1109887159999993E-2</v>
      </c>
      <c r="Q231" s="70">
        <v>0.25073325095999999</v>
      </c>
    </row>
    <row r="232" spans="3:17" ht="57">
      <c r="C232" s="321" t="s">
        <v>488</v>
      </c>
      <c r="D232" s="322"/>
      <c r="E232" s="784"/>
      <c r="F232" s="325"/>
      <c r="G232" s="319" t="str">
        <f>IFERROR(IF(E232="","",IF(F232="Direct-from-manufacturer",(E232*H232/1000*'Reporting Year &amp; Inflation Adj.'!$F$9),(E232*I232/1000*'Reporting Year &amp; Inflation Adj.'!$F$9))),"")</f>
        <v/>
      </c>
      <c r="H232" s="791">
        <v>0.10880258996999999</v>
      </c>
      <c r="I232" s="794">
        <v>0.15937550534</v>
      </c>
      <c r="J232" s="324">
        <v>0.31670775695624848</v>
      </c>
      <c r="K232" s="68">
        <v>312130</v>
      </c>
      <c r="L232" s="68" t="s">
        <v>3689</v>
      </c>
      <c r="M232" s="69" t="s">
        <v>440</v>
      </c>
      <c r="N232" s="69" t="s">
        <v>486</v>
      </c>
      <c r="O232" s="70">
        <v>0.12510304581999998</v>
      </c>
      <c r="P232" s="70">
        <v>5.9155324199999998E-2</v>
      </c>
      <c r="Q232" s="70">
        <v>0.18401687329999999</v>
      </c>
    </row>
    <row r="233" spans="3:17" ht="71.25">
      <c r="C233" s="321" t="s">
        <v>732</v>
      </c>
      <c r="D233" s="322"/>
      <c r="E233" s="784"/>
      <c r="F233" s="325"/>
      <c r="G233" s="319" t="str">
        <f>IFERROR(IF(E233="","",IF(F233="Direct-from-manufacturer",(E233*H233/1000*'Reporting Year &amp; Inflation Adj.'!$F$9),(E233*I233/1000*'Reporting Year &amp; Inflation Adj.'!$F$9))),"")</f>
        <v/>
      </c>
      <c r="H233" s="791">
        <v>6.1392066085000016E-2</v>
      </c>
      <c r="I233" s="794">
        <v>0.10554991586000002</v>
      </c>
      <c r="J233" s="324">
        <v>0.41829984842017276</v>
      </c>
      <c r="K233" s="68">
        <v>334220</v>
      </c>
      <c r="L233" s="68" t="s">
        <v>3690</v>
      </c>
      <c r="M233" s="69" t="s">
        <v>440</v>
      </c>
      <c r="N233" s="69" t="s">
        <v>731</v>
      </c>
      <c r="O233" s="70">
        <v>6.526158357999999E-2</v>
      </c>
      <c r="P233" s="70">
        <v>4.7206871920000004E-2</v>
      </c>
      <c r="Q233" s="70">
        <v>0.11245063555000001</v>
      </c>
    </row>
    <row r="234" spans="3:17" ht="57">
      <c r="C234" s="321" t="s">
        <v>776</v>
      </c>
      <c r="D234" s="322"/>
      <c r="E234" s="784"/>
      <c r="F234" s="325"/>
      <c r="G234" s="319" t="str">
        <f>IFERROR(IF(E234="","",IF(F234="Direct-from-manufacturer",(E234*H234/1000*'Reporting Year &amp; Inflation Adj.'!$F$9),(E234*I234/1000*'Reporting Year &amp; Inflation Adj.'!$F$9))),"")</f>
        <v/>
      </c>
      <c r="H234" s="791">
        <v>8.8791775555000008E-2</v>
      </c>
      <c r="I234" s="794">
        <v>0.11054253394999997</v>
      </c>
      <c r="J234" s="324">
        <v>0.20045300431617261</v>
      </c>
      <c r="K234" s="68">
        <v>335930</v>
      </c>
      <c r="L234" s="68" t="s">
        <v>3692</v>
      </c>
      <c r="M234" s="69" t="s">
        <v>440</v>
      </c>
      <c r="N234" s="69" t="s">
        <v>773</v>
      </c>
      <c r="O234" s="70">
        <v>0.10208873781</v>
      </c>
      <c r="P234" s="70">
        <v>2.5883109040000001E-2</v>
      </c>
      <c r="Q234" s="70">
        <v>0.12805501333999997</v>
      </c>
    </row>
    <row r="235" spans="3:17" ht="57">
      <c r="C235" s="321" t="s">
        <v>820</v>
      </c>
      <c r="D235" s="322"/>
      <c r="E235" s="784"/>
      <c r="F235" s="325"/>
      <c r="G235" s="319" t="str">
        <f>IFERROR(IF(E235="","",IF(F235="Direct-from-manufacturer",(E235*H235/1000*'Reporting Year &amp; Inflation Adj.'!$F$9),(E235*I235/1000*'Reporting Year &amp; Inflation Adj.'!$F$9))),"")</f>
        <v/>
      </c>
      <c r="H235" s="791">
        <v>0.102323172495</v>
      </c>
      <c r="I235" s="794">
        <v>0.15078902886000001</v>
      </c>
      <c r="J235" s="324">
        <v>0.3216105045017929</v>
      </c>
      <c r="K235" s="68">
        <v>337110</v>
      </c>
      <c r="L235" s="68" t="s">
        <v>3693</v>
      </c>
      <c r="M235" s="69" t="s">
        <v>440</v>
      </c>
      <c r="N235" s="69" t="s">
        <v>822</v>
      </c>
      <c r="O235" s="70">
        <v>0.11435330217</v>
      </c>
      <c r="P235" s="70">
        <v>5.3064550119999998E-2</v>
      </c>
      <c r="Q235" s="70">
        <v>0.16738578498999998</v>
      </c>
    </row>
    <row r="236" spans="3:17" ht="42.75">
      <c r="C236" s="321" t="s">
        <v>526</v>
      </c>
      <c r="D236" s="322"/>
      <c r="E236" s="784"/>
      <c r="F236" s="325"/>
      <c r="G236" s="319" t="str">
        <f>IFERROR(IF(E236="","",IF(F236="Direct-from-manufacturer",(E236*H236/1000*'Reporting Year &amp; Inflation Adj.'!$F$9),(E236*I236/1000*'Reporting Year &amp; Inflation Adj.'!$F$9))),"")</f>
        <v/>
      </c>
      <c r="H236" s="791">
        <v>0.91189642608999999</v>
      </c>
      <c r="I236" s="794">
        <v>0.93909770080999999</v>
      </c>
      <c r="J236" s="324">
        <v>2.8854008125169781E-2</v>
      </c>
      <c r="K236" s="68">
        <v>322110</v>
      </c>
      <c r="L236" s="68" t="s">
        <v>3694</v>
      </c>
      <c r="M236" s="69" t="s">
        <v>440</v>
      </c>
      <c r="N236" s="69" t="s">
        <v>528</v>
      </c>
      <c r="O236" s="70">
        <v>0.98113822890000013</v>
      </c>
      <c r="P236" s="70">
        <v>2.4952683509899997E-2</v>
      </c>
      <c r="Q236" s="70">
        <v>1.00626725952</v>
      </c>
    </row>
    <row r="237" spans="3:17" ht="71.25">
      <c r="C237" s="795" t="s">
        <v>521</v>
      </c>
      <c r="D237" s="787"/>
      <c r="E237" s="788"/>
      <c r="F237" s="789"/>
      <c r="G237" s="793" t="str">
        <f>IFERROR(IF(E237="","",IF(F237="Direct-from-manufacturer",(E237*H237/1000*'Reporting Year &amp; Inflation Adj.'!$F$9),(E237*I237/1000*'Reporting Year &amp; Inflation Adj.'!$F$9))),"")</f>
        <v/>
      </c>
      <c r="H237" s="791">
        <v>0.12060881991</v>
      </c>
      <c r="I237" s="794">
        <v>0.15232747406500005</v>
      </c>
      <c r="J237" s="324">
        <v>0.21019690591952694</v>
      </c>
      <c r="K237" s="790">
        <v>321910</v>
      </c>
      <c r="L237" s="790" t="s">
        <v>3695</v>
      </c>
      <c r="M237" s="69" t="s">
        <v>440</v>
      </c>
      <c r="N237" s="69" t="s">
        <v>523</v>
      </c>
      <c r="O237" s="786">
        <v>0.12353465661</v>
      </c>
      <c r="P237" s="786">
        <v>3.1691942410000007E-2</v>
      </c>
      <c r="Q237" s="786">
        <v>0.15544251344000007</v>
      </c>
    </row>
  </sheetData>
  <sheetProtection algorithmName="SHA-512" hashValue="nb9HMPAJs5hCK/ZQCLvOeGL4trhN+1bj+sRHRDbOnF5miEyD2exL45vZbyW9KdQw2SJxkeleWlf2ENPbsTyE6w==" saltValue="uR75M+0McxnQYa+0i8WJCg==" spinCount="100000" sheet="1" autoFilter="0"/>
  <mergeCells count="2">
    <mergeCell ref="A7:M8"/>
    <mergeCell ref="A16:B17"/>
  </mergeCells>
  <phoneticPr fontId="196" type="noConversion"/>
  <dataValidations count="2">
    <dataValidation allowBlank="1" showInputMessage="1" showErrorMessage="1" prompt="Add total annual volume of water usage in gallons" sqref="D30:E30" xr:uid="{039A11C2-E553-44E1-9750-3A49F29E23E0}"/>
    <dataValidation type="list" allowBlank="1" showInputMessage="1" showErrorMessage="1" sqref="F49:F50 F55:F58 F64:F67 F69:F70 F72 F77 F79 F83:F85 F96 F98 F100 F103:F104 F107:F109 F111:F113 F119:F120 F123:F127 F133:F136 F138:F139 F143:F147 F149:F151 F153:F154 F157:F158 F160 F162:F172 F174 F176:F179 F181 F184 F186 F190:F198 F200 F203:F204 F206 F208:F209 F212:F213 F216:F218 F220:F226 F228 F230 F232 F19:F40 F44 F53 F60:F62 F74 F87:F91 F234:F237" xr:uid="{77CD4920-1030-456D-86A9-C9C5CA8929EF}">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D8-D32D-47AA-B126-76AF9DBE1152}">
  <sheetPr codeName="Sheet20">
    <tabColor theme="7"/>
  </sheetPr>
  <dimension ref="B2:L86"/>
  <sheetViews>
    <sheetView showGridLines="0" workbookViewId="0"/>
  </sheetViews>
  <sheetFormatPr defaultColWidth="9" defaultRowHeight="15.75"/>
  <cols>
    <col min="1" max="16384" width="9" style="182"/>
  </cols>
  <sheetData>
    <row r="2" spans="2:2">
      <c r="B2" s="181" t="s">
        <v>1303</v>
      </c>
    </row>
    <row r="4" spans="2:2">
      <c r="B4" s="183" t="s">
        <v>1304</v>
      </c>
    </row>
    <row r="5" spans="2:2">
      <c r="B5" s="182" t="s">
        <v>1305</v>
      </c>
    </row>
    <row r="19" spans="2:2">
      <c r="B19" s="183" t="s">
        <v>1306</v>
      </c>
    </row>
    <row r="20" spans="2:2">
      <c r="B20" s="184" t="s">
        <v>1307</v>
      </c>
    </row>
    <row r="34" spans="2:12">
      <c r="B34" s="185" t="s">
        <v>1308</v>
      </c>
    </row>
    <row r="35" spans="2:12">
      <c r="B35" s="186" t="s">
        <v>1309</v>
      </c>
    </row>
    <row r="36" spans="2:12">
      <c r="B36" s="187" t="s">
        <v>1310</v>
      </c>
    </row>
    <row r="37" spans="2:12" ht="8.25" customHeight="1">
      <c r="B37" s="188"/>
    </row>
    <row r="38" spans="2:12">
      <c r="B38" s="187" t="s">
        <v>1311</v>
      </c>
    </row>
    <row r="39" spans="2:12">
      <c r="B39" s="187" t="s">
        <v>1312</v>
      </c>
    </row>
    <row r="40" spans="2:12">
      <c r="B40" s="187" t="s">
        <v>1313</v>
      </c>
    </row>
    <row r="43" spans="2:12">
      <c r="K43" s="189" t="s">
        <v>1314</v>
      </c>
    </row>
    <row r="47" spans="2:12">
      <c r="L47" s="189" t="s">
        <v>1315</v>
      </c>
    </row>
    <row r="56" spans="2:2">
      <c r="B56" s="190" t="s">
        <v>1316</v>
      </c>
    </row>
    <row r="57" spans="2:2">
      <c r="B57" s="191"/>
    </row>
    <row r="58" spans="2:2">
      <c r="B58" s="192" t="s">
        <v>1317</v>
      </c>
    </row>
    <row r="59" spans="2:2">
      <c r="B59" s="182" t="s">
        <v>1318</v>
      </c>
    </row>
    <row r="60" spans="2:2">
      <c r="B60" s="182" t="s">
        <v>1319</v>
      </c>
    </row>
    <row r="75" spans="2:2">
      <c r="B75" s="193" t="s">
        <v>1320</v>
      </c>
    </row>
    <row r="76" spans="2:2" ht="6" customHeight="1">
      <c r="B76" s="194"/>
    </row>
    <row r="77" spans="2:2">
      <c r="B77" s="193" t="s">
        <v>1321</v>
      </c>
    </row>
    <row r="78" spans="2:2">
      <c r="B78" s="194" t="s">
        <v>1322</v>
      </c>
    </row>
    <row r="79" spans="2:2">
      <c r="B79" s="195" t="s">
        <v>1323</v>
      </c>
    </row>
    <row r="82" spans="2:2">
      <c r="B82" s="196"/>
    </row>
    <row r="83" spans="2:2">
      <c r="B83" s="197"/>
    </row>
    <row r="84" spans="2:2">
      <c r="B84" s="197"/>
    </row>
    <row r="85" spans="2:2">
      <c r="B85" s="197"/>
    </row>
    <row r="86" spans="2:2">
      <c r="B86" s="197"/>
    </row>
  </sheetData>
  <sheetProtection algorithmName="SHA-512" hashValue="d6oSg8t8wbq4Z2spvQmrvvWyxuR+7GNXwiP5AeS8azrQ4nQwW+WHhJ1lvwmotBuwsE4P7rpVNK3DTClHCxi3Sw==" saltValue="+5tm2Wp2p90lvf79NIhuR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AF39-D0A4-41E0-A4DD-184ADB868203}">
  <sheetPr codeName="Sheet2">
    <tabColor rgb="FF94E494"/>
  </sheetPr>
  <dimension ref="A1:G40"/>
  <sheetViews>
    <sheetView zoomScale="80" zoomScaleNormal="80" workbookViewId="0">
      <pane xSplit="1" ySplit="3" topLeftCell="B4" activePane="bottomRight" state="frozen"/>
      <selection activeCell="C4" sqref="C4"/>
      <selection pane="topRight" activeCell="C4" sqref="C4"/>
      <selection pane="bottomLeft" activeCell="C4" sqref="C4"/>
      <selection pane="bottomRight" activeCell="C7" sqref="C7"/>
    </sheetView>
  </sheetViews>
  <sheetFormatPr defaultColWidth="10.5" defaultRowHeight="14.25"/>
  <cols>
    <col min="1" max="1" width="6.625" style="347" customWidth="1"/>
    <col min="2" max="2" width="25.625" style="6" customWidth="1"/>
    <col min="3" max="3" width="115.875" style="6" customWidth="1"/>
    <col min="4" max="4" width="15.125" style="6" bestFit="1" customWidth="1"/>
    <col min="5" max="5" width="13.625" style="348" customWidth="1"/>
    <col min="6" max="6" width="67.875" style="6" bestFit="1" customWidth="1"/>
    <col min="7" max="7" width="69" style="6" customWidth="1"/>
    <col min="8" max="16384" width="10.5" style="6"/>
  </cols>
  <sheetData>
    <row r="1" spans="1:7" ht="118.5" customHeight="1">
      <c r="A1" s="342"/>
      <c r="B1" s="343" t="s">
        <v>1736</v>
      </c>
      <c r="C1" s="344" t="s">
        <v>1737</v>
      </c>
      <c r="D1" s="345"/>
      <c r="E1" s="346"/>
    </row>
    <row r="2" spans="1:7" ht="6" customHeight="1"/>
    <row r="3" spans="1:7" s="353" customFormat="1" ht="12.75">
      <c r="A3" s="349" t="s">
        <v>1738</v>
      </c>
      <c r="B3" s="350" t="s">
        <v>1739</v>
      </c>
      <c r="C3" s="351" t="s">
        <v>1740</v>
      </c>
      <c r="D3" s="351"/>
      <c r="E3" s="352"/>
      <c r="F3" s="351"/>
      <c r="G3" s="351"/>
    </row>
    <row r="4" spans="1:7" ht="20.25">
      <c r="B4" s="354" t="s">
        <v>1741</v>
      </c>
    </row>
    <row r="5" spans="1:7" ht="20.25">
      <c r="B5" s="354"/>
    </row>
    <row r="6" spans="1:7" ht="20.25">
      <c r="B6" s="354"/>
    </row>
    <row r="7" spans="1:7" ht="27.95" customHeight="1">
      <c r="A7" s="355" t="s">
        <v>4359</v>
      </c>
      <c r="B7" s="357" t="s">
        <v>4360</v>
      </c>
      <c r="C7" s="358" t="s">
        <v>4413</v>
      </c>
    </row>
    <row r="8" spans="1:7" ht="27.95" customHeight="1">
      <c r="A8" s="355">
        <v>2.1</v>
      </c>
      <c r="B8" s="357" t="s">
        <v>4203</v>
      </c>
      <c r="C8" s="358" t="s">
        <v>3307</v>
      </c>
    </row>
    <row r="9" spans="1:7" ht="27.95" customHeight="1">
      <c r="A9" s="355">
        <v>2</v>
      </c>
      <c r="B9" s="357" t="s">
        <v>1742</v>
      </c>
      <c r="C9" s="358" t="s">
        <v>2917</v>
      </c>
    </row>
    <row r="10" spans="1:7">
      <c r="A10" s="355">
        <v>1.1000000000000001</v>
      </c>
      <c r="B10" s="357" t="s">
        <v>1743</v>
      </c>
      <c r="C10" s="356" t="s">
        <v>1744</v>
      </c>
    </row>
    <row r="11" spans="1:7">
      <c r="A11" s="355">
        <v>1</v>
      </c>
      <c r="B11" s="357" t="s">
        <v>1745</v>
      </c>
      <c r="C11" s="356" t="s">
        <v>1746</v>
      </c>
    </row>
    <row r="13" spans="1:7" ht="15.75">
      <c r="B13" s="22" t="s">
        <v>1747</v>
      </c>
    </row>
    <row r="14" spans="1:7" ht="15.75">
      <c r="B14" s="22" t="s">
        <v>1748</v>
      </c>
    </row>
    <row r="16" spans="1:7" ht="15.75">
      <c r="B16" s="22" t="s">
        <v>1749</v>
      </c>
    </row>
    <row r="19" spans="1:4">
      <c r="A19" s="355" t="s">
        <v>1750</v>
      </c>
      <c r="B19" s="357" t="s">
        <v>1751</v>
      </c>
      <c r="C19" s="356" t="s">
        <v>1752</v>
      </c>
    </row>
    <row r="20" spans="1:4" ht="28.5">
      <c r="A20" s="355" t="s">
        <v>1753</v>
      </c>
      <c r="B20" s="356" t="s">
        <v>1754</v>
      </c>
      <c r="C20" s="358" t="s">
        <v>1755</v>
      </c>
    </row>
    <row r="21" spans="1:4">
      <c r="A21" s="355">
        <v>3</v>
      </c>
      <c r="B21" s="356" t="s">
        <v>1756</v>
      </c>
      <c r="C21" s="356" t="s">
        <v>1757</v>
      </c>
    </row>
    <row r="22" spans="1:4" ht="57">
      <c r="A22" s="355">
        <v>2</v>
      </c>
      <c r="B22" s="356" t="s">
        <v>1758</v>
      </c>
      <c r="C22" s="358" t="s">
        <v>1759</v>
      </c>
    </row>
    <row r="23" spans="1:4" ht="128.25">
      <c r="A23" s="355">
        <v>1</v>
      </c>
      <c r="B23" s="359" t="s">
        <v>1760</v>
      </c>
      <c r="C23" s="358" t="s">
        <v>1761</v>
      </c>
    </row>
    <row r="24" spans="1:4">
      <c r="B24" s="360"/>
    </row>
    <row r="25" spans="1:4">
      <c r="B25" s="360"/>
    </row>
    <row r="28" spans="1:4">
      <c r="D28" s="347"/>
    </row>
    <row r="29" spans="1:4">
      <c r="D29" s="347"/>
    </row>
    <row r="30" spans="1:4">
      <c r="D30" s="347"/>
    </row>
    <row r="31" spans="1:4">
      <c r="D31" s="347"/>
    </row>
    <row r="32" spans="1:4">
      <c r="D32" s="347"/>
    </row>
    <row r="33" spans="4:4">
      <c r="D33" s="347"/>
    </row>
    <row r="34" spans="4:4">
      <c r="D34" s="347"/>
    </row>
    <row r="35" spans="4:4">
      <c r="D35" s="347"/>
    </row>
    <row r="36" spans="4:4">
      <c r="D36" s="347"/>
    </row>
    <row r="37" spans="4:4">
      <c r="D37" s="347"/>
    </row>
    <row r="38" spans="4:4">
      <c r="D38" s="347"/>
    </row>
    <row r="39" spans="4:4">
      <c r="D39" s="347"/>
    </row>
    <row r="40" spans="4:4">
      <c r="D40" s="347"/>
    </row>
  </sheetData>
  <sheetProtection algorithmName="SHA-512" hashValue="lOGARY9VGaFwqhGMbygrnPGdukO1dBhjj3IXI2IJeHfxxj66gQdM/FNBOn3cktdN2xgDckxjg+RSA5dheNcRBA==" saltValue="HygTZXl3iVrzyLVXwhB2uA==" spinCount="100000" sheet="1" selectLockedCells="1"/>
  <pageMargins left="0.7" right="0.7" top="0.75" bottom="0.75" header="0.3" footer="0.3"/>
  <pageSetup paperSize="9" scale="3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8AC0-6746-4086-8D92-8C39AA5E9AC4}">
  <sheetPr codeName="Sheet18">
    <tabColor theme="3" tint="-0.249977111117893"/>
  </sheetPr>
  <dimension ref="A1:AB138"/>
  <sheetViews>
    <sheetView showGridLines="0" zoomScale="85" zoomScaleNormal="85" workbookViewId="0"/>
  </sheetViews>
  <sheetFormatPr defaultColWidth="8.875" defaultRowHeight="14.25"/>
  <cols>
    <col min="2" max="2" width="10" customWidth="1"/>
    <col min="3" max="3" width="32.625" customWidth="1"/>
    <col min="4" max="4" width="20.125" customWidth="1"/>
    <col min="5" max="5" width="19.875" customWidth="1"/>
    <col min="6" max="6" width="19.5" style="113" customWidth="1"/>
    <col min="7" max="7" width="12" customWidth="1"/>
    <col min="8" max="8" width="8.5" customWidth="1"/>
    <col min="9" max="9" width="11.625" customWidth="1"/>
    <col min="10" max="10" width="31.375" customWidth="1"/>
    <col min="11" max="11" width="31.125" customWidth="1"/>
    <col min="12" max="12" width="20.875" customWidth="1"/>
    <col min="13" max="13" width="17.625" customWidth="1"/>
    <col min="14" max="14" width="12.125" customWidth="1"/>
  </cols>
  <sheetData>
    <row r="1" spans="1:28" ht="27.6" customHeight="1">
      <c r="A1" s="74" t="s">
        <v>1230</v>
      </c>
      <c r="B1" s="107"/>
      <c r="C1" s="107"/>
      <c r="D1" s="107"/>
      <c r="E1" s="107"/>
      <c r="F1" s="108"/>
      <c r="G1" s="108"/>
      <c r="H1" s="108"/>
      <c r="I1" s="108"/>
      <c r="J1" s="108"/>
      <c r="K1" s="108"/>
      <c r="L1" s="108"/>
      <c r="M1" s="108"/>
      <c r="N1" s="108"/>
    </row>
    <row r="2" spans="1:28">
      <c r="A2" s="109" t="s">
        <v>304</v>
      </c>
      <c r="B2" s="110"/>
      <c r="C2" s="110"/>
      <c r="D2" s="110"/>
      <c r="E2" s="110"/>
      <c r="F2" s="111"/>
      <c r="G2" s="111"/>
      <c r="H2" s="111"/>
      <c r="I2" s="111"/>
      <c r="J2" s="111"/>
      <c r="K2" s="111"/>
      <c r="L2" s="111"/>
      <c r="M2" s="111"/>
      <c r="N2" s="111"/>
    </row>
    <row r="3" spans="1:28" ht="16.350000000000001" customHeight="1">
      <c r="A3" s="112" t="s">
        <v>1231</v>
      </c>
      <c r="B3" s="110"/>
      <c r="C3" s="110"/>
      <c r="D3" s="110"/>
      <c r="E3" s="110"/>
      <c r="F3" s="111"/>
      <c r="G3" s="111"/>
      <c r="H3" s="111"/>
      <c r="I3" s="111"/>
      <c r="J3" s="111"/>
      <c r="K3" s="111"/>
      <c r="L3" s="111"/>
      <c r="M3" s="111"/>
      <c r="N3" s="111"/>
    </row>
    <row r="4" spans="1:28">
      <c r="A4" s="112" t="s">
        <v>306</v>
      </c>
      <c r="B4" s="110"/>
      <c r="C4" s="110"/>
      <c r="D4" s="110"/>
      <c r="E4" s="110"/>
      <c r="F4" s="111"/>
      <c r="G4" s="111"/>
      <c r="H4" s="111"/>
      <c r="I4" s="111"/>
      <c r="J4" s="111"/>
      <c r="K4" s="111"/>
      <c r="L4" s="111"/>
      <c r="M4" s="111"/>
      <c r="N4" s="111"/>
    </row>
    <row r="5" spans="1:28">
      <c r="A5" s="112" t="s">
        <v>1232</v>
      </c>
      <c r="B5" s="110"/>
      <c r="C5" s="110"/>
      <c r="D5" s="110"/>
      <c r="E5" s="110"/>
      <c r="F5" s="111"/>
      <c r="G5" s="111"/>
      <c r="H5" s="111"/>
      <c r="I5" s="111"/>
      <c r="J5" s="111"/>
      <c r="K5" s="111"/>
      <c r="L5" s="111"/>
      <c r="M5" s="111"/>
      <c r="N5" s="111"/>
    </row>
    <row r="6" spans="1:28">
      <c r="A6" s="112" t="s">
        <v>307</v>
      </c>
      <c r="B6" s="110"/>
      <c r="C6" s="110"/>
      <c r="D6" s="110"/>
      <c r="E6" s="110"/>
      <c r="F6" s="111"/>
      <c r="G6" s="111"/>
      <c r="H6" s="111"/>
      <c r="I6" s="111"/>
      <c r="J6" s="111"/>
      <c r="K6" s="111"/>
      <c r="L6" s="111"/>
      <c r="M6" s="111"/>
      <c r="N6" s="111"/>
    </row>
    <row r="10" spans="1:28">
      <c r="H10" s="4"/>
      <c r="K10" s="114"/>
      <c r="L10" s="114"/>
      <c r="M10" s="4"/>
      <c r="N10" s="4"/>
      <c r="O10" s="4"/>
      <c r="P10" s="4"/>
      <c r="Q10" s="4"/>
      <c r="R10" s="4"/>
      <c r="S10" s="4"/>
      <c r="T10" s="4"/>
      <c r="U10" s="4"/>
      <c r="V10" s="4"/>
      <c r="W10" s="4"/>
      <c r="X10" s="4"/>
      <c r="Y10" s="4"/>
      <c r="Z10" s="4"/>
      <c r="AA10" s="4"/>
      <c r="AB10" s="4"/>
    </row>
    <row r="11" spans="1:28">
      <c r="H11" s="4"/>
      <c r="K11" s="114"/>
      <c r="L11" s="114"/>
      <c r="M11" s="4"/>
      <c r="N11" s="4"/>
      <c r="O11" s="4"/>
      <c r="P11" s="4"/>
      <c r="Q11" s="4"/>
      <c r="R11" s="4"/>
      <c r="S11" s="4"/>
      <c r="T11" s="4"/>
      <c r="U11" s="4"/>
      <c r="V11" s="4"/>
      <c r="W11" s="4"/>
      <c r="X11" s="4"/>
      <c r="Y11" s="4"/>
      <c r="Z11" s="4"/>
      <c r="AA11" s="4"/>
      <c r="AB11" s="4"/>
    </row>
    <row r="12" spans="1:28" ht="18.75" customHeight="1">
      <c r="F12" s="115"/>
    </row>
    <row r="13" spans="1:28">
      <c r="E13" s="4"/>
      <c r="F13" s="116"/>
      <c r="G13" s="4"/>
      <c r="H13" s="4"/>
      <c r="I13" s="4"/>
      <c r="J13" s="4"/>
      <c r="K13" s="114"/>
      <c r="L13" s="114"/>
      <c r="M13" s="4"/>
      <c r="N13" s="4"/>
      <c r="O13" s="4"/>
      <c r="P13" s="4"/>
      <c r="Q13" s="4"/>
      <c r="R13" s="4"/>
      <c r="S13" s="4"/>
      <c r="T13" s="4"/>
      <c r="U13" s="4"/>
      <c r="V13" s="4"/>
      <c r="W13" s="4"/>
      <c r="X13" s="4"/>
      <c r="Y13" s="4"/>
      <c r="Z13" s="4"/>
      <c r="AA13" s="4"/>
      <c r="AB13" s="4"/>
    </row>
    <row r="14" spans="1:28">
      <c r="E14" s="4"/>
      <c r="F14" s="116"/>
      <c r="G14" s="4"/>
      <c r="H14" s="4"/>
      <c r="I14" s="4"/>
      <c r="J14" s="4"/>
      <c r="K14" s="114"/>
      <c r="L14" s="114"/>
      <c r="M14" s="4"/>
      <c r="N14" s="4"/>
      <c r="O14" s="4"/>
      <c r="P14" s="4"/>
      <c r="Q14" s="4"/>
      <c r="R14" s="4"/>
      <c r="S14" s="4"/>
      <c r="T14" s="4"/>
      <c r="U14" s="4"/>
      <c r="V14" s="4"/>
      <c r="W14" s="4"/>
      <c r="X14" s="4"/>
      <c r="Y14" s="4"/>
      <c r="Z14" s="4"/>
      <c r="AA14" s="4"/>
      <c r="AB14" s="4"/>
    </row>
    <row r="16" spans="1:28">
      <c r="A16" s="117"/>
      <c r="B16" s="117"/>
      <c r="C16" s="117"/>
      <c r="D16" s="117"/>
      <c r="E16" s="117"/>
      <c r="F16" s="118"/>
      <c r="G16" s="117"/>
      <c r="H16" s="117"/>
      <c r="I16" s="117"/>
      <c r="J16" s="117"/>
      <c r="K16" s="117"/>
      <c r="L16" s="117"/>
      <c r="M16" s="117"/>
      <c r="N16" s="117"/>
    </row>
    <row r="17" spans="1:14" ht="18.75">
      <c r="A17" s="117"/>
      <c r="B17" s="119" t="s">
        <v>1233</v>
      </c>
      <c r="C17" s="117"/>
      <c r="D17" s="117"/>
      <c r="E17" s="117"/>
      <c r="F17" s="118"/>
      <c r="G17" s="117"/>
      <c r="H17" s="117"/>
      <c r="I17" s="119" t="s">
        <v>1234</v>
      </c>
      <c r="J17" s="117"/>
      <c r="K17" s="117"/>
      <c r="L17" s="117"/>
      <c r="M17" s="118"/>
      <c r="N17" s="117"/>
    </row>
    <row r="18" spans="1:14" ht="15">
      <c r="A18" s="117"/>
      <c r="B18" s="117"/>
      <c r="C18" s="117"/>
      <c r="D18" s="117"/>
      <c r="E18" s="117"/>
      <c r="F18" s="120"/>
      <c r="G18" s="117"/>
      <c r="H18" s="117"/>
      <c r="I18" s="117"/>
      <c r="J18" s="117"/>
      <c r="K18" s="117"/>
      <c r="L18" s="117"/>
      <c r="M18" s="120"/>
      <c r="N18" s="117"/>
    </row>
    <row r="19" spans="1:14" ht="18.75">
      <c r="A19" s="121"/>
      <c r="B19" s="119" t="s">
        <v>1235</v>
      </c>
      <c r="C19" s="117"/>
      <c r="D19" s="117"/>
      <c r="E19" s="117"/>
      <c r="F19" s="118"/>
      <c r="G19" s="117"/>
      <c r="H19" s="117"/>
      <c r="I19" s="119" t="s">
        <v>1236</v>
      </c>
      <c r="J19" s="117"/>
      <c r="K19" s="117"/>
      <c r="L19" s="117"/>
      <c r="M19" s="118"/>
      <c r="N19" s="117"/>
    </row>
    <row r="20" spans="1:14">
      <c r="A20" s="117"/>
      <c r="B20" s="121" t="s">
        <v>1237</v>
      </c>
      <c r="C20" s="117"/>
      <c r="D20" s="117"/>
      <c r="E20" s="117"/>
      <c r="F20" s="117"/>
      <c r="G20" s="117"/>
      <c r="H20" s="117"/>
      <c r="I20" s="121" t="s">
        <v>1237</v>
      </c>
      <c r="J20" s="117"/>
      <c r="K20" s="117"/>
      <c r="L20" s="117"/>
      <c r="M20" s="117"/>
      <c r="N20" s="117"/>
    </row>
    <row r="21" spans="1:14" ht="9" customHeight="1">
      <c r="A21" s="117"/>
      <c r="B21" s="121"/>
      <c r="C21" s="117"/>
      <c r="D21" s="117"/>
      <c r="E21" s="117"/>
      <c r="F21" s="117"/>
      <c r="G21" s="117"/>
      <c r="H21" s="117"/>
      <c r="I21" s="121"/>
      <c r="J21" s="117"/>
      <c r="K21" s="117"/>
      <c r="L21" s="117"/>
      <c r="M21" s="117"/>
      <c r="N21" s="117"/>
    </row>
    <row r="22" spans="1:14">
      <c r="A22" s="117"/>
      <c r="B22" s="117"/>
      <c r="C22" s="831" t="s">
        <v>312</v>
      </c>
      <c r="D22" s="501" t="s">
        <v>312</v>
      </c>
      <c r="E22" s="831" t="s">
        <v>312</v>
      </c>
      <c r="F22" s="831" t="s">
        <v>312</v>
      </c>
      <c r="G22" s="117"/>
      <c r="H22" s="117"/>
      <c r="I22" s="117"/>
      <c r="J22" s="831" t="s">
        <v>312</v>
      </c>
      <c r="K22" s="501" t="s">
        <v>312</v>
      </c>
      <c r="L22" s="831" t="s">
        <v>312</v>
      </c>
      <c r="M22" s="831" t="s">
        <v>312</v>
      </c>
      <c r="N22" s="117"/>
    </row>
    <row r="23" spans="1:14" ht="30">
      <c r="A23" s="117"/>
      <c r="B23" s="123" t="s">
        <v>1238</v>
      </c>
      <c r="C23" s="124" t="s">
        <v>319</v>
      </c>
      <c r="D23" s="125" t="s">
        <v>1239</v>
      </c>
      <c r="E23" s="125" t="s">
        <v>1240</v>
      </c>
      <c r="F23" s="125" t="s">
        <v>1241</v>
      </c>
      <c r="G23" s="126" t="s">
        <v>322</v>
      </c>
      <c r="H23" s="117"/>
      <c r="I23" s="123" t="s">
        <v>1238</v>
      </c>
      <c r="J23" s="124" t="s">
        <v>319</v>
      </c>
      <c r="K23" s="125" t="s">
        <v>1239</v>
      </c>
      <c r="L23" s="125" t="s">
        <v>1240</v>
      </c>
      <c r="M23" s="125" t="s">
        <v>1241</v>
      </c>
      <c r="N23" s="126" t="s">
        <v>322</v>
      </c>
    </row>
    <row r="24" spans="1:14" ht="57">
      <c r="A24" s="117"/>
      <c r="B24" s="127">
        <v>1</v>
      </c>
      <c r="C24" s="128" t="s">
        <v>1242</v>
      </c>
      <c r="D24" s="129" t="s">
        <v>1243</v>
      </c>
      <c r="E24" s="130">
        <v>10000000</v>
      </c>
      <c r="F24" s="131" t="s">
        <v>1244</v>
      </c>
      <c r="G24" s="941" t="str">
        <f>IFERROR(E24*F24/1000,"")</f>
        <v/>
      </c>
      <c r="H24" s="117"/>
      <c r="I24" s="127">
        <v>1</v>
      </c>
      <c r="J24" s="128" t="s">
        <v>1242</v>
      </c>
      <c r="K24" s="129" t="s">
        <v>1243</v>
      </c>
      <c r="L24" s="130">
        <v>10000000</v>
      </c>
      <c r="M24" s="131" t="s">
        <v>1244</v>
      </c>
      <c r="N24" s="941" t="str">
        <f>IFERROR(L24*M24,"")</f>
        <v/>
      </c>
    </row>
    <row r="25" spans="1:14" ht="15">
      <c r="A25" s="117"/>
      <c r="B25" s="127">
        <v>2</v>
      </c>
      <c r="C25" s="132"/>
      <c r="D25" s="133"/>
      <c r="E25" s="134"/>
      <c r="F25" s="335"/>
      <c r="G25" s="942" t="str">
        <f>IF(E25="","",IFERROR(E25*F25/1000,""))</f>
        <v/>
      </c>
      <c r="H25" s="117"/>
      <c r="I25" s="127">
        <v>2</v>
      </c>
      <c r="J25" s="132"/>
      <c r="K25" s="133"/>
      <c r="L25" s="134"/>
      <c r="M25" s="135"/>
      <c r="N25" s="942" t="str">
        <f>IF(L25="","",IFERROR(L25*M25/1000,""))</f>
        <v/>
      </c>
    </row>
    <row r="26" spans="1:14" ht="15">
      <c r="A26" s="117"/>
      <c r="B26" s="127">
        <v>3</v>
      </c>
      <c r="C26" s="132"/>
      <c r="D26" s="133"/>
      <c r="E26" s="134"/>
      <c r="F26" s="335"/>
      <c r="G26" s="942" t="str">
        <f t="shared" ref="G26:G43" si="0">IF(E26="","",IFERROR(E26*F26/1000,""))</f>
        <v/>
      </c>
      <c r="H26" s="117"/>
      <c r="I26" s="127">
        <v>3</v>
      </c>
      <c r="J26" s="132"/>
      <c r="K26" s="133"/>
      <c r="L26" s="134"/>
      <c r="M26" s="335"/>
      <c r="N26" s="942" t="str">
        <f t="shared" ref="N26:N43" si="1">IF(L26="","",IFERROR(L26*M26/1000,""))</f>
        <v/>
      </c>
    </row>
    <row r="27" spans="1:14" ht="15">
      <c r="A27" s="117"/>
      <c r="B27" s="127">
        <v>4</v>
      </c>
      <c r="C27" s="132"/>
      <c r="D27" s="133"/>
      <c r="E27" s="134"/>
      <c r="F27" s="335"/>
      <c r="G27" s="942" t="str">
        <f t="shared" si="0"/>
        <v/>
      </c>
      <c r="H27" s="117"/>
      <c r="I27" s="127">
        <v>4</v>
      </c>
      <c r="J27" s="132"/>
      <c r="K27" s="133"/>
      <c r="L27" s="134"/>
      <c r="M27" s="335"/>
      <c r="N27" s="942" t="str">
        <f t="shared" si="1"/>
        <v/>
      </c>
    </row>
    <row r="28" spans="1:14" ht="15">
      <c r="A28" s="117"/>
      <c r="B28" s="127">
        <v>5</v>
      </c>
      <c r="C28" s="132"/>
      <c r="D28" s="133"/>
      <c r="E28" s="134"/>
      <c r="F28" s="335"/>
      <c r="G28" s="942" t="str">
        <f t="shared" si="0"/>
        <v/>
      </c>
      <c r="H28" s="117"/>
      <c r="I28" s="127">
        <v>5</v>
      </c>
      <c r="J28" s="132"/>
      <c r="K28" s="133"/>
      <c r="L28" s="134"/>
      <c r="M28" s="335"/>
      <c r="N28" s="942" t="str">
        <f t="shared" si="1"/>
        <v/>
      </c>
    </row>
    <row r="29" spans="1:14" ht="15">
      <c r="A29" s="117"/>
      <c r="B29" s="127">
        <v>6</v>
      </c>
      <c r="C29" s="132"/>
      <c r="D29" s="133"/>
      <c r="E29" s="134"/>
      <c r="F29" s="335"/>
      <c r="G29" s="942" t="str">
        <f t="shared" si="0"/>
        <v/>
      </c>
      <c r="H29" s="117"/>
      <c r="I29" s="127">
        <v>6</v>
      </c>
      <c r="J29" s="132"/>
      <c r="K29" s="133"/>
      <c r="L29" s="134"/>
      <c r="M29" s="335"/>
      <c r="N29" s="942" t="str">
        <f t="shared" si="1"/>
        <v/>
      </c>
    </row>
    <row r="30" spans="1:14" ht="15">
      <c r="A30" s="117"/>
      <c r="B30" s="127">
        <v>7</v>
      </c>
      <c r="C30" s="132"/>
      <c r="D30" s="133"/>
      <c r="E30" s="134"/>
      <c r="F30" s="335"/>
      <c r="G30" s="942" t="str">
        <f t="shared" si="0"/>
        <v/>
      </c>
      <c r="H30" s="117"/>
      <c r="I30" s="127">
        <v>7</v>
      </c>
      <c r="J30" s="132"/>
      <c r="K30" s="133"/>
      <c r="L30" s="134"/>
      <c r="M30" s="335"/>
      <c r="N30" s="942" t="str">
        <f t="shared" si="1"/>
        <v/>
      </c>
    </row>
    <row r="31" spans="1:14" ht="15">
      <c r="A31" s="117"/>
      <c r="B31" s="127">
        <v>8</v>
      </c>
      <c r="C31" s="132"/>
      <c r="D31" s="133"/>
      <c r="E31" s="134"/>
      <c r="F31" s="335"/>
      <c r="G31" s="942" t="str">
        <f t="shared" si="0"/>
        <v/>
      </c>
      <c r="H31" s="117"/>
      <c r="I31" s="127">
        <v>8</v>
      </c>
      <c r="J31" s="132"/>
      <c r="K31" s="133"/>
      <c r="L31" s="134"/>
      <c r="M31" s="335"/>
      <c r="N31" s="942" t="str">
        <f t="shared" si="1"/>
        <v/>
      </c>
    </row>
    <row r="32" spans="1:14" ht="15">
      <c r="A32" s="117"/>
      <c r="B32" s="127">
        <v>9</v>
      </c>
      <c r="C32" s="132"/>
      <c r="D32" s="133"/>
      <c r="E32" s="134"/>
      <c r="F32" s="335"/>
      <c r="G32" s="942" t="str">
        <f t="shared" si="0"/>
        <v/>
      </c>
      <c r="H32" s="117"/>
      <c r="I32" s="127">
        <v>9</v>
      </c>
      <c r="J32" s="132"/>
      <c r="K32" s="133"/>
      <c r="L32" s="134"/>
      <c r="M32" s="335"/>
      <c r="N32" s="942" t="str">
        <f t="shared" si="1"/>
        <v/>
      </c>
    </row>
    <row r="33" spans="1:14" ht="15">
      <c r="A33" s="117"/>
      <c r="B33" s="127">
        <v>10</v>
      </c>
      <c r="C33" s="132"/>
      <c r="D33" s="133"/>
      <c r="E33" s="134"/>
      <c r="F33" s="335"/>
      <c r="G33" s="942" t="str">
        <f t="shared" si="0"/>
        <v/>
      </c>
      <c r="H33" s="117"/>
      <c r="I33" s="127">
        <v>10</v>
      </c>
      <c r="J33" s="132"/>
      <c r="K33" s="133"/>
      <c r="L33" s="134"/>
      <c r="M33" s="335"/>
      <c r="N33" s="942" t="str">
        <f t="shared" si="1"/>
        <v/>
      </c>
    </row>
    <row r="34" spans="1:14" ht="15">
      <c r="A34" s="117"/>
      <c r="B34" s="127">
        <v>11</v>
      </c>
      <c r="C34" s="132"/>
      <c r="D34" s="133"/>
      <c r="E34" s="134"/>
      <c r="F34" s="335"/>
      <c r="G34" s="942" t="str">
        <f t="shared" si="0"/>
        <v/>
      </c>
      <c r="H34" s="117"/>
      <c r="I34" s="127">
        <v>11</v>
      </c>
      <c r="J34" s="132"/>
      <c r="K34" s="133"/>
      <c r="L34" s="134"/>
      <c r="M34" s="335"/>
      <c r="N34" s="942" t="str">
        <f t="shared" si="1"/>
        <v/>
      </c>
    </row>
    <row r="35" spans="1:14" ht="15">
      <c r="A35" s="117"/>
      <c r="B35" s="127">
        <v>12</v>
      </c>
      <c r="C35" s="132"/>
      <c r="D35" s="133"/>
      <c r="E35" s="134"/>
      <c r="F35" s="335"/>
      <c r="G35" s="942" t="str">
        <f t="shared" si="0"/>
        <v/>
      </c>
      <c r="H35" s="117"/>
      <c r="I35" s="127">
        <v>12</v>
      </c>
      <c r="J35" s="132"/>
      <c r="K35" s="133"/>
      <c r="L35" s="134"/>
      <c r="M35" s="335"/>
      <c r="N35" s="942" t="str">
        <f t="shared" si="1"/>
        <v/>
      </c>
    </row>
    <row r="36" spans="1:14" ht="15">
      <c r="A36" s="117"/>
      <c r="B36" s="127">
        <v>13</v>
      </c>
      <c r="C36" s="132"/>
      <c r="D36" s="133"/>
      <c r="E36" s="134"/>
      <c r="F36" s="335"/>
      <c r="G36" s="942" t="str">
        <f t="shared" si="0"/>
        <v/>
      </c>
      <c r="H36" s="117"/>
      <c r="I36" s="127">
        <v>13</v>
      </c>
      <c r="J36" s="132"/>
      <c r="K36" s="133"/>
      <c r="L36" s="134"/>
      <c r="M36" s="335"/>
      <c r="N36" s="942" t="str">
        <f t="shared" si="1"/>
        <v/>
      </c>
    </row>
    <row r="37" spans="1:14" ht="15">
      <c r="A37" s="117"/>
      <c r="B37" s="127">
        <v>14</v>
      </c>
      <c r="C37" s="132"/>
      <c r="D37" s="133"/>
      <c r="E37" s="134"/>
      <c r="F37" s="335"/>
      <c r="G37" s="942" t="str">
        <f t="shared" si="0"/>
        <v/>
      </c>
      <c r="H37" s="117"/>
      <c r="I37" s="127">
        <v>14</v>
      </c>
      <c r="J37" s="132"/>
      <c r="K37" s="133"/>
      <c r="L37" s="134"/>
      <c r="M37" s="335"/>
      <c r="N37" s="942" t="str">
        <f t="shared" si="1"/>
        <v/>
      </c>
    </row>
    <row r="38" spans="1:14" ht="15">
      <c r="A38" s="117"/>
      <c r="B38" s="127">
        <v>15</v>
      </c>
      <c r="C38" s="132"/>
      <c r="D38" s="133"/>
      <c r="E38" s="134"/>
      <c r="F38" s="335"/>
      <c r="G38" s="942" t="str">
        <f t="shared" si="0"/>
        <v/>
      </c>
      <c r="H38" s="117"/>
      <c r="I38" s="127">
        <v>15</v>
      </c>
      <c r="J38" s="132"/>
      <c r="K38" s="133"/>
      <c r="L38" s="134"/>
      <c r="M38" s="335"/>
      <c r="N38" s="942" t="str">
        <f t="shared" si="1"/>
        <v/>
      </c>
    </row>
    <row r="39" spans="1:14" ht="15">
      <c r="A39" s="117"/>
      <c r="B39" s="127">
        <v>16</v>
      </c>
      <c r="C39" s="132"/>
      <c r="D39" s="133"/>
      <c r="E39" s="134"/>
      <c r="F39" s="335"/>
      <c r="G39" s="942" t="str">
        <f t="shared" si="0"/>
        <v/>
      </c>
      <c r="H39" s="117"/>
      <c r="I39" s="127">
        <v>16</v>
      </c>
      <c r="J39" s="132"/>
      <c r="K39" s="133"/>
      <c r="L39" s="134"/>
      <c r="M39" s="335"/>
      <c r="N39" s="942" t="str">
        <f t="shared" si="1"/>
        <v/>
      </c>
    </row>
    <row r="40" spans="1:14" ht="15">
      <c r="A40" s="117"/>
      <c r="B40" s="127">
        <v>17</v>
      </c>
      <c r="C40" s="132"/>
      <c r="D40" s="133"/>
      <c r="E40" s="134"/>
      <c r="F40" s="335"/>
      <c r="G40" s="942" t="str">
        <f t="shared" si="0"/>
        <v/>
      </c>
      <c r="H40" s="117"/>
      <c r="I40" s="127">
        <v>17</v>
      </c>
      <c r="J40" s="132"/>
      <c r="K40" s="133"/>
      <c r="L40" s="134"/>
      <c r="M40" s="335"/>
      <c r="N40" s="942" t="str">
        <f t="shared" si="1"/>
        <v/>
      </c>
    </row>
    <row r="41" spans="1:14" ht="15">
      <c r="A41" s="117"/>
      <c r="B41" s="127">
        <v>18</v>
      </c>
      <c r="C41" s="132"/>
      <c r="D41" s="133"/>
      <c r="E41" s="134"/>
      <c r="F41" s="335"/>
      <c r="G41" s="942" t="str">
        <f t="shared" si="0"/>
        <v/>
      </c>
      <c r="H41" s="117"/>
      <c r="I41" s="127">
        <v>18</v>
      </c>
      <c r="J41" s="132"/>
      <c r="K41" s="133"/>
      <c r="L41" s="134"/>
      <c r="M41" s="335"/>
      <c r="N41" s="942" t="str">
        <f t="shared" si="1"/>
        <v/>
      </c>
    </row>
    <row r="42" spans="1:14" ht="15">
      <c r="A42" s="117"/>
      <c r="B42" s="127">
        <v>19</v>
      </c>
      <c r="C42" s="132"/>
      <c r="D42" s="133"/>
      <c r="E42" s="134"/>
      <c r="F42" s="335"/>
      <c r="G42" s="942" t="str">
        <f t="shared" si="0"/>
        <v/>
      </c>
      <c r="H42" s="117"/>
      <c r="I42" s="127">
        <v>19</v>
      </c>
      <c r="J42" s="132"/>
      <c r="K42" s="133"/>
      <c r="L42" s="134"/>
      <c r="M42" s="335"/>
      <c r="N42" s="942" t="str">
        <f t="shared" si="1"/>
        <v/>
      </c>
    </row>
    <row r="43" spans="1:14" ht="15">
      <c r="A43" s="117"/>
      <c r="B43" s="127">
        <v>20</v>
      </c>
      <c r="C43" s="132"/>
      <c r="D43" s="133"/>
      <c r="E43" s="134"/>
      <c r="F43" s="335"/>
      <c r="G43" s="942" t="str">
        <f t="shared" si="0"/>
        <v/>
      </c>
      <c r="H43" s="117"/>
      <c r="I43" s="127">
        <v>20</v>
      </c>
      <c r="J43" s="132"/>
      <c r="K43" s="133"/>
      <c r="L43" s="134"/>
      <c r="M43" s="335"/>
      <c r="N43" s="942" t="str">
        <f t="shared" si="1"/>
        <v/>
      </c>
    </row>
    <row r="44" spans="1:14" ht="15" thickBot="1">
      <c r="A44" s="117"/>
      <c r="B44" s="117"/>
      <c r="C44" s="117"/>
      <c r="D44" s="117"/>
      <c r="E44" s="117"/>
      <c r="F44" s="117"/>
      <c r="G44" s="30"/>
      <c r="H44" s="117"/>
      <c r="I44" s="117"/>
      <c r="J44" s="117"/>
      <c r="K44" s="117"/>
      <c r="L44" s="117"/>
      <c r="M44" s="117"/>
      <c r="N44" s="30"/>
    </row>
    <row r="45" spans="1:14" ht="15" thickBot="1">
      <c r="A45" s="117"/>
      <c r="B45" s="117"/>
      <c r="C45" s="117"/>
      <c r="D45" s="117"/>
      <c r="E45" s="136"/>
      <c r="F45" s="137" t="s">
        <v>1245</v>
      </c>
      <c r="G45" s="943">
        <f>SUM($G$25:$G$43)</f>
        <v>0</v>
      </c>
      <c r="H45" s="117"/>
      <c r="I45" s="117"/>
      <c r="J45" s="117"/>
      <c r="K45" s="117"/>
      <c r="L45" s="136"/>
      <c r="M45" s="137" t="s">
        <v>1246</v>
      </c>
      <c r="N45" s="943">
        <f>SUM($N$25:$N$43)</f>
        <v>0</v>
      </c>
    </row>
    <row r="46" spans="1:14">
      <c r="A46" s="117"/>
      <c r="B46" s="117"/>
      <c r="C46" s="117"/>
      <c r="D46" s="117"/>
      <c r="E46" s="117"/>
      <c r="F46" s="117"/>
      <c r="G46" s="117"/>
      <c r="H46" s="117"/>
      <c r="I46" s="117"/>
      <c r="J46" s="117"/>
      <c r="K46" s="117"/>
      <c r="L46" s="117"/>
      <c r="M46" s="117"/>
      <c r="N46" s="117"/>
    </row>
    <row r="47" spans="1:14" ht="18.75">
      <c r="A47" s="117"/>
      <c r="B47" s="119" t="s">
        <v>1247</v>
      </c>
      <c r="C47" s="117"/>
      <c r="D47" s="117"/>
      <c r="E47" s="117"/>
      <c r="F47" s="117"/>
      <c r="G47" s="117"/>
      <c r="H47" s="117"/>
      <c r="I47" s="119" t="s">
        <v>1248</v>
      </c>
      <c r="J47" s="117"/>
      <c r="K47" s="117"/>
      <c r="L47" s="117"/>
      <c r="M47" s="117"/>
      <c r="N47" s="117"/>
    </row>
    <row r="48" spans="1:14" ht="15">
      <c r="A48" s="117"/>
      <c r="B48" s="120" t="s">
        <v>1249</v>
      </c>
      <c r="C48" s="117"/>
      <c r="D48" s="117"/>
      <c r="E48" s="117"/>
      <c r="F48" s="117"/>
      <c r="G48" s="117"/>
      <c r="H48" s="117"/>
      <c r="I48" s="120" t="s">
        <v>1249</v>
      </c>
      <c r="J48" s="117"/>
      <c r="K48" s="117"/>
      <c r="L48" s="117"/>
      <c r="M48" s="117"/>
      <c r="N48" s="117"/>
    </row>
    <row r="49" spans="1:14" ht="9" customHeight="1">
      <c r="A49" s="117"/>
      <c r="B49" s="120"/>
      <c r="C49" s="117"/>
      <c r="D49" s="117"/>
      <c r="E49" s="117"/>
      <c r="F49" s="117"/>
      <c r="G49" s="117"/>
      <c r="H49" s="117"/>
      <c r="I49" s="120"/>
      <c r="J49" s="117"/>
      <c r="K49" s="117"/>
      <c r="L49" s="117"/>
      <c r="M49" s="117"/>
      <c r="N49" s="117"/>
    </row>
    <row r="50" spans="1:14">
      <c r="A50" s="117"/>
      <c r="B50" s="117"/>
      <c r="C50" s="831" t="s">
        <v>312</v>
      </c>
      <c r="D50" s="1549" t="s">
        <v>312</v>
      </c>
      <c r="E50" s="1549"/>
      <c r="F50" s="1549"/>
      <c r="G50" s="831" t="s">
        <v>312</v>
      </c>
      <c r="H50" s="117"/>
      <c r="I50" s="117"/>
      <c r="J50" s="831" t="s">
        <v>312</v>
      </c>
      <c r="K50" s="1549" t="s">
        <v>312</v>
      </c>
      <c r="L50" s="1549"/>
      <c r="M50" s="1549"/>
      <c r="N50" s="831" t="s">
        <v>312</v>
      </c>
    </row>
    <row r="51" spans="1:14" ht="30">
      <c r="A51" s="117"/>
      <c r="B51" s="123" t="s">
        <v>1238</v>
      </c>
      <c r="C51" s="138" t="s">
        <v>319</v>
      </c>
      <c r="D51" s="1550" t="s">
        <v>29</v>
      </c>
      <c r="E51" s="1550"/>
      <c r="F51" s="1550"/>
      <c r="G51" s="126" t="s">
        <v>322</v>
      </c>
      <c r="H51" s="117"/>
      <c r="I51" s="123" t="s">
        <v>1238</v>
      </c>
      <c r="J51" s="138" t="s">
        <v>319</v>
      </c>
      <c r="K51" s="1550" t="s">
        <v>29</v>
      </c>
      <c r="L51" s="1550"/>
      <c r="M51" s="1550"/>
      <c r="N51" s="126" t="s">
        <v>322</v>
      </c>
    </row>
    <row r="52" spans="1:14" ht="15">
      <c r="A52" s="117"/>
      <c r="B52" s="127">
        <v>1</v>
      </c>
      <c r="C52" s="132"/>
      <c r="D52" s="1551"/>
      <c r="E52" s="1552"/>
      <c r="F52" s="1553"/>
      <c r="G52" s="139"/>
      <c r="H52" s="117"/>
      <c r="I52" s="127">
        <v>1</v>
      </c>
      <c r="J52" s="132"/>
      <c r="K52" s="1551"/>
      <c r="L52" s="1552"/>
      <c r="M52" s="1553"/>
      <c r="N52" s="139"/>
    </row>
    <row r="53" spans="1:14" ht="15">
      <c r="A53" s="117"/>
      <c r="B53" s="127">
        <v>2</v>
      </c>
      <c r="C53" s="132"/>
      <c r="D53" s="1551"/>
      <c r="E53" s="1552"/>
      <c r="F53" s="1553"/>
      <c r="G53" s="139"/>
      <c r="H53" s="117"/>
      <c r="I53" s="127">
        <v>2</v>
      </c>
      <c r="J53" s="132"/>
      <c r="K53" s="1551"/>
      <c r="L53" s="1552"/>
      <c r="M53" s="1553"/>
      <c r="N53" s="139"/>
    </row>
    <row r="54" spans="1:14" ht="15">
      <c r="A54" s="117"/>
      <c r="B54" s="127">
        <v>3</v>
      </c>
      <c r="C54" s="132"/>
      <c r="D54" s="1551"/>
      <c r="E54" s="1552"/>
      <c r="F54" s="1553"/>
      <c r="G54" s="139"/>
      <c r="H54" s="117"/>
      <c r="I54" s="127">
        <v>3</v>
      </c>
      <c r="J54" s="132"/>
      <c r="K54" s="1551"/>
      <c r="L54" s="1552"/>
      <c r="M54" s="1553"/>
      <c r="N54" s="139"/>
    </row>
    <row r="55" spans="1:14" ht="15">
      <c r="A55" s="117"/>
      <c r="B55" s="127">
        <v>4</v>
      </c>
      <c r="C55" s="132"/>
      <c r="D55" s="1551"/>
      <c r="E55" s="1552"/>
      <c r="F55" s="1553"/>
      <c r="G55" s="139"/>
      <c r="H55" s="117"/>
      <c r="I55" s="127">
        <v>4</v>
      </c>
      <c r="J55" s="132"/>
      <c r="K55" s="1551"/>
      <c r="L55" s="1552"/>
      <c r="M55" s="1553"/>
      <c r="N55" s="139"/>
    </row>
    <row r="56" spans="1:14" ht="15">
      <c r="A56" s="117"/>
      <c r="B56" s="127">
        <v>5</v>
      </c>
      <c r="C56" s="132"/>
      <c r="D56" s="1551"/>
      <c r="E56" s="1552"/>
      <c r="F56" s="1553"/>
      <c r="G56" s="139"/>
      <c r="H56" s="117"/>
      <c r="I56" s="127">
        <v>5</v>
      </c>
      <c r="J56" s="132"/>
      <c r="K56" s="1551"/>
      <c r="L56" s="1552"/>
      <c r="M56" s="1553"/>
      <c r="N56" s="139"/>
    </row>
    <row r="57" spans="1:14" ht="15">
      <c r="A57" s="117"/>
      <c r="B57" s="127">
        <v>6</v>
      </c>
      <c r="C57" s="132"/>
      <c r="D57" s="1551"/>
      <c r="E57" s="1552"/>
      <c r="F57" s="1553"/>
      <c r="G57" s="139"/>
      <c r="H57" s="117"/>
      <c r="I57" s="127">
        <v>6</v>
      </c>
      <c r="J57" s="132"/>
      <c r="K57" s="1551"/>
      <c r="L57" s="1552"/>
      <c r="M57" s="1553"/>
      <c r="N57" s="139"/>
    </row>
    <row r="58" spans="1:14" ht="15">
      <c r="A58" s="117"/>
      <c r="B58" s="127">
        <v>7</v>
      </c>
      <c r="C58" s="132"/>
      <c r="D58" s="1551"/>
      <c r="E58" s="1552"/>
      <c r="F58" s="1553"/>
      <c r="G58" s="139"/>
      <c r="H58" s="117"/>
      <c r="I58" s="127">
        <v>7</v>
      </c>
      <c r="J58" s="132"/>
      <c r="K58" s="1551"/>
      <c r="L58" s="1552"/>
      <c r="M58" s="1553"/>
      <c r="N58" s="139"/>
    </row>
    <row r="59" spans="1:14" ht="15">
      <c r="A59" s="117"/>
      <c r="B59" s="127">
        <v>8</v>
      </c>
      <c r="C59" s="132"/>
      <c r="D59" s="1551"/>
      <c r="E59" s="1552"/>
      <c r="F59" s="1553"/>
      <c r="G59" s="139"/>
      <c r="H59" s="117"/>
      <c r="I59" s="127">
        <v>8</v>
      </c>
      <c r="J59" s="132"/>
      <c r="K59" s="1551"/>
      <c r="L59" s="1552"/>
      <c r="M59" s="1553"/>
      <c r="N59" s="139"/>
    </row>
    <row r="60" spans="1:14" ht="15">
      <c r="A60" s="117"/>
      <c r="B60" s="127">
        <v>9</v>
      </c>
      <c r="C60" s="132"/>
      <c r="D60" s="1551"/>
      <c r="E60" s="1552"/>
      <c r="F60" s="1553"/>
      <c r="G60" s="139"/>
      <c r="H60" s="117"/>
      <c r="I60" s="127">
        <v>9</v>
      </c>
      <c r="J60" s="132"/>
      <c r="K60" s="1551"/>
      <c r="L60" s="1552"/>
      <c r="M60" s="1553"/>
      <c r="N60" s="139"/>
    </row>
    <row r="61" spans="1:14" ht="15">
      <c r="A61" s="117"/>
      <c r="B61" s="127">
        <v>10</v>
      </c>
      <c r="C61" s="132"/>
      <c r="D61" s="1551"/>
      <c r="E61" s="1552"/>
      <c r="F61" s="1553"/>
      <c r="G61" s="139"/>
      <c r="H61" s="117"/>
      <c r="I61" s="127">
        <v>10</v>
      </c>
      <c r="J61" s="132"/>
      <c r="K61" s="1551"/>
      <c r="L61" s="1552"/>
      <c r="M61" s="1553"/>
      <c r="N61" s="139"/>
    </row>
    <row r="62" spans="1:14" ht="15" thickBot="1">
      <c r="A62" s="117"/>
      <c r="B62" s="117"/>
      <c r="C62" s="117"/>
      <c r="D62" s="117"/>
      <c r="E62" s="117"/>
      <c r="F62" s="117"/>
      <c r="G62" s="117"/>
      <c r="H62" s="117"/>
      <c r="I62" s="117"/>
      <c r="J62" s="117"/>
      <c r="K62" s="117"/>
      <c r="L62" s="117"/>
      <c r="M62" s="117"/>
      <c r="N62" s="117"/>
    </row>
    <row r="63" spans="1:14" ht="15" thickBot="1">
      <c r="A63" s="117"/>
      <c r="B63" s="117"/>
      <c r="C63" s="117"/>
      <c r="D63" s="117"/>
      <c r="E63" s="136"/>
      <c r="F63" s="137" t="s">
        <v>1245</v>
      </c>
      <c r="G63" s="943">
        <f>SUM($G$52:$G$61)</f>
        <v>0</v>
      </c>
      <c r="H63" s="117"/>
      <c r="I63" s="117"/>
      <c r="J63" s="117"/>
      <c r="K63" s="117"/>
      <c r="L63" s="136"/>
      <c r="M63" s="137" t="s">
        <v>1250</v>
      </c>
      <c r="N63" s="943">
        <f>SUM($N$52:$N$61)</f>
        <v>0</v>
      </c>
    </row>
    <row r="64" spans="1:14">
      <c r="F64"/>
    </row>
    <row r="65" spans="2:6">
      <c r="F65"/>
    </row>
    <row r="66" spans="2:6" ht="18.75">
      <c r="B66" s="203" t="s">
        <v>3998</v>
      </c>
      <c r="F66"/>
    </row>
    <row r="67" spans="2:6">
      <c r="B67" s="204" t="s">
        <v>1237</v>
      </c>
      <c r="F67"/>
    </row>
    <row r="68" spans="2:6" ht="9" customHeight="1">
      <c r="B68" s="204"/>
      <c r="F68"/>
    </row>
    <row r="69" spans="2:6">
      <c r="C69" s="815" t="s">
        <v>312</v>
      </c>
      <c r="D69" s="815" t="s">
        <v>312</v>
      </c>
      <c r="F69"/>
    </row>
    <row r="70" spans="2:6" ht="30">
      <c r="B70" s="205" t="s">
        <v>1238</v>
      </c>
      <c r="C70" s="206" t="s">
        <v>319</v>
      </c>
      <c r="D70" s="215" t="s">
        <v>1355</v>
      </c>
      <c r="E70" s="216" t="s">
        <v>322</v>
      </c>
      <c r="F70"/>
    </row>
    <row r="71" spans="2:6" ht="15">
      <c r="B71" s="207">
        <v>1</v>
      </c>
      <c r="C71" s="147" t="s">
        <v>3997</v>
      </c>
      <c r="D71" s="208">
        <v>1000000</v>
      </c>
      <c r="E71" s="803">
        <f>IF(D71="","",D71*Conversions!$C$40*EF!$R$20/1000000/1000)</f>
        <v>0.72415518324457406</v>
      </c>
      <c r="F71"/>
    </row>
    <row r="72" spans="2:6" ht="15">
      <c r="B72" s="207">
        <v>2</v>
      </c>
      <c r="C72" s="157"/>
      <c r="D72" s="211"/>
      <c r="E72" s="804" t="str">
        <f>IF(D72="","",D72*Conversions!$C$40*EF!$R$20/1000000/1000)</f>
        <v/>
      </c>
      <c r="F72"/>
    </row>
    <row r="73" spans="2:6" ht="15">
      <c r="B73" s="207">
        <v>3</v>
      </c>
      <c r="C73" s="157"/>
      <c r="D73" s="211"/>
      <c r="E73" s="802" t="str">
        <f>IF(D73="","",D73*Conversions!$C$40*EF!$R$20/1000000/1000)</f>
        <v/>
      </c>
      <c r="F73"/>
    </row>
    <row r="74" spans="2:6" ht="15">
      <c r="B74" s="207">
        <v>4</v>
      </c>
      <c r="C74" s="157"/>
      <c r="D74" s="211"/>
      <c r="E74" s="802" t="str">
        <f>IF(D74="","",D74*Conversions!$C$40*EF!$R$20/1000000/1000)</f>
        <v/>
      </c>
      <c r="F74"/>
    </row>
    <row r="75" spans="2:6" ht="15">
      <c r="B75" s="207">
        <v>5</v>
      </c>
      <c r="C75" s="157"/>
      <c r="D75" s="211"/>
      <c r="E75" s="802" t="str">
        <f>IF(D75="","",D75*Conversions!$C$40*EF!$R$20/1000000/1000)</f>
        <v/>
      </c>
      <c r="F75"/>
    </row>
    <row r="76" spans="2:6" ht="15">
      <c r="B76" s="207">
        <v>6</v>
      </c>
      <c r="C76" s="157"/>
      <c r="D76" s="211"/>
      <c r="E76" s="802" t="str">
        <f>IF(D76="","",D76*Conversions!$C$40*EF!$R$20/1000000/1000)</f>
        <v/>
      </c>
      <c r="F76"/>
    </row>
    <row r="77" spans="2:6" ht="15">
      <c r="B77" s="207">
        <v>7</v>
      </c>
      <c r="C77" s="157"/>
      <c r="D77" s="211"/>
      <c r="E77" s="802" t="str">
        <f>IF(D77="","",D77*Conversions!$C$40*EF!$R$20/1000000/1000)</f>
        <v/>
      </c>
      <c r="F77"/>
    </row>
    <row r="78" spans="2:6" ht="15">
      <c r="B78" s="207">
        <v>8</v>
      </c>
      <c r="C78" s="157"/>
      <c r="D78" s="211"/>
      <c r="E78" s="802" t="str">
        <f>IF(D78="","",D78*Conversions!$C$40*EF!$R$20/1000000/1000)</f>
        <v/>
      </c>
      <c r="F78"/>
    </row>
    <row r="79" spans="2:6" ht="15">
      <c r="B79" s="207">
        <v>9</v>
      </c>
      <c r="C79" s="157"/>
      <c r="D79" s="211"/>
      <c r="E79" s="802" t="str">
        <f>IF(D79="","",D79*Conversions!$C$40*EF!$R$20/1000000/1000)</f>
        <v/>
      </c>
      <c r="F79"/>
    </row>
    <row r="80" spans="2:6" ht="15">
      <c r="B80" s="207">
        <v>10</v>
      </c>
      <c r="C80" s="157"/>
      <c r="D80" s="211"/>
      <c r="E80" s="802" t="str">
        <f>IF(D80="","",D80*Conversions!$C$40*EF!$R$20/1000000/1000)</f>
        <v/>
      </c>
      <c r="F80"/>
    </row>
    <row r="81" spans="2:6" ht="15">
      <c r="B81" s="207">
        <v>11</v>
      </c>
      <c r="C81" s="157"/>
      <c r="D81" s="211"/>
      <c r="E81" s="802" t="str">
        <f>IF(D81="","",D81*Conversions!$C$40*EF!$R$20/1000000/1000)</f>
        <v/>
      </c>
      <c r="F81"/>
    </row>
    <row r="82" spans="2:6" ht="15">
      <c r="B82" s="207">
        <v>12</v>
      </c>
      <c r="C82" s="157"/>
      <c r="D82" s="211"/>
      <c r="E82" s="802" t="str">
        <f>IF(D82="","",D82*Conversions!$C$40*EF!$R$20/1000000/1000)</f>
        <v/>
      </c>
      <c r="F82"/>
    </row>
    <row r="83" spans="2:6" ht="15">
      <c r="B83" s="207">
        <v>13</v>
      </c>
      <c r="C83" s="157"/>
      <c r="D83" s="211"/>
      <c r="E83" s="802" t="str">
        <f>IF(D83="","",D83*Conversions!$C$40*EF!$R$20/1000000/1000)</f>
        <v/>
      </c>
      <c r="F83"/>
    </row>
    <row r="84" spans="2:6" ht="15">
      <c r="B84" s="207">
        <v>14</v>
      </c>
      <c r="C84" s="157"/>
      <c r="D84" s="211"/>
      <c r="E84" s="802" t="str">
        <f>IF(D84="","",D84*Conversions!$C$40*EF!$R$20/1000000/1000)</f>
        <v/>
      </c>
      <c r="F84"/>
    </row>
    <row r="85" spans="2:6" ht="15">
      <c r="B85" s="207">
        <v>15</v>
      </c>
      <c r="C85" s="157"/>
      <c r="D85" s="211"/>
      <c r="E85" s="802" t="str">
        <f>IF(D85="","",D85*Conversions!$C$40*EF!$R$20/1000000/1000)</f>
        <v/>
      </c>
      <c r="F85"/>
    </row>
    <row r="86" spans="2:6" ht="15">
      <c r="B86" s="207">
        <v>16</v>
      </c>
      <c r="C86" s="157"/>
      <c r="D86" s="211"/>
      <c r="E86" s="802" t="str">
        <f>IF(D86="","",D86*Conversions!$C$40*EF!$R$20/1000000/1000)</f>
        <v/>
      </c>
      <c r="F86"/>
    </row>
    <row r="87" spans="2:6" ht="15">
      <c r="B87" s="207">
        <v>17</v>
      </c>
      <c r="C87" s="157"/>
      <c r="D87" s="211"/>
      <c r="E87" s="802" t="str">
        <f>IF(D87="","",D87*Conversions!$C$40*EF!$R$20/1000000/1000)</f>
        <v/>
      </c>
      <c r="F87"/>
    </row>
    <row r="88" spans="2:6" ht="15">
      <c r="B88" s="207">
        <v>18</v>
      </c>
      <c r="C88" s="157"/>
      <c r="D88" s="211"/>
      <c r="E88" s="802" t="str">
        <f>IF(D88="","",D88*Conversions!$C$40*EF!$R$20/1000000/1000)</f>
        <v/>
      </c>
      <c r="F88"/>
    </row>
    <row r="89" spans="2:6" ht="15">
      <c r="B89" s="207">
        <v>19</v>
      </c>
      <c r="C89" s="157"/>
      <c r="D89" s="211"/>
      <c r="E89" s="802" t="str">
        <f>IF(D89="","",D89*Conversions!$C$40*EF!$R$20/1000000/1000)</f>
        <v/>
      </c>
      <c r="F89"/>
    </row>
    <row r="90" spans="2:6" ht="15.75" thickBot="1">
      <c r="B90" s="207">
        <v>20</v>
      </c>
      <c r="C90" s="157"/>
      <c r="D90" s="211"/>
      <c r="E90" s="802" t="str">
        <f>IF(D90="","",D90*Conversions!$C$40*EF!$R$20/1000000/1000)</f>
        <v/>
      </c>
      <c r="F90"/>
    </row>
    <row r="91" spans="2:6" ht="15" thickBot="1">
      <c r="D91" s="218" t="s">
        <v>1268</v>
      </c>
      <c r="E91" s="944">
        <f>SUM(E72:E90)</f>
        <v>0</v>
      </c>
      <c r="F91"/>
    </row>
    <row r="92" spans="2:6">
      <c r="F92"/>
    </row>
    <row r="93" spans="2:6">
      <c r="F93"/>
    </row>
    <row r="94" spans="2:6">
      <c r="F94"/>
    </row>
    <row r="95" spans="2:6">
      <c r="F95"/>
    </row>
    <row r="96" spans="2: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row r="129" spans="6:6">
      <c r="F129"/>
    </row>
    <row r="130" spans="6:6">
      <c r="F130"/>
    </row>
    <row r="131" spans="6:6">
      <c r="F131"/>
    </row>
    <row r="132" spans="6:6">
      <c r="F132"/>
    </row>
    <row r="133" spans="6:6">
      <c r="F133"/>
    </row>
    <row r="134" spans="6:6">
      <c r="F134"/>
    </row>
    <row r="135" spans="6:6">
      <c r="F135"/>
    </row>
    <row r="136" spans="6:6">
      <c r="F136"/>
    </row>
    <row r="137" spans="6:6">
      <c r="F137"/>
    </row>
    <row r="138" spans="6:6">
      <c r="F138"/>
    </row>
  </sheetData>
  <sheetProtection algorithmName="SHA-512" hashValue="UdsDVvoxC6KCSTNBJctCR28wHTFLE/t9wR5H4YPY5TnIPHw7cVReJ2h4fM0aJ42mKY5mG9IQVEMVQz3vSTu48g==" saltValue="K1d5veRrnpuq3IuIGJZQ2g==" spinCount="100000" sheet="1" objects="1" scenarios="1"/>
  <mergeCells count="24">
    <mergeCell ref="D59:F59"/>
    <mergeCell ref="K59:M59"/>
    <mergeCell ref="D60:F60"/>
    <mergeCell ref="K60:M60"/>
    <mergeCell ref="D61:F61"/>
    <mergeCell ref="K61:M61"/>
    <mergeCell ref="D56:F56"/>
    <mergeCell ref="K56:M56"/>
    <mergeCell ref="D57:F57"/>
    <mergeCell ref="K57:M57"/>
    <mergeCell ref="D58:F58"/>
    <mergeCell ref="K58:M58"/>
    <mergeCell ref="D53:F53"/>
    <mergeCell ref="K53:M53"/>
    <mergeCell ref="D54:F54"/>
    <mergeCell ref="K54:M54"/>
    <mergeCell ref="D55:F55"/>
    <mergeCell ref="K55:M55"/>
    <mergeCell ref="D50:F50"/>
    <mergeCell ref="K50:M50"/>
    <mergeCell ref="D51:F51"/>
    <mergeCell ref="K51:M51"/>
    <mergeCell ref="D52:F52"/>
    <mergeCell ref="K52:M5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2D49-0989-452B-8C3F-A9A64CCA3C8E}">
  <sheetPr codeName="Sheet19">
    <tabColor theme="3" tint="-0.249977111117893"/>
  </sheetPr>
  <dimension ref="A1:M155"/>
  <sheetViews>
    <sheetView showGridLines="0" zoomScale="85" zoomScaleNormal="85" workbookViewId="0"/>
  </sheetViews>
  <sheetFormatPr defaultRowHeight="14.25"/>
  <cols>
    <col min="2" max="2" width="28.125" bestFit="1" customWidth="1"/>
    <col min="3" max="3" width="38.625" customWidth="1"/>
    <col min="4" max="4" width="23.875" customWidth="1"/>
    <col min="5" max="5" width="27.125" customWidth="1"/>
    <col min="6" max="6" width="12.125" customWidth="1"/>
    <col min="7" max="7" width="16.875" customWidth="1"/>
    <col min="8" max="8" width="18.5" customWidth="1"/>
    <col min="9" max="9" width="53.125" customWidth="1"/>
    <col min="10" max="11" width="13.125" customWidth="1"/>
    <col min="12" max="12" width="49.625" customWidth="1"/>
    <col min="13" max="13" width="68.375" customWidth="1"/>
  </cols>
  <sheetData>
    <row r="1" spans="1:9" ht="20.25">
      <c r="A1" s="74" t="s">
        <v>4207</v>
      </c>
      <c r="B1" s="107"/>
      <c r="C1" s="107"/>
      <c r="D1" s="107"/>
      <c r="E1" s="107"/>
      <c r="F1" s="108"/>
      <c r="G1" s="108"/>
      <c r="H1" s="108"/>
      <c r="I1" s="108"/>
    </row>
    <row r="2" spans="1:9">
      <c r="A2" s="109" t="s">
        <v>304</v>
      </c>
      <c r="B2" s="110"/>
      <c r="C2" s="110"/>
      <c r="D2" s="110"/>
      <c r="E2" s="110"/>
      <c r="F2" s="111"/>
      <c r="G2" s="111"/>
      <c r="H2" s="111"/>
      <c r="I2" s="111"/>
    </row>
    <row r="3" spans="1:9">
      <c r="A3" s="1554" t="s">
        <v>1251</v>
      </c>
      <c r="B3" s="1554"/>
      <c r="C3" s="1554"/>
      <c r="D3" s="1554"/>
      <c r="E3" s="1554"/>
      <c r="F3" s="1554"/>
      <c r="G3" s="1554"/>
      <c r="H3" s="1554"/>
      <c r="I3" s="1554"/>
    </row>
    <row r="4" spans="1:9">
      <c r="A4" s="1554"/>
      <c r="B4" s="1554"/>
      <c r="C4" s="1554"/>
      <c r="D4" s="1554"/>
      <c r="E4" s="1554"/>
      <c r="F4" s="1554"/>
      <c r="G4" s="1554"/>
      <c r="H4" s="1554"/>
      <c r="I4" s="1554"/>
    </row>
    <row r="5" spans="1:9">
      <c r="A5" s="112" t="s">
        <v>1252</v>
      </c>
      <c r="B5" s="112"/>
      <c r="C5" s="112"/>
      <c r="D5" s="112"/>
      <c r="E5" s="112"/>
      <c r="F5" s="112"/>
      <c r="G5" s="112"/>
      <c r="H5" s="112"/>
      <c r="I5" s="112"/>
    </row>
    <row r="6" spans="1:9">
      <c r="A6" s="140" t="s">
        <v>1253</v>
      </c>
      <c r="B6" s="117"/>
      <c r="C6" s="117"/>
      <c r="D6" s="117"/>
      <c r="E6" s="141"/>
      <c r="F6" s="142"/>
      <c r="G6" s="117"/>
      <c r="H6" s="117"/>
      <c r="I6" s="117"/>
    </row>
    <row r="7" spans="1:9">
      <c r="A7" s="143" t="s">
        <v>1254</v>
      </c>
      <c r="B7" s="117"/>
      <c r="C7" s="117"/>
      <c r="D7" s="117"/>
      <c r="E7" s="141"/>
      <c r="F7" s="142"/>
      <c r="G7" s="117"/>
      <c r="H7" s="117"/>
      <c r="I7" s="117"/>
    </row>
    <row r="8" spans="1:9" ht="9" customHeight="1">
      <c r="A8" s="143"/>
      <c r="B8" s="117"/>
      <c r="C8" s="117"/>
      <c r="D8" s="117"/>
      <c r="E8" s="141"/>
      <c r="F8" s="142"/>
      <c r="G8" s="117"/>
      <c r="H8" s="117"/>
      <c r="I8" s="117"/>
    </row>
    <row r="9" spans="1:9" ht="18.75">
      <c r="A9" s="119"/>
      <c r="B9" s="831" t="s">
        <v>312</v>
      </c>
      <c r="C9" s="831" t="s">
        <v>312</v>
      </c>
      <c r="D9" s="831" t="s">
        <v>312</v>
      </c>
      <c r="E9" s="831" t="s">
        <v>312</v>
      </c>
      <c r="F9" s="831" t="s">
        <v>312</v>
      </c>
      <c r="G9" s="831" t="s">
        <v>312</v>
      </c>
      <c r="H9" s="831"/>
      <c r="I9" s="831" t="s">
        <v>312</v>
      </c>
    </row>
    <row r="10" spans="1:9" ht="45">
      <c r="A10" s="144" t="s">
        <v>1238</v>
      </c>
      <c r="B10" s="138" t="s">
        <v>319</v>
      </c>
      <c r="C10" s="138" t="s">
        <v>1255</v>
      </c>
      <c r="D10" s="145" t="s">
        <v>1256</v>
      </c>
      <c r="E10" s="145" t="s">
        <v>1257</v>
      </c>
      <c r="F10" s="145" t="s">
        <v>1258</v>
      </c>
      <c r="G10" s="145" t="s">
        <v>1259</v>
      </c>
      <c r="H10" s="145" t="s">
        <v>322</v>
      </c>
      <c r="I10" s="145" t="s">
        <v>1260</v>
      </c>
    </row>
    <row r="11" spans="1:9" ht="15.75">
      <c r="A11" s="334" t="s">
        <v>1727</v>
      </c>
      <c r="B11" s="329"/>
      <c r="C11" s="329"/>
      <c r="D11" s="330"/>
      <c r="E11" s="330"/>
      <c r="F11" s="330"/>
      <c r="G11" s="330"/>
      <c r="H11" s="330"/>
      <c r="I11" s="330"/>
    </row>
    <row r="12" spans="1:9" ht="15">
      <c r="A12" s="146">
        <v>1</v>
      </c>
      <c r="B12" s="147" t="s">
        <v>1242</v>
      </c>
      <c r="C12" s="147" t="s">
        <v>1261</v>
      </c>
      <c r="D12" s="147" t="s">
        <v>1262</v>
      </c>
      <c r="E12" s="327">
        <v>20000</v>
      </c>
      <c r="F12" s="149" t="s">
        <v>1263</v>
      </c>
      <c r="G12" s="149">
        <v>0.41010000000000002</v>
      </c>
      <c r="H12" s="336">
        <f>G12*E12/1000</f>
        <v>8.202</v>
      </c>
      <c r="I12" s="149" t="s">
        <v>1264</v>
      </c>
    </row>
    <row r="13" spans="1:9" ht="15">
      <c r="A13" s="146">
        <v>2</v>
      </c>
      <c r="B13" s="150"/>
      <c r="C13" s="150"/>
      <c r="D13" s="150"/>
      <c r="E13" s="328"/>
      <c r="F13" s="151"/>
      <c r="G13" s="152"/>
      <c r="H13" s="337" t="str">
        <f>IF(ISBLANK(E13),"",G13*E13/1000)</f>
        <v/>
      </c>
      <c r="I13" s="153"/>
    </row>
    <row r="14" spans="1:9" ht="15">
      <c r="A14" s="146">
        <v>3</v>
      </c>
      <c r="B14" s="150"/>
      <c r="C14" s="150"/>
      <c r="D14" s="150"/>
      <c r="E14" s="328"/>
      <c r="F14" s="151"/>
      <c r="G14" s="152"/>
      <c r="H14" s="337" t="str">
        <f t="shared" ref="H14:H19" si="0">IF(ISBLANK(E14),"",G14*E14/1000)</f>
        <v/>
      </c>
      <c r="I14" s="153"/>
    </row>
    <row r="15" spans="1:9" ht="15">
      <c r="A15" s="146">
        <v>4</v>
      </c>
      <c r="B15" s="150"/>
      <c r="C15" s="150"/>
      <c r="D15" s="154"/>
      <c r="E15" s="150"/>
      <c r="F15" s="154"/>
      <c r="G15" s="152"/>
      <c r="H15" s="337" t="str">
        <f t="shared" si="0"/>
        <v/>
      </c>
      <c r="I15" s="153"/>
    </row>
    <row r="16" spans="1:9" ht="15">
      <c r="A16" s="146">
        <v>5</v>
      </c>
      <c r="B16" s="150"/>
      <c r="C16" s="150"/>
      <c r="D16" s="154"/>
      <c r="E16" s="150"/>
      <c r="F16" s="154"/>
      <c r="G16" s="152"/>
      <c r="H16" s="337" t="str">
        <f t="shared" si="0"/>
        <v/>
      </c>
      <c r="I16" s="153"/>
    </row>
    <row r="17" spans="1:9" ht="15">
      <c r="A17" s="146">
        <v>6</v>
      </c>
      <c r="B17" s="150"/>
      <c r="C17" s="150"/>
      <c r="D17" s="154"/>
      <c r="E17" s="150"/>
      <c r="F17" s="154"/>
      <c r="G17" s="152"/>
      <c r="H17" s="337" t="str">
        <f t="shared" si="0"/>
        <v/>
      </c>
      <c r="I17" s="153"/>
    </row>
    <row r="18" spans="1:9" ht="15">
      <c r="A18" s="146">
        <v>7</v>
      </c>
      <c r="B18" s="150"/>
      <c r="C18" s="150"/>
      <c r="D18" s="154"/>
      <c r="E18" s="150"/>
      <c r="F18" s="154"/>
      <c r="G18" s="152"/>
      <c r="H18" s="337" t="str">
        <f t="shared" si="0"/>
        <v/>
      </c>
      <c r="I18" s="153"/>
    </row>
    <row r="19" spans="1:9" ht="15">
      <c r="A19" s="146">
        <v>8</v>
      </c>
      <c r="B19" s="150"/>
      <c r="C19" s="150"/>
      <c r="D19" s="154"/>
      <c r="E19" s="150"/>
      <c r="F19" s="154"/>
      <c r="G19" s="152"/>
      <c r="H19" s="337" t="str">
        <f t="shared" si="0"/>
        <v/>
      </c>
      <c r="I19" s="153"/>
    </row>
    <row r="20" spans="1:9" ht="15.75">
      <c r="A20" s="334" t="s">
        <v>1730</v>
      </c>
      <c r="B20" s="329"/>
      <c r="C20" s="329"/>
      <c r="D20" s="339" t="s">
        <v>1266</v>
      </c>
      <c r="E20" s="339" t="s">
        <v>1266</v>
      </c>
      <c r="F20" s="339" t="s">
        <v>1266</v>
      </c>
      <c r="G20" s="339" t="s">
        <v>1266</v>
      </c>
      <c r="H20" s="338" t="s">
        <v>312</v>
      </c>
      <c r="I20" s="330"/>
    </row>
    <row r="21" spans="1:9" ht="15">
      <c r="A21" s="207">
        <v>1</v>
      </c>
      <c r="B21" s="238" t="s">
        <v>1265</v>
      </c>
      <c r="C21" s="238" t="s">
        <v>1731</v>
      </c>
      <c r="D21" s="722"/>
      <c r="E21" s="723"/>
      <c r="F21" s="722"/>
      <c r="G21" s="724"/>
      <c r="H21" s="725">
        <v>15000</v>
      </c>
      <c r="I21" s="725" t="s">
        <v>1267</v>
      </c>
    </row>
    <row r="22" spans="1:9" ht="15">
      <c r="A22" s="146">
        <v>2</v>
      </c>
      <c r="B22" s="147"/>
      <c r="C22" s="147"/>
      <c r="D22" s="331"/>
      <c r="E22" s="332"/>
      <c r="F22" s="331"/>
      <c r="G22" s="333"/>
      <c r="H22" s="340"/>
      <c r="I22" s="149"/>
    </row>
    <row r="23" spans="1:9" ht="15">
      <c r="A23" s="146">
        <v>3</v>
      </c>
      <c r="B23" s="147"/>
      <c r="C23" s="147"/>
      <c r="D23" s="331"/>
      <c r="E23" s="332"/>
      <c r="F23" s="331"/>
      <c r="G23" s="333"/>
      <c r="H23" s="340"/>
      <c r="I23" s="149"/>
    </row>
    <row r="24" spans="1:9" ht="15">
      <c r="A24" s="146">
        <v>4</v>
      </c>
      <c r="B24" s="147"/>
      <c r="C24" s="147"/>
      <c r="D24" s="331"/>
      <c r="E24" s="332"/>
      <c r="F24" s="331"/>
      <c r="G24" s="333"/>
      <c r="H24" s="340"/>
      <c r="I24" s="149"/>
    </row>
    <row r="25" spans="1:9" ht="15">
      <c r="A25" s="146">
        <v>5</v>
      </c>
      <c r="B25" s="150"/>
      <c r="C25" s="150"/>
      <c r="D25" s="331"/>
      <c r="E25" s="332"/>
      <c r="F25" s="331"/>
      <c r="G25" s="333"/>
      <c r="H25" s="153"/>
      <c r="I25" s="153"/>
    </row>
    <row r="26" spans="1:9" ht="15.75" thickBot="1">
      <c r="A26" s="146">
        <v>6</v>
      </c>
      <c r="B26" s="150"/>
      <c r="C26" s="150"/>
      <c r="D26" s="331"/>
      <c r="E26" s="332"/>
      <c r="F26" s="331"/>
      <c r="G26" s="333"/>
      <c r="H26" s="153"/>
      <c r="I26" s="153"/>
    </row>
    <row r="27" spans="1:9" ht="15" thickBot="1">
      <c r="A27" s="117"/>
      <c r="B27" s="117"/>
      <c r="C27" s="117"/>
      <c r="D27" s="117"/>
      <c r="E27" s="117"/>
      <c r="F27" s="117"/>
      <c r="G27" s="155" t="s">
        <v>1268</v>
      </c>
      <c r="H27" s="908">
        <f>SUM(H13:H19,H22:H26)</f>
        <v>0</v>
      </c>
      <c r="I27" s="143"/>
    </row>
    <row r="28" spans="1:9">
      <c r="A28" s="117"/>
      <c r="B28" s="117"/>
      <c r="C28" s="117"/>
      <c r="D28" s="117"/>
      <c r="E28" s="117"/>
      <c r="F28" s="117"/>
      <c r="G28" s="117"/>
      <c r="H28" s="117"/>
      <c r="I28" s="117"/>
    </row>
    <row r="29" spans="1:9">
      <c r="A29" s="140" t="s">
        <v>1269</v>
      </c>
      <c r="B29" s="117"/>
      <c r="C29" s="117"/>
      <c r="D29" s="117"/>
      <c r="E29" s="117"/>
      <c r="F29" s="141"/>
      <c r="G29" s="142"/>
      <c r="H29" s="117"/>
      <c r="I29" s="117"/>
    </row>
    <row r="30" spans="1:9">
      <c r="A30" s="140" t="s">
        <v>1270</v>
      </c>
      <c r="B30" s="117"/>
      <c r="C30" s="117"/>
      <c r="D30" s="117"/>
      <c r="E30" s="117"/>
      <c r="F30" s="141"/>
      <c r="G30" s="142"/>
      <c r="H30" s="117"/>
      <c r="I30" s="117"/>
    </row>
    <row r="31" spans="1:9" ht="9" customHeight="1">
      <c r="A31" s="140"/>
      <c r="B31" s="117"/>
      <c r="C31" s="117"/>
      <c r="D31" s="117"/>
      <c r="E31" s="117"/>
      <c r="F31" s="141"/>
      <c r="G31" s="142"/>
      <c r="H31" s="117"/>
      <c r="I31" s="117"/>
    </row>
    <row r="32" spans="1:9">
      <c r="A32" s="117"/>
      <c r="B32" s="831" t="s">
        <v>312</v>
      </c>
      <c r="C32" s="831" t="s">
        <v>312</v>
      </c>
      <c r="D32" s="831" t="s">
        <v>312</v>
      </c>
      <c r="E32" s="831" t="s">
        <v>312</v>
      </c>
      <c r="F32" s="831" t="s">
        <v>312</v>
      </c>
      <c r="G32" s="832" t="s">
        <v>312</v>
      </c>
      <c r="H32" s="831"/>
      <c r="I32" s="831" t="s">
        <v>312</v>
      </c>
    </row>
    <row r="33" spans="1:9" ht="45">
      <c r="A33" s="144" t="s">
        <v>1238</v>
      </c>
      <c r="B33" s="138" t="s">
        <v>319</v>
      </c>
      <c r="C33" s="138" t="s">
        <v>1271</v>
      </c>
      <c r="D33" s="156" t="s">
        <v>1272</v>
      </c>
      <c r="E33" s="144" t="s">
        <v>1273</v>
      </c>
      <c r="F33" s="144" t="s">
        <v>1274</v>
      </c>
      <c r="G33" s="145" t="s">
        <v>1259</v>
      </c>
      <c r="H33" s="145" t="s">
        <v>322</v>
      </c>
      <c r="I33" s="145" t="s">
        <v>1260</v>
      </c>
    </row>
    <row r="34" spans="1:9" ht="15.75">
      <c r="A34" s="334" t="s">
        <v>1727</v>
      </c>
      <c r="B34" s="329"/>
      <c r="C34" s="329"/>
      <c r="D34" s="330"/>
      <c r="E34" s="330"/>
      <c r="F34" s="330"/>
      <c r="G34" s="330"/>
      <c r="H34" s="330"/>
      <c r="I34" s="330"/>
    </row>
    <row r="35" spans="1:9" ht="15">
      <c r="A35" s="207">
        <v>1</v>
      </c>
      <c r="B35" s="238" t="s">
        <v>1242</v>
      </c>
      <c r="C35" s="238" t="s">
        <v>30</v>
      </c>
      <c r="D35" s="238" t="s">
        <v>31</v>
      </c>
      <c r="E35" s="726">
        <v>10</v>
      </c>
      <c r="F35" s="238" t="s">
        <v>1275</v>
      </c>
      <c r="G35" s="238">
        <v>0.82799999999999996</v>
      </c>
      <c r="H35" s="726">
        <f>G35*E35/1000</f>
        <v>8.2799999999999992E-3</v>
      </c>
      <c r="I35" s="238" t="s">
        <v>1276</v>
      </c>
    </row>
    <row r="36" spans="1:9" ht="15">
      <c r="A36" s="146">
        <v>2</v>
      </c>
      <c r="B36" s="157"/>
      <c r="C36" s="150"/>
      <c r="D36" s="150"/>
      <c r="E36" s="166"/>
      <c r="F36" s="158"/>
      <c r="G36" s="158"/>
      <c r="H36" s="337" t="str">
        <f>IF(ISBLANK(E36),"",G36*E36/1000)</f>
        <v/>
      </c>
      <c r="I36" s="159"/>
    </row>
    <row r="37" spans="1:9" ht="15">
      <c r="A37" s="146">
        <v>3</v>
      </c>
      <c r="B37" s="157"/>
      <c r="C37" s="150"/>
      <c r="D37" s="150"/>
      <c r="E37" s="166"/>
      <c r="F37" s="158"/>
      <c r="G37" s="158"/>
      <c r="H37" s="337" t="str">
        <f t="shared" ref="H37:H42" si="1">IF(ISBLANK(E37),"",G37*E37/1000)</f>
        <v/>
      </c>
      <c r="I37" s="159"/>
    </row>
    <row r="38" spans="1:9" ht="15">
      <c r="A38" s="146">
        <v>4</v>
      </c>
      <c r="B38" s="157"/>
      <c r="C38" s="150"/>
      <c r="D38" s="150"/>
      <c r="E38" s="166"/>
      <c r="F38" s="158"/>
      <c r="G38" s="158"/>
      <c r="H38" s="337" t="str">
        <f t="shared" si="1"/>
        <v/>
      </c>
      <c r="I38" s="159"/>
    </row>
    <row r="39" spans="1:9" ht="15">
      <c r="A39" s="146">
        <v>5</v>
      </c>
      <c r="B39" s="157"/>
      <c r="C39" s="150"/>
      <c r="D39" s="150"/>
      <c r="E39" s="166"/>
      <c r="F39" s="158"/>
      <c r="G39" s="158"/>
      <c r="H39" s="337" t="str">
        <f t="shared" si="1"/>
        <v/>
      </c>
      <c r="I39" s="159"/>
    </row>
    <row r="40" spans="1:9" ht="15">
      <c r="A40" s="146">
        <v>6</v>
      </c>
      <c r="B40" s="157"/>
      <c r="C40" s="150"/>
      <c r="D40" s="150"/>
      <c r="E40" s="166"/>
      <c r="F40" s="158"/>
      <c r="G40" s="158"/>
      <c r="H40" s="337" t="str">
        <f t="shared" si="1"/>
        <v/>
      </c>
      <c r="I40" s="159"/>
    </row>
    <row r="41" spans="1:9" ht="15">
      <c r="A41" s="146">
        <v>7</v>
      </c>
      <c r="B41" s="157"/>
      <c r="C41" s="150"/>
      <c r="D41" s="150"/>
      <c r="E41" s="166"/>
      <c r="F41" s="158"/>
      <c r="G41" s="158"/>
      <c r="H41" s="337" t="str">
        <f t="shared" si="1"/>
        <v/>
      </c>
      <c r="I41" s="159"/>
    </row>
    <row r="42" spans="1:9" ht="15">
      <c r="A42" s="146">
        <v>8</v>
      </c>
      <c r="B42" s="157"/>
      <c r="C42" s="150"/>
      <c r="D42" s="150"/>
      <c r="E42" s="166"/>
      <c r="F42" s="158"/>
      <c r="G42" s="158"/>
      <c r="H42" s="337" t="str">
        <f t="shared" si="1"/>
        <v/>
      </c>
      <c r="I42" s="159"/>
    </row>
    <row r="43" spans="1:9" ht="15.75">
      <c r="A43" s="334" t="s">
        <v>1730</v>
      </c>
      <c r="B43" s="329"/>
      <c r="C43" s="329"/>
      <c r="D43" s="339" t="s">
        <v>1266</v>
      </c>
      <c r="E43" s="339" t="s">
        <v>1266</v>
      </c>
      <c r="F43" s="339" t="s">
        <v>1266</v>
      </c>
      <c r="G43" s="339" t="s">
        <v>1266</v>
      </c>
      <c r="H43" s="338" t="s">
        <v>312</v>
      </c>
      <c r="I43" s="330"/>
    </row>
    <row r="44" spans="1:9" ht="15">
      <c r="A44" s="207">
        <v>1</v>
      </c>
      <c r="B44" s="238" t="s">
        <v>1265</v>
      </c>
      <c r="C44" s="238" t="s">
        <v>1732</v>
      </c>
      <c r="D44" s="722"/>
      <c r="E44" s="723"/>
      <c r="F44" s="722"/>
      <c r="G44" s="724"/>
      <c r="H44" s="725">
        <v>2500</v>
      </c>
      <c r="I44" s="725" t="s">
        <v>1733</v>
      </c>
    </row>
    <row r="45" spans="1:9" ht="15">
      <c r="A45" s="146">
        <v>2</v>
      </c>
      <c r="B45" s="147"/>
      <c r="C45" s="147"/>
      <c r="D45" s="331"/>
      <c r="E45" s="332"/>
      <c r="F45" s="331"/>
      <c r="G45" s="333"/>
      <c r="H45" s="340"/>
      <c r="I45" s="149"/>
    </row>
    <row r="46" spans="1:9" ht="15">
      <c r="A46" s="146">
        <v>3</v>
      </c>
      <c r="B46" s="147"/>
      <c r="C46" s="147"/>
      <c r="D46" s="331"/>
      <c r="E46" s="332"/>
      <c r="F46" s="331"/>
      <c r="G46" s="333"/>
      <c r="H46" s="340"/>
      <c r="I46" s="149"/>
    </row>
    <row r="47" spans="1:9" ht="15">
      <c r="A47" s="146">
        <v>4</v>
      </c>
      <c r="B47" s="147"/>
      <c r="C47" s="147"/>
      <c r="D47" s="331"/>
      <c r="E47" s="332"/>
      <c r="F47" s="331"/>
      <c r="G47" s="333"/>
      <c r="H47" s="340"/>
      <c r="I47" s="149"/>
    </row>
    <row r="48" spans="1:9" ht="15">
      <c r="A48" s="146">
        <v>5</v>
      </c>
      <c r="B48" s="150"/>
      <c r="C48" s="150"/>
      <c r="D48" s="331"/>
      <c r="E48" s="332"/>
      <c r="F48" s="331"/>
      <c r="G48" s="333"/>
      <c r="H48" s="340"/>
      <c r="I48" s="153"/>
    </row>
    <row r="49" spans="1:10" ht="15.75" thickBot="1">
      <c r="A49" s="146">
        <v>6</v>
      </c>
      <c r="B49" s="150"/>
      <c r="C49" s="150"/>
      <c r="D49" s="331"/>
      <c r="E49" s="332"/>
      <c r="F49" s="331"/>
      <c r="G49" s="333"/>
      <c r="H49" s="340"/>
      <c r="I49" s="153"/>
    </row>
    <row r="50" spans="1:10" ht="15.75" thickBot="1">
      <c r="A50" s="160"/>
      <c r="B50" s="117"/>
      <c r="C50" s="161"/>
      <c r="D50" s="161"/>
      <c r="E50" s="162"/>
      <c r="F50" s="162"/>
      <c r="G50" s="155" t="s">
        <v>1268</v>
      </c>
      <c r="H50" s="907">
        <f>SUM(H36:H42,H45:H49)</f>
        <v>0</v>
      </c>
      <c r="I50" s="163"/>
    </row>
    <row r="51" spans="1:10" ht="15">
      <c r="A51" s="160"/>
      <c r="B51" s="117"/>
      <c r="C51" s="161"/>
      <c r="D51" s="161"/>
      <c r="E51" s="162"/>
      <c r="F51" s="162"/>
      <c r="G51" s="162"/>
      <c r="H51" s="163"/>
      <c r="I51" s="163"/>
    </row>
    <row r="52" spans="1:10" ht="15">
      <c r="A52" s="160"/>
      <c r="B52" s="117"/>
      <c r="C52" s="161"/>
      <c r="D52" s="161"/>
      <c r="E52" s="162"/>
      <c r="F52" s="162"/>
      <c r="G52" s="162"/>
      <c r="H52" s="163"/>
      <c r="I52" s="163"/>
    </row>
    <row r="53" spans="1:10">
      <c r="A53" s="140" t="s">
        <v>1277</v>
      </c>
      <c r="B53" s="117"/>
      <c r="C53" s="117"/>
      <c r="D53" s="117"/>
      <c r="E53" s="141"/>
      <c r="F53" s="142"/>
      <c r="G53" s="117"/>
      <c r="H53" s="117"/>
      <c r="I53" s="117"/>
    </row>
    <row r="54" spans="1:10">
      <c r="A54" s="121" t="s">
        <v>1237</v>
      </c>
      <c r="B54" s="117"/>
      <c r="C54" s="117"/>
      <c r="D54" s="117"/>
      <c r="E54" s="141"/>
      <c r="F54" s="142"/>
      <c r="G54" s="117"/>
      <c r="H54" s="117"/>
      <c r="I54" s="117"/>
    </row>
    <row r="55" spans="1:10">
      <c r="A55" s="143" t="s">
        <v>1254</v>
      </c>
      <c r="B55" s="117"/>
      <c r="C55" s="117"/>
      <c r="D55" s="117"/>
      <c r="E55" s="141"/>
      <c r="F55" s="142"/>
      <c r="G55" s="117"/>
      <c r="H55" s="117"/>
      <c r="I55" s="117"/>
    </row>
    <row r="56" spans="1:10" ht="9" customHeight="1">
      <c r="A56" s="143"/>
      <c r="B56" s="117"/>
      <c r="C56" s="117"/>
      <c r="D56" s="117"/>
      <c r="E56" s="141"/>
      <c r="F56" s="142"/>
      <c r="G56" s="117"/>
      <c r="H56" s="117"/>
      <c r="I56" s="117"/>
    </row>
    <row r="57" spans="1:10" ht="15">
      <c r="A57" s="120"/>
      <c r="B57" s="122" t="s">
        <v>312</v>
      </c>
      <c r="C57" s="122" t="s">
        <v>312</v>
      </c>
      <c r="D57" s="122" t="s">
        <v>312</v>
      </c>
      <c r="E57" s="122" t="s">
        <v>312</v>
      </c>
      <c r="F57" s="122" t="s">
        <v>312</v>
      </c>
      <c r="G57" s="122" t="s">
        <v>312</v>
      </c>
      <c r="H57" s="122"/>
      <c r="I57" s="122" t="s">
        <v>312</v>
      </c>
    </row>
    <row r="58" spans="1:10" ht="45">
      <c r="A58" s="144" t="s">
        <v>1238</v>
      </c>
      <c r="B58" s="138" t="s">
        <v>319</v>
      </c>
      <c r="C58" s="138" t="s">
        <v>1278</v>
      </c>
      <c r="D58" s="145" t="s">
        <v>1256</v>
      </c>
      <c r="E58" s="145" t="s">
        <v>1257</v>
      </c>
      <c r="F58" s="145" t="s">
        <v>1258</v>
      </c>
      <c r="G58" s="145" t="s">
        <v>1259</v>
      </c>
      <c r="H58" s="145" t="s">
        <v>322</v>
      </c>
      <c r="I58" s="145" t="s">
        <v>1260</v>
      </c>
      <c r="J58" s="164" t="s">
        <v>1279</v>
      </c>
    </row>
    <row r="59" spans="1:10" ht="15.75">
      <c r="A59" s="334" t="s">
        <v>1727</v>
      </c>
      <c r="B59" s="329"/>
      <c r="C59" s="329"/>
      <c r="D59" s="330"/>
      <c r="E59" s="330"/>
      <c r="F59" s="330"/>
      <c r="G59" s="330"/>
      <c r="H59" s="330"/>
      <c r="I59" s="330"/>
    </row>
    <row r="60" spans="1:10" ht="15">
      <c r="A60" s="207">
        <v>1</v>
      </c>
      <c r="B60" s="238" t="s">
        <v>1280</v>
      </c>
      <c r="C60" s="238" t="s">
        <v>21</v>
      </c>
      <c r="D60" s="238" t="s">
        <v>1266</v>
      </c>
      <c r="E60" s="726">
        <v>2300</v>
      </c>
      <c r="F60" s="238" t="s">
        <v>1266</v>
      </c>
      <c r="G60" s="238">
        <v>0.6</v>
      </c>
      <c r="H60" s="726">
        <f>G60*E60/1000</f>
        <v>1.38</v>
      </c>
      <c r="I60" s="238" t="s">
        <v>1735</v>
      </c>
      <c r="J60" s="2" t="s">
        <v>1281</v>
      </c>
    </row>
    <row r="61" spans="1:10" ht="15">
      <c r="A61" s="146">
        <v>2</v>
      </c>
      <c r="B61" s="150"/>
      <c r="C61" s="150"/>
      <c r="D61" s="165"/>
      <c r="E61" s="150"/>
      <c r="F61" s="165"/>
      <c r="G61" s="166"/>
      <c r="H61" s="337" t="str">
        <f t="shared" ref="H61:H68" si="2">IF(ISBLANK(E61),"",G61*E61/1000)</f>
        <v/>
      </c>
      <c r="I61" s="167"/>
      <c r="J61" t="s">
        <v>1282</v>
      </c>
    </row>
    <row r="62" spans="1:10" ht="15">
      <c r="A62" s="146">
        <v>3</v>
      </c>
      <c r="B62" s="150"/>
      <c r="C62" s="150"/>
      <c r="D62" s="165"/>
      <c r="E62" s="150"/>
      <c r="F62" s="165"/>
      <c r="G62" s="166"/>
      <c r="H62" s="337" t="str">
        <f t="shared" si="2"/>
        <v/>
      </c>
      <c r="I62" s="167"/>
    </row>
    <row r="63" spans="1:10" ht="15">
      <c r="A63" s="146">
        <v>4</v>
      </c>
      <c r="B63" s="150"/>
      <c r="C63" s="150"/>
      <c r="D63" s="165"/>
      <c r="E63" s="150"/>
      <c r="F63" s="165"/>
      <c r="G63" s="166"/>
      <c r="H63" s="337" t="str">
        <f t="shared" si="2"/>
        <v/>
      </c>
      <c r="I63" s="167"/>
    </row>
    <row r="64" spans="1:10" ht="15">
      <c r="A64" s="146">
        <v>5</v>
      </c>
      <c r="B64" s="150"/>
      <c r="C64" s="150"/>
      <c r="D64" s="165"/>
      <c r="E64" s="150"/>
      <c r="F64" s="165"/>
      <c r="G64" s="166"/>
      <c r="H64" s="337" t="str">
        <f t="shared" si="2"/>
        <v/>
      </c>
      <c r="I64" s="167"/>
    </row>
    <row r="65" spans="1:9" ht="15">
      <c r="A65" s="146">
        <v>6</v>
      </c>
      <c r="B65" s="150"/>
      <c r="C65" s="150"/>
      <c r="D65" s="165"/>
      <c r="E65" s="150"/>
      <c r="F65" s="165"/>
      <c r="G65" s="166"/>
      <c r="H65" s="337" t="str">
        <f t="shared" si="2"/>
        <v/>
      </c>
      <c r="I65" s="167"/>
    </row>
    <row r="66" spans="1:9" ht="15">
      <c r="A66" s="146">
        <v>7</v>
      </c>
      <c r="B66" s="150"/>
      <c r="C66" s="150"/>
      <c r="D66" s="165"/>
      <c r="E66" s="150"/>
      <c r="F66" s="165"/>
      <c r="G66" s="166"/>
      <c r="H66" s="337" t="str">
        <f t="shared" si="2"/>
        <v/>
      </c>
      <c r="I66" s="167"/>
    </row>
    <row r="67" spans="1:9" ht="15">
      <c r="A67" s="146">
        <v>8</v>
      </c>
      <c r="B67" s="150"/>
      <c r="C67" s="150"/>
      <c r="D67" s="165"/>
      <c r="E67" s="150"/>
      <c r="F67" s="165"/>
      <c r="G67" s="166"/>
      <c r="H67" s="337" t="str">
        <f t="shared" si="2"/>
        <v/>
      </c>
      <c r="I67" s="167"/>
    </row>
    <row r="68" spans="1:9" ht="15">
      <c r="A68" s="146"/>
      <c r="B68" s="150"/>
      <c r="C68" s="150"/>
      <c r="D68" s="165"/>
      <c r="E68" s="150"/>
      <c r="F68" s="165"/>
      <c r="G68" s="166"/>
      <c r="H68" s="337" t="str">
        <f t="shared" si="2"/>
        <v/>
      </c>
      <c r="I68" s="167"/>
    </row>
    <row r="69" spans="1:9" ht="15.75">
      <c r="A69" s="334" t="s">
        <v>1730</v>
      </c>
      <c r="B69" s="329"/>
      <c r="C69" s="329"/>
      <c r="D69" s="339" t="s">
        <v>1266</v>
      </c>
      <c r="E69" s="339" t="s">
        <v>1266</v>
      </c>
      <c r="F69" s="339" t="s">
        <v>1266</v>
      </c>
      <c r="G69" s="339" t="s">
        <v>1266</v>
      </c>
      <c r="H69" s="338" t="s">
        <v>312</v>
      </c>
      <c r="I69" s="330"/>
    </row>
    <row r="70" spans="1:9" ht="15">
      <c r="A70" s="207">
        <v>1</v>
      </c>
      <c r="B70" s="238" t="s">
        <v>1265</v>
      </c>
      <c r="C70" s="238" t="s">
        <v>1732</v>
      </c>
      <c r="D70" s="722"/>
      <c r="E70" s="723"/>
      <c r="F70" s="722"/>
      <c r="G70" s="724"/>
      <c r="H70" s="725">
        <v>2500</v>
      </c>
      <c r="I70" s="725" t="s">
        <v>1734</v>
      </c>
    </row>
    <row r="71" spans="1:9" ht="15">
      <c r="A71" s="146">
        <v>2</v>
      </c>
      <c r="B71" s="147"/>
      <c r="C71" s="147"/>
      <c r="D71" s="331"/>
      <c r="E71" s="332"/>
      <c r="F71" s="331"/>
      <c r="G71" s="333"/>
      <c r="H71" s="340"/>
      <c r="I71" s="149"/>
    </row>
    <row r="72" spans="1:9" ht="15">
      <c r="A72" s="146">
        <v>3</v>
      </c>
      <c r="B72" s="147"/>
      <c r="C72" s="147"/>
      <c r="D72" s="331"/>
      <c r="E72" s="332"/>
      <c r="F72" s="331"/>
      <c r="G72" s="333"/>
      <c r="H72" s="340"/>
      <c r="I72" s="149"/>
    </row>
    <row r="73" spans="1:9" ht="15">
      <c r="A73" s="146">
        <v>4</v>
      </c>
      <c r="B73" s="147"/>
      <c r="C73" s="147"/>
      <c r="D73" s="331"/>
      <c r="E73" s="332"/>
      <c r="F73" s="331"/>
      <c r="G73" s="333"/>
      <c r="H73" s="340"/>
      <c r="I73" s="149"/>
    </row>
    <row r="74" spans="1:9" ht="15">
      <c r="A74" s="146">
        <v>5</v>
      </c>
      <c r="B74" s="150"/>
      <c r="C74" s="150"/>
      <c r="D74" s="331"/>
      <c r="E74" s="332"/>
      <c r="F74" s="331"/>
      <c r="G74" s="333"/>
      <c r="H74" s="153"/>
      <c r="I74" s="153"/>
    </row>
    <row r="75" spans="1:9" ht="15.75" thickBot="1">
      <c r="A75" s="146">
        <v>6</v>
      </c>
      <c r="B75" s="150"/>
      <c r="C75" s="150"/>
      <c r="D75" s="331"/>
      <c r="E75" s="332"/>
      <c r="F75" s="331"/>
      <c r="G75" s="333"/>
      <c r="H75" s="153"/>
      <c r="I75" s="153"/>
    </row>
    <row r="76" spans="1:9" ht="15" thickBot="1">
      <c r="A76" s="117"/>
      <c r="B76" s="117"/>
      <c r="C76" s="117"/>
      <c r="D76" s="117"/>
      <c r="E76" s="117"/>
      <c r="F76" s="117"/>
      <c r="G76" s="155" t="s">
        <v>1268</v>
      </c>
      <c r="H76" s="907">
        <f>SUM(H61:H68,H71:H75)</f>
        <v>0</v>
      </c>
      <c r="I76" s="143"/>
    </row>
    <row r="77" spans="1:9">
      <c r="A77" s="117"/>
      <c r="B77" s="117"/>
      <c r="C77" s="117"/>
      <c r="D77" s="117"/>
      <c r="E77" s="117"/>
      <c r="F77" s="117"/>
      <c r="G77" s="168"/>
      <c r="H77" s="163"/>
      <c r="I77" s="143"/>
    </row>
    <row r="78" spans="1:9">
      <c r="A78" s="140" t="s">
        <v>4204</v>
      </c>
      <c r="B78" s="117"/>
      <c r="C78" s="117"/>
      <c r="D78" s="117"/>
      <c r="E78" s="141"/>
      <c r="F78" s="142"/>
      <c r="G78" s="117"/>
      <c r="H78" s="117"/>
      <c r="I78" s="117"/>
    </row>
    <row r="79" spans="1:9">
      <c r="A79" s="121" t="s">
        <v>1237</v>
      </c>
      <c r="B79" s="117"/>
      <c r="C79" s="117"/>
      <c r="D79" s="117"/>
      <c r="E79" s="141"/>
      <c r="F79" s="142"/>
      <c r="G79" s="117"/>
      <c r="H79" s="117"/>
      <c r="I79" s="117"/>
    </row>
    <row r="80" spans="1:9">
      <c r="A80" s="236" t="s">
        <v>4205</v>
      </c>
      <c r="E80" s="246"/>
      <c r="F80" s="13"/>
    </row>
    <row r="81" spans="1:13" ht="9" customHeight="1">
      <c r="A81" s="121"/>
      <c r="B81" s="117"/>
      <c r="C81" s="117"/>
      <c r="D81" s="117"/>
      <c r="E81" s="141"/>
      <c r="F81" s="142"/>
      <c r="G81" s="117"/>
      <c r="H81" s="117"/>
      <c r="I81" s="117"/>
    </row>
    <row r="82" spans="1:13" ht="15.75">
      <c r="A82" s="169"/>
      <c r="B82" s="170" t="s">
        <v>312</v>
      </c>
      <c r="C82" s="170" t="s">
        <v>312</v>
      </c>
      <c r="D82" s="170" t="s">
        <v>312</v>
      </c>
      <c r="E82" s="170" t="s">
        <v>312</v>
      </c>
      <c r="F82" s="170" t="s">
        <v>312</v>
      </c>
      <c r="G82" s="117"/>
      <c r="H82" s="117"/>
      <c r="I82" s="117"/>
    </row>
    <row r="83" spans="1:13" ht="45">
      <c r="A83" s="144" t="s">
        <v>1238</v>
      </c>
      <c r="B83" s="138" t="s">
        <v>319</v>
      </c>
      <c r="C83" s="156" t="s">
        <v>4333</v>
      </c>
      <c r="D83" s="215" t="s">
        <v>4334</v>
      </c>
      <c r="E83" s="215" t="s">
        <v>4335</v>
      </c>
      <c r="F83" s="156" t="s">
        <v>1283</v>
      </c>
      <c r="G83" s="156" t="s">
        <v>1284</v>
      </c>
      <c r="H83" s="156" t="s">
        <v>322</v>
      </c>
      <c r="I83" s="117"/>
    </row>
    <row r="84" spans="1:13" ht="15">
      <c r="A84" s="146">
        <v>1</v>
      </c>
      <c r="B84" s="147" t="s">
        <v>1242</v>
      </c>
      <c r="C84" s="147" t="s">
        <v>270</v>
      </c>
      <c r="D84" s="147" t="s">
        <v>284</v>
      </c>
      <c r="E84" s="147" t="s">
        <v>254</v>
      </c>
      <c r="F84" s="148">
        <v>50000</v>
      </c>
      <c r="G84" s="172" t="str">
        <f>IFERROR(IF(C84="Cars_by_market_segment",VLOOKUP(_xlfn.CONCAT(C84,D84,E84),'DESNZ Cat 6-9'!$B$18:$M$82,12,FALSE)+VLOOKUP(_xlfn.CONCAT(C84,D84,E84),'DESNZ Cat 6-9'!$B$18:$M$82,13,FALSE),VLOOKUP(C84,'DESNZ Cat 6-9'!$Q$41:$S$44,2,FALSE)+VLOOKUP(C84,'DESNZ Cat 6-9'!$Q$41:$S$44,3,FALSE)),"")</f>
        <v/>
      </c>
      <c r="H84" s="171" t="str">
        <f>IFERROR(G84*F84/1000,"")</f>
        <v/>
      </c>
      <c r="I84" s="117"/>
    </row>
    <row r="85" spans="1:13" ht="15.75" thickBot="1">
      <c r="A85" s="146">
        <v>2</v>
      </c>
      <c r="B85" s="150"/>
      <c r="C85" s="150" t="s">
        <v>270</v>
      </c>
      <c r="D85" s="150" t="s">
        <v>281</v>
      </c>
      <c r="E85" s="150" t="s">
        <v>16</v>
      </c>
      <c r="F85" s="151">
        <v>50000</v>
      </c>
      <c r="G85" s="172" t="str">
        <f>IFERROR(IF(C85="Cars_by_market_segment",VLOOKUP(_xlfn.CONCAT(C85,D85,E85),'DESNZ Cat 6-9'!$B$18:$M$82,12,FALSE)+VLOOKUP(_xlfn.CONCAT(C85,D85,E85),'DESNZ Cat 6-9'!$B$18:$M$82,13,FALSE),VLOOKUP(C85,'DESNZ Cat 6-9'!$Q$41:$S$44,2,FALSE)+VLOOKUP(C85,'DESNZ Cat 6-9'!$Q$41:$S$44,3,FALSE)),"")</f>
        <v/>
      </c>
      <c r="H85" s="172" t="str">
        <f t="shared" ref="H85:H103" si="3">IFERROR(G85*F85/1000,"")</f>
        <v/>
      </c>
      <c r="I85" s="117"/>
    </row>
    <row r="86" spans="1:13" ht="15.75" thickBot="1">
      <c r="A86" s="146">
        <v>3</v>
      </c>
      <c r="B86" s="150"/>
      <c r="C86" s="150" t="s">
        <v>270</v>
      </c>
      <c r="D86" s="150" t="s">
        <v>279</v>
      </c>
      <c r="E86" s="150" t="s">
        <v>277</v>
      </c>
      <c r="F86" s="151">
        <v>500000</v>
      </c>
      <c r="G86" s="827" t="str">
        <f>IFERROR(IF(C86="Cars_by_market_segment",VLOOKUP(_xlfn.CONCAT(C86,D86,E86),'DESNZ Cat 6-9'!$B$18:$M$82,12,FALSE)+VLOOKUP(_xlfn.CONCAT(C86,D86,E86),'DESNZ Cat 6-9'!$B$18:$M$82,13,FALSE),VLOOKUP(C86,'DESNZ Cat 6-9'!$Q$41:$S$44,2,FALSE)+VLOOKUP(C86,'DESNZ Cat 6-9'!$Q$41:$S$44,3,FALSE)),"")</f>
        <v/>
      </c>
      <c r="H86" s="172" t="str">
        <f t="shared" si="3"/>
        <v/>
      </c>
      <c r="I86" s="117"/>
      <c r="J86" s="1555" t="s">
        <v>1285</v>
      </c>
      <c r="K86" s="1556"/>
      <c r="L86" s="1557"/>
    </row>
    <row r="87" spans="1:13" ht="60">
      <c r="A87" s="146">
        <v>4</v>
      </c>
      <c r="B87" s="150"/>
      <c r="C87" s="150" t="s">
        <v>275</v>
      </c>
      <c r="D87" s="150"/>
      <c r="E87" s="150"/>
      <c r="F87" s="151"/>
      <c r="G87" s="172">
        <f>IFERROR(IF(C87="Cars_by_market_segment",VLOOKUP(_xlfn.CONCAT(C87,D87,E87),'DESNZ Cat 6-9'!$B$18:$M$82,12,FALSE)+VLOOKUP(_xlfn.CONCAT(C87,D87,E87),'DESNZ Cat 6-9'!$B$18:$M$82,13,FALSE),VLOOKUP(C87,'DESNZ Cat 6-9'!$Q$41:$S$44,2,FALSE)+VLOOKUP(C87,'DESNZ Cat 6-9'!$Q$41:$S$44,3,FALSE)),"")</f>
        <v>0.29872555272469759</v>
      </c>
      <c r="H87" s="172">
        <f t="shared" si="3"/>
        <v>0</v>
      </c>
      <c r="I87" s="117"/>
      <c r="J87" s="817" t="s">
        <v>1286</v>
      </c>
      <c r="K87" s="818" t="s">
        <v>1287</v>
      </c>
      <c r="L87" s="818" t="s">
        <v>4027</v>
      </c>
      <c r="M87" s="820" t="s">
        <v>1288</v>
      </c>
    </row>
    <row r="88" spans="1:13" ht="15">
      <c r="A88" s="146">
        <v>5</v>
      </c>
      <c r="B88" s="150"/>
      <c r="C88" s="150"/>
      <c r="D88" s="150"/>
      <c r="E88" s="150"/>
      <c r="F88" s="151"/>
      <c r="G88" s="172" t="str">
        <f>IFERROR(IF(C88="Cars_by_market_segment",VLOOKUP(_xlfn.CONCAT(C88,D88,E88),'DESNZ Cat 6-9'!$B$18:$M$82,12,FALSE)+VLOOKUP(_xlfn.CONCAT(C88,D88,E88),'DESNZ Cat 6-9'!$B$18:$M$82,13,FALSE),VLOOKUP(C88,'DESNZ Cat 6-9'!$Q$41:$S$44,2,FALSE)+VLOOKUP(C88,'DESNZ Cat 6-9'!$Q$41:$S$44,3,FALSE)),"")</f>
        <v/>
      </c>
      <c r="H88" s="172" t="str">
        <f t="shared" si="3"/>
        <v/>
      </c>
      <c r="I88" s="117"/>
      <c r="J88" s="173" t="s">
        <v>281</v>
      </c>
      <c r="K88" s="10">
        <f>RANK(L88,$L$88:$L$96)</f>
        <v>1</v>
      </c>
      <c r="L88" s="834">
        <f>VLOOKUP(J88,'DESNZ Cat 6-9'!$Q$31:$S$39,2,FALSE)+VLOOKUP(J88,'DESNZ Cat 6-9'!$Q$31:$S$39,3,FALSE)</f>
        <v>0.6193734678389925</v>
      </c>
      <c r="M88" s="174" t="s">
        <v>1289</v>
      </c>
    </row>
    <row r="89" spans="1:13" ht="29.25">
      <c r="A89" s="146">
        <v>6</v>
      </c>
      <c r="B89" s="150"/>
      <c r="C89" s="150"/>
      <c r="D89" s="150"/>
      <c r="E89" s="150"/>
      <c r="F89" s="151"/>
      <c r="G89" s="172" t="str">
        <f>IFERROR(IF(C89="Cars_by_market_segment",VLOOKUP(_xlfn.CONCAT(C89,D89,E89),'DESNZ Cat 6-9'!$B$18:$M$82,12,FALSE)+VLOOKUP(_xlfn.CONCAT(C89,D89,E89),'DESNZ Cat 6-9'!$B$18:$M$82,13,FALSE),VLOOKUP(C89,'DESNZ Cat 6-9'!$Q$41:$S$44,2,FALSE)+VLOOKUP(C89,'DESNZ Cat 6-9'!$Q$41:$S$44,3,FALSE)),"")</f>
        <v/>
      </c>
      <c r="H89" s="172" t="str">
        <f t="shared" si="3"/>
        <v/>
      </c>
      <c r="I89" s="117"/>
      <c r="J89" s="316" t="s">
        <v>274</v>
      </c>
      <c r="K89" s="10">
        <f t="shared" ref="K89:K96" si="4">RANK(L89,$L$88:$L$96)</f>
        <v>4</v>
      </c>
      <c r="L89" s="834">
        <f>VLOOKUP(J89,'DESNZ Cat 6-9'!$Q$31:$S$39,2,FALSE)+VLOOKUP(J89,'DESNZ Cat 6-9'!$Q$31:$S$39,3,FALSE)</f>
        <v>0.39192899666419978</v>
      </c>
      <c r="M89" s="174" t="s">
        <v>1291</v>
      </c>
    </row>
    <row r="90" spans="1:13" ht="29.25">
      <c r="A90" s="146">
        <v>7</v>
      </c>
      <c r="B90" s="150"/>
      <c r="C90" s="150"/>
      <c r="D90" s="150"/>
      <c r="E90" s="150"/>
      <c r="F90" s="151"/>
      <c r="G90" s="172" t="str">
        <f>IFERROR(IF(C90="Cars_by_market_segment",VLOOKUP(_xlfn.CONCAT(C90,D90,E90),'DESNZ Cat 6-9'!$B$18:$M$82,12,FALSE)+VLOOKUP(_xlfn.CONCAT(C90,D90,E90),'DESNZ Cat 6-9'!$B$18:$M$82,13,FALSE),VLOOKUP(C90,'DESNZ Cat 6-9'!$Q$41:$S$44,2,FALSE)+VLOOKUP(C90,'DESNZ Cat 6-9'!$Q$41:$S$44,3,FALSE)),"")</f>
        <v/>
      </c>
      <c r="H90" s="172" t="str">
        <f t="shared" si="3"/>
        <v/>
      </c>
      <c r="I90" s="117"/>
      <c r="J90" s="173" t="s">
        <v>283</v>
      </c>
      <c r="K90" s="10">
        <f t="shared" si="4"/>
        <v>2</v>
      </c>
      <c r="L90" s="834">
        <f>VLOOKUP(J90,'DESNZ Cat 6-9'!$Q$31:$S$39,2,FALSE)+VLOOKUP(J90,'DESNZ Cat 6-9'!$Q$31:$S$39,3,FALSE)</f>
        <v>0.47078825676359881</v>
      </c>
      <c r="M90" s="174" t="s">
        <v>1290</v>
      </c>
    </row>
    <row r="91" spans="1:13" ht="15">
      <c r="A91" s="146">
        <v>8</v>
      </c>
      <c r="B91" s="150"/>
      <c r="C91" s="150"/>
      <c r="D91" s="150"/>
      <c r="E91" s="150"/>
      <c r="F91" s="151"/>
      <c r="G91" s="172" t="str">
        <f>IFERROR(IF(C91="Cars_by_market_segment",VLOOKUP(_xlfn.CONCAT(C91,D91,E91),'DESNZ Cat 6-9'!$B$18:$M$82,12,FALSE)+VLOOKUP(_xlfn.CONCAT(C91,D91,E91),'DESNZ Cat 6-9'!$B$18:$M$82,13,FALSE),VLOOKUP(C91,'DESNZ Cat 6-9'!$Q$41:$S$44,2,FALSE)+VLOOKUP(C91,'DESNZ Cat 6-9'!$Q$41:$S$44,3,FALSE)),"")</f>
        <v/>
      </c>
      <c r="H91" s="172" t="str">
        <f t="shared" si="3"/>
        <v/>
      </c>
      <c r="I91" s="117"/>
      <c r="J91" s="173" t="s">
        <v>279</v>
      </c>
      <c r="K91" s="10">
        <f t="shared" si="4"/>
        <v>3</v>
      </c>
      <c r="L91" s="834">
        <f>VLOOKUP(J91,'DESNZ Cat 6-9'!$Q$31:$S$39,2,FALSE)+VLOOKUP(J91,'DESNZ Cat 6-9'!$Q$31:$S$39,3,FALSE)</f>
        <v>0.40705543303197461</v>
      </c>
      <c r="M91" s="174" t="s">
        <v>1293</v>
      </c>
    </row>
    <row r="92" spans="1:13" ht="15">
      <c r="A92" s="146">
        <v>9</v>
      </c>
      <c r="B92" s="150"/>
      <c r="C92" s="150"/>
      <c r="D92" s="150"/>
      <c r="E92" s="150"/>
      <c r="F92" s="151"/>
      <c r="G92" s="172" t="str">
        <f>IFERROR(IF(C92="Cars_by_market_segment",VLOOKUP(_xlfn.CONCAT(C92,D92,E92),'DESNZ Cat 6-9'!$B$18:$M$82,12,FALSE)+VLOOKUP(_xlfn.CONCAT(C92,D92,E92),'DESNZ Cat 6-9'!$B$18:$M$82,13,FALSE),VLOOKUP(C92,'DESNZ Cat 6-9'!$Q$41:$S$44,2,FALSE)+VLOOKUP(C92,'DESNZ Cat 6-9'!$Q$41:$S$44,3,FALSE)),"")</f>
        <v/>
      </c>
      <c r="H92" s="172" t="str">
        <f t="shared" si="3"/>
        <v/>
      </c>
      <c r="I92" s="117"/>
      <c r="J92" s="173" t="s">
        <v>285</v>
      </c>
      <c r="K92" s="10">
        <f t="shared" si="4"/>
        <v>5</v>
      </c>
      <c r="L92" s="834">
        <f>VLOOKUP(J92,'DESNZ Cat 6-9'!$Q$31:$S$39,2,FALSE)+VLOOKUP(J92,'DESNZ Cat 6-9'!$Q$31:$S$39,3,FALSE)</f>
        <v>0.37535026671426447</v>
      </c>
      <c r="M92" s="174" t="s">
        <v>1294</v>
      </c>
    </row>
    <row r="93" spans="1:13" ht="30">
      <c r="A93" s="146">
        <v>10</v>
      </c>
      <c r="B93" s="150"/>
      <c r="C93" s="150"/>
      <c r="D93" s="150"/>
      <c r="E93" s="150"/>
      <c r="F93" s="151"/>
      <c r="G93" s="172" t="str">
        <f>IFERROR(IF(C93="Cars_by_market_segment",VLOOKUP(_xlfn.CONCAT(C93,D93,E93),'DESNZ Cat 6-9'!$B$18:$M$82,12,FALSE)+VLOOKUP(_xlfn.CONCAT(C93,D93,E93),'DESNZ Cat 6-9'!$B$18:$M$82,13,FALSE),VLOOKUP(C93,'DESNZ Cat 6-9'!$Q$41:$S$44,2,FALSE)+VLOOKUP(C93,'DESNZ Cat 6-9'!$Q$41:$S$44,3,FALSE)),"")</f>
        <v/>
      </c>
      <c r="H93" s="172" t="str">
        <f t="shared" si="3"/>
        <v/>
      </c>
      <c r="I93" s="117"/>
      <c r="J93" s="173" t="s">
        <v>284</v>
      </c>
      <c r="K93" s="10">
        <f t="shared" si="4"/>
        <v>6</v>
      </c>
      <c r="L93" s="834">
        <f>VLOOKUP(J93,'DESNZ Cat 6-9'!$Q$31:$S$39,2,FALSE)+VLOOKUP(J93,'DESNZ Cat 6-9'!$Q$31:$S$39,3,FALSE)</f>
        <v>0.36498627075668827</v>
      </c>
      <c r="M93" s="174" t="s">
        <v>1292</v>
      </c>
    </row>
    <row r="94" spans="1:13" ht="15">
      <c r="A94" s="146">
        <v>11</v>
      </c>
      <c r="B94" s="150"/>
      <c r="C94" s="150"/>
      <c r="D94" s="150"/>
      <c r="E94" s="150"/>
      <c r="F94" s="151"/>
      <c r="G94" s="172" t="str">
        <f>IFERROR(IF(C94="Cars_by_market_segment",VLOOKUP(_xlfn.CONCAT(C94,D94,E94),'DESNZ Cat 6-9'!$B$18:$M$82,12,FALSE)+VLOOKUP(_xlfn.CONCAT(C94,D94,E94),'DESNZ Cat 6-9'!$B$18:$M$82,13,FALSE),VLOOKUP(C94,'DESNZ Cat 6-9'!$Q$41:$S$44,2,FALSE)+VLOOKUP(C94,'DESNZ Cat 6-9'!$Q$41:$S$44,3,FALSE)),"")</f>
        <v/>
      </c>
      <c r="H94" s="172" t="str">
        <f t="shared" si="3"/>
        <v/>
      </c>
      <c r="I94" s="117"/>
      <c r="J94" s="173" t="s">
        <v>280</v>
      </c>
      <c r="K94" s="10">
        <f t="shared" si="4"/>
        <v>7</v>
      </c>
      <c r="L94" s="834">
        <f>VLOOKUP(J94,'DESNZ Cat 6-9'!$Q$31:$S$39,2,FALSE)+VLOOKUP(J94,'DESNZ Cat 6-9'!$Q$31:$S$39,3,FALSE)</f>
        <v>0.32665718747965344</v>
      </c>
      <c r="M94" s="174" t="s">
        <v>1295</v>
      </c>
    </row>
    <row r="95" spans="1:13" ht="15">
      <c r="A95" s="146">
        <v>12</v>
      </c>
      <c r="B95" s="150"/>
      <c r="C95" s="150"/>
      <c r="D95" s="150"/>
      <c r="E95" s="150"/>
      <c r="F95" s="151"/>
      <c r="G95" s="172" t="str">
        <f>IFERROR(IF(C95="Cars_by_market_segment",VLOOKUP(_xlfn.CONCAT(C95,D95,E95),'DESNZ Cat 6-9'!$B$18:$M$82,12,FALSE)+VLOOKUP(_xlfn.CONCAT(C95,D95,E95),'DESNZ Cat 6-9'!$B$18:$M$82,13,FALSE),VLOOKUP(C95,'DESNZ Cat 6-9'!$Q$41:$S$44,2,FALSE)+VLOOKUP(C95,'DESNZ Cat 6-9'!$Q$41:$S$44,3,FALSE)),"")</f>
        <v/>
      </c>
      <c r="H95" s="172" t="str">
        <f t="shared" si="3"/>
        <v/>
      </c>
      <c r="I95" s="117"/>
      <c r="J95" s="173" t="s">
        <v>286</v>
      </c>
      <c r="K95" s="10">
        <f t="shared" si="4"/>
        <v>8</v>
      </c>
      <c r="L95" s="834">
        <f>VLOOKUP(J95,'DESNZ Cat 6-9'!$Q$31:$S$39,2,FALSE)+VLOOKUP(J95,'DESNZ Cat 6-9'!$Q$31:$S$39,3,FALSE)</f>
        <v>0.2890512115832029</v>
      </c>
      <c r="M95" s="174" t="s">
        <v>1296</v>
      </c>
    </row>
    <row r="96" spans="1:13" ht="15.75" thickBot="1">
      <c r="A96" s="146">
        <v>13</v>
      </c>
      <c r="B96" s="150"/>
      <c r="C96" s="150"/>
      <c r="D96" s="150"/>
      <c r="E96" s="150"/>
      <c r="F96" s="151"/>
      <c r="G96" s="172" t="str">
        <f>IFERROR(IF(C96="Cars_by_market_segment",VLOOKUP(_xlfn.CONCAT(C96,D96,E96),'DESNZ Cat 6-9'!$B$18:$M$82,12,FALSE)+VLOOKUP(_xlfn.CONCAT(C96,D96,E96),'DESNZ Cat 6-9'!$B$18:$M$82,13,FALSE),VLOOKUP(C96,'DESNZ Cat 6-9'!$Q$41:$S$44,2,FALSE)+VLOOKUP(C96,'DESNZ Cat 6-9'!$Q$41:$S$44,3,FALSE)),"")</f>
        <v/>
      </c>
      <c r="H96" s="172" t="str">
        <f t="shared" si="3"/>
        <v/>
      </c>
      <c r="I96" s="117"/>
      <c r="J96" s="175" t="s">
        <v>287</v>
      </c>
      <c r="K96" s="176">
        <f t="shared" si="4"/>
        <v>9</v>
      </c>
      <c r="L96" s="835">
        <f>VLOOKUP(J96,'DESNZ Cat 6-9'!$Q$31:$S$39,2,FALSE)+VLOOKUP(J96,'DESNZ Cat 6-9'!$Q$31:$S$39,3,FALSE)</f>
        <v>0.26257508287868969</v>
      </c>
      <c r="M96" s="177" t="s">
        <v>1297</v>
      </c>
    </row>
    <row r="97" spans="1:9" ht="15">
      <c r="A97" s="146">
        <v>14</v>
      </c>
      <c r="B97" s="150"/>
      <c r="C97" s="150"/>
      <c r="D97" s="150"/>
      <c r="E97" s="150"/>
      <c r="F97" s="151"/>
      <c r="G97" s="172" t="str">
        <f>IFERROR(IF(C97="Cars_by_market_segment",VLOOKUP(_xlfn.CONCAT(C97,D97,E97),'DESNZ Cat 6-9'!$B$18:$M$82,12,FALSE)+VLOOKUP(_xlfn.CONCAT(C97,D97,E97),'DESNZ Cat 6-9'!$B$18:$M$82,13,FALSE),VLOOKUP(C97,'DESNZ Cat 6-9'!$Q$41:$S$44,2,FALSE)+VLOOKUP(C97,'DESNZ Cat 6-9'!$Q$41:$S$44,3,FALSE)),"")</f>
        <v/>
      </c>
      <c r="H97" s="172" t="str">
        <f t="shared" si="3"/>
        <v/>
      </c>
      <c r="I97" s="117"/>
    </row>
    <row r="98" spans="1:9" ht="15">
      <c r="A98" s="146">
        <v>15</v>
      </c>
      <c r="B98" s="150"/>
      <c r="C98" s="150"/>
      <c r="D98" s="150"/>
      <c r="E98" s="150"/>
      <c r="F98" s="151"/>
      <c r="G98" s="172" t="str">
        <f>IFERROR(IF(C98="Cars_by_market_segment",VLOOKUP(_xlfn.CONCAT(C98,D98,E98),'DESNZ Cat 6-9'!$B$18:$M$82,12,FALSE)+VLOOKUP(_xlfn.CONCAT(C98,D98,E98),'DESNZ Cat 6-9'!$B$18:$M$82,13,FALSE),VLOOKUP(C98,'DESNZ Cat 6-9'!$Q$41:$S$44,2,FALSE)+VLOOKUP(C98,'DESNZ Cat 6-9'!$Q$41:$S$44,3,FALSE)),"")</f>
        <v/>
      </c>
      <c r="H98" s="172" t="str">
        <f t="shared" si="3"/>
        <v/>
      </c>
      <c r="I98" s="117"/>
    </row>
    <row r="99" spans="1:9" ht="15">
      <c r="A99" s="146">
        <v>16</v>
      </c>
      <c r="B99" s="150"/>
      <c r="C99" s="150"/>
      <c r="D99" s="150"/>
      <c r="E99" s="150"/>
      <c r="F99" s="151"/>
      <c r="G99" s="172" t="str">
        <f>IFERROR(IF(C99="Cars_by_market_segment",VLOOKUP(_xlfn.CONCAT(C99,D99,E99),'DESNZ Cat 6-9'!$B$18:$M$82,12,FALSE)+VLOOKUP(_xlfn.CONCAT(C99,D99,E99),'DESNZ Cat 6-9'!$B$18:$M$82,13,FALSE),VLOOKUP(C99,'DESNZ Cat 6-9'!$Q$41:$S$44,2,FALSE)+VLOOKUP(C99,'DESNZ Cat 6-9'!$Q$41:$S$44,3,FALSE)),"")</f>
        <v/>
      </c>
      <c r="H99" s="172" t="str">
        <f t="shared" si="3"/>
        <v/>
      </c>
      <c r="I99" s="117"/>
    </row>
    <row r="100" spans="1:9" ht="15">
      <c r="A100" s="146">
        <v>17</v>
      </c>
      <c r="B100" s="150"/>
      <c r="C100" s="150"/>
      <c r="D100" s="150"/>
      <c r="E100" s="150"/>
      <c r="F100" s="151"/>
      <c r="G100" s="172" t="str">
        <f>IFERROR(IF(C100="Cars_by_market_segment",VLOOKUP(_xlfn.CONCAT(C100,D100,E100),'DESNZ Cat 6-9'!$B$18:$M$82,12,FALSE)+VLOOKUP(_xlfn.CONCAT(C100,D100,E100),'DESNZ Cat 6-9'!$B$18:$M$82,13,FALSE),VLOOKUP(C100,'DESNZ Cat 6-9'!$Q$41:$S$44,2,FALSE)+VLOOKUP(C100,'DESNZ Cat 6-9'!$Q$41:$S$44,3,FALSE)),"")</f>
        <v/>
      </c>
      <c r="H100" s="172" t="str">
        <f t="shared" si="3"/>
        <v/>
      </c>
      <c r="I100" s="117"/>
    </row>
    <row r="101" spans="1:9" ht="15">
      <c r="A101" s="146">
        <v>18</v>
      </c>
      <c r="B101" s="150"/>
      <c r="C101" s="150"/>
      <c r="D101" s="150"/>
      <c r="E101" s="150"/>
      <c r="F101" s="151"/>
      <c r="G101" s="172" t="str">
        <f>IFERROR(IF(C101="Cars_by_market_segment",VLOOKUP(_xlfn.CONCAT(C101,D101,E101),'DESNZ Cat 6-9'!$B$18:$M$82,12,FALSE)+VLOOKUP(_xlfn.CONCAT(C101,D101,E101),'DESNZ Cat 6-9'!$B$18:$M$82,13,FALSE),VLOOKUP(C101,'DESNZ Cat 6-9'!$Q$41:$S$44,2,FALSE)+VLOOKUP(C101,'DESNZ Cat 6-9'!$Q$41:$S$44,3,FALSE)),"")</f>
        <v/>
      </c>
      <c r="H101" s="172" t="str">
        <f t="shared" si="3"/>
        <v/>
      </c>
      <c r="I101" s="117"/>
    </row>
    <row r="102" spans="1:9" ht="15">
      <c r="A102" s="146">
        <v>19</v>
      </c>
      <c r="B102" s="150"/>
      <c r="C102" s="150"/>
      <c r="D102" s="150"/>
      <c r="E102" s="150"/>
      <c r="F102" s="151"/>
      <c r="G102" s="172" t="str">
        <f>IFERROR(IF(C102="Cars_by_market_segment",VLOOKUP(_xlfn.CONCAT(C102,D102,E102),'DESNZ Cat 6-9'!$B$18:$M$82,12,FALSE)+VLOOKUP(_xlfn.CONCAT(C102,D102,E102),'DESNZ Cat 6-9'!$B$18:$M$82,13,FALSE),VLOOKUP(C102,'DESNZ Cat 6-9'!$Q$41:$S$44,2,FALSE)+VLOOKUP(C102,'DESNZ Cat 6-9'!$Q$41:$S$44,3,FALSE)),"")</f>
        <v/>
      </c>
      <c r="H102" s="172" t="str">
        <f t="shared" si="3"/>
        <v/>
      </c>
      <c r="I102" s="117"/>
    </row>
    <row r="103" spans="1:9" ht="15.75" thickBot="1">
      <c r="A103" s="146">
        <v>20</v>
      </c>
      <c r="B103" s="150"/>
      <c r="C103" s="150"/>
      <c r="D103" s="150"/>
      <c r="E103" s="150"/>
      <c r="F103" s="151"/>
      <c r="G103" s="172" t="str">
        <f>IFERROR(IF(C103="Cars_by_market_segment",VLOOKUP(_xlfn.CONCAT(C103,D103,E103),'DESNZ Cat 6-9'!$B$18:$M$82,12,FALSE)+VLOOKUP(_xlfn.CONCAT(C103,D103,E103),'DESNZ Cat 6-9'!$B$18:$M$82,13,FALSE),VLOOKUP(C103,'DESNZ Cat 6-9'!$Q$41:$S$44,2,FALSE)+VLOOKUP(C103,'DESNZ Cat 6-9'!$Q$41:$S$44,3,FALSE)),"")</f>
        <v/>
      </c>
      <c r="H103" s="172" t="str">
        <f t="shared" si="3"/>
        <v/>
      </c>
      <c r="I103" s="117"/>
    </row>
    <row r="104" spans="1:9" ht="15" thickBot="1">
      <c r="A104" s="117"/>
      <c r="B104" s="117"/>
      <c r="C104" s="117"/>
      <c r="D104" s="117"/>
      <c r="E104" s="117"/>
      <c r="F104" s="117"/>
      <c r="G104" s="178" t="s">
        <v>1268</v>
      </c>
      <c r="H104" s="179">
        <f>SUM(H85:H103)</f>
        <v>0</v>
      </c>
      <c r="I104" s="117"/>
    </row>
    <row r="105" spans="1:9">
      <c r="A105" s="117"/>
      <c r="B105" s="117"/>
      <c r="C105" s="117"/>
      <c r="D105" s="117"/>
      <c r="E105" s="117"/>
      <c r="F105" s="117"/>
      <c r="G105" s="117"/>
      <c r="H105" s="117"/>
      <c r="I105" s="117"/>
    </row>
    <row r="106" spans="1:9">
      <c r="A106" s="140" t="s">
        <v>4214</v>
      </c>
      <c r="B106" s="117"/>
      <c r="C106" s="117"/>
      <c r="D106" s="117"/>
      <c r="E106" s="117"/>
      <c r="F106" s="117"/>
      <c r="G106" s="117"/>
      <c r="H106" s="117"/>
      <c r="I106" s="117"/>
    </row>
    <row r="107" spans="1:9">
      <c r="A107" s="204" t="s">
        <v>1237</v>
      </c>
    </row>
    <row r="108" spans="1:9">
      <c r="A108" s="143" t="s">
        <v>1299</v>
      </c>
      <c r="B108" s="117"/>
      <c r="C108" s="117"/>
      <c r="D108" s="117"/>
      <c r="E108" s="117"/>
      <c r="F108" s="117"/>
      <c r="G108" s="117"/>
      <c r="H108" s="117"/>
      <c r="I108" s="117"/>
    </row>
    <row r="109" spans="1:9" ht="9" customHeight="1">
      <c r="A109" s="121"/>
      <c r="B109" s="117"/>
      <c r="C109" s="117"/>
      <c r="D109" s="117"/>
      <c r="E109" s="141"/>
      <c r="F109" s="142"/>
      <c r="G109" s="117"/>
      <c r="H109" s="117"/>
      <c r="I109" s="117"/>
    </row>
    <row r="110" spans="1:9" ht="15">
      <c r="A110" s="143"/>
      <c r="B110" s="170" t="s">
        <v>312</v>
      </c>
      <c r="C110" s="170" t="s">
        <v>312</v>
      </c>
      <c r="D110" s="170" t="s">
        <v>312</v>
      </c>
      <c r="E110" s="117"/>
      <c r="F110" s="117"/>
      <c r="G110" s="117"/>
      <c r="H110" s="117"/>
      <c r="I110" s="117"/>
    </row>
    <row r="111" spans="1:9" ht="15">
      <c r="A111" s="144" t="s">
        <v>1238</v>
      </c>
      <c r="B111" s="145" t="s">
        <v>1300</v>
      </c>
      <c r="C111" s="145" t="s">
        <v>29</v>
      </c>
      <c r="D111" s="145" t="s">
        <v>322</v>
      </c>
      <c r="E111" s="117"/>
      <c r="F111" s="117"/>
      <c r="G111" s="117"/>
      <c r="H111" s="117"/>
      <c r="I111" s="117"/>
    </row>
    <row r="112" spans="1:9" ht="29.25">
      <c r="A112" s="146">
        <v>1</v>
      </c>
      <c r="B112" s="238" t="s">
        <v>4208</v>
      </c>
      <c r="C112" s="727" t="s">
        <v>4209</v>
      </c>
      <c r="D112" s="728">
        <v>20000</v>
      </c>
      <c r="E112" s="117"/>
      <c r="F112" s="117"/>
      <c r="G112" s="117"/>
      <c r="H112" s="117"/>
      <c r="I112" s="117"/>
    </row>
    <row r="113" spans="1:9" ht="15">
      <c r="A113" s="146">
        <v>2</v>
      </c>
      <c r="B113" s="150"/>
      <c r="C113" s="150"/>
      <c r="D113" s="158"/>
      <c r="E113" s="117"/>
      <c r="F113" s="117"/>
      <c r="G113" s="117"/>
      <c r="H113" s="117"/>
      <c r="I113" s="117"/>
    </row>
    <row r="114" spans="1:9" ht="15">
      <c r="A114" s="146">
        <v>3</v>
      </c>
      <c r="B114" s="150"/>
      <c r="C114" s="150"/>
      <c r="D114" s="158"/>
      <c r="E114" s="117"/>
      <c r="F114" s="117"/>
      <c r="G114" s="117"/>
      <c r="H114" s="117"/>
      <c r="I114" s="117"/>
    </row>
    <row r="115" spans="1:9" ht="15">
      <c r="A115" s="146">
        <v>4</v>
      </c>
      <c r="B115" s="150"/>
      <c r="C115" s="150"/>
      <c r="D115" s="158"/>
      <c r="E115" s="117"/>
      <c r="F115" s="117"/>
      <c r="G115" s="117"/>
      <c r="H115" s="117"/>
      <c r="I115" s="117"/>
    </row>
    <row r="116" spans="1:9" ht="15">
      <c r="A116" s="146">
        <v>5</v>
      </c>
      <c r="B116" s="150"/>
      <c r="C116" s="150"/>
      <c r="D116" s="158"/>
      <c r="E116" s="117"/>
      <c r="F116" s="117"/>
      <c r="G116" s="117"/>
      <c r="H116" s="117"/>
      <c r="I116" s="117"/>
    </row>
    <row r="117" spans="1:9" ht="15">
      <c r="A117" s="146">
        <v>6</v>
      </c>
      <c r="B117" s="150"/>
      <c r="C117" s="150"/>
      <c r="D117" s="158"/>
      <c r="E117" s="117"/>
      <c r="F117" s="117"/>
      <c r="G117" s="117"/>
      <c r="H117" s="117"/>
      <c r="I117" s="117"/>
    </row>
    <row r="118" spans="1:9" ht="15">
      <c r="A118" s="146">
        <v>7</v>
      </c>
      <c r="B118" s="150"/>
      <c r="C118" s="150"/>
      <c r="D118" s="158"/>
      <c r="E118" s="117"/>
      <c r="F118" s="117"/>
      <c r="G118" s="117"/>
      <c r="H118" s="117"/>
      <c r="I118" s="117"/>
    </row>
    <row r="119" spans="1:9" ht="15">
      <c r="A119" s="146">
        <v>8</v>
      </c>
      <c r="B119" s="150"/>
      <c r="C119" s="150"/>
      <c r="D119" s="158"/>
      <c r="E119" s="117"/>
      <c r="F119" s="117"/>
      <c r="G119" s="117"/>
      <c r="H119" s="117"/>
      <c r="I119" s="117"/>
    </row>
    <row r="120" spans="1:9" ht="15">
      <c r="A120" s="146">
        <v>9</v>
      </c>
      <c r="B120" s="150"/>
      <c r="C120" s="150"/>
      <c r="D120" s="158"/>
      <c r="E120" s="117"/>
      <c r="F120" s="117"/>
      <c r="G120" s="117"/>
      <c r="H120" s="117"/>
      <c r="I120" s="117"/>
    </row>
    <row r="121" spans="1:9" ht="15.75" thickBot="1">
      <c r="A121" s="146">
        <v>10</v>
      </c>
      <c r="B121" s="150"/>
      <c r="C121" s="150"/>
      <c r="D121" s="158"/>
      <c r="E121" s="117"/>
      <c r="F121" s="117"/>
      <c r="G121" s="117"/>
      <c r="H121" s="117"/>
      <c r="I121" s="117"/>
    </row>
    <row r="122" spans="1:9" ht="15.75" thickBot="1">
      <c r="A122" s="117"/>
      <c r="B122" s="117"/>
      <c r="C122" s="180" t="s">
        <v>8</v>
      </c>
      <c r="D122" s="906">
        <f>SUM(D113:D121)</f>
        <v>0</v>
      </c>
      <c r="E122" s="117"/>
      <c r="F122" s="117"/>
      <c r="G122" s="117"/>
      <c r="H122" s="117"/>
      <c r="I122" s="117"/>
    </row>
    <row r="123" spans="1:9">
      <c r="A123" s="117"/>
      <c r="B123" s="117"/>
      <c r="C123" s="117"/>
      <c r="D123" s="117"/>
      <c r="E123" s="117"/>
      <c r="F123" s="117"/>
      <c r="G123" s="117"/>
      <c r="H123" s="117"/>
      <c r="I123" s="117"/>
    </row>
    <row r="124" spans="1:9">
      <c r="A124" s="140" t="s">
        <v>4212</v>
      </c>
      <c r="B124" s="117"/>
      <c r="C124" s="117"/>
      <c r="D124" s="117"/>
      <c r="E124" s="117"/>
      <c r="F124" s="117"/>
      <c r="G124" s="117"/>
      <c r="H124" s="117"/>
      <c r="I124" s="117"/>
    </row>
    <row r="125" spans="1:9">
      <c r="A125" s="204" t="s">
        <v>1237</v>
      </c>
    </row>
    <row r="126" spans="1:9">
      <c r="A126" s="143" t="s">
        <v>4213</v>
      </c>
      <c r="B126" s="117"/>
      <c r="C126" s="117"/>
      <c r="D126" s="117"/>
      <c r="E126" s="117"/>
      <c r="F126" s="117"/>
      <c r="G126" s="117"/>
      <c r="H126" s="117"/>
      <c r="I126" s="117"/>
    </row>
    <row r="127" spans="1:9" ht="9" customHeight="1">
      <c r="A127" s="121"/>
      <c r="B127" s="117"/>
      <c r="C127" s="117"/>
      <c r="D127" s="117"/>
      <c r="E127" s="141"/>
      <c r="F127" s="142"/>
      <c r="G127" s="117"/>
      <c r="H127" s="117"/>
      <c r="I127" s="117"/>
    </row>
    <row r="128" spans="1:9">
      <c r="B128" s="815" t="s">
        <v>312</v>
      </c>
      <c r="C128" s="815" t="s">
        <v>312</v>
      </c>
      <c r="D128" s="815" t="s">
        <v>312</v>
      </c>
    </row>
    <row r="129" spans="1:9" ht="41.25" customHeight="1">
      <c r="A129" s="205" t="s">
        <v>1238</v>
      </c>
      <c r="B129" s="205" t="s">
        <v>319</v>
      </c>
      <c r="C129" s="216" t="s">
        <v>4336</v>
      </c>
      <c r="D129" s="216" t="s">
        <v>4211</v>
      </c>
      <c r="E129" s="205" t="s">
        <v>322</v>
      </c>
    </row>
    <row r="130" spans="1:9" ht="15">
      <c r="A130" s="207">
        <v>1</v>
      </c>
      <c r="B130" s="147" t="s">
        <v>4090</v>
      </c>
      <c r="C130" s="147" t="s">
        <v>1053</v>
      </c>
      <c r="D130" s="840">
        <v>20000</v>
      </c>
      <c r="E130" s="210">
        <f>IF(OR(C130="",D130=""),"",D130*VLOOKUP(C130,EF!$Y$5:$AA$6,3,FALSE)/1000*'Reporting Year &amp; Inflation Adj.'!$F$9)</f>
        <v>3.1868001108300006</v>
      </c>
    </row>
    <row r="131" spans="1:9" ht="15">
      <c r="A131" s="207">
        <v>2</v>
      </c>
      <c r="B131" s="903"/>
      <c r="C131" s="903"/>
      <c r="D131" s="841"/>
      <c r="E131" s="902" t="str">
        <f>IF(OR(C131="",D131=""),"",D131*VLOOKUP(C131,EF!$Y$5:$AA$6,3,FALSE)/1000*'Reporting Year &amp; Inflation Adj.'!$F$9)</f>
        <v/>
      </c>
    </row>
    <row r="132" spans="1:9" ht="15">
      <c r="A132" s="207">
        <v>3</v>
      </c>
      <c r="B132" s="903"/>
      <c r="C132" s="903"/>
      <c r="D132" s="841"/>
      <c r="E132" s="902" t="str">
        <f>IF(OR(C132="",D132=""),"",D132*VLOOKUP(C132,EF!$Y$5:$AA$6,3,FALSE)/1000*'Reporting Year &amp; Inflation Adj.'!$F$9)</f>
        <v/>
      </c>
    </row>
    <row r="133" spans="1:9" ht="15">
      <c r="A133" s="207">
        <v>4</v>
      </c>
      <c r="B133" s="903"/>
      <c r="C133" s="903"/>
      <c r="D133" s="841"/>
      <c r="E133" s="902" t="str">
        <f>IF(OR(C133="",D133=""),"",D133*VLOOKUP(C133,EF!$Y$5:$AA$6,3,FALSE)/1000*'Reporting Year &amp; Inflation Adj.'!$F$9)</f>
        <v/>
      </c>
    </row>
    <row r="134" spans="1:9" ht="15">
      <c r="A134" s="207">
        <v>5</v>
      </c>
      <c r="B134" s="903"/>
      <c r="C134" s="903"/>
      <c r="D134" s="841"/>
      <c r="E134" s="902" t="str">
        <f>IF(OR(C134="",D134=""),"",D134*VLOOKUP(C134,EF!$Y$5:$AA$6,3,FALSE)/1000*'Reporting Year &amp; Inflation Adj.'!$F$9)</f>
        <v/>
      </c>
    </row>
    <row r="135" spans="1:9" ht="15">
      <c r="A135" s="207">
        <v>6</v>
      </c>
      <c r="B135" s="903"/>
      <c r="C135" s="903"/>
      <c r="D135" s="841"/>
      <c r="E135" s="902" t="str">
        <f>IF(OR(C135="",D135=""),"",D135*VLOOKUP(C135,EF!$Y$5:$AA$6,3,FALSE)/1000*'Reporting Year &amp; Inflation Adj.'!$F$9)</f>
        <v/>
      </c>
    </row>
    <row r="136" spans="1:9" ht="15">
      <c r="A136" s="207">
        <v>7</v>
      </c>
      <c r="B136" s="903"/>
      <c r="C136" s="903"/>
      <c r="D136" s="841"/>
      <c r="E136" s="902" t="str">
        <f>IF(OR(C136="",D136=""),"",D136*VLOOKUP(C136,EF!$Y$5:$AA$6,3,FALSE)/1000*'Reporting Year &amp; Inflation Adj.'!$F$9)</f>
        <v/>
      </c>
    </row>
    <row r="137" spans="1:9" ht="15">
      <c r="A137" s="207">
        <v>8</v>
      </c>
      <c r="B137" s="903"/>
      <c r="C137" s="903"/>
      <c r="D137" s="841"/>
      <c r="E137" s="902" t="str">
        <f>IF(OR(C137="",D137=""),"",D137*VLOOKUP(C137,EF!$Y$5:$AA$6,3,FALSE)/1000*'Reporting Year &amp; Inflation Adj.'!$F$9)</f>
        <v/>
      </c>
    </row>
    <row r="138" spans="1:9" ht="15">
      <c r="A138" s="207">
        <v>9</v>
      </c>
      <c r="B138" s="903"/>
      <c r="C138" s="903"/>
      <c r="D138" s="841"/>
      <c r="E138" s="902" t="str">
        <f>IF(OR(C138="",D138=""),"",D138*VLOOKUP(C138,EF!$Y$5:$AA$6,3,FALSE)/1000*'Reporting Year &amp; Inflation Adj.'!$F$9)</f>
        <v/>
      </c>
    </row>
    <row r="139" spans="1:9" ht="15.75" thickBot="1">
      <c r="A139" s="207">
        <v>10</v>
      </c>
      <c r="B139" s="150"/>
      <c r="C139" s="150"/>
      <c r="D139" s="841"/>
      <c r="E139" s="902" t="str">
        <f>IF(OR(C139="",D139=""),"",D139*VLOOKUP(C139,EF!$Y$5:$AA$6,3,FALSE)/1000*'Reporting Year &amp; Inflation Adj.'!$F$9)</f>
        <v/>
      </c>
    </row>
    <row r="140" spans="1:9" ht="15" thickBot="1">
      <c r="D140" s="218" t="s">
        <v>1268</v>
      </c>
      <c r="E140" s="289">
        <f>SUM(E131:E139)</f>
        <v>0</v>
      </c>
    </row>
    <row r="141" spans="1:9">
      <c r="A141" s="117"/>
      <c r="B141" s="117"/>
      <c r="C141" s="117"/>
      <c r="F141" s="117"/>
      <c r="G141" s="117"/>
      <c r="H141" s="117"/>
      <c r="I141" s="117"/>
    </row>
    <row r="142" spans="1:9">
      <c r="A142" s="140" t="s">
        <v>1298</v>
      </c>
      <c r="B142" s="117"/>
      <c r="C142" s="117"/>
      <c r="D142" s="117"/>
      <c r="E142" s="117"/>
      <c r="F142" s="117"/>
      <c r="G142" s="117"/>
      <c r="H142" s="117"/>
      <c r="I142" s="117"/>
    </row>
    <row r="143" spans="1:9">
      <c r="A143" s="143" t="s">
        <v>1299</v>
      </c>
      <c r="B143" s="117"/>
      <c r="C143" s="117"/>
      <c r="D143" s="117"/>
      <c r="E143" s="117"/>
      <c r="F143" s="117"/>
      <c r="G143" s="117"/>
      <c r="H143" s="117"/>
      <c r="I143" s="117"/>
    </row>
    <row r="144" spans="1:9" ht="15">
      <c r="A144" s="144" t="s">
        <v>1238</v>
      </c>
      <c r="B144" s="145" t="s">
        <v>1300</v>
      </c>
      <c r="C144" s="145" t="s">
        <v>29</v>
      </c>
      <c r="D144" s="145" t="s">
        <v>322</v>
      </c>
      <c r="E144" s="117"/>
      <c r="F144" s="117"/>
      <c r="G144" s="117"/>
      <c r="H144" s="117"/>
      <c r="I144" s="117"/>
    </row>
    <row r="145" spans="1:9" ht="29.25">
      <c r="A145" s="146">
        <v>1</v>
      </c>
      <c r="B145" s="238" t="s">
        <v>1301</v>
      </c>
      <c r="C145" s="727" t="s">
        <v>1302</v>
      </c>
      <c r="D145" s="728">
        <v>112020</v>
      </c>
      <c r="E145" s="117"/>
      <c r="F145" s="117"/>
      <c r="G145" s="117"/>
      <c r="H145" s="117"/>
      <c r="I145" s="117"/>
    </row>
    <row r="146" spans="1:9" ht="15">
      <c r="A146" s="146">
        <v>2</v>
      </c>
      <c r="B146" s="150"/>
      <c r="C146" s="150"/>
      <c r="D146" s="158"/>
      <c r="E146" s="117"/>
      <c r="F146" s="117"/>
      <c r="G146" s="117"/>
      <c r="H146" s="117"/>
      <c r="I146" s="117"/>
    </row>
    <row r="147" spans="1:9" ht="15">
      <c r="A147" s="146">
        <v>3</v>
      </c>
      <c r="B147" s="150"/>
      <c r="C147" s="150"/>
      <c r="D147" s="158"/>
      <c r="E147" s="117"/>
      <c r="F147" s="117"/>
      <c r="G147" s="117"/>
      <c r="H147" s="117"/>
      <c r="I147" s="117"/>
    </row>
    <row r="148" spans="1:9" ht="15">
      <c r="A148" s="146">
        <v>4</v>
      </c>
      <c r="B148" s="150"/>
      <c r="C148" s="150"/>
      <c r="D148" s="158"/>
      <c r="E148" s="117"/>
      <c r="F148" s="117"/>
      <c r="G148" s="117"/>
      <c r="H148" s="117"/>
      <c r="I148" s="117"/>
    </row>
    <row r="149" spans="1:9" ht="15">
      <c r="A149" s="146">
        <v>5</v>
      </c>
      <c r="B149" s="150"/>
      <c r="C149" s="150"/>
      <c r="D149" s="158"/>
      <c r="E149" s="117"/>
      <c r="F149" s="117"/>
      <c r="G149" s="117"/>
      <c r="H149" s="117"/>
      <c r="I149" s="117"/>
    </row>
    <row r="150" spans="1:9" ht="15">
      <c r="A150" s="146">
        <v>6</v>
      </c>
      <c r="B150" s="150"/>
      <c r="C150" s="150"/>
      <c r="D150" s="158"/>
      <c r="E150" s="117"/>
      <c r="F150" s="117"/>
      <c r="G150" s="117"/>
      <c r="H150" s="117"/>
      <c r="I150" s="117"/>
    </row>
    <row r="151" spans="1:9" ht="15">
      <c r="A151" s="146">
        <v>7</v>
      </c>
      <c r="B151" s="150"/>
      <c r="C151" s="150"/>
      <c r="D151" s="158"/>
      <c r="E151" s="117"/>
      <c r="F151" s="117"/>
      <c r="G151" s="117"/>
      <c r="H151" s="117"/>
      <c r="I151" s="117"/>
    </row>
    <row r="152" spans="1:9" ht="15">
      <c r="A152" s="146">
        <v>8</v>
      </c>
      <c r="B152" s="150"/>
      <c r="C152" s="150"/>
      <c r="D152" s="158"/>
      <c r="E152" s="117"/>
      <c r="F152" s="117"/>
      <c r="G152" s="117"/>
      <c r="H152" s="117"/>
      <c r="I152" s="117"/>
    </row>
    <row r="153" spans="1:9" ht="15">
      <c r="A153" s="146">
        <v>9</v>
      </c>
      <c r="B153" s="150"/>
      <c r="C153" s="150"/>
      <c r="D153" s="158"/>
      <c r="E153" s="117"/>
      <c r="F153" s="117"/>
      <c r="G153" s="117"/>
      <c r="H153" s="117"/>
      <c r="I153" s="117"/>
    </row>
    <row r="154" spans="1:9" ht="15.75" thickBot="1">
      <c r="A154" s="146">
        <v>10</v>
      </c>
      <c r="B154" s="150"/>
      <c r="C154" s="150"/>
      <c r="D154" s="158"/>
      <c r="E154" s="117"/>
      <c r="F154" s="117"/>
      <c r="G154" s="117"/>
      <c r="H154" s="117"/>
      <c r="I154" s="117"/>
    </row>
    <row r="155" spans="1:9" ht="15.75" thickBot="1">
      <c r="A155" s="117"/>
      <c r="B155" s="117"/>
      <c r="C155" s="180" t="s">
        <v>8</v>
      </c>
      <c r="D155" s="906">
        <f>SUM(D146:D154)</f>
        <v>0</v>
      </c>
      <c r="E155" s="117"/>
      <c r="F155" s="117"/>
      <c r="G155" s="117"/>
      <c r="H155" s="117"/>
      <c r="I155" s="117"/>
    </row>
  </sheetData>
  <sheetProtection algorithmName="SHA-512" hashValue="NNYUmhameEhqJJA98jGn5ZN1XnQAIyLz8riJDjK3a6tpFBoU7WxQImHu8QIKmuny7+bAseV0rgrHuQBLtiqDeg==" saltValue="cBzXZ5wusqhHdLs9bTF5CQ==" spinCount="100000" sheet="1" objects="1" scenarios="1"/>
  <mergeCells count="2">
    <mergeCell ref="A3:I4"/>
    <mergeCell ref="J86:L86"/>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2C573A61-3AEA-4E25-9CDD-BD3A4D6F58FC}">
          <x14:formula1>
            <xm:f>'DESNZ Cat 6-9'!$AF$6:$AF$10</xm:f>
          </x14:formula1>
          <xm:sqref>C85:C103</xm:sqref>
        </x14:dataValidation>
        <x14:dataValidation type="list" allowBlank="1" showInputMessage="1" showErrorMessage="1" xr:uid="{DCBBFD69-9ADF-475D-856A-A8AEE9B54717}">
          <x14:formula1>
            <xm:f>IF($C84="Cars_by_market_segment",INDIRECT('DESNZ Cat 6-9'!$AF$18),"")</xm:f>
          </x14:formula1>
          <xm:sqref>D84:D103</xm:sqref>
        </x14:dataValidation>
        <x14:dataValidation type="list" allowBlank="1" showInputMessage="1" showErrorMessage="1" xr:uid="{BD5BCCA1-740A-45B3-B1CA-81A58A024B5D}">
          <x14:formula1>
            <xm:f>IF($C84="Cars_by_market_segment",INDIRECT('DESNZ Cat 6-9'!$AF$45),"")</xm:f>
          </x14:formula1>
          <xm:sqref>E84:E103</xm:sqref>
        </x14:dataValidation>
        <x14:dataValidation type="list" allowBlank="1" showInputMessage="1" showErrorMessage="1" xr:uid="{F1858CCB-D2AE-4214-869D-236F5B2A1C34}">
          <x14:formula1>
            <xm:f>EF!Y$5:Y$6</xm:f>
          </x14:formula1>
          <xm:sqref>C130:C139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83BD-1B9E-4582-BF77-DD683E213AAC}">
  <sheetPr codeName="Sheet21">
    <tabColor theme="3" tint="0.59999389629810485"/>
  </sheetPr>
  <dimension ref="A1:AD59"/>
  <sheetViews>
    <sheetView showGridLines="0" zoomScale="85" zoomScaleNormal="85" workbookViewId="0">
      <selection activeCell="E31" sqref="E31"/>
    </sheetView>
  </sheetViews>
  <sheetFormatPr defaultColWidth="8.875" defaultRowHeight="14.25"/>
  <cols>
    <col min="2" max="2" width="46.5" bestFit="1" customWidth="1"/>
    <col min="3" max="3" width="29" bestFit="1" customWidth="1"/>
    <col min="4" max="4" width="20" customWidth="1"/>
    <col min="5" max="5" width="20.5" customWidth="1"/>
    <col min="6" max="6" width="25.875" customWidth="1"/>
    <col min="7" max="7" width="19.625" customWidth="1"/>
    <col min="8" max="8" width="24.625" customWidth="1"/>
    <col min="9" max="9" width="22.625" customWidth="1"/>
    <col min="10" max="10" width="19.625" customWidth="1"/>
    <col min="11" max="11" width="19.5" customWidth="1"/>
  </cols>
  <sheetData>
    <row r="1" spans="1:30" ht="26.25" customHeight="1">
      <c r="A1" s="74" t="s">
        <v>1324</v>
      </c>
      <c r="B1" s="107"/>
      <c r="C1" s="107"/>
      <c r="D1" s="107"/>
      <c r="E1" s="107"/>
      <c r="F1" s="107"/>
      <c r="G1" s="107"/>
      <c r="H1" s="107"/>
    </row>
    <row r="2" spans="1:30" ht="18.75" hidden="1" customHeight="1">
      <c r="A2" s="198" t="s">
        <v>304</v>
      </c>
      <c r="B2" s="110"/>
      <c r="C2" s="110"/>
      <c r="D2" s="110"/>
      <c r="E2" s="110"/>
      <c r="F2" s="110"/>
      <c r="G2" s="110"/>
      <c r="H2" s="110"/>
      <c r="I2" s="110"/>
    </row>
    <row r="3" spans="1:30" ht="18.75" hidden="1" customHeight="1">
      <c r="A3" s="112" t="s">
        <v>1325</v>
      </c>
      <c r="B3" s="110"/>
      <c r="C3" s="110"/>
      <c r="D3" s="110"/>
      <c r="E3" s="110"/>
      <c r="F3" s="110"/>
      <c r="G3" s="110"/>
      <c r="H3" s="110"/>
      <c r="I3" s="110"/>
    </row>
    <row r="4" spans="1:30" ht="18.75" hidden="1" customHeight="1">
      <c r="A4" s="112" t="s">
        <v>1326</v>
      </c>
      <c r="B4" s="110"/>
      <c r="C4" s="110"/>
      <c r="D4" s="110"/>
      <c r="E4" s="110"/>
      <c r="F4" s="110"/>
      <c r="G4" s="110"/>
      <c r="H4" s="110"/>
      <c r="I4" s="110"/>
    </row>
    <row r="5" spans="1:30" ht="18.75" hidden="1" customHeight="1">
      <c r="A5" s="199" t="s">
        <v>1327</v>
      </c>
      <c r="B5" s="110"/>
      <c r="C5" s="110"/>
      <c r="D5" s="110"/>
      <c r="E5" s="110"/>
      <c r="F5" s="110"/>
      <c r="G5" s="110"/>
      <c r="H5" s="110"/>
      <c r="I5" s="110"/>
    </row>
    <row r="6" spans="1:30" ht="18.75" hidden="1" customHeight="1">
      <c r="A6" s="199" t="s">
        <v>1328</v>
      </c>
      <c r="B6" s="110"/>
      <c r="C6" s="110"/>
      <c r="D6" s="110"/>
      <c r="E6" s="110"/>
      <c r="F6" s="110"/>
      <c r="G6" s="110"/>
      <c r="H6" s="110"/>
      <c r="I6" s="110"/>
    </row>
    <row r="7" spans="1:30" ht="18.75" customHeight="1"/>
    <row r="8" spans="1:30">
      <c r="A8" s="200"/>
      <c r="B8" s="4"/>
      <c r="C8" s="4"/>
      <c r="D8" s="4"/>
      <c r="E8" s="4"/>
      <c r="F8" s="4"/>
      <c r="G8" s="4"/>
      <c r="H8" s="4"/>
      <c r="I8" s="4"/>
      <c r="J8" s="4"/>
      <c r="K8" s="4"/>
      <c r="L8" s="4"/>
      <c r="M8" s="114"/>
      <c r="N8" s="114"/>
      <c r="O8" s="4"/>
      <c r="P8" s="4"/>
      <c r="Q8" s="4"/>
      <c r="R8" s="4"/>
      <c r="S8" s="4"/>
      <c r="T8" s="4"/>
      <c r="U8" s="4"/>
      <c r="V8" s="4"/>
      <c r="W8" s="4"/>
      <c r="X8" s="4"/>
      <c r="Y8" s="4"/>
      <c r="Z8" s="4"/>
      <c r="AA8" s="4"/>
      <c r="AB8" s="4"/>
      <c r="AC8" s="4"/>
      <c r="AD8" s="4"/>
    </row>
    <row r="9" spans="1:30">
      <c r="A9" s="201"/>
      <c r="B9" s="4"/>
      <c r="C9" s="4"/>
      <c r="D9" s="4"/>
      <c r="E9" s="4"/>
      <c r="F9" s="4"/>
      <c r="G9" s="4"/>
      <c r="H9" s="4"/>
      <c r="I9" s="4"/>
      <c r="J9" s="4"/>
      <c r="K9" s="4"/>
      <c r="L9" s="4"/>
      <c r="M9" s="114"/>
      <c r="N9" s="114"/>
      <c r="O9" s="4"/>
      <c r="P9" s="4"/>
      <c r="Q9" s="4"/>
      <c r="R9" s="4"/>
      <c r="S9" s="4"/>
      <c r="T9" s="4"/>
      <c r="U9" s="4"/>
      <c r="V9" s="4"/>
      <c r="W9" s="4"/>
      <c r="X9" s="4"/>
      <c r="Y9" s="4"/>
      <c r="Z9" s="4"/>
      <c r="AA9" s="4"/>
      <c r="AB9" s="4"/>
      <c r="AC9" s="4"/>
      <c r="AD9" s="4"/>
    </row>
    <row r="10" spans="1:30">
      <c r="A10" s="201"/>
      <c r="B10" s="4"/>
      <c r="C10" s="4"/>
      <c r="D10" s="4"/>
      <c r="E10" s="4"/>
      <c r="F10" s="4"/>
      <c r="G10" s="4"/>
      <c r="H10" s="4"/>
      <c r="I10" s="4"/>
      <c r="J10" s="4"/>
      <c r="K10" s="4"/>
      <c r="L10" s="4"/>
      <c r="M10" s="114"/>
      <c r="N10" s="114"/>
      <c r="O10" s="4"/>
      <c r="P10" s="4"/>
      <c r="Q10" s="4"/>
      <c r="R10" s="4"/>
      <c r="S10" s="4"/>
      <c r="T10" s="4"/>
      <c r="U10" s="4"/>
      <c r="V10" s="4"/>
      <c r="W10" s="4"/>
      <c r="X10" s="4"/>
      <c r="Y10" s="4"/>
      <c r="Z10" s="4"/>
      <c r="AA10" s="4"/>
      <c r="AB10" s="4"/>
      <c r="AC10" s="4"/>
      <c r="AD10" s="4"/>
    </row>
    <row r="11" spans="1:30">
      <c r="A11" s="202"/>
      <c r="B11" s="4"/>
      <c r="C11" s="4"/>
      <c r="D11" s="4"/>
      <c r="E11" s="4"/>
      <c r="F11" s="4"/>
      <c r="G11" s="4"/>
      <c r="H11" s="4"/>
      <c r="I11" s="4"/>
      <c r="J11" s="4"/>
      <c r="K11" s="4"/>
      <c r="L11" s="4"/>
      <c r="M11" s="114"/>
      <c r="N11" s="114"/>
      <c r="O11" s="4"/>
      <c r="P11" s="4"/>
      <c r="Q11" s="4"/>
      <c r="R11" s="4"/>
      <c r="S11" s="4"/>
      <c r="T11" s="4"/>
      <c r="U11" s="4"/>
      <c r="V11" s="4"/>
      <c r="W11" s="4"/>
      <c r="X11" s="4"/>
      <c r="Y11" s="4"/>
      <c r="Z11" s="4"/>
      <c r="AA11" s="4"/>
      <c r="AB11" s="4"/>
      <c r="AC11" s="4"/>
      <c r="AD11" s="4"/>
    </row>
    <row r="12" spans="1:30" ht="36.75" customHeight="1">
      <c r="A12" s="897" t="s">
        <v>4138</v>
      </c>
    </row>
    <row r="13" spans="1:30" ht="18.75" customHeight="1">
      <c r="A13" s="203" t="s">
        <v>4062</v>
      </c>
    </row>
    <row r="14" spans="1:30">
      <c r="A14" s="204" t="s">
        <v>1237</v>
      </c>
    </row>
    <row r="15" spans="1:30" ht="6" customHeight="1">
      <c r="A15" s="204"/>
    </row>
    <row r="16" spans="1:30" ht="18.75">
      <c r="A16" s="203"/>
      <c r="B16" s="2"/>
      <c r="C16" s="500"/>
      <c r="D16" s="2"/>
    </row>
    <row r="17" spans="1:7" ht="21.75" customHeight="1">
      <c r="A17" s="205" t="s">
        <v>1238</v>
      </c>
      <c r="B17" s="206" t="s">
        <v>228</v>
      </c>
      <c r="C17" s="206" t="s">
        <v>1329</v>
      </c>
      <c r="D17" s="206" t="s">
        <v>1330</v>
      </c>
      <c r="E17" s="205" t="s">
        <v>3</v>
      </c>
      <c r="F17" s="206" t="s">
        <v>1331</v>
      </c>
      <c r="G17" s="206" t="s">
        <v>322</v>
      </c>
    </row>
    <row r="18" spans="1:7" ht="7.5" customHeight="1"/>
    <row r="19" spans="1:7" ht="21.75" customHeight="1">
      <c r="A19" s="896" t="s">
        <v>1822</v>
      </c>
      <c r="B19" s="206"/>
      <c r="C19" s="206"/>
      <c r="D19" s="206"/>
      <c r="E19" s="205"/>
      <c r="F19" s="206"/>
      <c r="G19" s="206"/>
    </row>
    <row r="20" spans="1:7" ht="15">
      <c r="A20" s="207">
        <v>1</v>
      </c>
      <c r="B20" s="899" t="str">
        <f>'Scope 1 and 2 Data'!A30</f>
        <v>Natural gas</v>
      </c>
      <c r="C20" s="900">
        <f>'Scope 1 and 2 Data'!I30</f>
        <v>0</v>
      </c>
      <c r="D20" s="900" t="str">
        <f>'Scope 1 and 2 Data'!J30</f>
        <v>m3</v>
      </c>
      <c r="E20" s="212">
        <f>VLOOKUP($B20,EF!$G$10:$J$21,3,FALSE)</f>
        <v>0.33660000000000001</v>
      </c>
      <c r="F20" s="212" t="str">
        <f>VLOOKUP($B20,EF!$G$10:$J$21,4,FALSE)</f>
        <v>kg CO2e/m3</v>
      </c>
      <c r="G20" s="213">
        <f>IFERROR(C20*E20/1000,"")</f>
        <v>0</v>
      </c>
    </row>
    <row r="21" spans="1:7" ht="15">
      <c r="A21" s="207">
        <v>2</v>
      </c>
      <c r="B21" s="899" t="str">
        <f>'Scope 1 and 2 Data'!A31</f>
        <v>Fuel Oil #2</v>
      </c>
      <c r="C21" s="900">
        <f>'Scope 1 and 2 Data'!I31</f>
        <v>0</v>
      </c>
      <c r="D21" s="900" t="str">
        <f>'Scope 1 and 2 Data'!J31</f>
        <v>Liter</v>
      </c>
      <c r="E21" s="212">
        <f>VLOOKUP($B21,EF!$G$10:$J$21,3,FALSE)</f>
        <v>0.69538999999999995</v>
      </c>
      <c r="F21" s="212" t="str">
        <f>VLOOKUP($B21,EF!$G$10:$J$21,4,FALSE)</f>
        <v>kg CO2e/liter</v>
      </c>
      <c r="G21" s="213">
        <f t="shared" ref="G21:G35" si="0">IFERROR(C21*E21/1000,"")</f>
        <v>0</v>
      </c>
    </row>
    <row r="22" spans="1:7" ht="15">
      <c r="A22" s="207">
        <v>3</v>
      </c>
      <c r="B22" s="899" t="str">
        <f>'Scope 1 and 2 Data'!A32</f>
        <v>Diesel</v>
      </c>
      <c r="C22" s="900">
        <f>'Scope 1 and 2 Data'!I32</f>
        <v>0</v>
      </c>
      <c r="D22" s="900" t="str">
        <f>'Scope 1 and 2 Data'!J32</f>
        <v>Liter</v>
      </c>
      <c r="E22" s="212">
        <f>VLOOKUP($B22,EF!$G$10:$J$21,3,FALSE)</f>
        <v>0.61101000000000005</v>
      </c>
      <c r="F22" s="212" t="str">
        <f>VLOOKUP($B22,EF!$G$10:$J$21,4,FALSE)</f>
        <v>kg CO2e/liter</v>
      </c>
      <c r="G22" s="213">
        <f t="shared" si="0"/>
        <v>0</v>
      </c>
    </row>
    <row r="23" spans="1:7" ht="15">
      <c r="A23" s="207">
        <v>4</v>
      </c>
      <c r="B23" s="899" t="str">
        <f>'Scope 1 and 2 Data'!A33</f>
        <v>Gasoline</v>
      </c>
      <c r="C23" s="900">
        <f>'Scope 1 and 2 Data'!I33</f>
        <v>0</v>
      </c>
      <c r="D23" s="900" t="str">
        <f>'Scope 1 and 2 Data'!J33</f>
        <v>Liter</v>
      </c>
      <c r="E23" s="212">
        <f>VLOOKUP($B23,EF!$G$10:$J$21,3,FALSE)</f>
        <v>0.58094000000000001</v>
      </c>
      <c r="F23" s="212" t="str">
        <f>VLOOKUP($B23,EF!$G$10:$J$21,4,FALSE)</f>
        <v>kg CO2e/liter</v>
      </c>
      <c r="G23" s="213">
        <f t="shared" si="0"/>
        <v>0</v>
      </c>
    </row>
    <row r="24" spans="1:7" ht="15">
      <c r="A24" s="207">
        <v>5</v>
      </c>
      <c r="B24" s="899" t="str">
        <f>'Scope 1 and 2 Data'!A34</f>
        <v>Liquefied Petroleum Gases (LPG)</v>
      </c>
      <c r="C24" s="900">
        <f>'Scope 1 and 2 Data'!I34</f>
        <v>0</v>
      </c>
      <c r="D24" s="900" t="str">
        <f>'Scope 1 and 2 Data'!J34</f>
        <v>kg</v>
      </c>
      <c r="E24" s="212">
        <f>VLOOKUP($B24,EF!$G$10:$J$21,3,FALSE)</f>
        <v>0.35018444434999996</v>
      </c>
      <c r="F24" s="212" t="str">
        <f>VLOOKUP($B24,EF!$G$10:$J$21,4,FALSE)</f>
        <v>kg CO2e/kg</v>
      </c>
      <c r="G24" s="213">
        <f t="shared" si="0"/>
        <v>0</v>
      </c>
    </row>
    <row r="25" spans="1:7" ht="15">
      <c r="A25" s="207">
        <v>6</v>
      </c>
      <c r="B25" s="899" t="str">
        <f>'Scope 1 and 2 Data'!A35</f>
        <v>Kerosene</v>
      </c>
      <c r="C25" s="900">
        <f>'Scope 1 and 2 Data'!I35</f>
        <v>0</v>
      </c>
      <c r="D25" s="900" t="str">
        <f>'Scope 1 and 2 Data'!J35</f>
        <v>Liter</v>
      </c>
      <c r="E25" s="212">
        <f>VLOOKUP($B25,EF!$G$10:$J$21,3,FALSE)</f>
        <v>0.53078000000000003</v>
      </c>
      <c r="F25" s="212" t="str">
        <f>VLOOKUP($B25,EF!$G$10:$J$21,4,FALSE)</f>
        <v>kg CO2e/liter</v>
      </c>
      <c r="G25" s="213">
        <f t="shared" si="0"/>
        <v>0</v>
      </c>
    </row>
    <row r="26" spans="1:7" ht="15">
      <c r="A26" s="207">
        <v>7</v>
      </c>
      <c r="B26" s="899" t="str">
        <f>'Scope 1 and 2 Data'!A36</f>
        <v>Coal</v>
      </c>
      <c r="C26" s="900">
        <f>'Scope 1 and 2 Data'!I36</f>
        <v>0</v>
      </c>
      <c r="D26" s="900" t="str">
        <f>'Scope 1 and 2 Data'!J36</f>
        <v xml:space="preserve">kg </v>
      </c>
      <c r="E26" s="212">
        <f>VLOOKUP($B26,EF!$G$10:$J$21,3,FALSE)</f>
        <v>0.47095724</v>
      </c>
      <c r="F26" s="212" t="str">
        <f>VLOOKUP($B26,EF!$G$10:$J$21,4,FALSE)</f>
        <v>kg CO2e/kg</v>
      </c>
      <c r="G26" s="213">
        <f t="shared" si="0"/>
        <v>0</v>
      </c>
    </row>
    <row r="27" spans="1:7" ht="15">
      <c r="A27" s="207">
        <v>8</v>
      </c>
      <c r="B27" s="899" t="str">
        <f>'Scope 1 and 2 Data'!A37</f>
        <v>Wood</v>
      </c>
      <c r="C27" s="900">
        <f>'Scope 1 and 2 Data'!I37</f>
        <v>0</v>
      </c>
      <c r="D27" s="900" t="str">
        <f>'Scope 1 and 2 Data'!J37</f>
        <v xml:space="preserve">kg </v>
      </c>
      <c r="E27" s="212">
        <f>VLOOKUP($B27,EF!$G$10:$J$21,3,FALSE)</f>
        <v>3.04E-2</v>
      </c>
      <c r="F27" s="212" t="str">
        <f>VLOOKUP($B27,EF!$G$10:$J$21,4,FALSE)</f>
        <v>kg CO2e/kg</v>
      </c>
      <c r="G27" s="213">
        <f t="shared" si="0"/>
        <v>0</v>
      </c>
    </row>
    <row r="28" spans="1:7" ht="15.75" thickBot="1">
      <c r="A28" s="207">
        <v>9</v>
      </c>
      <c r="B28" s="899" t="str">
        <f>'Scope 1 and 2 Data'!A38</f>
        <v>Biodiesel</v>
      </c>
      <c r="C28" s="900">
        <f>'Scope 1 and 2 Data'!I38</f>
        <v>0</v>
      </c>
      <c r="D28" s="900" t="str">
        <f>'Scope 1 and 2 Data'!J38</f>
        <v>Liter</v>
      </c>
      <c r="E28" s="212">
        <f>VLOOKUP($B28,EF!$G$10:$J$21,3,FALSE)</f>
        <v>0.35339999999999999</v>
      </c>
      <c r="F28" s="212" t="str">
        <f>VLOOKUP($B28,EF!$G$10:$J$21,4,FALSE)</f>
        <v>kg CO2e/liter</v>
      </c>
      <c r="G28" s="213">
        <f t="shared" si="0"/>
        <v>0</v>
      </c>
    </row>
    <row r="29" spans="1:7" ht="15.75" thickBot="1">
      <c r="F29" s="214" t="s">
        <v>1268</v>
      </c>
      <c r="G29" s="179">
        <f>SUM(G20:G28)</f>
        <v>0</v>
      </c>
    </row>
    <row r="30" spans="1:7" ht="21.75" customHeight="1">
      <c r="A30" s="896" t="s">
        <v>1841</v>
      </c>
      <c r="B30" s="206"/>
      <c r="C30" s="893"/>
      <c r="D30" s="206"/>
      <c r="E30" s="205"/>
      <c r="F30" s="206"/>
      <c r="G30" s="206"/>
    </row>
    <row r="31" spans="1:7" ht="15">
      <c r="A31" s="207">
        <v>1</v>
      </c>
      <c r="B31" s="899" t="str">
        <f>'Scope 1 and 2 Data'!A61</f>
        <v>Gasoline</v>
      </c>
      <c r="C31" s="900">
        <f>'Scope 1 and 2 Data'!J61</f>
        <v>0</v>
      </c>
      <c r="D31" s="900" t="str">
        <f>'Scope 1 and 2 Data'!K61</f>
        <v>Liter</v>
      </c>
      <c r="E31" s="212">
        <f>VLOOKUP($B31,EF!$G$10:$J$21,3,FALSE)</f>
        <v>0.58094000000000001</v>
      </c>
      <c r="F31" s="212" t="str">
        <f>VLOOKUP($B31,EF!$G$10:$J$21,4,FALSE)</f>
        <v>kg CO2e/liter</v>
      </c>
      <c r="G31" s="213">
        <f t="shared" si="0"/>
        <v>0</v>
      </c>
    </row>
    <row r="32" spans="1:7" ht="15">
      <c r="A32" s="207">
        <v>2</v>
      </c>
      <c r="B32" s="899" t="str">
        <f>'Scope 1 and 2 Data'!A62</f>
        <v>Diesel</v>
      </c>
      <c r="C32" s="900">
        <f>'Scope 1 and 2 Data'!J62</f>
        <v>0</v>
      </c>
      <c r="D32" s="900" t="str">
        <f>'Scope 1 and 2 Data'!K62</f>
        <v>Liter</v>
      </c>
      <c r="E32" s="212">
        <f>VLOOKUP($B32,EF!$G$10:$J$21,3,FALSE)</f>
        <v>0.61101000000000005</v>
      </c>
      <c r="F32" s="212" t="str">
        <f>VLOOKUP($B32,EF!$G$10:$J$21,4,FALSE)</f>
        <v>kg CO2e/liter</v>
      </c>
      <c r="G32" s="213">
        <f t="shared" si="0"/>
        <v>0</v>
      </c>
    </row>
    <row r="33" spans="1:8" ht="15">
      <c r="A33" s="207">
        <v>3</v>
      </c>
      <c r="B33" s="899" t="str">
        <f>'Scope 1 and 2 Data'!A63</f>
        <v>Natural gas</v>
      </c>
      <c r="C33" s="900">
        <f>'Scope 1 and 2 Data'!J63</f>
        <v>0</v>
      </c>
      <c r="D33" s="900" t="str">
        <f>'Scope 1 and 2 Data'!K63</f>
        <v>m3</v>
      </c>
      <c r="E33" s="212">
        <f>VLOOKUP($B33,EF!$G$10:$J$21,3,FALSE)</f>
        <v>0.33660000000000001</v>
      </c>
      <c r="F33" s="212" t="str">
        <f>VLOOKUP($B33,EF!$G$10:$J$21,4,FALSE)</f>
        <v>kg CO2e/m3</v>
      </c>
      <c r="G33" s="213">
        <f t="shared" si="0"/>
        <v>0</v>
      </c>
    </row>
    <row r="34" spans="1:8" ht="15">
      <c r="A34" s="207">
        <v>4</v>
      </c>
      <c r="B34" s="899" t="str">
        <f>'Scope 1 and 2 Data'!A64</f>
        <v>Biodiesel</v>
      </c>
      <c r="C34" s="900">
        <f>'Scope 1 and 2 Data'!J64</f>
        <v>0</v>
      </c>
      <c r="D34" s="900" t="str">
        <f>'Scope 1 and 2 Data'!K64</f>
        <v>Liter</v>
      </c>
      <c r="E34" s="212">
        <f>VLOOKUP($B34,EF!$G$10:$J$21,3,FALSE)</f>
        <v>0.35339999999999999</v>
      </c>
      <c r="F34" s="212" t="str">
        <f>VLOOKUP($B34,EF!$G$10:$J$21,4,FALSE)</f>
        <v>kg CO2e/liter</v>
      </c>
      <c r="G34" s="213">
        <f t="shared" si="0"/>
        <v>0</v>
      </c>
    </row>
    <row r="35" spans="1:8" ht="15.75" thickBot="1">
      <c r="A35" s="207">
        <v>5</v>
      </c>
      <c r="B35" s="899" t="str">
        <f>'Scope 1 and 2 Data'!A65</f>
        <v>Biogasoline/Bioethanol</v>
      </c>
      <c r="C35" s="900">
        <f>'Scope 1 and 2 Data'!J65</f>
        <v>0</v>
      </c>
      <c r="D35" s="900" t="str">
        <f>'Scope 1 and 2 Data'!K65</f>
        <v>Liter</v>
      </c>
      <c r="E35" s="212">
        <f>VLOOKUP($B35,EF!$G$10:$J$21,3,FALSE)</f>
        <v>0.61516000000000004</v>
      </c>
      <c r="F35" s="212" t="str">
        <f>VLOOKUP($B35,EF!$G$10:$J$21,4,FALSE)</f>
        <v>kg CO2e/liter</v>
      </c>
      <c r="G35" s="213">
        <f t="shared" si="0"/>
        <v>0</v>
      </c>
    </row>
    <row r="36" spans="1:8" ht="15.75" thickBot="1">
      <c r="F36" s="214" t="s">
        <v>1268</v>
      </c>
      <c r="G36" s="179">
        <f>SUM(G31:G35)</f>
        <v>0</v>
      </c>
    </row>
    <row r="37" spans="1:8" ht="21.75" customHeight="1">
      <c r="A37" s="896" t="s">
        <v>4177</v>
      </c>
      <c r="B37" s="206"/>
      <c r="C37" s="893"/>
      <c r="D37" s="206"/>
      <c r="E37" s="205"/>
      <c r="F37" s="206"/>
      <c r="G37" s="206"/>
    </row>
    <row r="38" spans="1:8" ht="15">
      <c r="A38" s="207">
        <v>1</v>
      </c>
      <c r="B38" s="899" t="str">
        <f>'Scope 1 and 2 Data'!B264</f>
        <v>Steam</v>
      </c>
      <c r="C38" s="900">
        <f>'Scope 1 and 2 Data'!G264</f>
        <v>0</v>
      </c>
      <c r="D38" s="900" t="s">
        <v>1887</v>
      </c>
      <c r="E38" s="212">
        <f>VLOOKUP("District Heating",EF!$G$10:$J$21,3,FALSE)</f>
        <v>1.0307737397420868E-2</v>
      </c>
      <c r="F38" s="212" t="str">
        <f>VLOOKUP("District Heating",EF!$G$10:$J$21,4,FALSE)</f>
        <v>kg CO2e/kbtu</v>
      </c>
      <c r="G38" s="213">
        <f t="shared" ref="G38:G42" si="1">IFERROR(C38*E38/1000,"")</f>
        <v>0</v>
      </c>
      <c r="H38" s="326"/>
    </row>
    <row r="39" spans="1:8" ht="15">
      <c r="A39" s="207">
        <v>2</v>
      </c>
      <c r="B39" s="899" t="s">
        <v>1888</v>
      </c>
      <c r="C39" s="900">
        <f>'Scope 1 and 2 Data'!G265</f>
        <v>0</v>
      </c>
      <c r="D39" s="900" t="s">
        <v>1887</v>
      </c>
      <c r="E39" s="212">
        <f>VLOOKUP("District Heating",EF!$G$10:$J$21,3,FALSE)</f>
        <v>1.0307737397420868E-2</v>
      </c>
      <c r="F39" s="212" t="str">
        <f>VLOOKUP("District Heating",EF!$G$10:$J$21,4,FALSE)</f>
        <v>kg CO2e/kbtu</v>
      </c>
      <c r="G39" s="213">
        <f t="shared" si="1"/>
        <v>0</v>
      </c>
      <c r="H39" s="326"/>
    </row>
    <row r="40" spans="1:8" ht="15">
      <c r="A40" s="207">
        <v>3</v>
      </c>
      <c r="B40" s="899" t="s">
        <v>1889</v>
      </c>
      <c r="C40" s="900">
        <f>'Scope 1 and 2 Data'!G266</f>
        <v>0</v>
      </c>
      <c r="D40" s="900" t="s">
        <v>1887</v>
      </c>
      <c r="E40" s="212">
        <f>VLOOKUP("Chilled water",EF!$G$10:$J$21,3,FALSE)</f>
        <v>2.1721805392731535E-2</v>
      </c>
      <c r="F40" s="212" t="str">
        <f>VLOOKUP("Chilled Water",EF!$G$10:$J$21,4,FALSE)</f>
        <v>kg CO2e/kbtu</v>
      </c>
      <c r="G40" s="213">
        <f t="shared" si="1"/>
        <v>0</v>
      </c>
      <c r="H40" s="326"/>
    </row>
    <row r="41" spans="1:8" ht="15">
      <c r="A41" s="207">
        <v>4</v>
      </c>
      <c r="B41" s="899" t="s">
        <v>1890</v>
      </c>
      <c r="C41" s="900">
        <f>'Scope 1 and 2 Data'!G267</f>
        <v>0</v>
      </c>
      <c r="D41" s="900" t="s">
        <v>1887</v>
      </c>
      <c r="E41" s="212">
        <f>EF!$I$22</f>
        <v>8.8540445486518168E-3</v>
      </c>
      <c r="F41" s="212" t="str">
        <f>VLOOKUP("Chilled Water",EF!$G$10:$J$21,4,FALSE)</f>
        <v>kg CO2e/kbtu</v>
      </c>
      <c r="G41" s="213">
        <f t="shared" si="1"/>
        <v>0</v>
      </c>
      <c r="H41" s="326"/>
    </row>
    <row r="42" spans="1:8" ht="15.75" thickBot="1">
      <c r="A42" s="207">
        <v>5</v>
      </c>
      <c r="B42" s="899" t="s">
        <v>1891</v>
      </c>
      <c r="C42" s="900">
        <f>'Scope 1 and 2 Data'!G268</f>
        <v>0</v>
      </c>
      <c r="D42" s="900" t="s">
        <v>1887</v>
      </c>
      <c r="E42" s="212">
        <f>EF!$I$22</f>
        <v>8.8540445486518168E-3</v>
      </c>
      <c r="F42" s="212" t="str">
        <f>VLOOKUP("Chilled Water",EF!$G$10:$J$21,4,FALSE)</f>
        <v>kg CO2e/kbtu</v>
      </c>
      <c r="G42" s="213">
        <f t="shared" si="1"/>
        <v>0</v>
      </c>
      <c r="H42" s="326"/>
    </row>
    <row r="43" spans="1:8" ht="15.75" thickBot="1">
      <c r="F43" s="214" t="s">
        <v>1268</v>
      </c>
      <c r="G43" s="179">
        <f>SUM(G38:G40)</f>
        <v>0</v>
      </c>
    </row>
    <row r="44" spans="1:8" ht="18.75">
      <c r="A44" s="203" t="s">
        <v>1332</v>
      </c>
    </row>
    <row r="45" spans="1:8">
      <c r="A45" s="204" t="s">
        <v>1237</v>
      </c>
    </row>
    <row r="46" spans="1:8" ht="9" customHeight="1">
      <c r="A46" s="204"/>
    </row>
    <row r="47" spans="1:8" ht="18.75">
      <c r="A47" s="203"/>
      <c r="B47" s="7"/>
    </row>
    <row r="48" spans="1:8" ht="30">
      <c r="A48" s="205" t="s">
        <v>1238</v>
      </c>
      <c r="B48" s="206" t="s">
        <v>1300</v>
      </c>
      <c r="C48" s="206" t="s">
        <v>1333</v>
      </c>
      <c r="D48" s="215" t="s">
        <v>1334</v>
      </c>
      <c r="E48" s="216" t="s">
        <v>1335</v>
      </c>
      <c r="F48" s="205" t="s">
        <v>322</v>
      </c>
    </row>
    <row r="49" spans="1:6" ht="15">
      <c r="A49" s="207">
        <v>1</v>
      </c>
      <c r="B49" s="899" t="str">
        <f>'Scope 1 and 2 Data'!B248</f>
        <v>Grid / Location-Based Electricity</v>
      </c>
      <c r="C49" s="900">
        <f>'Scope 1 and 2 Data'!H248</f>
        <v>0</v>
      </c>
      <c r="D49" s="895">
        <f>IF(ISBLANK(C49),"",C49/(1-EF!$E$34))</f>
        <v>0</v>
      </c>
      <c r="E49" s="212">
        <f>IF(ISBLANK(C49),"",EF!$E$29)</f>
        <v>5.6799999999999996E-2</v>
      </c>
      <c r="F49" s="894">
        <f>IFERROR(D49*E49/1000,"")</f>
        <v>0</v>
      </c>
    </row>
    <row r="50" spans="1:6" ht="15.75" thickBot="1">
      <c r="A50" s="207">
        <v>2</v>
      </c>
      <c r="B50" s="899" t="str">
        <f>'Scope 1 and 2 Data'!B249</f>
        <v>Market-Based Electricity</v>
      </c>
      <c r="C50" s="900">
        <f>'Scope 1 and 2 Data'!H249</f>
        <v>0</v>
      </c>
      <c r="D50" s="895">
        <f>IF(ISBLANK(C50),"",C50/(1-EF!$E$34))</f>
        <v>0</v>
      </c>
      <c r="E50" s="212">
        <f>IF(ISBLANK(C50),"",EF!$E$29)</f>
        <v>5.6799999999999996E-2</v>
      </c>
      <c r="F50" s="213">
        <f>IFERROR(D50*E50/1000,"")</f>
        <v>0</v>
      </c>
    </row>
    <row r="51" spans="1:6" ht="15.75" thickBot="1">
      <c r="E51" s="214" t="s">
        <v>1268</v>
      </c>
      <c r="F51" s="289">
        <f>SUM(F49:F50)</f>
        <v>0</v>
      </c>
    </row>
    <row r="52" spans="1:6" ht="18.75">
      <c r="A52" s="203" t="s">
        <v>1336</v>
      </c>
    </row>
    <row r="53" spans="1:6">
      <c r="A53" s="204" t="s">
        <v>1237</v>
      </c>
    </row>
    <row r="54" spans="1:6" ht="9" customHeight="1">
      <c r="A54" s="204"/>
    </row>
    <row r="55" spans="1:6">
      <c r="B55" s="7"/>
    </row>
    <row r="56" spans="1:6" ht="45">
      <c r="A56" s="206" t="s">
        <v>1238</v>
      </c>
      <c r="B56" s="206" t="s">
        <v>319</v>
      </c>
      <c r="C56" s="206" t="s">
        <v>1333</v>
      </c>
      <c r="D56" s="216" t="s">
        <v>1337</v>
      </c>
      <c r="E56" s="206" t="s">
        <v>322</v>
      </c>
    </row>
    <row r="57" spans="1:6" ht="15">
      <c r="A57" s="207">
        <v>1</v>
      </c>
      <c r="B57" s="899" t="str">
        <f>B49</f>
        <v>Grid / Location-Based Electricity</v>
      </c>
      <c r="C57" s="895">
        <f>C49</f>
        <v>0</v>
      </c>
      <c r="D57" s="212">
        <f>IF(ISBLANK(C57),"",EF!H3)</f>
        <v>1.8800000000000001E-2</v>
      </c>
      <c r="E57" s="894">
        <f>IFERROR((C57*D57/1000),"")</f>
        <v>0</v>
      </c>
    </row>
    <row r="58" spans="1:6" ht="15.75" thickBot="1">
      <c r="A58" s="207">
        <v>2</v>
      </c>
      <c r="B58" s="899" t="str">
        <f>B50</f>
        <v>Market-Based Electricity</v>
      </c>
      <c r="C58" s="895">
        <f>C50</f>
        <v>0</v>
      </c>
      <c r="D58" s="212">
        <f>IF(C58="","",EF!$H$3)</f>
        <v>1.8800000000000001E-2</v>
      </c>
      <c r="E58" s="898">
        <f t="shared" ref="E58" si="2">IFERROR((C58*D58/1000),"")</f>
        <v>0</v>
      </c>
    </row>
    <row r="59" spans="1:6" ht="15" thickBot="1">
      <c r="D59" s="218" t="s">
        <v>1268</v>
      </c>
      <c r="E59" s="289">
        <f>SUM(E57:E58)</f>
        <v>0</v>
      </c>
    </row>
  </sheetData>
  <sheetProtection algorithmName="SHA-512" hashValue="DHTqry96HF056Ypk/7qX49v5XpfcNZ0X1EX1n7pi/e5Yc6A/lfI1OY3QRed+8nu7Ynn+0IdnVMgNw1WurBAv+Q==" saltValue="00j3kkWauPrrrc8jRYkg+w==" spinCount="100000" sheet="1" objects="1" scenarios="1"/>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847-71F4-4F13-A34E-8E31928C550E}">
  <sheetPr codeName="Sheet22">
    <tabColor theme="3" tint="0.59999389629810485"/>
  </sheetPr>
  <dimension ref="A1:G22"/>
  <sheetViews>
    <sheetView showGridLines="0" zoomScale="85" zoomScaleNormal="85" workbookViewId="0"/>
  </sheetViews>
  <sheetFormatPr defaultRowHeight="15"/>
  <cols>
    <col min="1" max="1" width="5.125" customWidth="1"/>
    <col min="2" max="2" width="21.625" style="222" customWidth="1"/>
    <col min="3" max="3" width="21.125" style="73" customWidth="1"/>
    <col min="4" max="4" width="18.375" style="21" customWidth="1"/>
    <col min="5" max="5" width="20.875" style="1" customWidth="1"/>
    <col min="6" max="6" width="24.125" style="7" customWidth="1"/>
    <col min="7" max="7" width="149.625" customWidth="1"/>
  </cols>
  <sheetData>
    <row r="1" spans="1:7" ht="20.25">
      <c r="A1" s="74" t="s">
        <v>1338</v>
      </c>
      <c r="B1" s="107"/>
      <c r="C1" s="74"/>
      <c r="D1" s="74"/>
      <c r="E1" s="107"/>
      <c r="F1" s="107"/>
      <c r="G1" s="107"/>
    </row>
    <row r="2" spans="1:7" ht="14.25">
      <c r="A2" s="198" t="s">
        <v>304</v>
      </c>
      <c r="B2" s="219"/>
      <c r="C2" s="110"/>
      <c r="D2" s="110"/>
      <c r="E2" s="110"/>
      <c r="F2" s="110"/>
      <c r="G2" s="110"/>
    </row>
    <row r="3" spans="1:7" ht="14.25">
      <c r="A3" s="112" t="s">
        <v>1339</v>
      </c>
      <c r="B3" s="110"/>
      <c r="C3" s="110"/>
      <c r="D3" s="110"/>
      <c r="E3" s="110"/>
      <c r="F3" s="110"/>
      <c r="G3" s="110"/>
    </row>
    <row r="4" spans="1:7" ht="14.25">
      <c r="A4" s="220" t="s">
        <v>306</v>
      </c>
      <c r="B4" s="221"/>
      <c r="C4" s="221"/>
      <c r="D4" s="221"/>
      <c r="E4" s="221"/>
      <c r="F4" s="221"/>
      <c r="G4" s="221"/>
    </row>
    <row r="5" spans="1:7" ht="14.25">
      <c r="A5" s="220" t="s">
        <v>307</v>
      </c>
      <c r="B5" s="221"/>
      <c r="C5" s="221"/>
      <c r="D5" s="221"/>
      <c r="E5" s="221"/>
      <c r="F5" s="221"/>
      <c r="G5" s="221"/>
    </row>
    <row r="6" spans="1:7" ht="14.25">
      <c r="B6"/>
      <c r="C6"/>
      <c r="D6"/>
      <c r="E6"/>
      <c r="F6"/>
    </row>
    <row r="7" spans="1:7" ht="23.25">
      <c r="A7" s="72"/>
      <c r="C7" s="223"/>
      <c r="D7" s="223"/>
    </row>
    <row r="8" spans="1:7" ht="23.25">
      <c r="A8" s="72"/>
      <c r="C8" s="223"/>
      <c r="D8" s="223"/>
    </row>
    <row r="9" spans="1:7" ht="23.25">
      <c r="A9" s="72"/>
      <c r="C9" s="223"/>
      <c r="D9" s="223"/>
    </row>
    <row r="10" spans="1:7" ht="23.25">
      <c r="A10" s="72"/>
      <c r="C10" s="223"/>
      <c r="D10" s="223"/>
    </row>
    <row r="11" spans="1:7" ht="33" customHeight="1">
      <c r="A11" s="72"/>
      <c r="C11" s="223"/>
      <c r="D11" s="223"/>
      <c r="E11" s="49" t="s">
        <v>310</v>
      </c>
    </row>
    <row r="12" spans="1:7" ht="23.25">
      <c r="A12" s="72"/>
      <c r="C12" s="224" t="s">
        <v>312</v>
      </c>
      <c r="D12" s="224" t="s">
        <v>312</v>
      </c>
      <c r="E12" s="54">
        <f>SUM(E14:E20)</f>
        <v>0</v>
      </c>
      <c r="F12" s="225"/>
    </row>
    <row r="13" spans="1:7" ht="72">
      <c r="A13" s="72"/>
      <c r="B13" s="226" t="s">
        <v>318</v>
      </c>
      <c r="C13" s="227" t="s">
        <v>319</v>
      </c>
      <c r="D13" s="228" t="s">
        <v>320</v>
      </c>
      <c r="E13" s="228" t="s">
        <v>322</v>
      </c>
      <c r="F13" s="229" t="s">
        <v>4239</v>
      </c>
      <c r="G13" s="230" t="s">
        <v>325</v>
      </c>
    </row>
    <row r="14" spans="1:7" ht="129">
      <c r="B14" s="871" t="s">
        <v>21</v>
      </c>
      <c r="C14" s="317"/>
      <c r="D14" s="800"/>
      <c r="E14" s="319" t="str">
        <f>IF(D14="","",(D14*F14/1000*'Reporting Year &amp; Inflation Adj.'!$F$9))</f>
        <v/>
      </c>
      <c r="F14" s="320">
        <v>0.68448441551500006</v>
      </c>
      <c r="G14" s="231" t="s">
        <v>1340</v>
      </c>
    </row>
    <row r="15" spans="1:7" ht="86.25">
      <c r="B15" s="871" t="s">
        <v>1341</v>
      </c>
      <c r="C15" s="317"/>
      <c r="D15" s="800"/>
      <c r="E15" s="319" t="str">
        <f>IF(D15="","",(D15*F15/1000*'Reporting Year &amp; Inflation Adj.'!$F$9))</f>
        <v/>
      </c>
      <c r="F15" s="320">
        <v>0.44575522428999997</v>
      </c>
      <c r="G15" s="231" t="s">
        <v>1342</v>
      </c>
    </row>
    <row r="16" spans="1:7" ht="72">
      <c r="B16" s="871" t="s">
        <v>1343</v>
      </c>
      <c r="C16" s="317"/>
      <c r="D16" s="800"/>
      <c r="E16" s="319" t="str">
        <f>IF(D16="","",(D16*F16/1000*'Reporting Year &amp; Inflation Adj.'!$F$9))</f>
        <v/>
      </c>
      <c r="F16" s="320">
        <v>0.57111774109000013</v>
      </c>
      <c r="G16" s="231" t="s">
        <v>1344</v>
      </c>
    </row>
    <row r="17" spans="2:7" ht="129">
      <c r="B17" s="871" t="s">
        <v>1261</v>
      </c>
      <c r="C17" s="317"/>
      <c r="D17" s="800"/>
      <c r="E17" s="319" t="str">
        <f>IF(D17="","",(D17*F17/1000*'Reporting Year &amp; Inflation Adj.'!$F$9))</f>
        <v/>
      </c>
      <c r="F17" s="320">
        <v>0.76377728079000029</v>
      </c>
      <c r="G17" s="231" t="s">
        <v>1345</v>
      </c>
    </row>
    <row r="18" spans="2:7" ht="114.75">
      <c r="B18" s="871" t="s">
        <v>1346</v>
      </c>
      <c r="C18" s="317"/>
      <c r="D18" s="800"/>
      <c r="E18" s="319" t="str">
        <f>IF(D18="","",(D18*F18/1000*'Reporting Year &amp; Inflation Adj.'!$F$9))</f>
        <v/>
      </c>
      <c r="F18" s="320">
        <v>6.314702551000001E-2</v>
      </c>
      <c r="G18" s="231" t="s">
        <v>1347</v>
      </c>
    </row>
    <row r="19" spans="2:7" ht="100.5">
      <c r="B19" s="871" t="s">
        <v>1348</v>
      </c>
      <c r="C19" s="317"/>
      <c r="D19" s="800"/>
      <c r="E19" s="319" t="str">
        <f>IF(D19="","",(D19*F19/1000*'Reporting Year &amp; Inflation Adj.'!$F$9))</f>
        <v/>
      </c>
      <c r="F19" s="320">
        <v>0.31456370901000003</v>
      </c>
      <c r="G19" s="231" t="s">
        <v>1349</v>
      </c>
    </row>
    <row r="20" spans="2:7" ht="100.5">
      <c r="B20" s="871" t="s">
        <v>1350</v>
      </c>
      <c r="C20" s="318"/>
      <c r="D20" s="801"/>
      <c r="E20" s="319" t="str">
        <f>IF(D20="","",(D20*F20/1000*'Reporting Year &amp; Inflation Adj.'!$F$9))</f>
        <v/>
      </c>
      <c r="F20" s="320">
        <v>0.22046836109000001</v>
      </c>
      <c r="G20" s="231" t="s">
        <v>1351</v>
      </c>
    </row>
    <row r="21" spans="2:7">
      <c r="D21"/>
      <c r="E21"/>
    </row>
    <row r="22" spans="2:7">
      <c r="E22"/>
    </row>
  </sheetData>
  <sheetProtection algorithmName="SHA-512" hashValue="pwixWAaGAOiOTiyMRqzs9yNKQ0B5NXx0E+J1po/Jsa8PFXOjrLmqVMfolOq6fOOL4UQigeruJBCKHbka9kqTqA==" saltValue="+njf5zx94EusVTC9z0K8Yw==" spinCount="100000" sheet="1" objects="1" scenarios="1"/>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DCEA-7B4B-47A5-80A7-29023B938DCD}">
  <sheetPr codeName="Sheet23">
    <tabColor theme="3" tint="0.59999389629810485"/>
  </sheetPr>
  <dimension ref="A1:I200"/>
  <sheetViews>
    <sheetView showGridLines="0" zoomScale="85" zoomScaleNormal="85" workbookViewId="0">
      <selection activeCell="L20" sqref="L20"/>
    </sheetView>
  </sheetViews>
  <sheetFormatPr defaultColWidth="8.875" defaultRowHeight="14.25"/>
  <cols>
    <col min="1" max="1" width="14.75" customWidth="1"/>
    <col min="2" max="2" width="31.625" customWidth="1"/>
    <col min="3" max="3" width="32.375" customWidth="1"/>
    <col min="4" max="4" width="26" customWidth="1"/>
    <col min="5" max="6" width="18.75" customWidth="1"/>
    <col min="7" max="7" width="17.875" customWidth="1"/>
    <col min="8" max="8" width="20.125" bestFit="1" customWidth="1"/>
    <col min="9" max="10" width="6.75" customWidth="1"/>
    <col min="11" max="13" width="5.75" customWidth="1"/>
  </cols>
  <sheetData>
    <row r="1" spans="1:9" ht="24.6" customHeight="1">
      <c r="A1" s="74" t="s">
        <v>1168</v>
      </c>
      <c r="B1" s="232"/>
      <c r="C1" s="232"/>
      <c r="D1" s="232"/>
      <c r="E1" s="232"/>
      <c r="F1" s="232"/>
      <c r="G1" s="232"/>
    </row>
    <row r="2" spans="1:9" ht="18.75" customHeight="1">
      <c r="A2" s="198" t="s">
        <v>304</v>
      </c>
      <c r="B2" s="110"/>
      <c r="C2" s="110"/>
      <c r="D2" s="110"/>
      <c r="E2" s="110"/>
      <c r="F2" s="110"/>
      <c r="G2" s="110"/>
    </row>
    <row r="3" spans="1:9">
      <c r="A3" s="112" t="s">
        <v>1339</v>
      </c>
      <c r="B3" s="110"/>
      <c r="C3" s="110"/>
      <c r="D3" s="110"/>
      <c r="E3" s="110"/>
      <c r="F3" s="110"/>
      <c r="G3" s="110"/>
    </row>
    <row r="4" spans="1:9" ht="18.75" customHeight="1">
      <c r="A4" s="946" t="s">
        <v>4298</v>
      </c>
      <c r="B4" s="947"/>
      <c r="C4" s="947"/>
      <c r="D4" s="947"/>
      <c r="E4" s="947"/>
      <c r="F4" s="947"/>
      <c r="G4" s="947"/>
    </row>
    <row r="5" spans="1:9">
      <c r="A5" s="1560" t="s">
        <v>4321</v>
      </c>
      <c r="B5" s="1560"/>
      <c r="C5" s="1560"/>
      <c r="D5" s="1560"/>
      <c r="E5" s="1560"/>
      <c r="F5" s="1560"/>
      <c r="G5" s="1560"/>
      <c r="H5" s="233"/>
    </row>
    <row r="6" spans="1:9" ht="15">
      <c r="A6" s="1560" t="s">
        <v>4322</v>
      </c>
      <c r="B6" s="1560"/>
      <c r="C6" s="1560"/>
      <c r="D6" s="1560"/>
      <c r="E6" s="1560"/>
      <c r="F6" s="1560"/>
      <c r="G6" s="1560"/>
      <c r="H6" s="233"/>
      <c r="I6" s="234"/>
    </row>
    <row r="7" spans="1:9">
      <c r="A7" s="946" t="s">
        <v>4297</v>
      </c>
      <c r="B7" s="947"/>
      <c r="C7" s="947"/>
      <c r="D7" s="947"/>
      <c r="E7" s="947"/>
      <c r="F7" s="947"/>
      <c r="G7" s="947"/>
    </row>
    <row r="8" spans="1:9">
      <c r="A8" s="1559" t="s">
        <v>4312</v>
      </c>
      <c r="B8" s="1560"/>
      <c r="C8" s="1560"/>
      <c r="D8" s="1560"/>
      <c r="E8" s="1560"/>
      <c r="F8" s="1560"/>
      <c r="G8" s="1560"/>
    </row>
    <row r="9" spans="1:9">
      <c r="A9" s="1558" t="s">
        <v>4323</v>
      </c>
      <c r="B9" s="1558"/>
      <c r="C9" s="1558"/>
      <c r="D9" s="1558"/>
      <c r="E9" s="1558"/>
      <c r="F9" s="1558"/>
      <c r="G9" s="1558"/>
    </row>
    <row r="10" spans="1:9">
      <c r="A10" s="1559" t="s">
        <v>4299</v>
      </c>
      <c r="B10" s="1560"/>
      <c r="C10" s="1560"/>
      <c r="D10" s="1560"/>
      <c r="E10" s="1560"/>
      <c r="F10" s="1560"/>
      <c r="G10" s="1560"/>
    </row>
    <row r="11" spans="1:9">
      <c r="A11" s="1558" t="s">
        <v>4324</v>
      </c>
      <c r="B11" s="1558"/>
      <c r="C11" s="1558"/>
      <c r="D11" s="1558"/>
      <c r="E11" s="1558"/>
      <c r="F11" s="1558"/>
      <c r="G11" s="1558"/>
    </row>
    <row r="12" spans="1:9">
      <c r="A12" s="1558" t="s">
        <v>4325</v>
      </c>
      <c r="B12" s="1558"/>
      <c r="C12" s="1558"/>
      <c r="D12" s="1558"/>
      <c r="E12" s="1558"/>
      <c r="F12" s="1558"/>
      <c r="G12" s="1558"/>
    </row>
    <row r="13" spans="1:9">
      <c r="A13" s="946" t="s">
        <v>4326</v>
      </c>
      <c r="B13" s="947"/>
      <c r="C13" s="947"/>
      <c r="D13" s="947"/>
      <c r="E13" s="947"/>
      <c r="F13" s="947"/>
      <c r="G13" s="947"/>
    </row>
    <row r="14" spans="1:9">
      <c r="A14" s="1560" t="s">
        <v>4327</v>
      </c>
      <c r="B14" s="1560"/>
      <c r="C14" s="1560"/>
      <c r="D14" s="1560"/>
      <c r="E14" s="1560"/>
      <c r="F14" s="1560"/>
      <c r="G14" s="1560"/>
    </row>
    <row r="15" spans="1:9" ht="18.75" customHeight="1">
      <c r="A15" s="945"/>
      <c r="B15" s="945"/>
      <c r="C15" s="945"/>
      <c r="D15" s="945"/>
      <c r="E15" s="945"/>
      <c r="F15" s="945"/>
      <c r="G15" s="945"/>
    </row>
    <row r="16" spans="1:9" ht="18.75" customHeight="1"/>
    <row r="17" spans="1:7" ht="18.75" customHeight="1"/>
    <row r="18" spans="1:7" ht="18.75" customHeight="1"/>
    <row r="19" spans="1:7" ht="9.75" customHeight="1">
      <c r="A19" s="833"/>
      <c r="B19" s="833"/>
      <c r="C19" s="833"/>
      <c r="D19" s="833"/>
      <c r="E19" s="833"/>
      <c r="F19" s="833"/>
      <c r="G19" s="833"/>
    </row>
    <row r="20" spans="1:7" ht="18.75" customHeight="1">
      <c r="A20" s="203" t="s">
        <v>4196</v>
      </c>
      <c r="B20" s="237"/>
      <c r="C20" s="237"/>
      <c r="D20" s="237"/>
      <c r="E20" s="237"/>
      <c r="F20" s="237"/>
      <c r="G20" s="237"/>
    </row>
    <row r="21" spans="1:7">
      <c r="A21" s="204" t="s">
        <v>1237</v>
      </c>
    </row>
    <row r="22" spans="1:7">
      <c r="A22" s="204" t="s">
        <v>1352</v>
      </c>
    </row>
    <row r="23" spans="1:7" ht="9" customHeight="1">
      <c r="A23" s="204"/>
    </row>
    <row r="24" spans="1:7">
      <c r="B24" s="815" t="s">
        <v>312</v>
      </c>
      <c r="C24" s="815" t="s">
        <v>312</v>
      </c>
      <c r="D24" s="815" t="s">
        <v>312</v>
      </c>
      <c r="E24" s="815" t="s">
        <v>312</v>
      </c>
    </row>
    <row r="25" spans="1:7" ht="45">
      <c r="A25" s="205" t="s">
        <v>1238</v>
      </c>
      <c r="B25" s="206" t="s">
        <v>319</v>
      </c>
      <c r="C25" s="206" t="s">
        <v>1271</v>
      </c>
      <c r="D25" s="215" t="s">
        <v>4313</v>
      </c>
      <c r="E25" s="216" t="s">
        <v>4193</v>
      </c>
      <c r="F25" s="216" t="s">
        <v>1353</v>
      </c>
      <c r="G25" s="216" t="s">
        <v>322</v>
      </c>
    </row>
    <row r="26" spans="1:7" ht="15">
      <c r="A26" s="207">
        <v>1</v>
      </c>
      <c r="B26" s="147" t="s">
        <v>1354</v>
      </c>
      <c r="C26" s="238" t="s">
        <v>217</v>
      </c>
      <c r="D26" s="238" t="s">
        <v>211</v>
      </c>
      <c r="E26" s="239">
        <v>20000</v>
      </c>
      <c r="F26" s="210">
        <f>IF(OR(C26="",D26=""),"",VLOOKUP(C26,EF!$N$6:$R$13,IF(D26="recycled",2,IF(D26="landfilled",3,IF(D26="combusted (incineration)",4,5))),FALSE))</f>
        <v>7.0000000000000007E-2</v>
      </c>
      <c r="G26" s="240">
        <f t="shared" ref="G26:G45" si="0">IFERROR(E26*F26,"")</f>
        <v>1400.0000000000002</v>
      </c>
    </row>
    <row r="27" spans="1:7" ht="15">
      <c r="A27" s="207">
        <v>2</v>
      </c>
      <c r="B27" s="157"/>
      <c r="C27" s="150"/>
      <c r="D27" s="157"/>
      <c r="E27" s="241"/>
      <c r="F27" s="213" t="str">
        <f>IF(OR(C27="",D27=""),"",VLOOKUP(C27,EF!$N$6:$R$13,IF(D27="recycled",2,IF(D27="landfilled",3,IF(D27="combusted (incineration)",4,5))),FALSE))</f>
        <v/>
      </c>
      <c r="G27" s="217" t="str">
        <f t="shared" si="0"/>
        <v/>
      </c>
    </row>
    <row r="28" spans="1:7" ht="15">
      <c r="A28" s="207">
        <v>3</v>
      </c>
      <c r="B28" s="157"/>
      <c r="C28" s="150"/>
      <c r="D28" s="157"/>
      <c r="E28" s="241"/>
      <c r="F28" s="213" t="str">
        <f>IF(OR(C28="",D28=""),"",VLOOKUP(C28,EF!$N$6:$R$13,IF(D28="recycled",2,IF(D28="landfilled",3,IF(D28="combusted (incineration)",4,5))),FALSE))</f>
        <v/>
      </c>
      <c r="G28" s="217" t="str">
        <f>IFERROR(E28*F28,"")</f>
        <v/>
      </c>
    </row>
    <row r="29" spans="1:7" ht="15">
      <c r="A29" s="207">
        <v>4</v>
      </c>
      <c r="B29" s="157"/>
      <c r="C29" s="150"/>
      <c r="D29" s="157"/>
      <c r="E29" s="241"/>
      <c r="F29" s="213" t="str">
        <f>IF(OR(C29="",D29=""),"",VLOOKUP(C29,EF!$N$6:$R$13,IF(D29="recycled",2,IF(D29="landfilled",3,IF(D29="combusted (incineration)",4,5))),FALSE))</f>
        <v/>
      </c>
      <c r="G29" s="217" t="str">
        <f t="shared" si="0"/>
        <v/>
      </c>
    </row>
    <row r="30" spans="1:7" ht="15">
      <c r="A30" s="207">
        <v>5</v>
      </c>
      <c r="B30" s="157"/>
      <c r="C30" s="150"/>
      <c r="D30" s="157"/>
      <c r="E30" s="241"/>
      <c r="F30" s="213" t="str">
        <f>IF(OR(C30="",D30=""),"",VLOOKUP(C30,EF!$N$6:$R$13,IF(D30="recycled",2,IF(D30="landfilled",3,IF(D30="combusted (incineration)",4,5))),FALSE))</f>
        <v/>
      </c>
      <c r="G30" s="217" t="str">
        <f t="shared" si="0"/>
        <v/>
      </c>
    </row>
    <row r="31" spans="1:7" ht="15">
      <c r="A31" s="207">
        <v>6</v>
      </c>
      <c r="B31" s="157"/>
      <c r="C31" s="150"/>
      <c r="D31" s="157"/>
      <c r="E31" s="241"/>
      <c r="F31" s="213" t="str">
        <f>IF(OR(C31="",D31=""),"",VLOOKUP(C31,EF!$N$6:$R$13,IF(D31="recycled",2,IF(D31="landfilled",3,IF(D31="combusted (incineration)",4,5))),FALSE))</f>
        <v/>
      </c>
      <c r="G31" s="217" t="str">
        <f t="shared" si="0"/>
        <v/>
      </c>
    </row>
    <row r="32" spans="1:7" ht="15">
      <c r="A32" s="207">
        <v>7</v>
      </c>
      <c r="B32" s="157"/>
      <c r="C32" s="150"/>
      <c r="D32" s="157"/>
      <c r="E32" s="241"/>
      <c r="F32" s="213" t="str">
        <f>IF(OR(C32="",D32=""),"",VLOOKUP(C32,EF!$N$6:$R$13,IF(D32="recycled",2,IF(D32="landfilled",3,IF(D32="combusted (incineration)",4,5))),FALSE))</f>
        <v/>
      </c>
      <c r="G32" s="217" t="str">
        <f t="shared" si="0"/>
        <v/>
      </c>
    </row>
    <row r="33" spans="1:8" ht="15">
      <c r="A33" s="207">
        <v>8</v>
      </c>
      <c r="B33" s="157"/>
      <c r="C33" s="150"/>
      <c r="D33" s="157"/>
      <c r="E33" s="241"/>
      <c r="F33" s="213" t="str">
        <f>IF(OR(C33="",D33=""),"",VLOOKUP(C33,EF!$N$6:$R$13,IF(D33="recycled",2,IF(D33="landfilled",3,IF(D33="combusted (incineration)",4,5))),FALSE))</f>
        <v/>
      </c>
      <c r="G33" s="217" t="str">
        <f t="shared" si="0"/>
        <v/>
      </c>
    </row>
    <row r="34" spans="1:8" ht="15">
      <c r="A34" s="207">
        <v>9</v>
      </c>
      <c r="B34" s="157"/>
      <c r="C34" s="150"/>
      <c r="D34" s="157"/>
      <c r="E34" s="241"/>
      <c r="F34" s="213" t="str">
        <f>IF(OR(C34="",D34=""),"",VLOOKUP(C34,EF!$N$6:$R$13,IF(D34="recycled",2,IF(D34="landfilled",3,IF(D34="combusted (incineration)",4,5))),FALSE))</f>
        <v/>
      </c>
      <c r="G34" s="217" t="str">
        <f t="shared" si="0"/>
        <v/>
      </c>
    </row>
    <row r="35" spans="1:8" ht="15">
      <c r="A35" s="207">
        <v>10</v>
      </c>
      <c r="B35" s="157"/>
      <c r="C35" s="150"/>
      <c r="D35" s="157"/>
      <c r="E35" s="241"/>
      <c r="F35" s="213" t="str">
        <f>IF(OR(C35="",D35=""),"",VLOOKUP(C35,EF!$N$6:$R$13,IF(D35="recycled",2,IF(D35="landfilled",3,IF(D35="combusted (incineration)",4,5))),FALSE))</f>
        <v/>
      </c>
      <c r="G35" s="217" t="str">
        <f t="shared" si="0"/>
        <v/>
      </c>
    </row>
    <row r="36" spans="1:8" ht="15">
      <c r="A36" s="207">
        <v>11</v>
      </c>
      <c r="B36" s="157"/>
      <c r="C36" s="150"/>
      <c r="D36" s="157"/>
      <c r="E36" s="241"/>
      <c r="F36" s="213" t="str">
        <f>IF(OR(C36="",D36=""),"",VLOOKUP(C36,EF!$N$6:$R$13,IF(D36="recycled",2,IF(D36="landfilled",3,IF(D36="combusted (incineration)",4,5))),FALSE))</f>
        <v/>
      </c>
      <c r="G36" s="217" t="str">
        <f t="shared" si="0"/>
        <v/>
      </c>
    </row>
    <row r="37" spans="1:8" ht="15">
      <c r="A37" s="207">
        <v>12</v>
      </c>
      <c r="B37" s="157"/>
      <c r="C37" s="150"/>
      <c r="D37" s="157"/>
      <c r="E37" s="241"/>
      <c r="F37" s="213" t="str">
        <f>IF(OR(C37="",D37=""),"",VLOOKUP(C37,EF!$N$6:$R$13,IF(D37="recycled",2,IF(D37="landfilled",3,IF(D37="combusted (incineration)",4,5))),FALSE))</f>
        <v/>
      </c>
      <c r="G37" s="217" t="str">
        <f t="shared" si="0"/>
        <v/>
      </c>
    </row>
    <row r="38" spans="1:8" ht="15">
      <c r="A38" s="207">
        <v>13</v>
      </c>
      <c r="B38" s="157"/>
      <c r="C38" s="150"/>
      <c r="D38" s="157"/>
      <c r="E38" s="241"/>
      <c r="F38" s="213" t="str">
        <f>IF(OR(C38="",D38=""),"",VLOOKUP(C38,EF!$N$6:$R$13,IF(D38="recycled",2,IF(D38="landfilled",3,IF(D38="combusted (incineration)",4,5))),FALSE))</f>
        <v/>
      </c>
      <c r="G38" s="217" t="str">
        <f t="shared" si="0"/>
        <v/>
      </c>
    </row>
    <row r="39" spans="1:8" ht="15">
      <c r="A39" s="207">
        <v>14</v>
      </c>
      <c r="B39" s="157"/>
      <c r="C39" s="150"/>
      <c r="D39" s="157"/>
      <c r="E39" s="241"/>
      <c r="F39" s="213" t="str">
        <f>IF(OR(C39="",D39=""),"",VLOOKUP(C39,EF!$N$6:$R$13,IF(D39="recycled",2,IF(D39="landfilled",3,IF(D39="combusted (incineration)",4,5))),FALSE))</f>
        <v/>
      </c>
      <c r="G39" s="217" t="str">
        <f t="shared" si="0"/>
        <v/>
      </c>
    </row>
    <row r="40" spans="1:8" ht="15">
      <c r="A40" s="207">
        <v>15</v>
      </c>
      <c r="B40" s="157"/>
      <c r="C40" s="150"/>
      <c r="D40" s="157"/>
      <c r="E40" s="241"/>
      <c r="F40" s="213" t="str">
        <f>IF(OR(C40="",D40=""),"",VLOOKUP(C40,EF!$N$6:$R$13,IF(D40="recycled",2,IF(D40="landfilled",3,IF(D40="combusted (incineration)",4,5))),FALSE))</f>
        <v/>
      </c>
      <c r="G40" s="217" t="str">
        <f t="shared" si="0"/>
        <v/>
      </c>
    </row>
    <row r="41" spans="1:8" ht="15">
      <c r="A41" s="207">
        <v>16</v>
      </c>
      <c r="B41" s="157"/>
      <c r="C41" s="150"/>
      <c r="D41" s="157"/>
      <c r="E41" s="241"/>
      <c r="F41" s="213" t="str">
        <f>IF(OR(C41="",D41=""),"",VLOOKUP(C41,EF!$N$6:$R$13,IF(D41="recycled",2,IF(D41="landfilled",3,IF(D41="combusted (incineration)",4,5))),FALSE))</f>
        <v/>
      </c>
      <c r="G41" s="217" t="str">
        <f t="shared" si="0"/>
        <v/>
      </c>
    </row>
    <row r="42" spans="1:8" ht="15">
      <c r="A42" s="207">
        <v>17</v>
      </c>
      <c r="B42" s="157"/>
      <c r="C42" s="150"/>
      <c r="D42" s="157"/>
      <c r="E42" s="241"/>
      <c r="F42" s="213" t="str">
        <f>IF(OR(C42="",D42=""),"",VLOOKUP(C42,EF!$N$6:$R$13,IF(D42="recycled",2,IF(D42="landfilled",3,IF(D42="combusted (incineration)",4,5))),FALSE))</f>
        <v/>
      </c>
      <c r="G42" s="217" t="str">
        <f t="shared" si="0"/>
        <v/>
      </c>
    </row>
    <row r="43" spans="1:8" ht="15">
      <c r="A43" s="207">
        <v>18</v>
      </c>
      <c r="B43" s="157"/>
      <c r="C43" s="150"/>
      <c r="D43" s="157"/>
      <c r="E43" s="241"/>
      <c r="F43" s="213" t="str">
        <f>IF(OR(C43="",D43=""),"",VLOOKUP(C43,EF!$N$6:$R$13,IF(D43="recycled",2,IF(D43="landfilled",3,IF(D43="combusted (incineration)",4,5))),FALSE))</f>
        <v/>
      </c>
      <c r="G43" s="217" t="str">
        <f t="shared" si="0"/>
        <v/>
      </c>
    </row>
    <row r="44" spans="1:8" ht="15">
      <c r="A44" s="207">
        <v>19</v>
      </c>
      <c r="B44" s="157"/>
      <c r="C44" s="150"/>
      <c r="D44" s="157"/>
      <c r="E44" s="241"/>
      <c r="F44" s="213" t="str">
        <f>IF(OR(C44="",D44=""),"",VLOOKUP(C44,EF!$N$6:$R$13,IF(D44="recycled",2,IF(D44="landfilled",3,IF(D44="combusted (incineration)",4,5))),FALSE))</f>
        <v/>
      </c>
      <c r="G44" s="217" t="str">
        <f t="shared" si="0"/>
        <v/>
      </c>
    </row>
    <row r="45" spans="1:8" ht="15.75" thickBot="1">
      <c r="A45" s="207">
        <v>20</v>
      </c>
      <c r="B45" s="157"/>
      <c r="C45" s="150"/>
      <c r="D45" s="157"/>
      <c r="E45" s="241"/>
      <c r="F45" s="213" t="str">
        <f>IF(OR(C45="",D45=""),"",VLOOKUP(C45,EF!$N$6:$R$13,IF(D45="recycled",2,IF(D45="landfilled",3,IF(D45="combusted (incineration)",4,5))),FALSE))</f>
        <v/>
      </c>
      <c r="G45" s="217" t="str">
        <f t="shared" si="0"/>
        <v/>
      </c>
    </row>
    <row r="46" spans="1:8" ht="15" thickBot="1">
      <c r="F46" s="218" t="s">
        <v>1268</v>
      </c>
      <c r="G46" s="179">
        <f>SUM(G27:G45)</f>
        <v>0</v>
      </c>
    </row>
    <row r="47" spans="1:8" ht="9" customHeight="1" thickBot="1">
      <c r="A47" s="204"/>
    </row>
    <row r="48" spans="1:8" ht="19.5" thickBot="1">
      <c r="A48" s="203" t="s">
        <v>4197</v>
      </c>
      <c r="F48" s="256" t="s">
        <v>1268</v>
      </c>
      <c r="G48" s="257"/>
      <c r="H48" s="236" t="s">
        <v>4091</v>
      </c>
    </row>
    <row r="49" spans="1:7">
      <c r="A49" s="204" t="s">
        <v>1237</v>
      </c>
    </row>
    <row r="50" spans="1:7" ht="9" customHeight="1">
      <c r="A50" s="204"/>
    </row>
    <row r="51" spans="1:7">
      <c r="B51" s="815" t="s">
        <v>312</v>
      </c>
      <c r="C51" s="815" t="s">
        <v>312</v>
      </c>
    </row>
    <row r="52" spans="1:7" ht="15">
      <c r="A52" s="205" t="s">
        <v>1238</v>
      </c>
      <c r="B52" s="206" t="s">
        <v>319</v>
      </c>
      <c r="C52" s="215" t="s">
        <v>1355</v>
      </c>
      <c r="D52" s="216" t="s">
        <v>322</v>
      </c>
    </row>
    <row r="53" spans="1:7" ht="15">
      <c r="A53" s="207">
        <v>1</v>
      </c>
      <c r="B53" s="904" t="s">
        <v>1356</v>
      </c>
      <c r="C53" s="253">
        <v>1000000</v>
      </c>
      <c r="D53" s="949">
        <f>IF(C53="","",C53*Conversions!$C$40*EF!$R$23/1000000/1000)</f>
        <v>0.64683409676824588</v>
      </c>
    </row>
    <row r="54" spans="1:7" ht="15">
      <c r="A54" s="207">
        <v>2</v>
      </c>
      <c r="B54" s="905"/>
      <c r="C54" s="159"/>
      <c r="D54" s="936" t="str">
        <f>IF(C54="","",C54*Conversions!$C$40*EF!$R$23/1000000/1000)</f>
        <v/>
      </c>
    </row>
    <row r="55" spans="1:7" ht="15">
      <c r="A55" s="207">
        <v>3</v>
      </c>
      <c r="B55" s="905"/>
      <c r="C55" s="159"/>
      <c r="D55" s="936" t="str">
        <f>IF(C55="","",C55*Conversions!$C$40*EF!$R$23/1000000/1000)</f>
        <v/>
      </c>
    </row>
    <row r="56" spans="1:7" ht="15">
      <c r="A56" s="207">
        <v>4</v>
      </c>
      <c r="B56" s="905"/>
      <c r="C56" s="159"/>
      <c r="D56" s="936" t="str">
        <f>IF(C56="","",C56*Conversions!$C$40*EF!$R$23/1000000/1000)</f>
        <v/>
      </c>
    </row>
    <row r="57" spans="1:7" ht="15">
      <c r="A57" s="207">
        <v>5</v>
      </c>
      <c r="B57" s="905"/>
      <c r="C57" s="159"/>
      <c r="D57" s="936" t="str">
        <f>IF(C57="","",C57*Conversions!$C$40*EF!$R$23/1000000/1000)</f>
        <v/>
      </c>
    </row>
    <row r="58" spans="1:7" ht="15">
      <c r="A58" s="207">
        <v>6</v>
      </c>
      <c r="B58" s="905"/>
      <c r="C58" s="159"/>
      <c r="D58" s="936" t="str">
        <f>IF(C58="","",C58*Conversions!$C$40*EF!$R$23/1000000/1000)</f>
        <v/>
      </c>
    </row>
    <row r="59" spans="1:7" ht="15">
      <c r="A59" s="207">
        <v>7</v>
      </c>
      <c r="B59" s="905"/>
      <c r="C59" s="159"/>
      <c r="D59" s="936" t="str">
        <f>IF(C59="","",C59*Conversions!$C$40*EF!$R$23/1000000/1000)</f>
        <v/>
      </c>
    </row>
    <row r="60" spans="1:7" ht="15">
      <c r="A60" s="207">
        <v>8</v>
      </c>
      <c r="B60" s="905"/>
      <c r="C60" s="159"/>
      <c r="D60" s="936" t="str">
        <f>IF(C60="","",C60*Conversions!$C$40*EF!$R$23/1000000/1000)</f>
        <v/>
      </c>
    </row>
    <row r="61" spans="1:7" ht="15">
      <c r="A61" s="207">
        <v>9</v>
      </c>
      <c r="B61" s="905"/>
      <c r="C61" s="159"/>
      <c r="D61" s="936" t="str">
        <f>IF(C61="","",C61*Conversions!$C$40*EF!$R$23/1000000/1000)</f>
        <v/>
      </c>
    </row>
    <row r="62" spans="1:7" ht="15">
      <c r="A62" s="207">
        <v>10</v>
      </c>
      <c r="B62" s="905"/>
      <c r="C62" s="159"/>
      <c r="D62" s="936" t="str">
        <f>IF(C62="","",C62*Conversions!$C$40*EF!$R$23/1000000/1000)</f>
        <v/>
      </c>
    </row>
    <row r="63" spans="1:7" ht="15">
      <c r="A63" s="207">
        <v>11</v>
      </c>
      <c r="B63" s="905"/>
      <c r="C63" s="159"/>
      <c r="D63" s="936" t="str">
        <f>IF(C63="","",C63*Conversions!$C$40*EF!$R$23/1000000/1000)</f>
        <v/>
      </c>
      <c r="G63" s="236"/>
    </row>
    <row r="64" spans="1:7" ht="15">
      <c r="A64" s="207">
        <v>12</v>
      </c>
      <c r="B64" s="905"/>
      <c r="C64" s="159"/>
      <c r="D64" s="936" t="str">
        <f>IF(C64="","",C64*Conversions!$C$40*EF!$R$23/1000000/1000)</f>
        <v/>
      </c>
    </row>
    <row r="65" spans="1:5" ht="15">
      <c r="A65" s="207">
        <v>13</v>
      </c>
      <c r="B65" s="905"/>
      <c r="C65" s="159"/>
      <c r="D65" s="936" t="str">
        <f>IF(C65="","",C65*Conversions!$C$40*EF!$R$23/1000000/1000)</f>
        <v/>
      </c>
    </row>
    <row r="66" spans="1:5" ht="15">
      <c r="A66" s="207">
        <v>14</v>
      </c>
      <c r="B66" s="905"/>
      <c r="C66" s="159"/>
      <c r="D66" s="936" t="str">
        <f>IF(C66="","",C66*Conversions!$C$40*EF!$R$23/1000000/1000)</f>
        <v/>
      </c>
    </row>
    <row r="67" spans="1:5" ht="15">
      <c r="A67" s="207">
        <v>15</v>
      </c>
      <c r="B67" s="905"/>
      <c r="C67" s="159"/>
      <c r="D67" s="936" t="str">
        <f>IF(C67="","",C67*Conversions!$C$40*EF!$R$23/1000000/1000)</f>
        <v/>
      </c>
    </row>
    <row r="68" spans="1:5" ht="15">
      <c r="A68" s="207">
        <v>16</v>
      </c>
      <c r="B68" s="905"/>
      <c r="C68" s="159"/>
      <c r="D68" s="936" t="str">
        <f>IF(C68="","",C68*Conversions!$C$40*EF!$R$23/1000000/1000)</f>
        <v/>
      </c>
    </row>
    <row r="69" spans="1:5" ht="15">
      <c r="A69" s="207">
        <v>17</v>
      </c>
      <c r="B69" s="905"/>
      <c r="C69" s="159"/>
      <c r="D69" s="936" t="str">
        <f>IF(C69="","",C69*Conversions!$C$40*EF!$R$23/1000000/1000)</f>
        <v/>
      </c>
    </row>
    <row r="70" spans="1:5" ht="15">
      <c r="A70" s="207">
        <v>18</v>
      </c>
      <c r="B70" s="905"/>
      <c r="C70" s="159"/>
      <c r="D70" s="936" t="str">
        <f>IF(C70="","",C70*Conversions!$C$40*EF!$R$23/1000000/1000)</f>
        <v/>
      </c>
    </row>
    <row r="71" spans="1:5" ht="15">
      <c r="A71" s="207">
        <v>19</v>
      </c>
      <c r="B71" s="905"/>
      <c r="C71" s="159"/>
      <c r="D71" s="936" t="str">
        <f>IF(C71="","",C71*Conversions!$C$40*EF!$R$23/1000000/1000)</f>
        <v/>
      </c>
    </row>
    <row r="72" spans="1:5" ht="15.75" thickBot="1">
      <c r="A72" s="207">
        <v>20</v>
      </c>
      <c r="B72" s="905"/>
      <c r="C72" s="159"/>
      <c r="D72" s="936" t="str">
        <f>IF(C72="","",C72*Conversions!$C$40*EF!$R$23/1000000/1000)</f>
        <v/>
      </c>
    </row>
    <row r="73" spans="1:5" ht="15" thickBot="1">
      <c r="C73" s="218" t="s">
        <v>1268</v>
      </c>
      <c r="D73" s="242">
        <f>SUM(D54:D72)</f>
        <v>0</v>
      </c>
    </row>
    <row r="74" spans="1:5" ht="9" customHeight="1" thickBot="1">
      <c r="A74" s="204"/>
    </row>
    <row r="75" spans="1:5" ht="15" thickBot="1">
      <c r="A75" s="204"/>
      <c r="C75" s="256" t="s">
        <v>1268</v>
      </c>
      <c r="D75" s="257"/>
      <c r="E75" s="236" t="s">
        <v>4091</v>
      </c>
    </row>
    <row r="76" spans="1:5" ht="9" customHeight="1">
      <c r="A76" s="204"/>
    </row>
    <row r="77" spans="1:5" ht="18.75">
      <c r="A77" s="203" t="s">
        <v>4296</v>
      </c>
    </row>
    <row r="78" spans="1:5">
      <c r="A78" s="204" t="s">
        <v>1237</v>
      </c>
    </row>
    <row r="79" spans="1:5" ht="9" customHeight="1">
      <c r="A79" s="204"/>
    </row>
    <row r="80" spans="1:5">
      <c r="B80" s="815" t="s">
        <v>312</v>
      </c>
      <c r="C80" s="815" t="s">
        <v>312</v>
      </c>
      <c r="D80" s="815" t="s">
        <v>312</v>
      </c>
    </row>
    <row r="81" spans="1:5" ht="41.25" customHeight="1">
      <c r="A81" s="205" t="s">
        <v>1238</v>
      </c>
      <c r="B81" s="205" t="s">
        <v>319</v>
      </c>
      <c r="C81" s="216" t="s">
        <v>4332</v>
      </c>
      <c r="D81" s="216" t="s">
        <v>4194</v>
      </c>
      <c r="E81" s="205" t="s">
        <v>322</v>
      </c>
    </row>
    <row r="82" spans="1:5" ht="15">
      <c r="A82" s="207">
        <v>1</v>
      </c>
      <c r="B82" s="147" t="s">
        <v>4090</v>
      </c>
      <c r="C82" s="147" t="s">
        <v>4195</v>
      </c>
      <c r="D82" s="239">
        <v>1000</v>
      </c>
      <c r="E82" s="901">
        <f>IF(D82="","",VLOOKUP(C82,EF!$P$35:$Q$36,2,FALSE)*D82)</f>
        <v>549</v>
      </c>
    </row>
    <row r="83" spans="1:5" ht="15">
      <c r="A83" s="207">
        <v>2</v>
      </c>
      <c r="B83" s="903"/>
      <c r="C83" s="903"/>
      <c r="D83" s="158"/>
      <c r="E83" s="935" t="str">
        <f>IF(D83="","",VLOOKUP(C83,EF!$P$35:$Q$36,2,FALSE)*D83)</f>
        <v/>
      </c>
    </row>
    <row r="84" spans="1:5" ht="15">
      <c r="A84" s="207">
        <v>3</v>
      </c>
      <c r="B84" s="903"/>
      <c r="C84" s="903"/>
      <c r="D84" s="158"/>
      <c r="E84" s="935" t="str">
        <f>IF(D84="","",VLOOKUP(C84,EF!$P$35:$Q$36,2,FALSE)*D84)</f>
        <v/>
      </c>
    </row>
    <row r="85" spans="1:5" ht="15">
      <c r="A85" s="207">
        <v>4</v>
      </c>
      <c r="B85" s="903"/>
      <c r="C85" s="903"/>
      <c r="D85" s="158"/>
      <c r="E85" s="935" t="str">
        <f>IF(D85="","",VLOOKUP(C85,EF!$P$35:$Q$36,2,FALSE)*D85)</f>
        <v/>
      </c>
    </row>
    <row r="86" spans="1:5" ht="15">
      <c r="A86" s="207">
        <v>5</v>
      </c>
      <c r="B86" s="903"/>
      <c r="C86" s="903"/>
      <c r="D86" s="158"/>
      <c r="E86" s="935" t="str">
        <f>IF(D86="","",VLOOKUP(C86,EF!$P$35:$Q$36,2,FALSE)*D86)</f>
        <v/>
      </c>
    </row>
    <row r="87" spans="1:5" ht="15">
      <c r="A87" s="207">
        <v>6</v>
      </c>
      <c r="B87" s="903"/>
      <c r="C87" s="903"/>
      <c r="D87" s="158"/>
      <c r="E87" s="935" t="str">
        <f>IF(D87="","",VLOOKUP(C87,EF!$P$35:$Q$36,2,FALSE)*D87)</f>
        <v/>
      </c>
    </row>
    <row r="88" spans="1:5" ht="15">
      <c r="A88" s="207">
        <v>7</v>
      </c>
      <c r="B88" s="903"/>
      <c r="C88" s="903"/>
      <c r="D88" s="158"/>
      <c r="E88" s="935" t="str">
        <f>IF(D88="","",VLOOKUP(C88,EF!$P$35:$Q$36,2,FALSE)*D88)</f>
        <v/>
      </c>
    </row>
    <row r="89" spans="1:5" ht="15">
      <c r="A89" s="207">
        <v>8</v>
      </c>
      <c r="B89" s="903"/>
      <c r="C89" s="903"/>
      <c r="D89" s="158"/>
      <c r="E89" s="935" t="str">
        <f>IF(D89="","",VLOOKUP(C89,EF!$P$35:$Q$36,2,FALSE)*D89)</f>
        <v/>
      </c>
    </row>
    <row r="90" spans="1:5" ht="15">
      <c r="A90" s="207">
        <v>9</v>
      </c>
      <c r="B90" s="903"/>
      <c r="C90" s="903"/>
      <c r="D90" s="158"/>
      <c r="E90" s="935" t="str">
        <f>IF(D90="","",VLOOKUP(C90,EF!$P$35:$Q$36,2,FALSE)*D90)</f>
        <v/>
      </c>
    </row>
    <row r="91" spans="1:5" ht="15">
      <c r="A91" s="207">
        <v>10</v>
      </c>
      <c r="B91" s="903"/>
      <c r="C91" s="903"/>
      <c r="D91" s="158"/>
      <c r="E91" s="935" t="str">
        <f>IF(D91="","",VLOOKUP(C91,EF!$P$35:$Q$36,2,FALSE)*D91)</f>
        <v/>
      </c>
    </row>
    <row r="92" spans="1:5" ht="15">
      <c r="A92" s="207">
        <v>11</v>
      </c>
      <c r="B92" s="903"/>
      <c r="C92" s="903"/>
      <c r="D92" s="158"/>
      <c r="E92" s="935" t="str">
        <f>IF(D92="","",VLOOKUP(C92,EF!$P$35:$Q$36,2,FALSE)*D92)</f>
        <v/>
      </c>
    </row>
    <row r="93" spans="1:5" ht="15">
      <c r="A93" s="207">
        <v>12</v>
      </c>
      <c r="B93" s="903"/>
      <c r="C93" s="903"/>
      <c r="D93" s="158"/>
      <c r="E93" s="935" t="str">
        <f>IF(D93="","",VLOOKUP(C93,EF!$P$35:$Q$36,2,FALSE)*D93)</f>
        <v/>
      </c>
    </row>
    <row r="94" spans="1:5" ht="15">
      <c r="A94" s="207">
        <v>13</v>
      </c>
      <c r="B94" s="903"/>
      <c r="C94" s="903"/>
      <c r="D94" s="158"/>
      <c r="E94" s="935" t="str">
        <f>IF(D94="","",VLOOKUP(C94,EF!$P$35:$Q$36,2,FALSE)*D94)</f>
        <v/>
      </c>
    </row>
    <row r="95" spans="1:5" ht="15">
      <c r="A95" s="207">
        <v>14</v>
      </c>
      <c r="B95" s="903"/>
      <c r="C95" s="903"/>
      <c r="D95" s="158"/>
      <c r="E95" s="935" t="str">
        <f>IF(D95="","",VLOOKUP(C95,EF!$P$35:$Q$36,2,FALSE)*D95)</f>
        <v/>
      </c>
    </row>
    <row r="96" spans="1:5" ht="15">
      <c r="A96" s="207">
        <v>15</v>
      </c>
      <c r="B96" s="903"/>
      <c r="C96" s="903"/>
      <c r="D96" s="158"/>
      <c r="E96" s="935" t="str">
        <f>IF(D96="","",VLOOKUP(C96,EF!$P$35:$Q$36,2,FALSE)*D96)</f>
        <v/>
      </c>
    </row>
    <row r="97" spans="1:6" ht="15">
      <c r="A97" s="207">
        <v>16</v>
      </c>
      <c r="B97" s="903"/>
      <c r="C97" s="903"/>
      <c r="D97" s="158"/>
      <c r="E97" s="935" t="str">
        <f>IF(D97="","",VLOOKUP(C97,EF!$P$35:$Q$36,2,FALSE)*D97)</f>
        <v/>
      </c>
    </row>
    <row r="98" spans="1:6" ht="15">
      <c r="A98" s="207">
        <v>17</v>
      </c>
      <c r="B98" s="903"/>
      <c r="C98" s="903"/>
      <c r="D98" s="158"/>
      <c r="E98" s="935" t="str">
        <f>IF(D98="","",VLOOKUP(C98,EF!$P$35:$Q$36,2,FALSE)*D98)</f>
        <v/>
      </c>
    </row>
    <row r="99" spans="1:6" ht="15">
      <c r="A99" s="207">
        <v>18</v>
      </c>
      <c r="B99" s="903"/>
      <c r="C99" s="903"/>
      <c r="D99" s="158"/>
      <c r="E99" s="935" t="str">
        <f>IF(D99="","",VLOOKUP(C99,EF!$P$35:$Q$36,2,FALSE)*D99)</f>
        <v/>
      </c>
    </row>
    <row r="100" spans="1:6" ht="15">
      <c r="A100" s="207">
        <v>19</v>
      </c>
      <c r="B100" s="903"/>
      <c r="C100" s="903"/>
      <c r="D100" s="158"/>
      <c r="E100" s="935" t="str">
        <f>IF(D100="","",VLOOKUP(C100,EF!$P$35:$Q$36,2,FALSE)*D100)</f>
        <v/>
      </c>
    </row>
    <row r="101" spans="1:6" ht="15.75" thickBot="1">
      <c r="A101" s="207">
        <v>20</v>
      </c>
      <c r="B101" s="903"/>
      <c r="C101" s="903"/>
      <c r="D101" s="158"/>
      <c r="E101" s="935" t="str">
        <f>IF(D101="","",VLOOKUP(C101,EF!$P$35:$Q$36,2,FALSE)*D101)</f>
        <v/>
      </c>
    </row>
    <row r="102" spans="1:6" ht="15" thickBot="1">
      <c r="D102" s="218" t="s">
        <v>1268</v>
      </c>
      <c r="E102" s="242">
        <f>SUM(E83:E101)</f>
        <v>0</v>
      </c>
    </row>
    <row r="103" spans="1:6" ht="9" customHeight="1" thickBot="1"/>
    <row r="104" spans="1:6" ht="15" thickBot="1">
      <c r="D104" s="256" t="s">
        <v>1268</v>
      </c>
      <c r="E104" s="257"/>
      <c r="F104" s="236" t="s">
        <v>4091</v>
      </c>
    </row>
    <row r="105" spans="1:6">
      <c r="D105" s="928"/>
      <c r="E105" s="929"/>
      <c r="F105" s="236"/>
    </row>
    <row r="106" spans="1:6" ht="18">
      <c r="A106" s="932" t="s">
        <v>4295</v>
      </c>
    </row>
    <row r="107" spans="1:6" ht="18.75">
      <c r="A107" s="932" t="s">
        <v>4305</v>
      </c>
    </row>
    <row r="108" spans="1:6" ht="18">
      <c r="A108" s="932" t="s">
        <v>4306</v>
      </c>
    </row>
    <row r="109" spans="1:6" ht="9" customHeight="1">
      <c r="A109" s="204"/>
    </row>
    <row r="110" spans="1:6" ht="18.75">
      <c r="A110" s="930" t="s">
        <v>4328</v>
      </c>
    </row>
    <row r="111" spans="1:6">
      <c r="A111" s="931" t="s">
        <v>1237</v>
      </c>
    </row>
    <row r="112" spans="1:6" ht="9" customHeight="1">
      <c r="A112" s="204"/>
    </row>
    <row r="113" spans="1:4">
      <c r="B113" s="815" t="s">
        <v>312</v>
      </c>
      <c r="C113" s="815" t="s">
        <v>312</v>
      </c>
      <c r="D113" s="815"/>
    </row>
    <row r="114" spans="1:4" ht="49.5" customHeight="1">
      <c r="A114" s="205" t="s">
        <v>1238</v>
      </c>
      <c r="B114" s="934" t="s">
        <v>4294</v>
      </c>
      <c r="C114" s="216" t="s">
        <v>4304</v>
      </c>
      <c r="D114" s="205" t="s">
        <v>322</v>
      </c>
    </row>
    <row r="115" spans="1:4" ht="29.25">
      <c r="A115" s="207">
        <v>1</v>
      </c>
      <c r="B115" s="933" t="s">
        <v>4293</v>
      </c>
      <c r="C115" s="253">
        <v>5000</v>
      </c>
      <c r="D115" s="210">
        <f>IF(C115="","",C115*EF!$P$12)</f>
        <v>2900</v>
      </c>
    </row>
    <row r="116" spans="1:4" ht="15">
      <c r="A116" s="207">
        <v>2</v>
      </c>
      <c r="B116" s="903"/>
      <c r="C116" s="948"/>
      <c r="D116" s="213" t="str">
        <f>IF(C116="","",C116*EF!$P$12)</f>
        <v/>
      </c>
    </row>
    <row r="117" spans="1:4" ht="15">
      <c r="A117" s="207">
        <v>3</v>
      </c>
      <c r="B117" s="903"/>
      <c r="C117" s="948"/>
      <c r="D117" s="213" t="str">
        <f>IF(C117="","",C117*EF!$P$12)</f>
        <v/>
      </c>
    </row>
    <row r="118" spans="1:4" ht="15">
      <c r="A118" s="207">
        <v>4</v>
      </c>
      <c r="B118" s="903"/>
      <c r="C118" s="948"/>
      <c r="D118" s="213" t="str">
        <f>IF(C118="","",C118*EF!$P$12)</f>
        <v/>
      </c>
    </row>
    <row r="119" spans="1:4" ht="15">
      <c r="A119" s="207">
        <v>5</v>
      </c>
      <c r="B119" s="903"/>
      <c r="C119" s="948"/>
      <c r="D119" s="213" t="str">
        <f>IF(C119="","",C119*EF!$P$12)</f>
        <v/>
      </c>
    </row>
    <row r="120" spans="1:4" ht="15">
      <c r="A120" s="207">
        <v>6</v>
      </c>
      <c r="B120" s="903"/>
      <c r="C120" s="948"/>
      <c r="D120" s="213" t="str">
        <f>IF(C120="","",C120*EF!$P$12)</f>
        <v/>
      </c>
    </row>
    <row r="121" spans="1:4" ht="15">
      <c r="A121" s="207">
        <v>7</v>
      </c>
      <c r="B121" s="903"/>
      <c r="C121" s="948"/>
      <c r="D121" s="213" t="str">
        <f>IF(C121="","",C121*EF!$P$12)</f>
        <v/>
      </c>
    </row>
    <row r="122" spans="1:4" ht="15">
      <c r="A122" s="207">
        <v>8</v>
      </c>
      <c r="B122" s="903"/>
      <c r="C122" s="948"/>
      <c r="D122" s="213" t="str">
        <f>IF(C122="","",C122*EF!$P$12)</f>
        <v/>
      </c>
    </row>
    <row r="123" spans="1:4" ht="15">
      <c r="A123" s="207">
        <v>9</v>
      </c>
      <c r="B123" s="903"/>
      <c r="C123" s="948"/>
      <c r="D123" s="213" t="str">
        <f>IF(C123="","",C123*EF!$P$12)</f>
        <v/>
      </c>
    </row>
    <row r="124" spans="1:4" ht="15">
      <c r="A124" s="207">
        <v>10</v>
      </c>
      <c r="B124" s="903"/>
      <c r="C124" s="948"/>
      <c r="D124" s="213" t="str">
        <f>IF(C124="","",C124*EF!$P$12)</f>
        <v/>
      </c>
    </row>
    <row r="125" spans="1:4" ht="15">
      <c r="A125" s="207">
        <v>11</v>
      </c>
      <c r="B125" s="903"/>
      <c r="C125" s="948"/>
      <c r="D125" s="213" t="str">
        <f>IF(C125="","",C125*EF!$P$12)</f>
        <v/>
      </c>
    </row>
    <row r="126" spans="1:4" ht="15">
      <c r="A126" s="207">
        <v>12</v>
      </c>
      <c r="B126" s="903"/>
      <c r="C126" s="948"/>
      <c r="D126" s="213" t="str">
        <f>IF(C126="","",C126*EF!$P$12)</f>
        <v/>
      </c>
    </row>
    <row r="127" spans="1:4" ht="15">
      <c r="A127" s="207">
        <v>13</v>
      </c>
      <c r="B127" s="903"/>
      <c r="C127" s="948"/>
      <c r="D127" s="213" t="str">
        <f>IF(C127="","",C127*EF!$P$12)</f>
        <v/>
      </c>
    </row>
    <row r="128" spans="1:4" ht="15">
      <c r="A128" s="207">
        <v>14</v>
      </c>
      <c r="B128" s="903"/>
      <c r="C128" s="948"/>
      <c r="D128" s="213" t="str">
        <f>IF(C128="","",C128*EF!$P$12)</f>
        <v/>
      </c>
    </row>
    <row r="129" spans="1:5" ht="15">
      <c r="A129" s="207">
        <v>15</v>
      </c>
      <c r="B129" s="903"/>
      <c r="C129" s="948"/>
      <c r="D129" s="213" t="str">
        <f>IF(C129="","",C129*EF!$P$12)</f>
        <v/>
      </c>
    </row>
    <row r="130" spans="1:5" ht="15">
      <c r="A130" s="207">
        <v>16</v>
      </c>
      <c r="B130" s="903"/>
      <c r="C130" s="948"/>
      <c r="D130" s="213" t="str">
        <f>IF(C130="","",C130*EF!$P$12)</f>
        <v/>
      </c>
    </row>
    <row r="131" spans="1:5" ht="15">
      <c r="A131" s="207">
        <v>17</v>
      </c>
      <c r="B131" s="903"/>
      <c r="C131" s="948"/>
      <c r="D131" s="213" t="str">
        <f>IF(C131="","",C131*EF!$P$12)</f>
        <v/>
      </c>
    </row>
    <row r="132" spans="1:5" ht="15">
      <c r="A132" s="207">
        <v>18</v>
      </c>
      <c r="B132" s="903"/>
      <c r="C132" s="948"/>
      <c r="D132" s="213" t="str">
        <f>IF(C132="","",C132*EF!$P$12)</f>
        <v/>
      </c>
    </row>
    <row r="133" spans="1:5" ht="15">
      <c r="A133" s="207">
        <v>19</v>
      </c>
      <c r="B133" s="903"/>
      <c r="C133" s="948"/>
      <c r="D133" s="213" t="str">
        <f>IF(C133="","",C133*EF!$P$12)</f>
        <v/>
      </c>
    </row>
    <row r="134" spans="1:5" ht="15.75" thickBot="1">
      <c r="A134" s="207">
        <v>20</v>
      </c>
      <c r="B134" s="903"/>
      <c r="C134" s="948"/>
      <c r="D134" s="213" t="str">
        <f>IF(C134="","",C134*EF!$P$12)</f>
        <v/>
      </c>
    </row>
    <row r="135" spans="1:5" ht="15" thickBot="1">
      <c r="C135" s="218" t="s">
        <v>1268</v>
      </c>
      <c r="D135" s="242">
        <f>SUM(D116:D134)</f>
        <v>0</v>
      </c>
    </row>
    <row r="136" spans="1:5" ht="9" customHeight="1" thickBot="1"/>
    <row r="137" spans="1:5" ht="15" thickBot="1">
      <c r="C137" s="256" t="s">
        <v>1268</v>
      </c>
      <c r="D137" s="257"/>
      <c r="E137" s="236" t="s">
        <v>4091</v>
      </c>
    </row>
    <row r="138" spans="1:5" ht="4.5" customHeight="1">
      <c r="C138" s="928"/>
      <c r="D138" s="929"/>
      <c r="E138" s="236"/>
    </row>
    <row r="139" spans="1:5">
      <c r="A139" t="s">
        <v>4309</v>
      </c>
      <c r="C139" s="928"/>
      <c r="D139" s="929"/>
      <c r="E139" s="236"/>
    </row>
    <row r="140" spans="1:5">
      <c r="A140" s="937" t="s">
        <v>4310</v>
      </c>
      <c r="C140" s="928"/>
      <c r="D140" s="929"/>
      <c r="E140" s="236"/>
    </row>
    <row r="141" spans="1:5">
      <c r="A141" s="937" t="s">
        <v>4311</v>
      </c>
      <c r="C141" s="928"/>
      <c r="D141" s="929"/>
      <c r="E141" s="236"/>
    </row>
    <row r="143" spans="1:5" ht="18.75">
      <c r="A143" s="930" t="s">
        <v>4307</v>
      </c>
    </row>
    <row r="144" spans="1:5">
      <c r="A144" s="931" t="s">
        <v>1237</v>
      </c>
    </row>
    <row r="145" spans="1:4" ht="9" customHeight="1">
      <c r="A145" s="204"/>
    </row>
    <row r="146" spans="1:4">
      <c r="B146" s="815" t="s">
        <v>312</v>
      </c>
      <c r="C146" s="815" t="s">
        <v>312</v>
      </c>
    </row>
    <row r="147" spans="1:4" ht="41.25" customHeight="1">
      <c r="A147" s="205" t="s">
        <v>1238</v>
      </c>
      <c r="B147" s="205" t="s">
        <v>319</v>
      </c>
      <c r="C147" s="216" t="s">
        <v>320</v>
      </c>
      <c r="D147" s="205" t="s">
        <v>322</v>
      </c>
    </row>
    <row r="148" spans="1:4" ht="15">
      <c r="A148" s="207">
        <v>1</v>
      </c>
      <c r="B148" s="147" t="s">
        <v>4308</v>
      </c>
      <c r="C148" s="840">
        <v>5000</v>
      </c>
      <c r="D148" s="210">
        <f>IF(C148="","",(C148*EF!$R$28*'Reporting Year &amp; Inflation Adj.'!$F$9/1000))</f>
        <v>36.071643408862514</v>
      </c>
    </row>
    <row r="149" spans="1:4" ht="15">
      <c r="A149" s="207">
        <v>2</v>
      </c>
      <c r="B149" s="903"/>
      <c r="C149" s="841"/>
      <c r="D149" s="213" t="str">
        <f>IF(C149="","",(C149*EF!$R$28*'Reporting Year &amp; Inflation Adj.'!$F$9/1000))</f>
        <v/>
      </c>
    </row>
    <row r="150" spans="1:4" ht="15">
      <c r="A150" s="207">
        <v>3</v>
      </c>
      <c r="B150" s="903"/>
      <c r="C150" s="841"/>
      <c r="D150" s="213" t="str">
        <f>IF(C150="","",(C150*EF!$R$28*'Reporting Year &amp; Inflation Adj.'!$F$9/1000))</f>
        <v/>
      </c>
    </row>
    <row r="151" spans="1:4" ht="15">
      <c r="A151" s="207">
        <v>4</v>
      </c>
      <c r="B151" s="903"/>
      <c r="C151" s="841"/>
      <c r="D151" s="213" t="str">
        <f>IF(C151="","",(C151*EF!$R$28*'Reporting Year &amp; Inflation Adj.'!$F$9/1000))</f>
        <v/>
      </c>
    </row>
    <row r="152" spans="1:4" ht="15">
      <c r="A152" s="207">
        <v>5</v>
      </c>
      <c r="B152" s="903"/>
      <c r="C152" s="841"/>
      <c r="D152" s="213" t="str">
        <f>IF(C152="","",(C152*EF!$R$28*'Reporting Year &amp; Inflation Adj.'!$F$9/1000))</f>
        <v/>
      </c>
    </row>
    <row r="153" spans="1:4" ht="15">
      <c r="A153" s="207">
        <v>6</v>
      </c>
      <c r="B153" s="903"/>
      <c r="C153" s="841"/>
      <c r="D153" s="213" t="str">
        <f>IF(C153="","",(C153*EF!$R$28*'Reporting Year &amp; Inflation Adj.'!$F$9/1000))</f>
        <v/>
      </c>
    </row>
    <row r="154" spans="1:4" ht="15">
      <c r="A154" s="207">
        <v>7</v>
      </c>
      <c r="B154" s="903"/>
      <c r="C154" s="841"/>
      <c r="D154" s="213" t="str">
        <f>IF(C154="","",(C154*EF!$R$28*'Reporting Year &amp; Inflation Adj.'!$F$9/1000))</f>
        <v/>
      </c>
    </row>
    <row r="155" spans="1:4" ht="15">
      <c r="A155" s="207">
        <v>8</v>
      </c>
      <c r="B155" s="903"/>
      <c r="C155" s="841"/>
      <c r="D155" s="213" t="str">
        <f>IF(C155="","",(C155*EF!$R$28*'Reporting Year &amp; Inflation Adj.'!$F$9/1000))</f>
        <v/>
      </c>
    </row>
    <row r="156" spans="1:4" ht="15">
      <c r="A156" s="207">
        <v>9</v>
      </c>
      <c r="B156" s="903"/>
      <c r="C156" s="841"/>
      <c r="D156" s="213" t="str">
        <f>IF(C156="","",(C156*EF!$R$28*'Reporting Year &amp; Inflation Adj.'!$F$9/1000))</f>
        <v/>
      </c>
    </row>
    <row r="157" spans="1:4" ht="15">
      <c r="A157" s="207">
        <v>10</v>
      </c>
      <c r="B157" s="903"/>
      <c r="C157" s="841"/>
      <c r="D157" s="213" t="str">
        <f>IF(C157="","",(C157*EF!$R$28*'Reporting Year &amp; Inflation Adj.'!$F$9/1000))</f>
        <v/>
      </c>
    </row>
    <row r="158" spans="1:4" ht="15">
      <c r="A158" s="207">
        <v>11</v>
      </c>
      <c r="B158" s="903"/>
      <c r="C158" s="841"/>
      <c r="D158" s="213" t="str">
        <f>IF(C158="","",(C158*EF!$R$28*'Reporting Year &amp; Inflation Adj.'!$F$9/1000))</f>
        <v/>
      </c>
    </row>
    <row r="159" spans="1:4" ht="15">
      <c r="A159" s="207">
        <v>12</v>
      </c>
      <c r="B159" s="903"/>
      <c r="C159" s="841"/>
      <c r="D159" s="213" t="str">
        <f>IF(C159="","",(C159*EF!$R$28*'Reporting Year &amp; Inflation Adj.'!$F$9/1000))</f>
        <v/>
      </c>
    </row>
    <row r="160" spans="1:4" ht="15">
      <c r="A160" s="207">
        <v>13</v>
      </c>
      <c r="B160" s="903"/>
      <c r="C160" s="841"/>
      <c r="D160" s="213" t="str">
        <f>IF(C160="","",(C160*EF!$R$28*'Reporting Year &amp; Inflation Adj.'!$F$9/1000))</f>
        <v/>
      </c>
    </row>
    <row r="161" spans="1:5" ht="15">
      <c r="A161" s="207">
        <v>14</v>
      </c>
      <c r="B161" s="903"/>
      <c r="C161" s="841"/>
      <c r="D161" s="213" t="str">
        <f>IF(C161="","",(C161*EF!$R$28*'Reporting Year &amp; Inflation Adj.'!$F$9/1000))</f>
        <v/>
      </c>
    </row>
    <row r="162" spans="1:5" ht="15">
      <c r="A162" s="207">
        <v>15</v>
      </c>
      <c r="B162" s="903"/>
      <c r="C162" s="841"/>
      <c r="D162" s="213" t="str">
        <f>IF(C162="","",(C162*EF!$R$28*'Reporting Year &amp; Inflation Adj.'!$F$9/1000))</f>
        <v/>
      </c>
    </row>
    <row r="163" spans="1:5" ht="15">
      <c r="A163" s="207">
        <v>16</v>
      </c>
      <c r="B163" s="903"/>
      <c r="C163" s="841"/>
      <c r="D163" s="213" t="str">
        <f>IF(C163="","",(C163*EF!$R$28*'Reporting Year &amp; Inflation Adj.'!$F$9/1000))</f>
        <v/>
      </c>
    </row>
    <row r="164" spans="1:5" ht="15">
      <c r="A164" s="207">
        <v>17</v>
      </c>
      <c r="B164" s="903"/>
      <c r="C164" s="841"/>
      <c r="D164" s="213" t="str">
        <f>IF(C164="","",(C164*EF!$R$28*'Reporting Year &amp; Inflation Adj.'!$F$9/1000))</f>
        <v/>
      </c>
    </row>
    <row r="165" spans="1:5" ht="15">
      <c r="A165" s="207">
        <v>18</v>
      </c>
      <c r="B165" s="903"/>
      <c r="C165" s="841"/>
      <c r="D165" s="213" t="str">
        <f>IF(C165="","",(C165*EF!$R$28*'Reporting Year &amp; Inflation Adj.'!$F$9/1000))</f>
        <v/>
      </c>
    </row>
    <row r="166" spans="1:5" ht="15">
      <c r="A166" s="207">
        <v>19</v>
      </c>
      <c r="B166" s="903"/>
      <c r="C166" s="841"/>
      <c r="D166" s="213" t="str">
        <f>IF(C166="","",(C166*EF!$R$28*'Reporting Year &amp; Inflation Adj.'!$F$9/1000))</f>
        <v/>
      </c>
    </row>
    <row r="167" spans="1:5" ht="15.75" thickBot="1">
      <c r="A167" s="207">
        <v>20</v>
      </c>
      <c r="B167" s="903"/>
      <c r="C167" s="841"/>
      <c r="D167" s="213" t="str">
        <f>IF(C167="","",(C167*EF!$R$28*'Reporting Year &amp; Inflation Adj.'!$F$9/1000))</f>
        <v/>
      </c>
    </row>
    <row r="168" spans="1:5" ht="15" thickBot="1">
      <c r="C168" s="218" t="s">
        <v>1268</v>
      </c>
      <c r="D168" s="242">
        <f>SUM(D149:D167)</f>
        <v>0</v>
      </c>
    </row>
    <row r="169" spans="1:5" ht="9" customHeight="1" thickBot="1"/>
    <row r="170" spans="1:5" ht="15" thickBot="1">
      <c r="C170" s="256" t="s">
        <v>1268</v>
      </c>
      <c r="D170" s="257"/>
      <c r="E170" s="236" t="s">
        <v>4091</v>
      </c>
    </row>
    <row r="173" spans="1:5" ht="18.75">
      <c r="A173" s="203" t="s">
        <v>4329</v>
      </c>
    </row>
    <row r="174" spans="1:5">
      <c r="A174" s="204" t="s">
        <v>1237</v>
      </c>
    </row>
    <row r="175" spans="1:5">
      <c r="A175" s="204"/>
    </row>
    <row r="176" spans="1:5">
      <c r="B176" s="815" t="s">
        <v>312</v>
      </c>
      <c r="C176" s="815" t="s">
        <v>312</v>
      </c>
    </row>
    <row r="177" spans="1:4" ht="30">
      <c r="A177" s="205" t="s">
        <v>1238</v>
      </c>
      <c r="B177" s="206" t="s">
        <v>319</v>
      </c>
      <c r="C177" s="216" t="s">
        <v>4193</v>
      </c>
      <c r="D177" s="216" t="s">
        <v>322</v>
      </c>
    </row>
    <row r="178" spans="1:4" ht="15">
      <c r="A178" s="207">
        <v>1</v>
      </c>
      <c r="B178" s="904" t="s">
        <v>4330</v>
      </c>
      <c r="C178" s="253">
        <v>1000</v>
      </c>
      <c r="D178" s="240">
        <f>IF(C178="","",CONVERT(C178,"ton","kg")*EF!$Q$40/1000)</f>
        <v>2249.2375569663996</v>
      </c>
    </row>
    <row r="179" spans="1:4" ht="15">
      <c r="A179" s="207">
        <v>2</v>
      </c>
      <c r="B179" s="905"/>
      <c r="C179" s="159"/>
      <c r="D179" s="217" t="str">
        <f>IF(C179="","",CONVERT(C179,"ton","kg")*EF!$Q$40/1000)</f>
        <v/>
      </c>
    </row>
    <row r="180" spans="1:4" ht="15">
      <c r="A180" s="207">
        <v>3</v>
      </c>
      <c r="B180" s="905"/>
      <c r="C180" s="159"/>
      <c r="D180" s="217" t="str">
        <f>IF(C180="","",CONVERT(C180,"ton","kg")*EF!$Q$40/1000)</f>
        <v/>
      </c>
    </row>
    <row r="181" spans="1:4" ht="15">
      <c r="A181" s="207">
        <v>4</v>
      </c>
      <c r="B181" s="905"/>
      <c r="C181" s="159"/>
      <c r="D181" s="217" t="str">
        <f>IF(C181="","",CONVERT(C181,"ton","kg")*EF!$Q$40/1000)</f>
        <v/>
      </c>
    </row>
    <row r="182" spans="1:4" ht="15">
      <c r="A182" s="207">
        <v>5</v>
      </c>
      <c r="B182" s="905"/>
      <c r="C182" s="159"/>
      <c r="D182" s="217" t="str">
        <f>IF(C182="","",CONVERT(C182,"ton","kg")*EF!$Q$40/1000)</f>
        <v/>
      </c>
    </row>
    <row r="183" spans="1:4" ht="15">
      <c r="A183" s="207">
        <v>6</v>
      </c>
      <c r="B183" s="905"/>
      <c r="C183" s="159"/>
      <c r="D183" s="217" t="str">
        <f>IF(C183="","",CONVERT(C183,"ton","kg")*EF!$Q$40/1000)</f>
        <v/>
      </c>
    </row>
    <row r="184" spans="1:4" ht="15">
      <c r="A184" s="207">
        <v>7</v>
      </c>
      <c r="B184" s="905"/>
      <c r="C184" s="159"/>
      <c r="D184" s="217" t="str">
        <f>IF(C184="","",CONVERT(C184,"ton","kg")*EF!$Q$40/1000)</f>
        <v/>
      </c>
    </row>
    <row r="185" spans="1:4" ht="15">
      <c r="A185" s="207">
        <v>8</v>
      </c>
      <c r="B185" s="905"/>
      <c r="C185" s="159"/>
      <c r="D185" s="217" t="str">
        <f>IF(C185="","",CONVERT(C185,"ton","kg")*EF!$Q$40/1000)</f>
        <v/>
      </c>
    </row>
    <row r="186" spans="1:4" ht="15">
      <c r="A186" s="207">
        <v>9</v>
      </c>
      <c r="B186" s="905"/>
      <c r="C186" s="159"/>
      <c r="D186" s="217" t="str">
        <f>IF(C186="","",CONVERT(C186,"ton","kg")*EF!$Q$40/1000)</f>
        <v/>
      </c>
    </row>
    <row r="187" spans="1:4" ht="15">
      <c r="A187" s="207">
        <v>10</v>
      </c>
      <c r="B187" s="905"/>
      <c r="C187" s="159"/>
      <c r="D187" s="217" t="str">
        <f>IF(C187="","",CONVERT(C187,"ton","kg")*EF!$Q$40/1000)</f>
        <v/>
      </c>
    </row>
    <row r="188" spans="1:4" ht="15">
      <c r="A188" s="207">
        <v>11</v>
      </c>
      <c r="B188" s="905"/>
      <c r="C188" s="159"/>
      <c r="D188" s="217" t="str">
        <f>IF(C188="","",CONVERT(C188,"ton","kg")*EF!$Q$40/1000)</f>
        <v/>
      </c>
    </row>
    <row r="189" spans="1:4" ht="15">
      <c r="A189" s="207">
        <v>12</v>
      </c>
      <c r="B189" s="905"/>
      <c r="C189" s="159"/>
      <c r="D189" s="217" t="str">
        <f>IF(C189="","",CONVERT(C189,"ton","kg")*EF!$Q$40/1000)</f>
        <v/>
      </c>
    </row>
    <row r="190" spans="1:4" ht="15">
      <c r="A190" s="207">
        <v>13</v>
      </c>
      <c r="B190" s="905"/>
      <c r="C190" s="159"/>
      <c r="D190" s="217" t="str">
        <f>IF(C190="","",CONVERT(C190,"ton","kg")*EF!$Q$40/1000)</f>
        <v/>
      </c>
    </row>
    <row r="191" spans="1:4" ht="15">
      <c r="A191" s="207">
        <v>14</v>
      </c>
      <c r="B191" s="905"/>
      <c r="C191" s="159"/>
      <c r="D191" s="217" t="str">
        <f>IF(C191="","",CONVERT(C191,"ton","kg")*EF!$Q$40/1000)</f>
        <v/>
      </c>
    </row>
    <row r="192" spans="1:4" ht="15">
      <c r="A192" s="207">
        <v>15</v>
      </c>
      <c r="B192" s="905"/>
      <c r="C192" s="159"/>
      <c r="D192" s="217" t="str">
        <f>IF(C192="","",CONVERT(C192,"ton","kg")*EF!$Q$40/1000)</f>
        <v/>
      </c>
    </row>
    <row r="193" spans="1:5" ht="15">
      <c r="A193" s="207">
        <v>16</v>
      </c>
      <c r="B193" s="905"/>
      <c r="C193" s="159"/>
      <c r="D193" s="217" t="str">
        <f>IF(C193="","",CONVERT(C193,"ton","kg")*EF!$Q$40/1000)</f>
        <v/>
      </c>
    </row>
    <row r="194" spans="1:5" ht="15">
      <c r="A194" s="207">
        <v>17</v>
      </c>
      <c r="B194" s="905"/>
      <c r="C194" s="159"/>
      <c r="D194" s="217" t="str">
        <f>IF(C194="","",CONVERT(C194,"ton","kg")*EF!$Q$40/1000)</f>
        <v/>
      </c>
    </row>
    <row r="195" spans="1:5" ht="15">
      <c r="A195" s="207">
        <v>18</v>
      </c>
      <c r="B195" s="905"/>
      <c r="C195" s="159"/>
      <c r="D195" s="217" t="str">
        <f>IF(C195="","",CONVERT(C195,"ton","kg")*EF!$Q$40/1000)</f>
        <v/>
      </c>
    </row>
    <row r="196" spans="1:5" ht="15">
      <c r="A196" s="207">
        <v>19</v>
      </c>
      <c r="B196" s="905"/>
      <c r="C196" s="159"/>
      <c r="D196" s="217" t="str">
        <f>IF(C196="","",CONVERT(C196,"ton","kg")*EF!$Q$40/1000)</f>
        <v/>
      </c>
    </row>
    <row r="197" spans="1:5" ht="15.75" thickBot="1">
      <c r="A197" s="207">
        <v>20</v>
      </c>
      <c r="B197" s="905"/>
      <c r="C197" s="159"/>
      <c r="D197" s="217" t="str">
        <f>IF(C197="","",CONVERT(C197,"ton","kg")*EF!$Q$40/1000)</f>
        <v/>
      </c>
    </row>
    <row r="198" spans="1:5" ht="15" thickBot="1">
      <c r="C198" s="218" t="s">
        <v>1268</v>
      </c>
      <c r="D198" s="242">
        <f>SUM(D179:D197)</f>
        <v>0</v>
      </c>
    </row>
    <row r="199" spans="1:5" ht="15" thickBot="1">
      <c r="A199" s="204"/>
    </row>
    <row r="200" spans="1:5" ht="15" thickBot="1">
      <c r="A200" s="204"/>
      <c r="C200" s="256" t="s">
        <v>1268</v>
      </c>
      <c r="D200" s="257"/>
      <c r="E200" s="236" t="s">
        <v>4091</v>
      </c>
    </row>
  </sheetData>
  <sheetProtection algorithmName="SHA-512" hashValue="/YVfI/fEZum8U2yK79BnN0ABnDUFIpbHFaydpBEIyz0GI7y6tUNL8qOh3ddccCVwGlSo44uHTJkzo1ij9+6cog==" saltValue="5R1XDTKVkcpi+6Ki0NywGw==" spinCount="100000" sheet="1" objects="1" scenarios="1"/>
  <mergeCells count="8">
    <mergeCell ref="A12:G12"/>
    <mergeCell ref="A8:G8"/>
    <mergeCell ref="A14:G14"/>
    <mergeCell ref="A5:G5"/>
    <mergeCell ref="A6:G6"/>
    <mergeCell ref="A9:G9"/>
    <mergeCell ref="A10:G10"/>
    <mergeCell ref="A11:G11"/>
  </mergeCells>
  <dataValidations count="2">
    <dataValidation type="list" allowBlank="1" showInputMessage="1" showErrorMessage="1" sqref="D26:D45" xr:uid="{5AAE5ECA-7F11-470B-93D8-A0680D41DC3C}">
      <formula1>INDIRECT(C26)</formula1>
    </dataValidation>
    <dataValidation type="list" allowBlank="1" showInputMessage="1" showErrorMessage="1" sqref="C83:C101" xr:uid="{A007CF35-0B9B-4B1C-B165-4DCB4536BE0C}">
      <formula1>"Autoclave,Incineration"</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EAA198-D745-49CE-BBF4-E582457A2156}">
          <x14:formula1>
            <xm:f>EF!$N$6:$N$13</xm:f>
          </x14:formula1>
          <xm:sqref>C26:C45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BDF0-5597-425A-932C-B768E79BB1C7}">
  <sheetPr codeName="Sheet25">
    <tabColor theme="3" tint="0.59999389629810485"/>
  </sheetPr>
  <dimension ref="A1:G97"/>
  <sheetViews>
    <sheetView showGridLines="0" zoomScale="85" zoomScaleNormal="85" workbookViewId="0"/>
  </sheetViews>
  <sheetFormatPr defaultRowHeight="14.25"/>
  <cols>
    <col min="1" max="1" width="7" customWidth="1"/>
    <col min="2" max="2" width="25.625" customWidth="1"/>
    <col min="3" max="3" width="44.625" customWidth="1"/>
    <col min="4" max="4" width="20.25" customWidth="1"/>
    <col min="5" max="5" width="22.625" customWidth="1"/>
    <col min="6" max="6" width="26.375" customWidth="1"/>
    <col min="7" max="7" width="150.25" customWidth="1"/>
  </cols>
  <sheetData>
    <row r="1" spans="1:7" ht="20.25">
      <c r="A1" s="74" t="s">
        <v>1357</v>
      </c>
      <c r="B1" s="107"/>
      <c r="C1" s="232"/>
      <c r="D1" s="232"/>
      <c r="E1" s="232"/>
      <c r="F1" s="232"/>
      <c r="G1" s="107"/>
    </row>
    <row r="2" spans="1:7">
      <c r="A2" s="198" t="s">
        <v>304</v>
      </c>
      <c r="B2" s="110"/>
      <c r="C2" s="110"/>
      <c r="D2" s="110"/>
      <c r="E2" s="110"/>
      <c r="F2" s="110"/>
      <c r="G2" s="110"/>
    </row>
    <row r="3" spans="1:7">
      <c r="A3" s="112" t="s">
        <v>1339</v>
      </c>
      <c r="B3" s="110"/>
      <c r="C3" s="110"/>
      <c r="D3" s="110"/>
      <c r="E3" s="110"/>
      <c r="F3" s="110"/>
      <c r="G3" s="110"/>
    </row>
    <row r="4" spans="1:7">
      <c r="A4" s="199" t="s">
        <v>1358</v>
      </c>
      <c r="B4" s="110"/>
      <c r="C4" s="110"/>
      <c r="D4" s="110"/>
      <c r="E4" s="110"/>
      <c r="F4" s="110"/>
      <c r="G4" s="110"/>
    </row>
    <row r="5" spans="1:7">
      <c r="A5" s="199" t="s">
        <v>1359</v>
      </c>
      <c r="B5" s="243"/>
      <c r="C5" s="110"/>
      <c r="D5" s="110"/>
      <c r="E5" s="110"/>
      <c r="F5" s="110"/>
      <c r="G5" s="243"/>
    </row>
    <row r="6" spans="1:7">
      <c r="A6" s="244"/>
      <c r="B6" s="233"/>
    </row>
    <row r="7" spans="1:7">
      <c r="A7" s="244"/>
      <c r="B7" s="233"/>
    </row>
    <row r="8" spans="1:7">
      <c r="A8" s="244"/>
      <c r="B8" s="233"/>
    </row>
    <row r="9" spans="1:7">
      <c r="A9" s="244"/>
      <c r="B9" s="233"/>
    </row>
    <row r="10" spans="1:7">
      <c r="A10" s="244"/>
      <c r="B10" s="233"/>
    </row>
    <row r="11" spans="1:7">
      <c r="A11" s="244"/>
      <c r="B11" s="233"/>
    </row>
    <row r="12" spans="1:7">
      <c r="A12" s="244"/>
      <c r="B12" s="233"/>
    </row>
    <row r="13" spans="1:7">
      <c r="A13" s="244"/>
      <c r="B13" s="233"/>
    </row>
    <row r="14" spans="1:7">
      <c r="A14" s="244"/>
      <c r="B14" s="233"/>
    </row>
    <row r="15" spans="1:7">
      <c r="A15" s="244"/>
      <c r="B15" s="233"/>
    </row>
    <row r="16" spans="1:7">
      <c r="A16" s="244"/>
      <c r="B16" s="233"/>
    </row>
    <row r="17" spans="1:7">
      <c r="A17" s="244"/>
      <c r="B17" s="233"/>
    </row>
    <row r="18" spans="1:7" ht="4.5" customHeight="1">
      <c r="A18" s="244"/>
      <c r="B18" s="233"/>
    </row>
    <row r="19" spans="1:7" ht="23.25">
      <c r="A19" s="72"/>
      <c r="B19" s="222"/>
      <c r="C19" s="223"/>
      <c r="D19" s="223"/>
      <c r="E19" s="49" t="s">
        <v>310</v>
      </c>
      <c r="F19" s="7"/>
    </row>
    <row r="20" spans="1:7" ht="23.25">
      <c r="A20" s="72"/>
      <c r="B20" s="222"/>
      <c r="C20" s="224" t="s">
        <v>312</v>
      </c>
      <c r="D20" s="224" t="s">
        <v>312</v>
      </c>
      <c r="E20" s="54">
        <f>SUM(E22:E25)</f>
        <v>0</v>
      </c>
      <c r="F20" s="225"/>
    </row>
    <row r="21" spans="1:7" ht="54">
      <c r="A21" s="72"/>
      <c r="B21" s="226" t="s">
        <v>318</v>
      </c>
      <c r="C21" s="227" t="s">
        <v>319</v>
      </c>
      <c r="D21" s="228" t="s">
        <v>320</v>
      </c>
      <c r="E21" s="228" t="s">
        <v>322</v>
      </c>
      <c r="F21" s="229" t="s">
        <v>4239</v>
      </c>
      <c r="G21" s="230" t="s">
        <v>325</v>
      </c>
    </row>
    <row r="22" spans="1:7" ht="129">
      <c r="B22" s="871" t="s">
        <v>21</v>
      </c>
      <c r="C22" s="317"/>
      <c r="D22" s="800"/>
      <c r="E22" s="319" t="str">
        <f>IF(D22="","",D22*F22/1000*'Reporting Year &amp; Inflation Adj.'!$F$9)</f>
        <v/>
      </c>
      <c r="F22" s="791">
        <v>0.68448441551500006</v>
      </c>
      <c r="G22" s="231" t="s">
        <v>1340</v>
      </c>
    </row>
    <row r="23" spans="1:7" ht="86.25">
      <c r="B23" s="871" t="s">
        <v>1341</v>
      </c>
      <c r="C23" s="317"/>
      <c r="D23" s="800"/>
      <c r="E23" s="319" t="str">
        <f>IF(D23="","",D23*F23/1000*'Reporting Year &amp; Inflation Adj.'!$F$9)</f>
        <v/>
      </c>
      <c r="F23" s="791">
        <v>0.44575522428999997</v>
      </c>
      <c r="G23" s="231" t="s">
        <v>1342</v>
      </c>
    </row>
    <row r="24" spans="1:7" ht="72">
      <c r="B24" s="871" t="s">
        <v>1343</v>
      </c>
      <c r="C24" s="317"/>
      <c r="D24" s="800"/>
      <c r="E24" s="319" t="str">
        <f>IF(D24="","",D24*F24/1000*'Reporting Year &amp; Inflation Adj.'!$F$9)</f>
        <v/>
      </c>
      <c r="F24" s="791">
        <v>0.57111774109000013</v>
      </c>
      <c r="G24" s="231" t="s">
        <v>1344</v>
      </c>
    </row>
    <row r="25" spans="1:7" ht="100.5">
      <c r="B25" s="871" t="s">
        <v>1363</v>
      </c>
      <c r="C25" s="317"/>
      <c r="D25" s="800"/>
      <c r="E25" s="319" t="str">
        <f>IF(D25="","",D25*F25/1000*'Reporting Year &amp; Inflation Adj.'!$F$9)</f>
        <v/>
      </c>
      <c r="F25" s="791">
        <v>0.49246690325000009</v>
      </c>
      <c r="G25" s="231" t="s">
        <v>4109</v>
      </c>
    </row>
    <row r="26" spans="1:7">
      <c r="B26" s="13"/>
      <c r="F26" s="246"/>
    </row>
    <row r="97" spans="2:6">
      <c r="B97" s="13"/>
      <c r="F97" s="246"/>
    </row>
  </sheetData>
  <sheetProtection algorithmName="SHA-512" hashValue="630dVEGASWwDAlyUq+6nvbUXUpm9yK6hK5a9lUgK0sp2YicTlinZWSXJC/niAY03yfYz/UcIrEcDzJ075mhHOQ==" saltValue="AYtjWsLS/D7eRa45daAfiw==" spinCount="100000" sheet="1" objects="1" scenario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C895-6340-489D-9B24-39E345974F87}">
  <sheetPr codeName="Sheet27">
    <tabColor theme="3" tint="0.59999389629810485"/>
  </sheetPr>
  <dimension ref="A1:M114"/>
  <sheetViews>
    <sheetView showGridLines="0" zoomScale="85" zoomScaleNormal="85" workbookViewId="0"/>
  </sheetViews>
  <sheetFormatPr defaultColWidth="8.875" defaultRowHeight="14.25"/>
  <cols>
    <col min="1" max="1" width="7" customWidth="1"/>
    <col min="2" max="2" width="44.625" customWidth="1"/>
    <col min="3" max="3" width="24" customWidth="1"/>
    <col min="4" max="4" width="22.125" customWidth="1"/>
    <col min="5" max="5" width="25.875" customWidth="1"/>
    <col min="6" max="6" width="23.625" customWidth="1"/>
    <col min="7" max="7" width="18.75" customWidth="1"/>
    <col min="8" max="8" width="21.625" customWidth="1"/>
    <col min="9" max="9" width="17.125" customWidth="1"/>
    <col min="10" max="10" width="22.25" customWidth="1"/>
    <col min="11" max="11" width="14.125" customWidth="1"/>
    <col min="12" max="12" width="11" customWidth="1"/>
    <col min="13" max="13" width="39.875" customWidth="1"/>
  </cols>
  <sheetData>
    <row r="1" spans="1:8" ht="20.25">
      <c r="A1" s="74" t="s">
        <v>1365</v>
      </c>
      <c r="B1" s="232"/>
      <c r="C1" s="232"/>
      <c r="D1" s="232"/>
      <c r="E1" s="232"/>
      <c r="F1" s="107"/>
      <c r="G1" s="107"/>
      <c r="H1" s="107"/>
    </row>
    <row r="2" spans="1:8">
      <c r="A2" s="198" t="s">
        <v>304</v>
      </c>
      <c r="B2" s="110"/>
      <c r="C2" s="110"/>
      <c r="D2" s="110"/>
      <c r="E2" s="110"/>
      <c r="F2" s="110"/>
      <c r="G2" s="110"/>
      <c r="H2" s="110"/>
    </row>
    <row r="3" spans="1:8">
      <c r="A3" s="112" t="s">
        <v>1366</v>
      </c>
      <c r="B3" s="110"/>
      <c r="C3" s="110"/>
      <c r="D3" s="110"/>
      <c r="E3" s="110"/>
      <c r="F3" s="110"/>
      <c r="G3" s="110"/>
      <c r="H3" s="110"/>
    </row>
    <row r="4" spans="1:8" ht="18.75" customHeight="1">
      <c r="A4" s="112" t="s">
        <v>1367</v>
      </c>
      <c r="B4" s="110"/>
      <c r="C4" s="110"/>
      <c r="D4" s="110"/>
      <c r="E4" s="110"/>
      <c r="F4" s="110"/>
      <c r="G4" s="110"/>
      <c r="H4" s="110"/>
    </row>
    <row r="5" spans="1:8">
      <c r="A5" s="199" t="s">
        <v>1368</v>
      </c>
      <c r="B5" s="110"/>
      <c r="C5" s="110"/>
      <c r="D5" s="110"/>
      <c r="E5" s="110"/>
      <c r="F5" s="110"/>
      <c r="G5" s="110"/>
      <c r="H5" s="110"/>
    </row>
    <row r="6" spans="1:8">
      <c r="A6" s="247" t="s">
        <v>72</v>
      </c>
      <c r="B6" s="110"/>
      <c r="C6" s="110"/>
      <c r="D6" s="110"/>
      <c r="E6" s="110"/>
      <c r="F6" s="110"/>
      <c r="G6" s="110"/>
      <c r="H6" s="110"/>
    </row>
    <row r="7" spans="1:8">
      <c r="A7" s="199" t="s">
        <v>1369</v>
      </c>
      <c r="B7" s="110"/>
      <c r="C7" s="110"/>
      <c r="D7" s="110"/>
      <c r="E7" s="110"/>
      <c r="F7" s="110"/>
      <c r="G7" s="110"/>
      <c r="H7" s="110"/>
    </row>
    <row r="8" spans="1:8">
      <c r="A8" s="199" t="s">
        <v>1370</v>
      </c>
      <c r="B8" s="110"/>
      <c r="C8" s="110"/>
      <c r="D8" s="110"/>
      <c r="E8" s="110"/>
      <c r="F8" s="243"/>
      <c r="G8" s="243"/>
      <c r="H8" s="243"/>
    </row>
    <row r="9" spans="1:8">
      <c r="A9" s="199" t="s">
        <v>1371</v>
      </c>
      <c r="B9" s="110"/>
      <c r="C9" s="110"/>
      <c r="D9" s="110"/>
      <c r="E9" s="110"/>
      <c r="F9" s="243"/>
      <c r="G9" s="243"/>
      <c r="H9" s="243"/>
    </row>
    <row r="10" spans="1:8">
      <c r="A10" s="247" t="s">
        <v>1372</v>
      </c>
      <c r="B10" s="110"/>
      <c r="C10" s="110"/>
      <c r="D10" s="110"/>
      <c r="E10" s="110"/>
      <c r="F10" s="243"/>
      <c r="G10" s="243"/>
      <c r="H10" s="243"/>
    </row>
    <row r="11" spans="1:8">
      <c r="A11" s="248" t="s">
        <v>1373</v>
      </c>
      <c r="B11" s="110"/>
      <c r="C11" s="110"/>
      <c r="D11" s="110"/>
      <c r="E11" s="110"/>
      <c r="F11" s="243"/>
      <c r="G11" s="243"/>
      <c r="H11" s="243"/>
    </row>
    <row r="12" spans="1:8">
      <c r="A12" s="248" t="s">
        <v>1374</v>
      </c>
      <c r="B12" s="110"/>
      <c r="C12" s="110"/>
      <c r="D12" s="110"/>
      <c r="E12" s="110"/>
      <c r="F12" s="243"/>
      <c r="G12" s="243"/>
      <c r="H12" s="243"/>
    </row>
    <row r="13" spans="1:8">
      <c r="A13" s="199" t="s">
        <v>1375</v>
      </c>
      <c r="B13" s="110"/>
      <c r="C13" s="110"/>
      <c r="D13" s="110"/>
      <c r="E13" s="110"/>
      <c r="F13" s="243"/>
      <c r="G13" s="243"/>
      <c r="H13" s="243"/>
    </row>
    <row r="14" spans="1:8">
      <c r="A14" s="199" t="s">
        <v>1376</v>
      </c>
      <c r="B14" s="110"/>
      <c r="C14" s="110"/>
      <c r="D14" s="110"/>
      <c r="E14" s="110"/>
      <c r="F14" s="243"/>
      <c r="G14" s="243"/>
      <c r="H14" s="243"/>
    </row>
    <row r="15" spans="1:8">
      <c r="A15" s="247" t="s">
        <v>1377</v>
      </c>
      <c r="B15" s="110"/>
      <c r="C15" s="110"/>
      <c r="D15" s="110"/>
      <c r="E15" s="110"/>
      <c r="F15" s="243"/>
      <c r="G15" s="243"/>
      <c r="H15" s="243"/>
    </row>
    <row r="16" spans="1:8">
      <c r="A16" s="199" t="s">
        <v>1378</v>
      </c>
      <c r="B16" s="110"/>
      <c r="C16" s="110"/>
      <c r="D16" s="110"/>
      <c r="E16" s="110"/>
      <c r="F16" s="243"/>
      <c r="G16" s="243"/>
      <c r="H16" s="243"/>
    </row>
    <row r="17" spans="1:8">
      <c r="A17" s="248" t="s">
        <v>1379</v>
      </c>
      <c r="B17" s="110"/>
      <c r="C17" s="110"/>
      <c r="D17" s="110"/>
      <c r="E17" s="110"/>
      <c r="F17" s="243"/>
      <c r="G17" s="243"/>
      <c r="H17" s="243"/>
    </row>
    <row r="18" spans="1:8">
      <c r="A18" s="247"/>
      <c r="B18" s="110"/>
      <c r="C18" s="110"/>
      <c r="D18" s="110"/>
      <c r="E18" s="110"/>
      <c r="F18" s="243"/>
      <c r="G18" s="243"/>
      <c r="H18" s="243"/>
    </row>
    <row r="19" spans="1:8">
      <c r="A19" s="244"/>
      <c r="F19" s="233"/>
    </row>
    <row r="20" spans="1:8">
      <c r="A20" s="244"/>
      <c r="F20" s="233"/>
    </row>
    <row r="21" spans="1:8">
      <c r="A21" s="244"/>
      <c r="F21" s="233"/>
    </row>
    <row r="22" spans="1:8">
      <c r="A22" s="244"/>
      <c r="F22" s="233"/>
    </row>
    <row r="23" spans="1:8">
      <c r="A23" s="244"/>
      <c r="F23" s="233"/>
    </row>
    <row r="24" spans="1:8">
      <c r="A24" s="244"/>
      <c r="F24" s="233"/>
    </row>
    <row r="25" spans="1:8">
      <c r="A25" s="244"/>
      <c r="F25" s="233"/>
    </row>
    <row r="26" spans="1:8">
      <c r="A26" s="244"/>
      <c r="F26" s="233"/>
    </row>
    <row r="27" spans="1:8">
      <c r="A27" s="244"/>
      <c r="F27" s="233"/>
    </row>
    <row r="28" spans="1:8">
      <c r="A28" s="244"/>
      <c r="F28" s="233"/>
    </row>
    <row r="29" spans="1:8">
      <c r="A29" s="244"/>
      <c r="F29" s="233"/>
    </row>
    <row r="30" spans="1:8">
      <c r="A30" s="244"/>
      <c r="F30" s="233"/>
    </row>
    <row r="31" spans="1:8">
      <c r="A31" s="244"/>
      <c r="F31" s="233"/>
    </row>
    <row r="32" spans="1:8">
      <c r="A32" s="244"/>
      <c r="F32" s="233"/>
    </row>
    <row r="33" spans="1:11">
      <c r="A33" s="244"/>
      <c r="D33" s="1565" t="s">
        <v>4206</v>
      </c>
      <c r="F33" s="233"/>
    </row>
    <row r="34" spans="1:11" ht="18.75">
      <c r="A34" s="203" t="s">
        <v>1380</v>
      </c>
      <c r="D34" s="1565"/>
      <c r="E34" s="246"/>
      <c r="F34" s="13"/>
    </row>
    <row r="35" spans="1:11" ht="9" customHeight="1">
      <c r="A35" s="203"/>
      <c r="D35" s="808"/>
      <c r="E35" s="246"/>
      <c r="F35" s="13"/>
    </row>
    <row r="36" spans="1:11" ht="15.75">
      <c r="A36" s="245"/>
      <c r="B36" s="224" t="s">
        <v>312</v>
      </c>
      <c r="C36" s="224" t="s">
        <v>312</v>
      </c>
      <c r="D36" s="224" t="s">
        <v>312</v>
      </c>
      <c r="E36" s="224" t="s">
        <v>312</v>
      </c>
      <c r="F36" s="13"/>
    </row>
    <row r="37" spans="1:11" ht="46.5" customHeight="1">
      <c r="A37" s="205" t="s">
        <v>1238</v>
      </c>
      <c r="B37" s="206" t="s">
        <v>319</v>
      </c>
      <c r="C37" s="216" t="s">
        <v>4337</v>
      </c>
      <c r="D37" s="216" t="s">
        <v>4338</v>
      </c>
      <c r="E37" s="205" t="s">
        <v>1283</v>
      </c>
      <c r="F37" s="216" t="s">
        <v>1381</v>
      </c>
      <c r="G37" s="205" t="s">
        <v>322</v>
      </c>
    </row>
    <row r="38" spans="1:11" ht="19.5" customHeight="1">
      <c r="A38" s="207">
        <v>1</v>
      </c>
      <c r="B38" s="147" t="s">
        <v>1242</v>
      </c>
      <c r="C38" s="147" t="s">
        <v>39</v>
      </c>
      <c r="D38" s="147" t="s">
        <v>299</v>
      </c>
      <c r="E38" s="925">
        <v>50000</v>
      </c>
      <c r="F38" s="926">
        <f>IF(E38="","",IFERROR(VLOOKUP(_xlfn.CONCAT(C38,D38),'DESNZ Cat 6-9'!$B$5:$M$13,11,FALSE)+VLOOKUP(_xlfn.CONCAT(C38,D38),'DESNZ Cat 6-9'!$B$5:$M$13,12,FALSE),"")+N("WtT + TtW DESNZ factors"))</f>
        <v>0.15074841644204851</v>
      </c>
      <c r="G38" s="171">
        <f>IFERROR(F38*E38*'Reporting Year &amp; Inflation Adj.'!$F$9/1000,"")</f>
        <v>7.3112981974393527</v>
      </c>
      <c r="I38" s="1561" t="s">
        <v>1382</v>
      </c>
      <c r="J38" s="1561"/>
    </row>
    <row r="39" spans="1:11" ht="15" customHeight="1">
      <c r="A39" s="207">
        <v>2</v>
      </c>
      <c r="B39" s="150"/>
      <c r="C39" s="150"/>
      <c r="D39" s="150"/>
      <c r="E39" s="159"/>
      <c r="F39" s="926" t="str">
        <f>IF(E39="","",IFERROR(VLOOKUP(_xlfn.CONCAT(C39,D39),'DESNZ Cat 6-9'!$B$5:$M$13,11,FALSE)+VLOOKUP(_xlfn.CONCAT(C39,D39),'DESNZ Cat 6-9'!$B$5:$M$13,12,FALSE),"")+N("WtT + TtW DESNZ factors"))</f>
        <v/>
      </c>
      <c r="G39" s="172" t="str">
        <f>IFERROR(F39*E39*'Reporting Year &amp; Inflation Adj.'!$F$9/1000,"")</f>
        <v/>
      </c>
      <c r="I39" s="1566" t="s">
        <v>4021</v>
      </c>
      <c r="J39" s="1566"/>
      <c r="K39" s="373"/>
    </row>
    <row r="40" spans="1:11" ht="15">
      <c r="A40" s="207">
        <v>3</v>
      </c>
      <c r="B40" s="150"/>
      <c r="C40" s="150"/>
      <c r="D40" s="150"/>
      <c r="E40" s="159"/>
      <c r="F40" s="926" t="str">
        <f>IF(E40="","",IFERROR(VLOOKUP(_xlfn.CONCAT(C40,D40),'DESNZ Cat 6-9'!$B$5:$M$13,11,FALSE)+VLOOKUP(_xlfn.CONCAT(C40,D40),'DESNZ Cat 6-9'!$B$5:$M$13,12,FALSE),"")+N("WtT + TtW DESNZ factors"))</f>
        <v/>
      </c>
      <c r="G40" s="172" t="str">
        <f>IFERROR(F40*E40*'Reporting Year &amp; Inflation Adj.'!$F$9/1000,"")</f>
        <v/>
      </c>
      <c r="I40" s="1566" t="s">
        <v>4020</v>
      </c>
      <c r="J40" s="1566"/>
      <c r="K40" s="373"/>
    </row>
    <row r="41" spans="1:11" ht="15">
      <c r="A41" s="207">
        <v>4</v>
      </c>
      <c r="B41" s="150"/>
      <c r="C41" s="150"/>
      <c r="D41" s="150"/>
      <c r="E41" s="159"/>
      <c r="F41" s="926" t="str">
        <f>IF(E41="","",IFERROR(VLOOKUP(_xlfn.CONCAT(C41,D41),'DESNZ Cat 6-9'!$B$5:$M$13,11,FALSE)+VLOOKUP(_xlfn.CONCAT(C41,D41),'DESNZ Cat 6-9'!$B$5:$M$13,12,FALSE),"")+N("WtT + TtW DESNZ factors"))</f>
        <v/>
      </c>
      <c r="G41" s="172" t="str">
        <f>IFERROR(F41*E41*'Reporting Year &amp; Inflation Adj.'!$F$9/1000,"")</f>
        <v/>
      </c>
      <c r="I41" s="1566" t="s">
        <v>4022</v>
      </c>
      <c r="J41" s="1566"/>
      <c r="K41" s="373"/>
    </row>
    <row r="42" spans="1:11" ht="15">
      <c r="A42" s="207">
        <v>5</v>
      </c>
      <c r="B42" s="150"/>
      <c r="C42" s="150"/>
      <c r="D42" s="150"/>
      <c r="E42" s="159"/>
      <c r="F42" s="926" t="str">
        <f>IF(E42="","",IFERROR(VLOOKUP(_xlfn.CONCAT(C42,D42),'DESNZ Cat 6-9'!$B$5:$M$13,11,FALSE)+VLOOKUP(_xlfn.CONCAT(C42,D42),'DESNZ Cat 6-9'!$B$5:$M$13,12,FALSE),"")+N("WtT + TtW DESNZ factors"))</f>
        <v/>
      </c>
      <c r="G42" s="172" t="str">
        <f>IFERROR(F42*E42*'Reporting Year &amp; Inflation Adj.'!$F$9/1000,"")</f>
        <v/>
      </c>
      <c r="I42" s="373"/>
      <c r="J42" s="373"/>
      <c r="K42" s="373"/>
    </row>
    <row r="43" spans="1:11" ht="15">
      <c r="A43" s="207">
        <v>6</v>
      </c>
      <c r="B43" s="150"/>
      <c r="C43" s="150"/>
      <c r="D43" s="150"/>
      <c r="E43" s="159"/>
      <c r="F43" s="926" t="str">
        <f>IF(E43="","",IFERROR(VLOOKUP(_xlfn.CONCAT(C43,D43),'DESNZ Cat 6-9'!$B$5:$M$13,11,FALSE)+VLOOKUP(_xlfn.CONCAT(C43,D43),'DESNZ Cat 6-9'!$B$5:$M$13,12,FALSE),"")+N("WtT + TtW DESNZ factors"))</f>
        <v/>
      </c>
      <c r="G43" s="172" t="str">
        <f>IFERROR(F43*E43*'Reporting Year &amp; Inflation Adj.'!$F$9/1000,"")</f>
        <v/>
      </c>
      <c r="I43" s="373"/>
      <c r="J43" s="373"/>
      <c r="K43" s="373"/>
    </row>
    <row r="44" spans="1:11" ht="15">
      <c r="A44" s="207">
        <v>7</v>
      </c>
      <c r="B44" s="150"/>
      <c r="C44" s="150"/>
      <c r="D44" s="150"/>
      <c r="E44" s="159"/>
      <c r="F44" s="926" t="str">
        <f>IF(E44="","",IFERROR(VLOOKUP(_xlfn.CONCAT(C44,D44),'DESNZ Cat 6-9'!$B$5:$M$13,11,FALSE)+VLOOKUP(_xlfn.CONCAT(C44,D44),'DESNZ Cat 6-9'!$B$5:$M$13,12,FALSE),"")+N("WtT + TtW DESNZ factors"))</f>
        <v/>
      </c>
      <c r="G44" s="172" t="str">
        <f>IFERROR(F44*E44*'Reporting Year &amp; Inflation Adj.'!$F$9/1000,"")</f>
        <v/>
      </c>
    </row>
    <row r="45" spans="1:11" ht="15">
      <c r="A45" s="207">
        <v>8</v>
      </c>
      <c r="B45" s="150"/>
      <c r="C45" s="150"/>
      <c r="D45" s="150"/>
      <c r="E45" s="159"/>
      <c r="F45" s="926" t="str">
        <f>IF(E45="","",IFERROR(VLOOKUP(_xlfn.CONCAT(C45,D45),'DESNZ Cat 6-9'!$B$5:$M$13,11,FALSE)+VLOOKUP(_xlfn.CONCAT(C45,D45),'DESNZ Cat 6-9'!$B$5:$M$13,12,FALSE),"")+N("WtT + TtW DESNZ factors"))</f>
        <v/>
      </c>
      <c r="G45" s="172" t="str">
        <f>IFERROR(F45*E45*'Reporting Year &amp; Inflation Adj.'!$F$9/1000,"")</f>
        <v/>
      </c>
    </row>
    <row r="46" spans="1:11" ht="15">
      <c r="A46" s="207">
        <v>9</v>
      </c>
      <c r="B46" s="150"/>
      <c r="C46" s="150"/>
      <c r="D46" s="150"/>
      <c r="E46" s="159"/>
      <c r="F46" s="926" t="str">
        <f>IF(E46="","",IFERROR(VLOOKUP(_xlfn.CONCAT(C46,D46),'DESNZ Cat 6-9'!$B$5:$M$13,11,FALSE)+VLOOKUP(_xlfn.CONCAT(C46,D46),'DESNZ Cat 6-9'!$B$5:$M$13,12,FALSE),"")+N("WtT + TtW DESNZ factors"))</f>
        <v/>
      </c>
      <c r="G46" s="172" t="str">
        <f>IFERROR(F46*E46*'Reporting Year &amp; Inflation Adj.'!$F$9/1000,"")</f>
        <v/>
      </c>
    </row>
    <row r="47" spans="1:11" ht="15">
      <c r="A47" s="207">
        <v>10</v>
      </c>
      <c r="B47" s="150"/>
      <c r="C47" s="150"/>
      <c r="D47" s="150"/>
      <c r="E47" s="159"/>
      <c r="F47" s="926" t="str">
        <f>IF(E47="","",IFERROR(VLOOKUP(_xlfn.CONCAT(C47,D47),'DESNZ Cat 6-9'!$B$5:$M$13,11,FALSE)+VLOOKUP(_xlfn.CONCAT(C47,D47),'DESNZ Cat 6-9'!$B$5:$M$13,12,FALSE),"")+N("WtT + TtW DESNZ factors"))</f>
        <v/>
      </c>
      <c r="G47" s="172" t="str">
        <f>IFERROR(F47*E47*'Reporting Year &amp; Inflation Adj.'!$F$9/1000,"")</f>
        <v/>
      </c>
    </row>
    <row r="48" spans="1:11" ht="15">
      <c r="A48" s="207">
        <v>11</v>
      </c>
      <c r="B48" s="150"/>
      <c r="C48" s="150"/>
      <c r="D48" s="150"/>
      <c r="E48" s="159"/>
      <c r="F48" s="926" t="str">
        <f>IF(E48="","",IFERROR(VLOOKUP(_xlfn.CONCAT(C48,D48),'DESNZ Cat 6-9'!$B$5:$M$13,11,FALSE)+VLOOKUP(_xlfn.CONCAT(C48,D48),'DESNZ Cat 6-9'!$B$5:$M$13,12,FALSE),"")+N("WtT + TtW DESNZ factors"))</f>
        <v/>
      </c>
      <c r="G48" s="172" t="str">
        <f>IFERROR(F48*E48*'Reporting Year &amp; Inflation Adj.'!$F$9/1000,"")</f>
        <v/>
      </c>
    </row>
    <row r="49" spans="1:7" ht="15">
      <c r="A49" s="207">
        <v>12</v>
      </c>
      <c r="B49" s="150"/>
      <c r="C49" s="150"/>
      <c r="D49" s="150"/>
      <c r="E49" s="159"/>
      <c r="F49" s="926" t="str">
        <f>IF(E49="","",IFERROR(VLOOKUP(_xlfn.CONCAT(C49,D49),'DESNZ Cat 6-9'!$B$5:$M$13,11,FALSE)+VLOOKUP(_xlfn.CONCAT(C49,D49),'DESNZ Cat 6-9'!$B$5:$M$13,12,FALSE),"")+N("WtT + TtW DESNZ factors"))</f>
        <v/>
      </c>
      <c r="G49" s="172" t="str">
        <f>IFERROR(F49*E49*'Reporting Year &amp; Inflation Adj.'!$F$9/1000,"")</f>
        <v/>
      </c>
    </row>
    <row r="50" spans="1:7" ht="15">
      <c r="A50" s="207">
        <v>13</v>
      </c>
      <c r="B50" s="150"/>
      <c r="C50" s="150"/>
      <c r="D50" s="150"/>
      <c r="E50" s="159"/>
      <c r="F50" s="926" t="str">
        <f>IF(E50="","",IFERROR(VLOOKUP(_xlfn.CONCAT(C50,D50),'DESNZ Cat 6-9'!$B$5:$M$13,11,FALSE)+VLOOKUP(_xlfn.CONCAT(C50,D50),'DESNZ Cat 6-9'!$B$5:$M$13,12,FALSE),"")+N("WtT + TtW DESNZ factors"))</f>
        <v/>
      </c>
      <c r="G50" s="172" t="str">
        <f>IFERROR(F50*E50*'Reporting Year &amp; Inflation Adj.'!$F$9/1000,"")</f>
        <v/>
      </c>
    </row>
    <row r="51" spans="1:7" ht="15">
      <c r="A51" s="207">
        <v>14</v>
      </c>
      <c r="B51" s="150"/>
      <c r="C51" s="150"/>
      <c r="D51" s="150"/>
      <c r="E51" s="159"/>
      <c r="F51" s="926" t="str">
        <f>IF(E51="","",IFERROR(VLOOKUP(_xlfn.CONCAT(C51,D51),'DESNZ Cat 6-9'!$B$5:$M$13,11,FALSE)+VLOOKUP(_xlfn.CONCAT(C51,D51),'DESNZ Cat 6-9'!$B$5:$M$13,12,FALSE),"")+N("WtT + TtW DESNZ factors"))</f>
        <v/>
      </c>
      <c r="G51" s="172" t="str">
        <f>IFERROR(F51*E51*'Reporting Year &amp; Inflation Adj.'!$F$9/1000,"")</f>
        <v/>
      </c>
    </row>
    <row r="52" spans="1:7" ht="15">
      <c r="A52" s="207">
        <v>15</v>
      </c>
      <c r="B52" s="150"/>
      <c r="C52" s="150"/>
      <c r="D52" s="150"/>
      <c r="E52" s="159"/>
      <c r="F52" s="926" t="str">
        <f>IF(E52="","",IFERROR(VLOOKUP(_xlfn.CONCAT(C52,D52),'DESNZ Cat 6-9'!$B$5:$M$13,11,FALSE)+VLOOKUP(_xlfn.CONCAT(C52,D52),'DESNZ Cat 6-9'!$B$5:$M$13,12,FALSE),"")+N("WtT + TtW DESNZ factors"))</f>
        <v/>
      </c>
      <c r="G52" s="172" t="str">
        <f>IFERROR(F52*E52*'Reporting Year &amp; Inflation Adj.'!$F$9/1000,"")</f>
        <v/>
      </c>
    </row>
    <row r="53" spans="1:7" ht="15">
      <c r="A53" s="207">
        <v>16</v>
      </c>
      <c r="B53" s="150"/>
      <c r="C53" s="150"/>
      <c r="D53" s="150"/>
      <c r="E53" s="159"/>
      <c r="F53" s="926" t="str">
        <f>IF(E53="","",IFERROR(VLOOKUP(_xlfn.CONCAT(C53,D53),'DESNZ Cat 6-9'!$B$5:$M$13,11,FALSE)+VLOOKUP(_xlfn.CONCAT(C53,D53),'DESNZ Cat 6-9'!$B$5:$M$13,12,FALSE),"")+N("WtT + TtW DESNZ factors"))</f>
        <v/>
      </c>
      <c r="G53" s="172" t="str">
        <f>IFERROR(F53*E53*'Reporting Year &amp; Inflation Adj.'!$F$9/1000,"")</f>
        <v/>
      </c>
    </row>
    <row r="54" spans="1:7" ht="15">
      <c r="A54" s="207">
        <v>17</v>
      </c>
      <c r="B54" s="150"/>
      <c r="C54" s="150"/>
      <c r="D54" s="150"/>
      <c r="E54" s="159"/>
      <c r="F54" s="926" t="str">
        <f>IF(E54="","",IFERROR(VLOOKUP(_xlfn.CONCAT(C54,D54),'DESNZ Cat 6-9'!$B$5:$M$13,11,FALSE)+VLOOKUP(_xlfn.CONCAT(C54,D54),'DESNZ Cat 6-9'!$B$5:$M$13,12,FALSE),"")+N("WtT + TtW DESNZ factors"))</f>
        <v/>
      </c>
      <c r="G54" s="172" t="str">
        <f>IFERROR(F54*E54*'Reporting Year &amp; Inflation Adj.'!$F$9/1000,"")</f>
        <v/>
      </c>
    </row>
    <row r="55" spans="1:7" ht="15">
      <c r="A55" s="207">
        <v>18</v>
      </c>
      <c r="B55" s="150"/>
      <c r="C55" s="150"/>
      <c r="D55" s="150"/>
      <c r="E55" s="159"/>
      <c r="F55" s="926" t="str">
        <f>IF(E55="","",IFERROR(VLOOKUP(_xlfn.CONCAT(C55,D55),'DESNZ Cat 6-9'!$B$5:$M$13,11,FALSE)+VLOOKUP(_xlfn.CONCAT(C55,D55),'DESNZ Cat 6-9'!$B$5:$M$13,12,FALSE),"")+N("WtT + TtW DESNZ factors"))</f>
        <v/>
      </c>
      <c r="G55" s="172" t="str">
        <f>IFERROR(F55*E55*'Reporting Year &amp; Inflation Adj.'!$F$9/1000,"")</f>
        <v/>
      </c>
    </row>
    <row r="56" spans="1:7" ht="15">
      <c r="A56" s="207">
        <v>19</v>
      </c>
      <c r="B56" s="150"/>
      <c r="C56" s="150"/>
      <c r="D56" s="150"/>
      <c r="E56" s="159"/>
      <c r="F56" s="926" t="str">
        <f>IF(E56="","",IFERROR(VLOOKUP(_xlfn.CONCAT(C56,D56),'DESNZ Cat 6-9'!$B$5:$M$13,11,FALSE)+VLOOKUP(_xlfn.CONCAT(C56,D56),'DESNZ Cat 6-9'!$B$5:$M$13,12,FALSE),"")+N("WtT + TtW DESNZ factors"))</f>
        <v/>
      </c>
      <c r="G56" s="172" t="str">
        <f>IFERROR(F56*E56*'Reporting Year &amp; Inflation Adj.'!$F$9/1000,"")</f>
        <v/>
      </c>
    </row>
    <row r="57" spans="1:7" ht="15.75" thickBot="1">
      <c r="A57" s="207">
        <v>20</v>
      </c>
      <c r="B57" s="150"/>
      <c r="C57" s="150"/>
      <c r="D57" s="150"/>
      <c r="E57" s="159"/>
      <c r="F57" s="926" t="str">
        <f>IF(E57="","",IFERROR(VLOOKUP(_xlfn.CONCAT(C57,D57),'DESNZ Cat 6-9'!$B$5:$M$13,11,FALSE)+VLOOKUP(_xlfn.CONCAT(C57,D57),'DESNZ Cat 6-9'!$B$5:$M$13,12,FALSE),"")+N("WtT + TtW DESNZ factors"))</f>
        <v/>
      </c>
      <c r="G57" s="172" t="str">
        <f>IFERROR(F57*E57*'Reporting Year &amp; Inflation Adj.'!$F$9/1000,"")</f>
        <v/>
      </c>
    </row>
    <row r="58" spans="1:7" ht="15" thickBot="1">
      <c r="F58" s="218" t="s">
        <v>1268</v>
      </c>
      <c r="G58" s="179">
        <f>SUM(G39:G57)</f>
        <v>0</v>
      </c>
    </row>
    <row r="59" spans="1:7">
      <c r="F59" s="246"/>
      <c r="G59" s="13"/>
    </row>
    <row r="60" spans="1:7" ht="18.75">
      <c r="A60" s="203" t="s">
        <v>1383</v>
      </c>
      <c r="E60" s="246"/>
      <c r="F60" s="13"/>
    </row>
    <row r="61" spans="1:7">
      <c r="A61" s="204" t="s">
        <v>1237</v>
      </c>
      <c r="E61" s="246"/>
      <c r="F61" s="13"/>
      <c r="G61" s="75"/>
    </row>
    <row r="62" spans="1:7">
      <c r="A62" s="236" t="s">
        <v>4205</v>
      </c>
      <c r="E62" s="246"/>
      <c r="F62" s="13"/>
    </row>
    <row r="63" spans="1:7" ht="9" customHeight="1">
      <c r="A63" s="236"/>
      <c r="E63" s="246"/>
      <c r="F63" s="13"/>
    </row>
    <row r="64" spans="1:7" ht="15.75">
      <c r="A64" s="245"/>
      <c r="B64" s="224" t="s">
        <v>312</v>
      </c>
      <c r="C64" s="224" t="s">
        <v>312</v>
      </c>
      <c r="D64" s="224" t="s">
        <v>312</v>
      </c>
      <c r="E64" s="224" t="s">
        <v>312</v>
      </c>
      <c r="F64" s="224" t="s">
        <v>312</v>
      </c>
    </row>
    <row r="65" spans="1:13" ht="55.5" customHeight="1">
      <c r="A65" s="205" t="s">
        <v>1238</v>
      </c>
      <c r="B65" s="206" t="s">
        <v>319</v>
      </c>
      <c r="C65" s="216" t="s">
        <v>4333</v>
      </c>
      <c r="D65" s="216" t="s">
        <v>4334</v>
      </c>
      <c r="E65" s="216" t="s">
        <v>4335</v>
      </c>
      <c r="F65" s="205" t="s">
        <v>1283</v>
      </c>
      <c r="G65" s="216" t="s">
        <v>1284</v>
      </c>
      <c r="H65" s="205" t="s">
        <v>322</v>
      </c>
    </row>
    <row r="66" spans="1:13" ht="15">
      <c r="A66" s="207">
        <v>1</v>
      </c>
      <c r="B66" s="147" t="s">
        <v>1242</v>
      </c>
      <c r="C66" s="147" t="s">
        <v>270</v>
      </c>
      <c r="D66" s="147" t="s">
        <v>284</v>
      </c>
      <c r="E66" s="147" t="s">
        <v>17</v>
      </c>
      <c r="F66" s="148">
        <v>50000</v>
      </c>
      <c r="G66" s="171">
        <f>IFERROR(IF(C66="Cars_by_market_segment",VLOOKUP(_xlfn.CONCAT(C66,D66,E66),'DESNZ Cat 6-9'!$B$14:$M$82,11,FALSE)+VLOOKUP(_xlfn.CONCAT(C66,D66,E66),'DESNZ Cat 6-9'!$B$14:$M$82,12,FALSE),VLOOKUP(C66,'DESNZ Cat 6-9'!$Q$41:$S$44,2,FALSE)+VLOOKUP(C66,'DESNZ Cat 6-9'!$Q$41:$S$44,3,FALSE)),"")</f>
        <v>0.37048234097035038</v>
      </c>
      <c r="H66" s="171">
        <f>IFERROR(IF(F66="","",G66*F66/1000),"")</f>
        <v>18.524117048517518</v>
      </c>
    </row>
    <row r="67" spans="1:13" ht="15.75" thickBot="1">
      <c r="A67" s="207">
        <v>2</v>
      </c>
      <c r="B67" s="150"/>
      <c r="C67" s="150"/>
      <c r="D67" s="150"/>
      <c r="E67" s="150"/>
      <c r="F67" s="151"/>
      <c r="G67" s="172" t="str">
        <f>IFERROR(IF(C67="Cars_by_market_segment",VLOOKUP(_xlfn.CONCAT(C67,D67,E67),'DESNZ Cat 6-9'!$B$14:$M$82,11,FALSE)+VLOOKUP(_xlfn.CONCAT(C67,D67,E67),'DESNZ Cat 6-9'!$B$14:$M$82,12,FALSE),VLOOKUP(C67,'DESNZ Cat 6-9'!$Q$41:$S$44,2,FALSE)+VLOOKUP(C67,'DESNZ Cat 6-9'!$Q$41:$S$44,3,FALSE)),"")</f>
        <v/>
      </c>
      <c r="H67" s="172" t="str">
        <f>IFERROR(IF(F67="","",G67*F67/1000),"")</f>
        <v/>
      </c>
    </row>
    <row r="68" spans="1:13" ht="15.75" thickBot="1">
      <c r="A68" s="207">
        <v>3</v>
      </c>
      <c r="B68" s="150"/>
      <c r="C68" s="150"/>
      <c r="D68" s="150"/>
      <c r="E68" s="150"/>
      <c r="F68" s="151"/>
      <c r="G68" s="172" t="str">
        <f>IFERROR(IF(C68="Cars_by_market_segment",VLOOKUP(_xlfn.CONCAT(C68,D68,E68),'DESNZ Cat 6-9'!$B$14:$M$82,11,FALSE)+VLOOKUP(_xlfn.CONCAT(C68,D68,E68),'DESNZ Cat 6-9'!$B$14:$M$82,12,FALSE),VLOOKUP(C68,'DESNZ Cat 6-9'!$Q$41:$S$44,2,FALSE)+VLOOKUP(C68,'DESNZ Cat 6-9'!$Q$41:$S$44,3,FALSE)),"")</f>
        <v/>
      </c>
      <c r="H68" s="172" t="str">
        <f t="shared" ref="H68:H85" si="0">IFERROR(IF(F68="","",G68*F68/1000),"")</f>
        <v/>
      </c>
      <c r="J68" s="1562" t="s">
        <v>1285</v>
      </c>
      <c r="K68" s="1563"/>
      <c r="L68" s="1564"/>
    </row>
    <row r="69" spans="1:13" ht="60">
      <c r="A69" s="207">
        <v>4</v>
      </c>
      <c r="B69" s="150"/>
      <c r="C69" s="150"/>
      <c r="D69" s="150"/>
      <c r="E69" s="150"/>
      <c r="F69" s="151"/>
      <c r="G69" s="172" t="str">
        <f>IFERROR(IF(C69="Cars_by_market_segment",VLOOKUP(_xlfn.CONCAT(C69,D69,E69),'DESNZ Cat 6-9'!$B$14:$M$82,11,FALSE)+VLOOKUP(_xlfn.CONCAT(C69,D69,E69),'DESNZ Cat 6-9'!$B$14:$M$82,12,FALSE),VLOOKUP(C69,'DESNZ Cat 6-9'!$Q$41:$S$44,2,FALSE)+VLOOKUP(C69,'DESNZ Cat 6-9'!$Q$41:$S$44,3,FALSE)),"")</f>
        <v/>
      </c>
      <c r="H69" s="172" t="str">
        <f t="shared" si="0"/>
        <v/>
      </c>
      <c r="J69" s="817" t="s">
        <v>1286</v>
      </c>
      <c r="K69" s="818" t="s">
        <v>1287</v>
      </c>
      <c r="L69" s="819" t="s">
        <v>4027</v>
      </c>
      <c r="M69" s="820" t="s">
        <v>1288</v>
      </c>
    </row>
    <row r="70" spans="1:13" ht="15">
      <c r="A70" s="207">
        <v>5</v>
      </c>
      <c r="B70" s="150"/>
      <c r="C70" s="150"/>
      <c r="D70" s="150"/>
      <c r="E70" s="150"/>
      <c r="F70" s="151"/>
      <c r="G70" s="172" t="str">
        <f>IFERROR(IF(C70="Cars_by_market_segment",VLOOKUP(_xlfn.CONCAT(C70,D70,E70),'DESNZ Cat 6-9'!$B$14:$M$82,11,FALSE)+VLOOKUP(_xlfn.CONCAT(C70,D70,E70),'DESNZ Cat 6-9'!$B$14:$M$82,12,FALSE),VLOOKUP(C70,'DESNZ Cat 6-9'!$Q$41:$S$44,2,FALSE)+VLOOKUP(C70,'DESNZ Cat 6-9'!$Q$41:$S$44,3,FALSE)),"")</f>
        <v/>
      </c>
      <c r="H70" s="172" t="str">
        <f t="shared" si="0"/>
        <v/>
      </c>
      <c r="J70" s="173" t="s">
        <v>281</v>
      </c>
      <c r="K70" s="10">
        <f t="shared" ref="K70:K78" si="1">RANK(L70,$L$70:$L$78)</f>
        <v>1</v>
      </c>
      <c r="L70" s="816">
        <f>VLOOKUP(J70,'DESNZ Cat 6-9'!$Q$31:$S$39,2,FALSE)+VLOOKUP(J70,'DESNZ Cat 6-9'!$Q$31:$S$39,3,FALSE)</f>
        <v>0.6193734678389925</v>
      </c>
      <c r="M70" s="174" t="s">
        <v>1289</v>
      </c>
    </row>
    <row r="71" spans="1:13" ht="29.25">
      <c r="A71" s="207">
        <v>6</v>
      </c>
      <c r="B71" s="150"/>
      <c r="C71" s="150"/>
      <c r="D71" s="150"/>
      <c r="E71" s="150"/>
      <c r="F71" s="151"/>
      <c r="G71" s="172" t="str">
        <f>IFERROR(IF(C71="Cars_by_market_segment",VLOOKUP(_xlfn.CONCAT(C71,D71,E71),'DESNZ Cat 6-9'!$B$14:$M$82,11,FALSE)+VLOOKUP(_xlfn.CONCAT(C71,D71,E71),'DESNZ Cat 6-9'!$B$14:$M$82,12,FALSE),VLOOKUP(C71,'DESNZ Cat 6-9'!$Q$41:$S$44,2,FALSE)+VLOOKUP(C71,'DESNZ Cat 6-9'!$Q$41:$S$44,3,FALSE)),"")</f>
        <v/>
      </c>
      <c r="H71" s="172" t="str">
        <f t="shared" si="0"/>
        <v/>
      </c>
      <c r="J71" s="173" t="s">
        <v>274</v>
      </c>
      <c r="K71" s="10">
        <f t="shared" si="1"/>
        <v>4</v>
      </c>
      <c r="L71" s="816">
        <f>VLOOKUP(J71,'DESNZ Cat 6-9'!$Q$31:$S$39,2,FALSE)+VLOOKUP(J71,'DESNZ Cat 6-9'!$Q$31:$S$39,3,FALSE)</f>
        <v>0.39192899666419978</v>
      </c>
      <c r="M71" s="174" t="s">
        <v>1291</v>
      </c>
    </row>
    <row r="72" spans="1:13" ht="43.5">
      <c r="A72" s="207">
        <v>7</v>
      </c>
      <c r="B72" s="150"/>
      <c r="C72" s="150"/>
      <c r="D72" s="150"/>
      <c r="E72" s="150"/>
      <c r="F72" s="151"/>
      <c r="G72" s="172" t="str">
        <f>IFERROR(IF(C72="Cars_by_market_segment",VLOOKUP(_xlfn.CONCAT(C72,D72,E72),'DESNZ Cat 6-9'!$B$14:$M$82,11,FALSE)+VLOOKUP(_xlfn.CONCAT(C72,D72,E72),'DESNZ Cat 6-9'!$B$14:$M$82,12,FALSE),VLOOKUP(C72,'DESNZ Cat 6-9'!$Q$41:$S$44,2,FALSE)+VLOOKUP(C72,'DESNZ Cat 6-9'!$Q$41:$S$44,3,FALSE)),"")</f>
        <v/>
      </c>
      <c r="H72" s="172" t="str">
        <f t="shared" si="0"/>
        <v/>
      </c>
      <c r="J72" s="173" t="s">
        <v>283</v>
      </c>
      <c r="K72" s="10">
        <f t="shared" si="1"/>
        <v>2</v>
      </c>
      <c r="L72" s="816">
        <f>VLOOKUP(J72,'DESNZ Cat 6-9'!$Q$31:$S$39,2,FALSE)+VLOOKUP(J72,'DESNZ Cat 6-9'!$Q$31:$S$39,3,FALSE)</f>
        <v>0.47078825676359881</v>
      </c>
      <c r="M72" s="174" t="s">
        <v>1290</v>
      </c>
    </row>
    <row r="73" spans="1:13" ht="15">
      <c r="A73" s="207">
        <v>8</v>
      </c>
      <c r="B73" s="150"/>
      <c r="C73" s="150"/>
      <c r="D73" s="150"/>
      <c r="E73" s="150"/>
      <c r="F73" s="151"/>
      <c r="G73" s="172" t="str">
        <f>IFERROR(IF(C73="Cars_by_market_segment",VLOOKUP(_xlfn.CONCAT(C73,D73,E73),'DESNZ Cat 6-9'!$B$14:$M$82,11,FALSE)+VLOOKUP(_xlfn.CONCAT(C73,D73,E73),'DESNZ Cat 6-9'!$B$14:$M$82,12,FALSE),VLOOKUP(C73,'DESNZ Cat 6-9'!$Q$41:$S$44,2,FALSE)+VLOOKUP(C73,'DESNZ Cat 6-9'!$Q$41:$S$44,3,FALSE)),"")</f>
        <v/>
      </c>
      <c r="H73" s="172" t="str">
        <f t="shared" si="0"/>
        <v/>
      </c>
      <c r="J73" s="173" t="s">
        <v>279</v>
      </c>
      <c r="K73" s="10">
        <f t="shared" si="1"/>
        <v>3</v>
      </c>
      <c r="L73" s="816">
        <f>VLOOKUP(J73,'DESNZ Cat 6-9'!$Q$31:$S$39,2,FALSE)+VLOOKUP(J73,'DESNZ Cat 6-9'!$Q$31:$S$39,3,FALSE)</f>
        <v>0.40705543303197461</v>
      </c>
      <c r="M73" s="174" t="s">
        <v>1293</v>
      </c>
    </row>
    <row r="74" spans="1:13" ht="15">
      <c r="A74" s="207">
        <v>9</v>
      </c>
      <c r="B74" s="150"/>
      <c r="C74" s="150"/>
      <c r="D74" s="150"/>
      <c r="E74" s="150"/>
      <c r="F74" s="151"/>
      <c r="G74" s="172" t="str">
        <f>IFERROR(IF(C74="Cars_by_market_segment",VLOOKUP(_xlfn.CONCAT(C74,D74,E74),'DESNZ Cat 6-9'!$B$14:$M$82,11,FALSE)+VLOOKUP(_xlfn.CONCAT(C74,D74,E74),'DESNZ Cat 6-9'!$B$14:$M$82,12,FALSE),VLOOKUP(C74,'DESNZ Cat 6-9'!$Q$41:$S$44,2,FALSE)+VLOOKUP(C74,'DESNZ Cat 6-9'!$Q$41:$S$44,3,FALSE)),"")</f>
        <v/>
      </c>
      <c r="H74" s="172" t="str">
        <f t="shared" si="0"/>
        <v/>
      </c>
      <c r="J74" s="173" t="s">
        <v>285</v>
      </c>
      <c r="K74" s="10">
        <f t="shared" si="1"/>
        <v>5</v>
      </c>
      <c r="L74" s="816">
        <f>VLOOKUP(J74,'DESNZ Cat 6-9'!$Q$31:$S$39,2,FALSE)+VLOOKUP(J74,'DESNZ Cat 6-9'!$Q$31:$S$39,3,FALSE)</f>
        <v>0.37535026671426447</v>
      </c>
      <c r="M74" s="174" t="s">
        <v>1294</v>
      </c>
    </row>
    <row r="75" spans="1:13" ht="30">
      <c r="A75" s="207">
        <v>10</v>
      </c>
      <c r="B75" s="150"/>
      <c r="C75" s="150"/>
      <c r="D75" s="150"/>
      <c r="E75" s="150"/>
      <c r="F75" s="151"/>
      <c r="G75" s="172" t="str">
        <f>IFERROR(IF(C75="Cars_by_market_segment",VLOOKUP(_xlfn.CONCAT(C75,D75,E75),'DESNZ Cat 6-9'!$B$14:$M$82,11,FALSE)+VLOOKUP(_xlfn.CONCAT(C75,D75,E75),'DESNZ Cat 6-9'!$B$14:$M$82,12,FALSE),VLOOKUP(C75,'DESNZ Cat 6-9'!$Q$41:$S$44,2,FALSE)+VLOOKUP(C75,'DESNZ Cat 6-9'!$Q$41:$S$44,3,FALSE)),"")</f>
        <v/>
      </c>
      <c r="H75" s="172" t="str">
        <f t="shared" si="0"/>
        <v/>
      </c>
      <c r="J75" s="173" t="s">
        <v>284</v>
      </c>
      <c r="K75" s="10">
        <f t="shared" si="1"/>
        <v>6</v>
      </c>
      <c r="L75" s="816">
        <f>VLOOKUP(J75,'DESNZ Cat 6-9'!$Q$31:$S$39,2,FALSE)+VLOOKUP(J75,'DESNZ Cat 6-9'!$Q$31:$S$39,3,FALSE)</f>
        <v>0.36498627075668827</v>
      </c>
      <c r="M75" s="174" t="s">
        <v>1292</v>
      </c>
    </row>
    <row r="76" spans="1:13" ht="15">
      <c r="A76" s="207">
        <v>11</v>
      </c>
      <c r="B76" s="150"/>
      <c r="C76" s="150"/>
      <c r="D76" s="150"/>
      <c r="E76" s="150"/>
      <c r="F76" s="151"/>
      <c r="G76" s="172" t="str">
        <f>IFERROR(IF(C76="Cars_by_market_segment",VLOOKUP(_xlfn.CONCAT(C76,D76,E76),'DESNZ Cat 6-9'!$B$14:$M$82,11,FALSE)+VLOOKUP(_xlfn.CONCAT(C76,D76,E76),'DESNZ Cat 6-9'!$B$14:$M$82,12,FALSE),VLOOKUP(C76,'DESNZ Cat 6-9'!$Q$41:$S$44,2,FALSE)+VLOOKUP(C76,'DESNZ Cat 6-9'!$Q$41:$S$44,3,FALSE)),"")</f>
        <v/>
      </c>
      <c r="H76" s="172" t="str">
        <f t="shared" si="0"/>
        <v/>
      </c>
      <c r="J76" s="173" t="s">
        <v>280</v>
      </c>
      <c r="K76" s="10">
        <f t="shared" si="1"/>
        <v>7</v>
      </c>
      <c r="L76" s="816">
        <f>VLOOKUP(J76,'DESNZ Cat 6-9'!$Q$31:$S$39,2,FALSE)+VLOOKUP(J76,'DESNZ Cat 6-9'!$Q$31:$S$39,3,FALSE)</f>
        <v>0.32665718747965344</v>
      </c>
      <c r="M76" s="174" t="s">
        <v>1295</v>
      </c>
    </row>
    <row r="77" spans="1:13" ht="29.25">
      <c r="A77" s="207">
        <v>12</v>
      </c>
      <c r="B77" s="150"/>
      <c r="C77" s="150"/>
      <c r="D77" s="150"/>
      <c r="E77" s="150"/>
      <c r="F77" s="151"/>
      <c r="G77" s="172" t="str">
        <f>IFERROR(IF(C77="Cars_by_market_segment",VLOOKUP(_xlfn.CONCAT(C77,D77,E77),'DESNZ Cat 6-9'!$B$14:$M$82,11,FALSE)+VLOOKUP(_xlfn.CONCAT(C77,D77,E77),'DESNZ Cat 6-9'!$B$14:$M$82,12,FALSE),VLOOKUP(C77,'DESNZ Cat 6-9'!$Q$41:$S$44,2,FALSE)+VLOOKUP(C77,'DESNZ Cat 6-9'!$Q$41:$S$44,3,FALSE)),"")</f>
        <v/>
      </c>
      <c r="H77" s="172" t="str">
        <f t="shared" si="0"/>
        <v/>
      </c>
      <c r="J77" s="173" t="s">
        <v>286</v>
      </c>
      <c r="K77" s="10">
        <f t="shared" si="1"/>
        <v>8</v>
      </c>
      <c r="L77" s="816">
        <f>VLOOKUP(J77,'DESNZ Cat 6-9'!$Q$31:$S$39,2,FALSE)+VLOOKUP(J77,'DESNZ Cat 6-9'!$Q$31:$S$39,3,FALSE)</f>
        <v>0.2890512115832029</v>
      </c>
      <c r="M77" s="174" t="s">
        <v>1296</v>
      </c>
    </row>
    <row r="78" spans="1:13" ht="30" thickBot="1">
      <c r="A78" s="207">
        <v>13</v>
      </c>
      <c r="B78" s="150"/>
      <c r="C78" s="150"/>
      <c r="D78" s="150"/>
      <c r="E78" s="150"/>
      <c r="F78" s="151"/>
      <c r="G78" s="172" t="str">
        <f>IFERROR(IF(C78="Cars_by_market_segment",VLOOKUP(_xlfn.CONCAT(C78,D78,E78),'DESNZ Cat 6-9'!$B$14:$M$82,11,FALSE)+VLOOKUP(_xlfn.CONCAT(C78,D78,E78),'DESNZ Cat 6-9'!$B$14:$M$82,12,FALSE),VLOOKUP(C78,'DESNZ Cat 6-9'!$Q$41:$S$44,2,FALSE)+VLOOKUP(C78,'DESNZ Cat 6-9'!$Q$41:$S$44,3,FALSE)),"")</f>
        <v/>
      </c>
      <c r="H78" s="172" t="str">
        <f t="shared" si="0"/>
        <v/>
      </c>
      <c r="J78" s="175" t="s">
        <v>287</v>
      </c>
      <c r="K78" s="176">
        <f t="shared" si="1"/>
        <v>9</v>
      </c>
      <c r="L78" s="821">
        <f>VLOOKUP(J78,'DESNZ Cat 6-9'!$Q$31:$S$39,2,FALSE)+VLOOKUP(J78,'DESNZ Cat 6-9'!$Q$31:$S$39,3,FALSE)</f>
        <v>0.26257508287868969</v>
      </c>
      <c r="M78" s="177" t="s">
        <v>1297</v>
      </c>
    </row>
    <row r="79" spans="1:13" ht="15">
      <c r="A79" s="207">
        <v>14</v>
      </c>
      <c r="B79" s="150"/>
      <c r="C79" s="150"/>
      <c r="D79" s="150"/>
      <c r="E79" s="150"/>
      <c r="F79" s="151"/>
      <c r="G79" s="172" t="str">
        <f>IFERROR(IF(C79="Cars_by_market_segment",VLOOKUP(_xlfn.CONCAT(C79,D79,E79),'DESNZ Cat 6-9'!$B$14:$M$82,11,FALSE)+VLOOKUP(_xlfn.CONCAT(C79,D79,E79),'DESNZ Cat 6-9'!$B$14:$M$82,12,FALSE),VLOOKUP(C79,'DESNZ Cat 6-9'!$Q$41:$S$44,2,FALSE)+VLOOKUP(C79,'DESNZ Cat 6-9'!$Q$41:$S$44,3,FALSE)),"")</f>
        <v/>
      </c>
      <c r="H79" s="172" t="str">
        <f t="shared" si="0"/>
        <v/>
      </c>
    </row>
    <row r="80" spans="1:13" ht="15">
      <c r="A80" s="207">
        <v>15</v>
      </c>
      <c r="B80" s="150"/>
      <c r="C80" s="150"/>
      <c r="D80" s="150"/>
      <c r="E80" s="150"/>
      <c r="F80" s="151"/>
      <c r="G80" s="172" t="str">
        <f>IFERROR(IF(C80="Cars_by_market_segment",VLOOKUP(_xlfn.CONCAT(C80,D80,E80),'DESNZ Cat 6-9'!$B$14:$M$82,11,FALSE)+VLOOKUP(_xlfn.CONCAT(C80,D80,E80),'DESNZ Cat 6-9'!$B$14:$M$82,12,FALSE),VLOOKUP(C80,'DESNZ Cat 6-9'!$Q$41:$S$44,2,FALSE)+VLOOKUP(C80,'DESNZ Cat 6-9'!$Q$41:$S$44,3,FALSE)),"")</f>
        <v/>
      </c>
      <c r="H80" s="172" t="str">
        <f t="shared" si="0"/>
        <v/>
      </c>
    </row>
    <row r="81" spans="1:8" ht="15">
      <c r="A81" s="207">
        <v>16</v>
      </c>
      <c r="B81" s="150"/>
      <c r="C81" s="150"/>
      <c r="D81" s="150"/>
      <c r="E81" s="150"/>
      <c r="F81" s="151"/>
      <c r="G81" s="172" t="str">
        <f>IFERROR(IF(C81="Cars_by_market_segment",VLOOKUP(_xlfn.CONCAT(C81,D81,E81),'DESNZ Cat 6-9'!$B$14:$M$82,11,FALSE)+VLOOKUP(_xlfn.CONCAT(C81,D81,E81),'DESNZ Cat 6-9'!$B$14:$M$82,12,FALSE),VLOOKUP(C81,'DESNZ Cat 6-9'!$Q$41:$S$44,2,FALSE)+VLOOKUP(C81,'DESNZ Cat 6-9'!$Q$41:$S$44,3,FALSE)),"")</f>
        <v/>
      </c>
      <c r="H81" s="172" t="str">
        <f t="shared" si="0"/>
        <v/>
      </c>
    </row>
    <row r="82" spans="1:8" ht="15">
      <c r="A82" s="207">
        <v>17</v>
      </c>
      <c r="B82" s="150"/>
      <c r="C82" s="150"/>
      <c r="D82" s="150"/>
      <c r="E82" s="150"/>
      <c r="F82" s="151"/>
      <c r="G82" s="172" t="str">
        <f>IFERROR(IF(C82="Cars_by_market_segment",VLOOKUP(_xlfn.CONCAT(C82,D82,E82),'DESNZ Cat 6-9'!$B$14:$M$82,11,FALSE)+VLOOKUP(_xlfn.CONCAT(C82,D82,E82),'DESNZ Cat 6-9'!$B$14:$M$82,12,FALSE),VLOOKUP(C82,'DESNZ Cat 6-9'!$Q$41:$S$44,2,FALSE)+VLOOKUP(C82,'DESNZ Cat 6-9'!$Q$41:$S$44,3,FALSE)),"")</f>
        <v/>
      </c>
      <c r="H82" s="172" t="str">
        <f t="shared" si="0"/>
        <v/>
      </c>
    </row>
    <row r="83" spans="1:8" ht="15">
      <c r="A83" s="207">
        <v>18</v>
      </c>
      <c r="B83" s="150"/>
      <c r="C83" s="150"/>
      <c r="D83" s="150"/>
      <c r="E83" s="150"/>
      <c r="F83" s="151"/>
      <c r="G83" s="172" t="str">
        <f>IFERROR(IF(C83="Cars_by_market_segment",VLOOKUP(_xlfn.CONCAT(C83,D83,E83),'DESNZ Cat 6-9'!$B$14:$M$82,11,FALSE)+VLOOKUP(_xlfn.CONCAT(C83,D83,E83),'DESNZ Cat 6-9'!$B$14:$M$82,12,FALSE),VLOOKUP(C83,'DESNZ Cat 6-9'!$Q$41:$S$44,2,FALSE)+VLOOKUP(C83,'DESNZ Cat 6-9'!$Q$41:$S$44,3,FALSE)),"")</f>
        <v/>
      </c>
      <c r="H83" s="172" t="str">
        <f t="shared" si="0"/>
        <v/>
      </c>
    </row>
    <row r="84" spans="1:8" ht="15">
      <c r="A84" s="207">
        <v>19</v>
      </c>
      <c r="B84" s="150"/>
      <c r="C84" s="150"/>
      <c r="D84" s="150"/>
      <c r="E84" s="150"/>
      <c r="F84" s="151"/>
      <c r="G84" s="172" t="str">
        <f>IFERROR(IF(C84="Cars_by_market_segment",VLOOKUP(_xlfn.CONCAT(C84,D84,E84),'DESNZ Cat 6-9'!$B$14:$M$82,11,FALSE)+VLOOKUP(_xlfn.CONCAT(C84,D84,E84),'DESNZ Cat 6-9'!$B$14:$M$82,12,FALSE),VLOOKUP(C84,'DESNZ Cat 6-9'!$Q$41:$S$44,2,FALSE)+VLOOKUP(C84,'DESNZ Cat 6-9'!$Q$41:$S$44,3,FALSE)),"")</f>
        <v/>
      </c>
      <c r="H84" s="172" t="str">
        <f t="shared" si="0"/>
        <v/>
      </c>
    </row>
    <row r="85" spans="1:8" ht="15.75" thickBot="1">
      <c r="A85" s="207">
        <v>20</v>
      </c>
      <c r="B85" s="150"/>
      <c r="C85" s="150"/>
      <c r="D85" s="150"/>
      <c r="E85" s="150"/>
      <c r="F85" s="151"/>
      <c r="G85" s="172" t="str">
        <f>IFERROR(IF(C85="Cars_by_market_segment",VLOOKUP(_xlfn.CONCAT(C85,D85,E85),'DESNZ Cat 6-9'!$B$14:$M$82,11,FALSE)+VLOOKUP(_xlfn.CONCAT(C85,D85,E85),'DESNZ Cat 6-9'!$B$14:$M$82,12,FALSE),VLOOKUP(C85,'DESNZ Cat 6-9'!$Q$41:$S$44,2,FALSE)+VLOOKUP(C85,'DESNZ Cat 6-9'!$Q$41:$S$44,3,FALSE)),"")</f>
        <v/>
      </c>
      <c r="H85" s="172" t="str">
        <f t="shared" si="0"/>
        <v/>
      </c>
    </row>
    <row r="86" spans="1:8" ht="15" thickBot="1">
      <c r="G86" s="218" t="s">
        <v>1268</v>
      </c>
      <c r="H86" s="179">
        <f>SUM(H67:H85)</f>
        <v>0</v>
      </c>
    </row>
    <row r="87" spans="1:8">
      <c r="E87" s="246"/>
      <c r="F87" s="13"/>
    </row>
    <row r="88" spans="1:8" ht="18.75">
      <c r="A88" s="203" t="s">
        <v>1384</v>
      </c>
      <c r="E88" s="246"/>
      <c r="F88" s="13"/>
    </row>
    <row r="89" spans="1:8" ht="17.45" customHeight="1">
      <c r="A89" s="204" t="s">
        <v>1237</v>
      </c>
      <c r="C89" s="204"/>
      <c r="E89" s="246"/>
      <c r="F89" s="13"/>
    </row>
    <row r="90" spans="1:8" ht="23.45" customHeight="1">
      <c r="A90" s="236" t="s">
        <v>4070</v>
      </c>
      <c r="C90" s="204"/>
      <c r="E90" s="246"/>
      <c r="F90" s="13"/>
    </row>
    <row r="91" spans="1:8" ht="15.75">
      <c r="A91" s="245"/>
      <c r="B91" s="224" t="s">
        <v>312</v>
      </c>
      <c r="C91" s="224" t="s">
        <v>312</v>
      </c>
      <c r="D91" s="224" t="s">
        <v>312</v>
      </c>
      <c r="E91" s="246"/>
      <c r="F91" s="13"/>
    </row>
    <row r="92" spans="1:8" ht="60">
      <c r="A92" s="205" t="s">
        <v>1238</v>
      </c>
      <c r="B92" s="206" t="s">
        <v>319</v>
      </c>
      <c r="C92" s="216" t="s">
        <v>4339</v>
      </c>
      <c r="D92" s="205" t="s">
        <v>1385</v>
      </c>
      <c r="E92" s="216" t="s">
        <v>4264</v>
      </c>
      <c r="F92" s="205" t="s">
        <v>322</v>
      </c>
    </row>
    <row r="93" spans="1:8" ht="15">
      <c r="A93" s="207">
        <v>1</v>
      </c>
      <c r="B93" s="147" t="s">
        <v>1242</v>
      </c>
      <c r="C93" s="254" t="s">
        <v>1728</v>
      </c>
      <c r="D93" s="254">
        <v>4</v>
      </c>
      <c r="E93" s="250">
        <f>IFERROR(VLOOKUP($C93,EF!$V$5:$W$42,2,FALSE),"")</f>
        <v>35</v>
      </c>
      <c r="F93" s="171">
        <f>IFERROR(E93*D93/1000,"")</f>
        <v>0.14000000000000001</v>
      </c>
    </row>
    <row r="94" spans="1:8" ht="15">
      <c r="A94" s="207">
        <v>2</v>
      </c>
      <c r="B94" s="150"/>
      <c r="C94" s="166"/>
      <c r="D94" s="166"/>
      <c r="E94" s="249" t="str">
        <f>IFERROR(VLOOKUP($C94,EF!$V$5:$W$42,2,FALSE),"")</f>
        <v/>
      </c>
      <c r="F94" s="172" t="str">
        <f t="shared" ref="F94:F112" si="2">IFERROR(E94*D94/1000,"")</f>
        <v/>
      </c>
    </row>
    <row r="95" spans="1:8" ht="15">
      <c r="A95" s="207">
        <v>3</v>
      </c>
      <c r="B95" s="150"/>
      <c r="C95" s="166"/>
      <c r="D95" s="166"/>
      <c r="E95" s="249" t="str">
        <f>IFERROR(VLOOKUP($C95,EF!$V$5:$W$42,2,FALSE),"")</f>
        <v/>
      </c>
      <c r="F95" s="172" t="str">
        <f t="shared" si="2"/>
        <v/>
      </c>
    </row>
    <row r="96" spans="1:8" ht="15">
      <c r="A96" s="207">
        <v>4</v>
      </c>
      <c r="B96" s="150"/>
      <c r="C96" s="166"/>
      <c r="D96" s="166"/>
      <c r="E96" s="249" t="str">
        <f>IFERROR(VLOOKUP($C96,EF!$V$5:$W$42,2,FALSE),"")</f>
        <v/>
      </c>
      <c r="F96" s="172" t="str">
        <f t="shared" si="2"/>
        <v/>
      </c>
    </row>
    <row r="97" spans="1:6" ht="15">
      <c r="A97" s="207">
        <v>5</v>
      </c>
      <c r="B97" s="150"/>
      <c r="C97" s="166"/>
      <c r="D97" s="166"/>
      <c r="E97" s="249" t="str">
        <f>IFERROR(VLOOKUP($C97,EF!$V$5:$W$42,2,FALSE),"")</f>
        <v/>
      </c>
      <c r="F97" s="172" t="str">
        <f t="shared" si="2"/>
        <v/>
      </c>
    </row>
    <row r="98" spans="1:6" ht="15">
      <c r="A98" s="207">
        <v>6</v>
      </c>
      <c r="B98" s="150"/>
      <c r="C98" s="166"/>
      <c r="D98" s="166"/>
      <c r="E98" s="249" t="str">
        <f>IFERROR(VLOOKUP($C98,EF!$V$5:$W$42,2,FALSE),"")</f>
        <v/>
      </c>
      <c r="F98" s="172" t="str">
        <f t="shared" si="2"/>
        <v/>
      </c>
    </row>
    <row r="99" spans="1:6" ht="15">
      <c r="A99" s="207">
        <v>7</v>
      </c>
      <c r="B99" s="150"/>
      <c r="C99" s="166"/>
      <c r="D99" s="166"/>
      <c r="E99" s="249" t="str">
        <f>IFERROR(VLOOKUP($C99,EF!$V$5:$W$42,2,FALSE),"")</f>
        <v/>
      </c>
      <c r="F99" s="172" t="str">
        <f t="shared" si="2"/>
        <v/>
      </c>
    </row>
    <row r="100" spans="1:6" ht="15">
      <c r="A100" s="207">
        <v>8</v>
      </c>
      <c r="B100" s="150"/>
      <c r="C100" s="166"/>
      <c r="D100" s="166"/>
      <c r="E100" s="249" t="str">
        <f>IFERROR(VLOOKUP($C100,EF!$V$5:$W$42,2,FALSE),"")</f>
        <v/>
      </c>
      <c r="F100" s="172" t="str">
        <f t="shared" si="2"/>
        <v/>
      </c>
    </row>
    <row r="101" spans="1:6" ht="15">
      <c r="A101" s="207">
        <v>9</v>
      </c>
      <c r="B101" s="150"/>
      <c r="C101" s="166"/>
      <c r="D101" s="166"/>
      <c r="E101" s="249" t="str">
        <f>IFERROR(VLOOKUP($C101,EF!$V$5:$W$42,2,FALSE),"")</f>
        <v/>
      </c>
      <c r="F101" s="172" t="str">
        <f t="shared" si="2"/>
        <v/>
      </c>
    </row>
    <row r="102" spans="1:6" ht="15">
      <c r="A102" s="207">
        <v>10</v>
      </c>
      <c r="B102" s="150"/>
      <c r="C102" s="166"/>
      <c r="D102" s="166"/>
      <c r="E102" s="249" t="str">
        <f>IFERROR(VLOOKUP($C102,EF!$V$5:$W$42,2,FALSE),"")</f>
        <v/>
      </c>
      <c r="F102" s="172" t="str">
        <f t="shared" si="2"/>
        <v/>
      </c>
    </row>
    <row r="103" spans="1:6" ht="15">
      <c r="A103" s="207">
        <v>11</v>
      </c>
      <c r="B103" s="150"/>
      <c r="C103" s="166"/>
      <c r="D103" s="166"/>
      <c r="E103" s="249" t="str">
        <f>IFERROR(VLOOKUP($C103,EF!$V$5:$W$42,2,FALSE),"")</f>
        <v/>
      </c>
      <c r="F103" s="172" t="str">
        <f t="shared" si="2"/>
        <v/>
      </c>
    </row>
    <row r="104" spans="1:6" ht="15">
      <c r="A104" s="207">
        <v>12</v>
      </c>
      <c r="B104" s="150"/>
      <c r="C104" s="166"/>
      <c r="D104" s="166"/>
      <c r="E104" s="249" t="str">
        <f>IFERROR(VLOOKUP($C104,EF!$V$5:$W$42,2,FALSE),"")</f>
        <v/>
      </c>
      <c r="F104" s="172" t="str">
        <f t="shared" si="2"/>
        <v/>
      </c>
    </row>
    <row r="105" spans="1:6" ht="15">
      <c r="A105" s="207">
        <v>13</v>
      </c>
      <c r="B105" s="150"/>
      <c r="C105" s="166"/>
      <c r="D105" s="166"/>
      <c r="E105" s="249" t="str">
        <f>IFERROR(VLOOKUP($C105,EF!$V$5:$W$42,2,FALSE),"")</f>
        <v/>
      </c>
      <c r="F105" s="172" t="str">
        <f t="shared" si="2"/>
        <v/>
      </c>
    </row>
    <row r="106" spans="1:6" ht="15">
      <c r="A106" s="207">
        <v>14</v>
      </c>
      <c r="B106" s="150"/>
      <c r="C106" s="166"/>
      <c r="D106" s="166"/>
      <c r="E106" s="249" t="str">
        <f>IFERROR(VLOOKUP($C106,EF!$V$5:$W$42,2,FALSE),"")</f>
        <v/>
      </c>
      <c r="F106" s="172" t="str">
        <f t="shared" si="2"/>
        <v/>
      </c>
    </row>
    <row r="107" spans="1:6" ht="15">
      <c r="A107" s="207">
        <v>15</v>
      </c>
      <c r="B107" s="150"/>
      <c r="C107" s="166"/>
      <c r="D107" s="166"/>
      <c r="E107" s="249" t="str">
        <f>IFERROR(VLOOKUP($C107,EF!$V$5:$W$42,2,FALSE),"")</f>
        <v/>
      </c>
      <c r="F107" s="172" t="str">
        <f t="shared" si="2"/>
        <v/>
      </c>
    </row>
    <row r="108" spans="1:6" ht="15">
      <c r="A108" s="207">
        <v>16</v>
      </c>
      <c r="B108" s="150"/>
      <c r="C108" s="166"/>
      <c r="D108" s="166"/>
      <c r="E108" s="249" t="str">
        <f>IFERROR(VLOOKUP($C108,EF!$V$5:$W$42,2,FALSE),"")</f>
        <v/>
      </c>
      <c r="F108" s="172" t="str">
        <f t="shared" si="2"/>
        <v/>
      </c>
    </row>
    <row r="109" spans="1:6" ht="15">
      <c r="A109" s="207">
        <v>17</v>
      </c>
      <c r="B109" s="150"/>
      <c r="C109" s="166"/>
      <c r="D109" s="166"/>
      <c r="E109" s="249" t="str">
        <f>IFERROR(VLOOKUP($C109,EF!$V$5:$W$42,2,FALSE),"")</f>
        <v/>
      </c>
      <c r="F109" s="172" t="str">
        <f t="shared" si="2"/>
        <v/>
      </c>
    </row>
    <row r="110" spans="1:6" ht="15">
      <c r="A110" s="207">
        <v>18</v>
      </c>
      <c r="B110" s="150"/>
      <c r="C110" s="166"/>
      <c r="D110" s="166"/>
      <c r="E110" s="249" t="str">
        <f>IFERROR(VLOOKUP($C110,EF!$V$5:$W$42,2,FALSE),"")</f>
        <v/>
      </c>
      <c r="F110" s="172" t="str">
        <f t="shared" si="2"/>
        <v/>
      </c>
    </row>
    <row r="111" spans="1:6" ht="15">
      <c r="A111" s="207">
        <v>19</v>
      </c>
      <c r="B111" s="150"/>
      <c r="C111" s="166"/>
      <c r="D111" s="166"/>
      <c r="E111" s="249" t="str">
        <f>IFERROR(VLOOKUP($C111,EF!$V$5:$W$42,2,FALSE),"")</f>
        <v/>
      </c>
      <c r="F111" s="172" t="str">
        <f t="shared" si="2"/>
        <v/>
      </c>
    </row>
    <row r="112" spans="1:6" ht="15.75" thickBot="1">
      <c r="A112" s="207">
        <v>20</v>
      </c>
      <c r="B112" s="150"/>
      <c r="C112" s="166"/>
      <c r="D112" s="166"/>
      <c r="E112" s="249" t="str">
        <f>IFERROR(VLOOKUP($C112,EF!$V$5:$W$42,2,FALSE),"")</f>
        <v/>
      </c>
      <c r="F112" s="172" t="str">
        <f t="shared" si="2"/>
        <v/>
      </c>
    </row>
    <row r="113" spans="5:6" ht="15" thickBot="1">
      <c r="E113" s="218" t="s">
        <v>1268</v>
      </c>
      <c r="F113" s="179">
        <f>SUM(F94:F112)</f>
        <v>0</v>
      </c>
    </row>
    <row r="114" spans="5:6">
      <c r="E114" s="246"/>
      <c r="F114" s="13"/>
    </row>
  </sheetData>
  <sheetProtection algorithmName="SHA-512" hashValue="dUjQbtuGDeOT97l7xMgwUgaxA0oCTG9HFnmUR0w4hOief5+gA/p75CUrH5XOB9haCh61n/hWM71jrJ8TAmdZuQ==" saltValue="nTnHh9u1kWtELGqPd4dw4g==" spinCount="100000" sheet="1" objects="1" scenarios="1"/>
  <sortState xmlns:xlrd2="http://schemas.microsoft.com/office/spreadsheetml/2017/richdata2" ref="J70:M78">
    <sortCondition ref="K70:K78"/>
  </sortState>
  <mergeCells count="6">
    <mergeCell ref="I38:J38"/>
    <mergeCell ref="J68:L68"/>
    <mergeCell ref="D33:D34"/>
    <mergeCell ref="I39:J39"/>
    <mergeCell ref="I40:J40"/>
    <mergeCell ref="I41:J41"/>
  </mergeCells>
  <dataValidations count="2">
    <dataValidation type="list" allowBlank="1" showInputMessage="1" showErrorMessage="1" sqref="D38:D57" xr:uid="{A81EC5B9-D0F2-44DE-B24C-DE8F395B7D41}">
      <formula1>INDIRECT(C38)</formula1>
    </dataValidation>
    <dataValidation type="list" allowBlank="1" showInputMessage="1" showErrorMessage="1" sqref="C38:C57" xr:uid="{31A0C2E1-1956-4C09-9BA5-BA851EB62017}">
      <formula1>"Short, Medium, Long"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8EA074C-F2AC-4079-9D22-95BE7130A0CA}">
          <x14:formula1>
            <xm:f>'DESNZ Cat 6-9'!$AF$6:$AF$10</xm:f>
          </x14:formula1>
          <xm:sqref>C67:C85</xm:sqref>
        </x14:dataValidation>
        <x14:dataValidation type="list" allowBlank="1" showInputMessage="1" showErrorMessage="1" xr:uid="{2B5EFA7D-CF5E-4D77-979F-0F581AA7B64B}">
          <x14:formula1>
            <xm:f>IF($C66="Cars_by_market_segment",INDIRECT('DESNZ Cat 6-9'!$AF$45),"")</xm:f>
          </x14:formula1>
          <xm:sqref>E66:E85</xm:sqref>
        </x14:dataValidation>
        <x14:dataValidation type="list" allowBlank="1" showInputMessage="1" showErrorMessage="1" xr:uid="{CEC6C524-2A0D-4C3B-83FB-9CD81AE7F6C6}">
          <x14:formula1>
            <xm:f>IF($C66="Cars_by_market_segment",INDIRECT('DESNZ Cat 6-9'!$AF$18),"")</xm:f>
          </x14:formula1>
          <xm:sqref>D66:D85</xm:sqref>
        </x14:dataValidation>
        <x14:dataValidation type="list" allowBlank="1" showInputMessage="1" showErrorMessage="1" xr:uid="{DC214945-147A-41CD-9038-CC9CC8F49094}">
          <x14:formula1>
            <xm:f>EF!$V$5:$V$42</xm:f>
          </x14:formula1>
          <xm:sqref>C93:C112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EA9E-2B43-4F13-A7E2-2BC6FCD71FC9}">
  <sheetPr codeName="Sheet28">
    <tabColor theme="3" tint="0.59999389629810485"/>
  </sheetPr>
  <dimension ref="A1:H95"/>
  <sheetViews>
    <sheetView showGridLines="0" zoomScale="80" zoomScaleNormal="80" workbookViewId="0"/>
  </sheetViews>
  <sheetFormatPr defaultColWidth="8.875" defaultRowHeight="14.25"/>
  <cols>
    <col min="2" max="2" width="39.5" customWidth="1"/>
    <col min="3" max="3" width="29.125" customWidth="1"/>
    <col min="4" max="4" width="20" customWidth="1"/>
    <col min="5" max="5" width="21.125" customWidth="1"/>
    <col min="6" max="6" width="22.5" customWidth="1"/>
    <col min="7" max="7" width="24.5" customWidth="1"/>
    <col min="8" max="8" width="19.375" bestFit="1" customWidth="1"/>
  </cols>
  <sheetData>
    <row r="1" spans="1:7" ht="25.7" customHeight="1">
      <c r="A1" s="74" t="s">
        <v>1386</v>
      </c>
      <c r="B1" s="74"/>
      <c r="C1" s="74"/>
      <c r="D1" s="74"/>
      <c r="E1" s="74"/>
      <c r="F1" s="74"/>
      <c r="G1" s="74"/>
    </row>
    <row r="2" spans="1:7" ht="18.75" customHeight="1">
      <c r="A2" s="198" t="s">
        <v>1387</v>
      </c>
      <c r="B2" s="110"/>
      <c r="C2" s="110"/>
      <c r="D2" s="110"/>
      <c r="E2" s="110"/>
      <c r="F2" s="110"/>
      <c r="G2" s="110"/>
    </row>
    <row r="3" spans="1:7" ht="18.75" customHeight="1">
      <c r="A3" s="112" t="s">
        <v>1366</v>
      </c>
      <c r="B3" s="110"/>
      <c r="C3" s="110"/>
      <c r="D3" s="110"/>
      <c r="E3" s="110"/>
      <c r="F3" s="110"/>
      <c r="G3" s="110"/>
    </row>
    <row r="4" spans="1:7" ht="18.75" customHeight="1">
      <c r="A4" s="112" t="s">
        <v>1388</v>
      </c>
      <c r="B4" s="110"/>
      <c r="C4" s="110"/>
      <c r="D4" s="110"/>
      <c r="E4" s="110"/>
      <c r="F4" s="110"/>
      <c r="G4" s="110"/>
    </row>
    <row r="5" spans="1:7" ht="18.75" customHeight="1">
      <c r="A5" s="251" t="s">
        <v>1389</v>
      </c>
      <c r="B5" s="110"/>
      <c r="C5" s="110"/>
      <c r="D5" s="110"/>
      <c r="E5" s="110"/>
      <c r="F5" s="110"/>
      <c r="G5" s="110"/>
    </row>
    <row r="6" spans="1:7" ht="18.75" customHeight="1">
      <c r="A6" s="252" t="s">
        <v>1390</v>
      </c>
      <c r="B6" s="110"/>
      <c r="C6" s="110"/>
      <c r="D6" s="110"/>
      <c r="E6" s="110"/>
      <c r="F6" s="110"/>
      <c r="G6" s="110"/>
    </row>
    <row r="7" spans="1:7" ht="15.95" customHeight="1"/>
    <row r="8" spans="1:7" ht="15.95" customHeight="1">
      <c r="E8" s="1"/>
    </row>
    <row r="9" spans="1:7" ht="15.95" customHeight="1">
      <c r="E9" s="1"/>
    </row>
    <row r="10" spans="1:7" ht="15.95" customHeight="1"/>
    <row r="11" spans="1:7" ht="15.95" customHeight="1"/>
    <row r="12" spans="1:7" ht="15.95" customHeight="1"/>
    <row r="13" spans="1:7" ht="15.95" customHeight="1"/>
    <row r="14" spans="1:7" ht="15.95" customHeight="1"/>
    <row r="15" spans="1:7" ht="15.95" customHeight="1"/>
    <row r="16" spans="1:7" ht="15.95" customHeight="1"/>
    <row r="17" spans="1:7" ht="18.75">
      <c r="A17" s="203" t="s">
        <v>1391</v>
      </c>
    </row>
    <row r="18" spans="1:7">
      <c r="A18" s="204" t="s">
        <v>1237</v>
      </c>
    </row>
    <row r="19" spans="1:7">
      <c r="B19" s="2" t="s">
        <v>312</v>
      </c>
      <c r="C19" s="2" t="s">
        <v>312</v>
      </c>
      <c r="D19" s="2" t="s">
        <v>312</v>
      </c>
      <c r="E19" s="2" t="s">
        <v>312</v>
      </c>
      <c r="F19" s="2" t="s">
        <v>312</v>
      </c>
    </row>
    <row r="20" spans="1:7" ht="45">
      <c r="A20" s="205" t="s">
        <v>1238</v>
      </c>
      <c r="B20" s="206" t="s">
        <v>319</v>
      </c>
      <c r="C20" s="215" t="s">
        <v>4358</v>
      </c>
      <c r="D20" s="216" t="s">
        <v>1392</v>
      </c>
      <c r="E20" s="216" t="s">
        <v>1393</v>
      </c>
      <c r="F20" s="216" t="s">
        <v>1394</v>
      </c>
      <c r="G20" s="206" t="s">
        <v>322</v>
      </c>
    </row>
    <row r="21" spans="1:7" ht="15">
      <c r="A21" s="207">
        <v>1</v>
      </c>
      <c r="B21" s="147" t="s">
        <v>1395</v>
      </c>
      <c r="C21" s="147" t="s">
        <v>1514</v>
      </c>
      <c r="D21" s="253">
        <v>10000</v>
      </c>
      <c r="E21" s="253">
        <v>49</v>
      </c>
      <c r="F21" s="254">
        <v>5</v>
      </c>
      <c r="G21" s="240">
        <f>IFERROR((D21*E21*F21*VLOOKUP(C21,'Commute Calcs'!$K$7:$N$57,4,FALSE)/1000),"")</f>
        <v>9139.5156247907435</v>
      </c>
    </row>
    <row r="22" spans="1:7" ht="15">
      <c r="A22" s="207">
        <v>2</v>
      </c>
      <c r="B22" s="157"/>
      <c r="C22" s="157"/>
      <c r="D22" s="167"/>
      <c r="E22" s="167"/>
      <c r="F22" s="255"/>
      <c r="G22" s="217" t="str">
        <f>IFERROR((D22*E22*F22*VLOOKUP(C22,'Commute Calcs'!$K$7:$N$57,4,FALSE)/1000),"")</f>
        <v/>
      </c>
    </row>
    <row r="23" spans="1:7" ht="15">
      <c r="A23" s="207">
        <v>3</v>
      </c>
      <c r="B23" s="157"/>
      <c r="C23" s="157"/>
      <c r="D23" s="167"/>
      <c r="E23" s="167"/>
      <c r="F23" s="255"/>
      <c r="G23" s="217" t="str">
        <f>IFERROR((D23*E23*F23*VLOOKUP(C23,'Commute Calcs'!$K$7:$N$57,4,FALSE)/1000),"")</f>
        <v/>
      </c>
    </row>
    <row r="24" spans="1:7" ht="15">
      <c r="A24" s="207">
        <v>4</v>
      </c>
      <c r="B24" s="157"/>
      <c r="C24" s="157"/>
      <c r="D24" s="167"/>
      <c r="E24" s="167"/>
      <c r="F24" s="255"/>
      <c r="G24" s="217" t="str">
        <f>IFERROR((D24*E24*F24*VLOOKUP(C24,'Commute Calcs'!$K$7:$N$57,4,FALSE)/1000),"")</f>
        <v/>
      </c>
    </row>
    <row r="25" spans="1:7" ht="15">
      <c r="A25" s="207">
        <v>5</v>
      </c>
      <c r="B25" s="157"/>
      <c r="C25" s="157"/>
      <c r="D25" s="167"/>
      <c r="E25" s="167"/>
      <c r="F25" s="255"/>
      <c r="G25" s="217" t="str">
        <f>IFERROR((D25*E25*F25*VLOOKUP(C25,'Commute Calcs'!$K$7:$N$57,4,FALSE)/1000),"")</f>
        <v/>
      </c>
    </row>
    <row r="26" spans="1:7" ht="15">
      <c r="A26" s="207">
        <v>6</v>
      </c>
      <c r="B26" s="157"/>
      <c r="C26" s="157"/>
      <c r="D26" s="167"/>
      <c r="E26" s="167"/>
      <c r="F26" s="255"/>
      <c r="G26" s="217" t="str">
        <f>IFERROR((D26*E26*F26*VLOOKUP(C26,'Commute Calcs'!$K$7:$N$57,4,FALSE)/1000),"")</f>
        <v/>
      </c>
    </row>
    <row r="27" spans="1:7" ht="15">
      <c r="A27" s="207">
        <v>7</v>
      </c>
      <c r="B27" s="157"/>
      <c r="C27" s="157"/>
      <c r="D27" s="167"/>
      <c r="E27" s="167"/>
      <c r="F27" s="255"/>
      <c r="G27" s="217" t="str">
        <f>IFERROR((D27*E27*F27*VLOOKUP(C27,'Commute Calcs'!$K$7:$N$57,4,FALSE)/1000),"")</f>
        <v/>
      </c>
    </row>
    <row r="28" spans="1:7" ht="15">
      <c r="A28" s="207">
        <v>8</v>
      </c>
      <c r="B28" s="157"/>
      <c r="C28" s="157"/>
      <c r="D28" s="167"/>
      <c r="E28" s="167"/>
      <c r="F28" s="255"/>
      <c r="G28" s="217" t="str">
        <f>IFERROR((D28*E28*F28*VLOOKUP(C28,'Commute Calcs'!$K$7:$N$57,4,FALSE)/1000),"")</f>
        <v/>
      </c>
    </row>
    <row r="29" spans="1:7" ht="15">
      <c r="A29" s="207">
        <v>9</v>
      </c>
      <c r="B29" s="157"/>
      <c r="C29" s="157"/>
      <c r="D29" s="167"/>
      <c r="E29" s="167"/>
      <c r="F29" s="255"/>
      <c r="G29" s="217" t="str">
        <f>IFERROR((D29*E29*F29*VLOOKUP(C29,'Commute Calcs'!$K$7:$N$57,4,FALSE)/1000),"")</f>
        <v/>
      </c>
    </row>
    <row r="30" spans="1:7" ht="15">
      <c r="A30" s="207">
        <v>10</v>
      </c>
      <c r="B30" s="157"/>
      <c r="C30" s="157"/>
      <c r="D30" s="167"/>
      <c r="E30" s="167"/>
      <c r="F30" s="255"/>
      <c r="G30" s="217" t="str">
        <f>IFERROR((D30*E30*F30*VLOOKUP(C30,'Commute Calcs'!$K$7:$N$57,4,FALSE)/1000),"")</f>
        <v/>
      </c>
    </row>
    <row r="31" spans="1:7" ht="15">
      <c r="A31" s="207">
        <v>11</v>
      </c>
      <c r="B31" s="157"/>
      <c r="C31" s="157"/>
      <c r="D31" s="167"/>
      <c r="E31" s="167"/>
      <c r="F31" s="255"/>
      <c r="G31" s="217" t="str">
        <f>IFERROR((D31*E31*F31*VLOOKUP(C31,'Commute Calcs'!$K$7:$N$57,4,FALSE)/1000),"")</f>
        <v/>
      </c>
    </row>
    <row r="32" spans="1:7" ht="15">
      <c r="A32" s="207">
        <v>12</v>
      </c>
      <c r="B32" s="157"/>
      <c r="C32" s="157"/>
      <c r="D32" s="167"/>
      <c r="E32" s="167"/>
      <c r="F32" s="255"/>
      <c r="G32" s="217" t="str">
        <f>IFERROR((D32*E32*F32*VLOOKUP(C32,'Commute Calcs'!$K$7:$N$57,4,FALSE)/1000),"")</f>
        <v/>
      </c>
    </row>
    <row r="33" spans="1:8" ht="15">
      <c r="A33" s="207">
        <v>13</v>
      </c>
      <c r="B33" s="157"/>
      <c r="C33" s="157"/>
      <c r="D33" s="167"/>
      <c r="E33" s="167"/>
      <c r="F33" s="255"/>
      <c r="G33" s="217" t="str">
        <f>IFERROR((D33*E33*F33*VLOOKUP(C33,'Commute Calcs'!$K$7:$N$57,4,FALSE)/1000),"")</f>
        <v/>
      </c>
    </row>
    <row r="34" spans="1:8" ht="15">
      <c r="A34" s="207">
        <v>14</v>
      </c>
      <c r="B34" s="157"/>
      <c r="C34" s="157"/>
      <c r="D34" s="167"/>
      <c r="E34" s="167"/>
      <c r="F34" s="255"/>
      <c r="G34" s="217" t="str">
        <f>IFERROR((D34*E34*F34*VLOOKUP(C34,'Commute Calcs'!$K$7:$N$57,4,FALSE)/1000),"")</f>
        <v/>
      </c>
    </row>
    <row r="35" spans="1:8" ht="15">
      <c r="A35" s="207">
        <v>15</v>
      </c>
      <c r="B35" s="157"/>
      <c r="C35" s="157"/>
      <c r="D35" s="167"/>
      <c r="E35" s="167"/>
      <c r="F35" s="255"/>
      <c r="G35" s="217" t="str">
        <f>IFERROR((D35*E35*F35*VLOOKUP(C35,'Commute Calcs'!$K$7:$N$57,4,FALSE)/1000),"")</f>
        <v/>
      </c>
    </row>
    <row r="36" spans="1:8" ht="15">
      <c r="A36" s="207">
        <v>16</v>
      </c>
      <c r="B36" s="157"/>
      <c r="C36" s="157"/>
      <c r="D36" s="167"/>
      <c r="E36" s="167"/>
      <c r="F36" s="255"/>
      <c r="G36" s="217" t="str">
        <f>IFERROR((D36*E36*F36*VLOOKUP(C36,'Commute Calcs'!$K$7:$N$57,4,FALSE)/1000),"")</f>
        <v/>
      </c>
    </row>
    <row r="37" spans="1:8" ht="15">
      <c r="A37" s="207">
        <v>17</v>
      </c>
      <c r="B37" s="157"/>
      <c r="C37" s="157"/>
      <c r="D37" s="167"/>
      <c r="E37" s="167"/>
      <c r="F37" s="255"/>
      <c r="G37" s="217" t="str">
        <f>IFERROR((D37*E37*F37*VLOOKUP(C37,'Commute Calcs'!$K$7:$N$57,4,FALSE)/1000),"")</f>
        <v/>
      </c>
    </row>
    <row r="38" spans="1:8" ht="15">
      <c r="A38" s="207">
        <v>18</v>
      </c>
      <c r="B38" s="157"/>
      <c r="C38" s="157"/>
      <c r="D38" s="167"/>
      <c r="E38" s="167"/>
      <c r="F38" s="255"/>
      <c r="G38" s="217" t="str">
        <f>IFERROR((D38*E38*F38*VLOOKUP(C38,'Commute Calcs'!$K$7:$N$57,4,FALSE)/1000),"")</f>
        <v/>
      </c>
    </row>
    <row r="39" spans="1:8" ht="15">
      <c r="A39" s="207">
        <v>19</v>
      </c>
      <c r="B39" s="157"/>
      <c r="C39" s="157"/>
      <c r="D39" s="167"/>
      <c r="E39" s="167"/>
      <c r="F39" s="255"/>
      <c r="G39" s="217" t="str">
        <f>IFERROR((D39*E39*F39*VLOOKUP(C39,'Commute Calcs'!$K$7:$N$57,4,FALSE)/1000),"")</f>
        <v/>
      </c>
    </row>
    <row r="40" spans="1:8" ht="15.75" thickBot="1">
      <c r="A40" s="207">
        <v>20</v>
      </c>
      <c r="B40" s="157"/>
      <c r="C40" s="157"/>
      <c r="D40" s="167"/>
      <c r="E40" s="167"/>
      <c r="F40" s="255"/>
      <c r="G40" s="217" t="str">
        <f>IFERROR((D40*E40*F40*VLOOKUP(C40,'Commute Calcs'!$K$7:$N$57,4,FALSE)/1000),"")</f>
        <v/>
      </c>
    </row>
    <row r="41" spans="1:8" ht="15" thickBot="1">
      <c r="F41" s="218" t="s">
        <v>1268</v>
      </c>
      <c r="G41" s="179">
        <f>SUM(G22:G40)</f>
        <v>0</v>
      </c>
    </row>
    <row r="42" spans="1:8" ht="19.5" thickBot="1">
      <c r="A42" s="203" t="s">
        <v>1397</v>
      </c>
      <c r="F42" s="256" t="s">
        <v>1268</v>
      </c>
      <c r="G42" s="257"/>
      <c r="H42" s="236" t="s">
        <v>4091</v>
      </c>
    </row>
    <row r="43" spans="1:8">
      <c r="A43" s="204" t="s">
        <v>1237</v>
      </c>
    </row>
    <row r="44" spans="1:8">
      <c r="B44" s="2" t="s">
        <v>312</v>
      </c>
      <c r="C44" s="2" t="s">
        <v>312</v>
      </c>
      <c r="D44" s="2" t="s">
        <v>312</v>
      </c>
      <c r="E44" s="2" t="s">
        <v>312</v>
      </c>
      <c r="F44" s="2" t="s">
        <v>312</v>
      </c>
    </row>
    <row r="45" spans="1:8" ht="45">
      <c r="A45" s="205" t="s">
        <v>1238</v>
      </c>
      <c r="B45" s="206" t="s">
        <v>319</v>
      </c>
      <c r="C45" s="215" t="s">
        <v>4358</v>
      </c>
      <c r="D45" s="216" t="s">
        <v>1398</v>
      </c>
      <c r="E45" s="216" t="s">
        <v>1393</v>
      </c>
      <c r="F45" s="215" t="s">
        <v>1399</v>
      </c>
      <c r="G45" s="206" t="s">
        <v>322</v>
      </c>
    </row>
    <row r="46" spans="1:8" ht="15">
      <c r="A46" s="207">
        <v>1</v>
      </c>
      <c r="B46" s="147" t="s">
        <v>1400</v>
      </c>
      <c r="C46" s="147" t="s">
        <v>1401</v>
      </c>
      <c r="D46" s="253">
        <v>5000</v>
      </c>
      <c r="E46" s="253">
        <v>49</v>
      </c>
      <c r="F46" s="254">
        <v>3</v>
      </c>
      <c r="G46" s="240">
        <f>IFERROR((D46*E46*F46*VLOOKUP(C46,'Commute Calcs'!$K$7:$N$57,4,FALSE)/1000),"")</f>
        <v>2842.9206853126525</v>
      </c>
    </row>
    <row r="47" spans="1:8" ht="15">
      <c r="A47" s="207">
        <v>2</v>
      </c>
      <c r="B47" s="157"/>
      <c r="C47" s="157"/>
      <c r="D47" s="167"/>
      <c r="E47" s="167"/>
      <c r="F47" s="255"/>
      <c r="G47" s="217" t="str">
        <f>IFERROR((D47*E47*F47*VLOOKUP(C47,'Commute Calcs'!$K$7:$N$57,4,FALSE)/1000),"")</f>
        <v/>
      </c>
    </row>
    <row r="48" spans="1:8" ht="15">
      <c r="A48" s="207">
        <v>3</v>
      </c>
      <c r="B48" s="157"/>
      <c r="C48" s="157"/>
      <c r="D48" s="258"/>
      <c r="E48" s="258"/>
      <c r="F48" s="157"/>
      <c r="G48" s="217" t="str">
        <f>IFERROR((D48*E48*F48*VLOOKUP(C48,'Commute Calcs'!$K$7:$N$57,4,FALSE)/1000),"")</f>
        <v/>
      </c>
    </row>
    <row r="49" spans="1:7" ht="15">
      <c r="A49" s="207">
        <v>4</v>
      </c>
      <c r="B49" s="157"/>
      <c r="C49" s="157"/>
      <c r="D49" s="258"/>
      <c r="E49" s="258"/>
      <c r="F49" s="157"/>
      <c r="G49" s="217" t="str">
        <f>IFERROR((D49*E49*F49*VLOOKUP(C49,'Commute Calcs'!$K$7:$N$57,4,FALSE)/1000),"")</f>
        <v/>
      </c>
    </row>
    <row r="50" spans="1:7" ht="15">
      <c r="A50" s="207">
        <v>5</v>
      </c>
      <c r="B50" s="157"/>
      <c r="C50" s="157"/>
      <c r="D50" s="258"/>
      <c r="E50" s="258"/>
      <c r="F50" s="157"/>
      <c r="G50" s="217" t="str">
        <f>IFERROR((D50*E50*F50*VLOOKUP(C50,'Commute Calcs'!$K$7:$N$57,4,FALSE)/1000),"")</f>
        <v/>
      </c>
    </row>
    <row r="51" spans="1:7" ht="15">
      <c r="A51" s="207">
        <v>6</v>
      </c>
      <c r="B51" s="157"/>
      <c r="C51" s="157"/>
      <c r="D51" s="258"/>
      <c r="E51" s="258"/>
      <c r="F51" s="157"/>
      <c r="G51" s="217" t="str">
        <f>IFERROR((D51*E51*F51*VLOOKUP(C51,'Commute Calcs'!$K$7:$N$57,4,FALSE)/1000),"")</f>
        <v/>
      </c>
    </row>
    <row r="52" spans="1:7" ht="15">
      <c r="A52" s="207">
        <v>7</v>
      </c>
      <c r="B52" s="157"/>
      <c r="C52" s="157"/>
      <c r="D52" s="258"/>
      <c r="E52" s="258"/>
      <c r="F52" s="157"/>
      <c r="G52" s="217" t="str">
        <f>IFERROR((D52*E52*F52*VLOOKUP(C52,'Commute Calcs'!$K$7:$N$57,4,FALSE)/1000),"")</f>
        <v/>
      </c>
    </row>
    <row r="53" spans="1:7" ht="15">
      <c r="A53" s="207">
        <v>8</v>
      </c>
      <c r="B53" s="157"/>
      <c r="C53" s="157"/>
      <c r="D53" s="258"/>
      <c r="E53" s="258"/>
      <c r="F53" s="157"/>
      <c r="G53" s="217" t="str">
        <f>IFERROR((D53*E53*F53*VLOOKUP(C53,'Commute Calcs'!$K$7:$N$57,4,FALSE)/1000),"")</f>
        <v/>
      </c>
    </row>
    <row r="54" spans="1:7" ht="15">
      <c r="A54" s="207">
        <v>9</v>
      </c>
      <c r="B54" s="157"/>
      <c r="C54" s="157"/>
      <c r="D54" s="258"/>
      <c r="E54" s="258"/>
      <c r="F54" s="157"/>
      <c r="G54" s="217" t="str">
        <f>IFERROR((D54*E54*F54*VLOOKUP(C54,'Commute Calcs'!$K$7:$N$57,4,FALSE)/1000),"")</f>
        <v/>
      </c>
    </row>
    <row r="55" spans="1:7" ht="15">
      <c r="A55" s="207">
        <v>10</v>
      </c>
      <c r="B55" s="157"/>
      <c r="C55" s="157"/>
      <c r="D55" s="258"/>
      <c r="E55" s="258"/>
      <c r="F55" s="157"/>
      <c r="G55" s="217" t="str">
        <f>IFERROR((D55*E55*F55*VLOOKUP(C55,'Commute Calcs'!$K$7:$N$57,4,FALSE)/1000),"")</f>
        <v/>
      </c>
    </row>
    <row r="56" spans="1:7" ht="15">
      <c r="A56" s="207">
        <v>11</v>
      </c>
      <c r="B56" s="157"/>
      <c r="C56" s="157"/>
      <c r="D56" s="258"/>
      <c r="E56" s="258"/>
      <c r="F56" s="157"/>
      <c r="G56" s="217" t="str">
        <f>IFERROR((D56*E56*F56*VLOOKUP(C56,'Commute Calcs'!$K$7:$N$57,4,FALSE)/1000),"")</f>
        <v/>
      </c>
    </row>
    <row r="57" spans="1:7" ht="15">
      <c r="A57" s="207">
        <v>12</v>
      </c>
      <c r="B57" s="157"/>
      <c r="C57" s="157"/>
      <c r="D57" s="258"/>
      <c r="E57" s="258"/>
      <c r="F57" s="157"/>
      <c r="G57" s="217" t="str">
        <f>IFERROR((D57*E57*F57*VLOOKUP(C57,'Commute Calcs'!$K$7:$N$57,4,FALSE)/1000),"")</f>
        <v/>
      </c>
    </row>
    <row r="58" spans="1:7" ht="15">
      <c r="A58" s="207">
        <v>13</v>
      </c>
      <c r="B58" s="157"/>
      <c r="C58" s="157"/>
      <c r="D58" s="258"/>
      <c r="E58" s="258"/>
      <c r="F58" s="157"/>
      <c r="G58" s="217" t="str">
        <f>IFERROR((D58*E58*F58*VLOOKUP(C58,'Commute Calcs'!$K$7:$N$57,4,FALSE)/1000),"")</f>
        <v/>
      </c>
    </row>
    <row r="59" spans="1:7" ht="15">
      <c r="A59" s="207">
        <v>14</v>
      </c>
      <c r="B59" s="157"/>
      <c r="C59" s="157"/>
      <c r="D59" s="258"/>
      <c r="E59" s="258"/>
      <c r="F59" s="157"/>
      <c r="G59" s="217" t="str">
        <f>IFERROR((D59*E59*F59*VLOOKUP(C59,'Commute Calcs'!$K$7:$N$57,4,FALSE)/1000),"")</f>
        <v/>
      </c>
    </row>
    <row r="60" spans="1:7" ht="15">
      <c r="A60" s="207">
        <v>15</v>
      </c>
      <c r="B60" s="157"/>
      <c r="C60" s="157"/>
      <c r="D60" s="258"/>
      <c r="E60" s="258"/>
      <c r="F60" s="157"/>
      <c r="G60" s="217" t="str">
        <f>IFERROR((D60*E60*F60*VLOOKUP(C60,'Commute Calcs'!$K$7:$N$57,4,FALSE)/1000),"")</f>
        <v/>
      </c>
    </row>
    <row r="61" spans="1:7" ht="15">
      <c r="A61" s="207">
        <v>16</v>
      </c>
      <c r="B61" s="157"/>
      <c r="C61" s="157"/>
      <c r="D61" s="167"/>
      <c r="E61" s="167"/>
      <c r="F61" s="255"/>
      <c r="G61" s="217" t="str">
        <f>IFERROR((D61*E61*F61*VLOOKUP(C61,'Commute Calcs'!$K$7:$N$57,4,FALSE)/1000),"")</f>
        <v/>
      </c>
    </row>
    <row r="62" spans="1:7" ht="15">
      <c r="A62" s="207">
        <v>17</v>
      </c>
      <c r="B62" s="157"/>
      <c r="C62" s="157"/>
      <c r="D62" s="167"/>
      <c r="E62" s="167"/>
      <c r="F62" s="255"/>
      <c r="G62" s="217" t="str">
        <f>IFERROR((D62*E62*F62*VLOOKUP(C62,'Commute Calcs'!$K$7:$N$57,4,FALSE)/1000),"")</f>
        <v/>
      </c>
    </row>
    <row r="63" spans="1:7" ht="15">
      <c r="A63" s="207">
        <v>18</v>
      </c>
      <c r="B63" s="157"/>
      <c r="C63" s="157"/>
      <c r="D63" s="167"/>
      <c r="E63" s="167"/>
      <c r="F63" s="255"/>
      <c r="G63" s="217" t="str">
        <f>IFERROR((D63*E63*F63*VLOOKUP(C63,'Commute Calcs'!$K$7:$N$57,4,FALSE)/1000),"")</f>
        <v/>
      </c>
    </row>
    <row r="64" spans="1:7" ht="15">
      <c r="A64" s="207">
        <v>19</v>
      </c>
      <c r="B64" s="157"/>
      <c r="C64" s="157"/>
      <c r="D64" s="167"/>
      <c r="E64" s="167"/>
      <c r="F64" s="255"/>
      <c r="G64" s="217" t="str">
        <f>IFERROR((D64*E64*F64*VLOOKUP(C64,'Commute Calcs'!$K$7:$N$57,4,FALSE)/1000),"")</f>
        <v/>
      </c>
    </row>
    <row r="65" spans="1:8" ht="15.75" thickBot="1">
      <c r="A65" s="207">
        <v>20</v>
      </c>
      <c r="B65" s="157"/>
      <c r="C65" s="157"/>
      <c r="D65" s="167"/>
      <c r="E65" s="167"/>
      <c r="F65" s="255"/>
      <c r="G65" s="217" t="str">
        <f>IFERROR((D65*E65*F65*VLOOKUP(C65,'Commute Calcs'!$K$7:$N$57,4,FALSE)/1000),"")</f>
        <v/>
      </c>
    </row>
    <row r="66" spans="1:8" ht="15" thickBot="1">
      <c r="F66" s="218" t="s">
        <v>1268</v>
      </c>
      <c r="G66" s="179">
        <f>SUM(G47:G65)</f>
        <v>0</v>
      </c>
    </row>
    <row r="67" spans="1:8" ht="15" thickBot="1">
      <c r="F67" s="256" t="s">
        <v>1268</v>
      </c>
      <c r="G67" s="257"/>
      <c r="H67" s="236" t="s">
        <v>4091</v>
      </c>
    </row>
    <row r="69" spans="1:8">
      <c r="A69" s="259"/>
    </row>
    <row r="70" spans="1:8" ht="18.75">
      <c r="A70" s="203" t="s">
        <v>1402</v>
      </c>
    </row>
    <row r="71" spans="1:8">
      <c r="A71" s="204" t="s">
        <v>1237</v>
      </c>
    </row>
    <row r="72" spans="1:8">
      <c r="B72" s="2" t="s">
        <v>312</v>
      </c>
      <c r="C72" s="2" t="s">
        <v>312</v>
      </c>
      <c r="D72" s="2" t="s">
        <v>312</v>
      </c>
      <c r="E72" s="2" t="s">
        <v>312</v>
      </c>
    </row>
    <row r="73" spans="1:8" ht="45">
      <c r="A73" s="205" t="s">
        <v>1238</v>
      </c>
      <c r="B73" s="206" t="s">
        <v>1300</v>
      </c>
      <c r="C73" s="215" t="s">
        <v>4358</v>
      </c>
      <c r="D73" s="216" t="s">
        <v>1403</v>
      </c>
      <c r="E73" s="216" t="s">
        <v>3996</v>
      </c>
      <c r="F73" s="205" t="s">
        <v>322</v>
      </c>
    </row>
    <row r="74" spans="1:8" ht="15">
      <c r="A74" s="207">
        <v>1</v>
      </c>
      <c r="B74" s="147" t="s">
        <v>1404</v>
      </c>
      <c r="C74" s="147" t="s">
        <v>1396</v>
      </c>
      <c r="D74" s="254">
        <v>400</v>
      </c>
      <c r="E74" s="254">
        <f>48*5</f>
        <v>240</v>
      </c>
      <c r="F74" s="927">
        <f>IFERROR(D74*E74*8*150/1000*VLOOKUP(C74,'State eGrid factors'!E:M,9,FALSE)+N("staff count x days WFH per year x 8 hrs per day x 150 Watts / 1000 to convert to kWh  x State-based eGRID24 factors converted to MT/kWh"),"")</f>
        <v>54.181581447168</v>
      </c>
    </row>
    <row r="75" spans="1:8" ht="15">
      <c r="A75" s="207">
        <v>2</v>
      </c>
      <c r="B75" s="157"/>
      <c r="C75" s="150"/>
      <c r="D75" s="159"/>
      <c r="E75" s="255"/>
      <c r="F75" s="828" t="str">
        <f>IFERROR(D75*E75*8*150/1000*VLOOKUP(C75,'State eGrid factors'!E:M,9,FALSE)+N("staff count x days WFH per year x 8 hrs per day x 150 Watts / 1000 to convert to kWh  x State-based eGRID24 factors converted to MT/kWh"),"")</f>
        <v/>
      </c>
    </row>
    <row r="76" spans="1:8" ht="15">
      <c r="A76" s="207">
        <v>3</v>
      </c>
      <c r="B76" s="157"/>
      <c r="C76" s="150"/>
      <c r="D76" s="211"/>
      <c r="E76" s="157"/>
      <c r="F76" s="828" t="str">
        <f>IFERROR(D76*E76*8*150/1000*VLOOKUP(C76,'State eGrid factors'!E:M,9,FALSE)+N("staff count x days WFH per year x 8 hrs per day x 150 Watts / 1000 to convert to kWh  x State-based eGRID24 factors converted to MT/kWh"),"")</f>
        <v/>
      </c>
    </row>
    <row r="77" spans="1:8" ht="15">
      <c r="A77" s="207">
        <v>4</v>
      </c>
      <c r="B77" s="157"/>
      <c r="C77" s="150"/>
      <c r="D77" s="211"/>
      <c r="E77" s="157"/>
      <c r="F77" s="828" t="str">
        <f>IFERROR(D77*E77*8*150/1000*VLOOKUP(C77,'State eGrid factors'!E:M,9,FALSE)+N("staff count x days WFH per year x 8 hrs per day x 150 Watts / 1000 to convert to kWh  x State-based eGRID24 factors converted to MT/kWh"),"")</f>
        <v/>
      </c>
    </row>
    <row r="78" spans="1:8" ht="15">
      <c r="A78" s="207">
        <v>5</v>
      </c>
      <c r="B78" s="157"/>
      <c r="C78" s="150"/>
      <c r="D78" s="211"/>
      <c r="E78" s="157"/>
      <c r="F78" s="828" t="str">
        <f>IFERROR(D78*E78*8*150/1000*VLOOKUP(C78,'State eGrid factors'!E:M,9,FALSE)+N("staff count x days WFH per year x 8 hrs per day x 150 Watts / 1000 to convert to kWh  x State-based eGRID24 factors converted to MT/kWh"),"")</f>
        <v/>
      </c>
    </row>
    <row r="79" spans="1:8" ht="15">
      <c r="A79" s="207">
        <v>6</v>
      </c>
      <c r="B79" s="157"/>
      <c r="C79" s="150"/>
      <c r="D79" s="211"/>
      <c r="E79" s="157"/>
      <c r="F79" s="828" t="str">
        <f>IFERROR(D79*E79*8*150/1000*VLOOKUP(C79,'State eGrid factors'!E:M,9,FALSE)+N("staff count x days WFH per year x 8 hrs per day x 150 Watts / 1000 to convert to kWh  x State-based eGRID24 factors converted to MT/kWh"),"")</f>
        <v/>
      </c>
    </row>
    <row r="80" spans="1:8" ht="15">
      <c r="A80" s="207">
        <v>7</v>
      </c>
      <c r="B80" s="157"/>
      <c r="C80" s="150"/>
      <c r="D80" s="211"/>
      <c r="E80" s="157"/>
      <c r="F80" s="828" t="str">
        <f>IFERROR(D80*E80*8*150/1000*VLOOKUP(C80,'State eGrid factors'!E:M,9,FALSE)+N("staff count x days WFH per year x 8 hrs per day x 150 Watts / 1000 to convert to kWh  x State-based eGRID24 factors converted to MT/kWh"),"")</f>
        <v/>
      </c>
    </row>
    <row r="81" spans="1:7" ht="15">
      <c r="A81" s="207">
        <v>8</v>
      </c>
      <c r="B81" s="157"/>
      <c r="C81" s="150"/>
      <c r="D81" s="211"/>
      <c r="E81" s="157"/>
      <c r="F81" s="828" t="str">
        <f>IFERROR(D81*E81*8*150/1000*VLOOKUP(C81,'State eGrid factors'!E:M,9,FALSE)+N("staff count x days WFH per year x 8 hrs per day x 150 Watts / 1000 to convert to kWh  x State-based eGRID24 factors converted to MT/kWh"),"")</f>
        <v/>
      </c>
    </row>
    <row r="82" spans="1:7" ht="15">
      <c r="A82" s="207">
        <v>9</v>
      </c>
      <c r="B82" s="157"/>
      <c r="C82" s="150"/>
      <c r="D82" s="211"/>
      <c r="E82" s="157"/>
      <c r="F82" s="828" t="str">
        <f>IFERROR(D82*E82*8*150/1000*VLOOKUP(C82,'State eGrid factors'!E:M,9,FALSE)+N("staff count x days WFH per year x 8 hrs per day x 150 Watts / 1000 to convert to kWh  x State-based eGRID24 factors converted to MT/kWh"),"")</f>
        <v/>
      </c>
    </row>
    <row r="83" spans="1:7" ht="15">
      <c r="A83" s="207">
        <v>10</v>
      </c>
      <c r="B83" s="157"/>
      <c r="C83" s="150"/>
      <c r="D83" s="211"/>
      <c r="E83" s="157"/>
      <c r="F83" s="828" t="str">
        <f>IFERROR(D83*E83*8*150/1000*VLOOKUP(C83,'State eGrid factors'!E:M,9,FALSE)+N("staff count x days WFH per year x 8 hrs per day x 150 Watts / 1000 to convert to kWh  x State-based eGRID24 factors converted to MT/kWh"),"")</f>
        <v/>
      </c>
    </row>
    <row r="84" spans="1:7" ht="15">
      <c r="A84" s="207">
        <v>11</v>
      </c>
      <c r="B84" s="157"/>
      <c r="C84" s="150"/>
      <c r="D84" s="211"/>
      <c r="E84" s="157"/>
      <c r="F84" s="828" t="str">
        <f>IFERROR(D84*E84*8*150/1000*VLOOKUP(C84,'State eGrid factors'!E:M,9,FALSE)+N("staff count x days WFH per year x 8 hrs per day x 150 Watts / 1000 to convert to kWh  x State-based eGRID24 factors converted to MT/kWh"),"")</f>
        <v/>
      </c>
    </row>
    <row r="85" spans="1:7" ht="15">
      <c r="A85" s="207">
        <v>12</v>
      </c>
      <c r="B85" s="157"/>
      <c r="C85" s="150"/>
      <c r="D85" s="211"/>
      <c r="E85" s="157"/>
      <c r="F85" s="828" t="str">
        <f>IFERROR(D85*E85*8*150/1000*VLOOKUP(C85,'State eGrid factors'!E:M,9,FALSE)+N("staff count x days WFH per year x 8 hrs per day x 150 Watts / 1000 to convert to kWh  x State-based eGRID24 factors converted to MT/kWh"),"")</f>
        <v/>
      </c>
    </row>
    <row r="86" spans="1:7" ht="15">
      <c r="A86" s="207">
        <v>13</v>
      </c>
      <c r="B86" s="157"/>
      <c r="C86" s="150"/>
      <c r="D86" s="211"/>
      <c r="E86" s="157"/>
      <c r="F86" s="828" t="str">
        <f>IFERROR(D86*E86*8*150/1000*VLOOKUP(C86,'State eGrid factors'!E:M,9,FALSE)+N("staff count x days WFH per year x 8 hrs per day x 150 Watts / 1000 to convert to kWh  x State-based eGRID24 factors converted to MT/kWh"),"")</f>
        <v/>
      </c>
    </row>
    <row r="87" spans="1:7" ht="15">
      <c r="A87" s="207">
        <v>14</v>
      </c>
      <c r="B87" s="157"/>
      <c r="C87" s="150"/>
      <c r="D87" s="211"/>
      <c r="E87" s="157"/>
      <c r="F87" s="828" t="str">
        <f>IFERROR(D87*E87*8*150/1000*VLOOKUP(C87,'State eGrid factors'!E:M,9,FALSE)+N("staff count x days WFH per year x 8 hrs per day x 150 Watts / 1000 to convert to kWh  x State-based eGRID24 factors converted to MT/kWh"),"")</f>
        <v/>
      </c>
    </row>
    <row r="88" spans="1:7" ht="15">
      <c r="A88" s="207">
        <v>15</v>
      </c>
      <c r="B88" s="157"/>
      <c r="C88" s="150"/>
      <c r="D88" s="211"/>
      <c r="E88" s="157"/>
      <c r="F88" s="828" t="str">
        <f>IFERROR(D88*E88*8*150/1000*VLOOKUP(C88,'State eGrid factors'!E:M,9,FALSE)+N("staff count x days WFH per year x 8 hrs per day x 150 Watts / 1000 to convert to kWh  x State-based eGRID24 factors converted to MT/kWh"),"")</f>
        <v/>
      </c>
    </row>
    <row r="89" spans="1:7" ht="15">
      <c r="A89" s="207">
        <v>16</v>
      </c>
      <c r="B89" s="157"/>
      <c r="C89" s="150"/>
      <c r="D89" s="211"/>
      <c r="E89" s="157"/>
      <c r="F89" s="828" t="str">
        <f>IFERROR(D89*E89*8*150/1000*VLOOKUP(C89,'State eGrid factors'!E:M,9,FALSE)+N("staff count x days WFH per year x 8 hrs per day x 150 Watts / 1000 to convert to kWh  x State-based eGRID24 factors converted to MT/kWh"),"")</f>
        <v/>
      </c>
    </row>
    <row r="90" spans="1:7" ht="15">
      <c r="A90" s="207">
        <v>17</v>
      </c>
      <c r="B90" s="157"/>
      <c r="C90" s="150"/>
      <c r="D90" s="211"/>
      <c r="E90" s="157"/>
      <c r="F90" s="828" t="str">
        <f>IFERROR(D90*E90*8*150/1000*VLOOKUP(C90,'State eGrid factors'!E:M,9,FALSE)+N("staff count x days WFH per year x 8 hrs per day x 150 Watts / 1000 to convert to kWh  x State-based eGRID24 factors converted to MT/kWh"),"")</f>
        <v/>
      </c>
    </row>
    <row r="91" spans="1:7" ht="15">
      <c r="A91" s="207">
        <v>18</v>
      </c>
      <c r="B91" s="157"/>
      <c r="C91" s="150"/>
      <c r="D91" s="211"/>
      <c r="E91" s="157"/>
      <c r="F91" s="828" t="str">
        <f>IFERROR(D91*E91*8*150/1000*VLOOKUP(C91,'State eGrid factors'!E:M,9,FALSE)+N("staff count x days WFH per year x 8 hrs per day x 150 Watts / 1000 to convert to kWh  x State-based eGRID24 factors converted to MT/kWh"),"")</f>
        <v/>
      </c>
    </row>
    <row r="92" spans="1:7" ht="15">
      <c r="A92" s="207">
        <v>19</v>
      </c>
      <c r="B92" s="157"/>
      <c r="C92" s="150"/>
      <c r="D92" s="211"/>
      <c r="E92" s="157"/>
      <c r="F92" s="828" t="str">
        <f>IFERROR(D92*E92*8*150/1000*VLOOKUP(C92,'State eGrid factors'!E:M,9,FALSE)+N("staff count x days WFH per year x 8 hrs per day x 150 Watts / 1000 to convert to kWh  x State-based eGRID24 factors converted to MT/kWh"),"")</f>
        <v/>
      </c>
    </row>
    <row r="93" spans="1:7" ht="15.75" thickBot="1">
      <c r="A93" s="207">
        <v>20</v>
      </c>
      <c r="B93" s="157"/>
      <c r="C93" s="150"/>
      <c r="D93" s="211"/>
      <c r="E93" s="157"/>
      <c r="F93" s="828" t="str">
        <f>IFERROR(D93*E93*8*150/1000*VLOOKUP(C93,'State eGrid factors'!E:M,9,FALSE)+N("staff count x days WFH per year x 8 hrs per day x 150 Watts / 1000 to convert to kWh  x State-based eGRID24 factors converted to MT/kWh"),"")</f>
        <v/>
      </c>
    </row>
    <row r="94" spans="1:7" ht="15" thickBot="1">
      <c r="D94" s="260"/>
      <c r="E94" s="218" t="s">
        <v>1268</v>
      </c>
      <c r="F94" s="179">
        <f>SUM(F75:F93)</f>
        <v>0</v>
      </c>
    </row>
    <row r="95" spans="1:7" ht="15" thickBot="1">
      <c r="E95" s="256" t="s">
        <v>1268</v>
      </c>
      <c r="F95" s="257"/>
      <c r="G95" s="236" t="s">
        <v>4091</v>
      </c>
    </row>
  </sheetData>
  <sheetProtection algorithmName="SHA-512" hashValue="E5GzpOA+/VNBLvuY4G3NC1TyHXaYnd8C0tfWRHvZmVLH8eiuIQ5NGKtTEAo8/5duaAxlPZlBZGXc55eN7XTmSA==" saltValue="fwfRbHK6LMVpBPCDyg9YEg=="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017CF8-6C51-4187-8C0F-40EF72C6FDDB}">
          <x14:formula1>
            <xm:f>'Commute Calcs'!$K$7:$K$57</xm:f>
          </x14:formula1>
          <xm:sqref>C21:C40 C46:C65 C74:C93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37AD-7BB2-4D8B-A6EF-A1F2441859A9}">
  <sheetPr codeName="Sheet31">
    <tabColor theme="3" tint="0.59999389629810485"/>
  </sheetPr>
  <dimension ref="A1:R131"/>
  <sheetViews>
    <sheetView showGridLines="0" zoomScale="85" zoomScaleNormal="85" workbookViewId="0"/>
  </sheetViews>
  <sheetFormatPr defaultColWidth="8.875" defaultRowHeight="14.25"/>
  <cols>
    <col min="1" max="1" width="7.875" style="30" customWidth="1"/>
    <col min="2" max="2" width="29.875" style="30" customWidth="1"/>
    <col min="3" max="3" width="23.25" style="30" customWidth="1"/>
    <col min="4" max="4" width="20.375" style="30" customWidth="1"/>
    <col min="5" max="5" width="16.75" style="30" customWidth="1"/>
    <col min="6" max="6" width="17.875" style="30" customWidth="1"/>
    <col min="7" max="7" width="20" style="30" customWidth="1"/>
    <col min="8" max="8" width="17.25" style="30" customWidth="1"/>
    <col min="9" max="9" width="16.75" style="30" customWidth="1"/>
    <col min="10" max="10" width="7.375" style="264" customWidth="1"/>
    <col min="11" max="11" width="8.875" style="30"/>
    <col min="12" max="12" width="28.5" style="30" customWidth="1"/>
    <col min="13" max="14" width="34.5" style="30" bestFit="1" customWidth="1"/>
    <col min="15" max="15" width="29" style="30" bestFit="1" customWidth="1"/>
    <col min="16" max="16" width="14.375" style="30" customWidth="1"/>
    <col min="17" max="17" width="16.75" style="30" customWidth="1"/>
    <col min="18" max="18" width="17.125" style="30" customWidth="1"/>
    <col min="19" max="16384" width="8.875" style="30"/>
  </cols>
  <sheetData>
    <row r="1" spans="1:8" ht="23.45" customHeight="1">
      <c r="A1" s="23" t="s">
        <v>1405</v>
      </c>
      <c r="B1" s="24"/>
      <c r="C1" s="24"/>
      <c r="D1" s="24"/>
      <c r="E1" s="24"/>
      <c r="F1" s="24"/>
      <c r="G1" s="24"/>
      <c r="H1" s="24"/>
    </row>
    <row r="2" spans="1:8">
      <c r="A2" s="261" t="s">
        <v>304</v>
      </c>
      <c r="B2" s="32"/>
      <c r="C2" s="32"/>
      <c r="D2" s="32"/>
      <c r="E2" s="32"/>
      <c r="F2" s="32"/>
      <c r="G2" s="32"/>
      <c r="H2" s="32"/>
    </row>
    <row r="3" spans="1:8">
      <c r="A3" s="38" t="s">
        <v>1366</v>
      </c>
      <c r="B3" s="32"/>
      <c r="C3" s="32"/>
      <c r="D3" s="32"/>
      <c r="E3" s="32"/>
      <c r="F3" s="32"/>
      <c r="G3" s="32"/>
      <c r="H3" s="32"/>
    </row>
    <row r="4" spans="1:8">
      <c r="A4" s="38" t="s">
        <v>1406</v>
      </c>
      <c r="B4" s="32"/>
      <c r="C4" s="32"/>
      <c r="D4" s="32"/>
      <c r="E4" s="32"/>
      <c r="F4" s="32"/>
      <c r="G4" s="32"/>
      <c r="H4" s="32"/>
    </row>
    <row r="5" spans="1:8">
      <c r="A5" s="38" t="s">
        <v>1407</v>
      </c>
      <c r="B5" s="32"/>
      <c r="C5" s="32"/>
      <c r="D5" s="32"/>
      <c r="E5" s="32"/>
      <c r="F5" s="32"/>
      <c r="G5" s="32"/>
      <c r="H5" s="32"/>
    </row>
    <row r="6" spans="1:8">
      <c r="A6" s="262" t="s">
        <v>306</v>
      </c>
      <c r="B6" s="32"/>
      <c r="C6" s="32"/>
      <c r="D6" s="32"/>
      <c r="E6" s="32"/>
      <c r="F6" s="32"/>
      <c r="G6" s="32"/>
      <c r="H6" s="32"/>
    </row>
    <row r="7" spans="1:8">
      <c r="A7" s="263" t="s">
        <v>1408</v>
      </c>
      <c r="B7" s="32"/>
      <c r="C7" s="32"/>
      <c r="D7" s="32"/>
      <c r="E7" s="32"/>
      <c r="F7" s="32"/>
      <c r="G7" s="32"/>
      <c r="H7" s="32"/>
    </row>
    <row r="8" spans="1:8">
      <c r="A8" s="263" t="s">
        <v>1409</v>
      </c>
      <c r="B8" s="32"/>
      <c r="C8" s="32"/>
      <c r="D8" s="32"/>
      <c r="E8" s="32"/>
      <c r="F8" s="32"/>
      <c r="G8" s="32"/>
      <c r="H8" s="32"/>
    </row>
    <row r="14" spans="1:8" ht="14.25" customHeight="1"/>
    <row r="15" spans="1:8" ht="14.25" customHeight="1"/>
    <row r="16" spans="1:8" ht="14.25" customHeight="1"/>
    <row r="17" spans="1:17" ht="14.25" customHeight="1"/>
    <row r="18" spans="1:17" ht="14.25" customHeight="1"/>
    <row r="19" spans="1:17" ht="27.95" customHeight="1"/>
    <row r="20" spans="1:17" ht="27.95" customHeight="1">
      <c r="K20" s="265"/>
    </row>
    <row r="21" spans="1:17" ht="27.95" customHeight="1">
      <c r="K21" s="826" t="s">
        <v>4058</v>
      </c>
    </row>
    <row r="23" spans="1:17" ht="18.75">
      <c r="A23" s="266" t="s">
        <v>1410</v>
      </c>
      <c r="K23" s="266" t="s">
        <v>1410</v>
      </c>
    </row>
    <row r="24" spans="1:17">
      <c r="A24" s="267" t="s">
        <v>1237</v>
      </c>
      <c r="J24" s="268"/>
      <c r="K24" s="267" t="s">
        <v>1237</v>
      </c>
    </row>
    <row r="25" spans="1:17" ht="9" customHeight="1">
      <c r="A25" s="267"/>
      <c r="J25" s="268"/>
      <c r="K25" s="267"/>
    </row>
    <row r="26" spans="1:17">
      <c r="B26" s="53" t="s">
        <v>312</v>
      </c>
      <c r="C26" s="53" t="s">
        <v>312</v>
      </c>
      <c r="D26" s="53" t="s">
        <v>312</v>
      </c>
      <c r="E26" s="269"/>
      <c r="F26" s="269"/>
      <c r="L26" s="53" t="s">
        <v>312</v>
      </c>
      <c r="M26" s="53" t="s">
        <v>312</v>
      </c>
      <c r="N26" s="53" t="s">
        <v>312</v>
      </c>
      <c r="O26" s="53" t="s">
        <v>312</v>
      </c>
      <c r="P26" s="269"/>
    </row>
    <row r="27" spans="1:17" ht="60">
      <c r="A27" s="270" t="s">
        <v>1238</v>
      </c>
      <c r="B27" s="271" t="s">
        <v>319</v>
      </c>
      <c r="C27" s="288" t="s">
        <v>1411</v>
      </c>
      <c r="D27" s="215" t="s">
        <v>4055</v>
      </c>
      <c r="E27" s="288" t="s">
        <v>1412</v>
      </c>
      <c r="F27" s="288" t="s">
        <v>1413</v>
      </c>
      <c r="G27" s="288" t="s">
        <v>4056</v>
      </c>
      <c r="H27" s="288" t="s">
        <v>4057</v>
      </c>
      <c r="K27" s="270" t="s">
        <v>1238</v>
      </c>
      <c r="L27" s="271" t="s">
        <v>319</v>
      </c>
      <c r="M27" s="215" t="s">
        <v>4055</v>
      </c>
      <c r="N27" s="270" t="s">
        <v>1412</v>
      </c>
      <c r="O27" s="270" t="s">
        <v>1413</v>
      </c>
      <c r="P27" s="288" t="s">
        <v>4056</v>
      </c>
      <c r="Q27" s="288" t="s">
        <v>4057</v>
      </c>
    </row>
    <row r="28" spans="1:17" ht="15">
      <c r="A28" s="272">
        <v>1</v>
      </c>
      <c r="B28" s="273" t="s">
        <v>1414</v>
      </c>
      <c r="C28" s="274">
        <v>3000</v>
      </c>
      <c r="D28" s="147" t="s">
        <v>1396</v>
      </c>
      <c r="E28" s="275">
        <f>IF(C28="","",C28*'CBECS IFs'!$C$8)</f>
        <v>86400</v>
      </c>
      <c r="F28" s="275">
        <f>IF(C28="","",C28*'CBECS IFs'!$D$18)</f>
        <v>2416.7528438469494</v>
      </c>
      <c r="G28" s="171">
        <f>IF(OR(D28="",E28=""),"",((E28*VLOOKUP(D28,'State eGrid factors'!$E:$M,9,FALSE))+(((E28/(1-EF!$E$34))*EF!$E$29)+(E28*EF!$H$3))/1000+N("electricity emissions + upstream losses on total generation + T&amp;D losses")))</f>
        <v>47.466606590230363</v>
      </c>
      <c r="H28" s="171">
        <f>IF(F28="","",(F28*('CBECS IFs'!$M$18+'CBECS IFs'!$O$24))/1000)</f>
        <v>15.096211837305795</v>
      </c>
      <c r="I28" s="924"/>
      <c r="K28" s="272">
        <v>1</v>
      </c>
      <c r="L28" s="273" t="s">
        <v>1414</v>
      </c>
      <c r="M28" s="147" t="s">
        <v>1396</v>
      </c>
      <c r="N28" s="274">
        <v>15000</v>
      </c>
      <c r="O28" s="274">
        <v>2600</v>
      </c>
      <c r="P28" s="171">
        <f>IF(OR(M28="",N28=""),"",((N28*VLOOKUP(M28,'State eGrid factors'!$E:$M,9,FALSE))+(((N28/(1-EF!$E$34))*EF!$E$29)+(N28*EF!$H$3))/1000+N("electricity emissions + upstream losses on total generation + T&amp;D losses")))</f>
        <v>8.2407303108038832</v>
      </c>
      <c r="Q28" s="171">
        <f>IF(O28="","",(O28*('CBECS IFs'!$M$18+'CBECS IFs'!$O$24))/1000)</f>
        <v>16.240862559415586</v>
      </c>
    </row>
    <row r="29" spans="1:17" ht="15">
      <c r="A29" s="272">
        <v>2</v>
      </c>
      <c r="B29" s="276"/>
      <c r="C29" s="277"/>
      <c r="D29" s="157"/>
      <c r="E29" s="278" t="str">
        <f>IF(C29="","",C29*'CBECS IFs'!$C$8)</f>
        <v/>
      </c>
      <c r="F29" s="278" t="str">
        <f>IF(C29="","",C29*'CBECS IFs'!$D$18)</f>
        <v/>
      </c>
      <c r="G29" s="172" t="str">
        <f>IF(OR(D29="",E29=""),"",((E29*VLOOKUP(D29,'State eGrid factors'!$E:$M,9,FALSE))+(((E29/(1-EF!$E$34))*EF!$E$29)+(E29*EF!$H$3))/1000+N("electricity emissions + upstream losses on total generation + T&amp;D losses")))</f>
        <v/>
      </c>
      <c r="H29" s="172" t="str">
        <f>IF(F29="","",(F29*('CBECS IFs'!$M$18+'CBECS IFs'!$O$24))/1000)</f>
        <v/>
      </c>
      <c r="K29" s="272">
        <v>2</v>
      </c>
      <c r="L29" s="276"/>
      <c r="M29" s="157"/>
      <c r="N29" s="277"/>
      <c r="O29" s="277"/>
      <c r="P29" s="172" t="str">
        <f>IF(OR(M29="",N29=""),"",((N29*VLOOKUP(M29,'State eGrid factors'!$E:$M,9,FALSE))+(((N29/(1-EF!$E$34))*EF!$E$29)+(N29*EF!$H$3))/1000+N("electricity emissions + upstream losses on total generation + T&amp;D losses")))</f>
        <v/>
      </c>
      <c r="Q29" s="172" t="str">
        <f>IF(O29="","",(O29*('CBECS IFs'!$M$18+'CBECS IFs'!$O$24))/1000)</f>
        <v/>
      </c>
    </row>
    <row r="30" spans="1:17" ht="15">
      <c r="A30" s="272">
        <v>3</v>
      </c>
      <c r="B30" s="276"/>
      <c r="C30" s="277"/>
      <c r="D30" s="157"/>
      <c r="E30" s="278" t="str">
        <f>IF(C30="","",C30*'CBECS IFs'!$C$8)</f>
        <v/>
      </c>
      <c r="F30" s="278" t="str">
        <f>IF(C30="","",C30*'CBECS IFs'!$D$18)</f>
        <v/>
      </c>
      <c r="G30" s="172" t="str">
        <f>IF(OR(D30="",E30=""),"",((E30*VLOOKUP(D30,'State eGrid factors'!$E:$M,9,FALSE))+(((E30/(1-EF!$E$34))*EF!$E$29)+(E30*EF!$H$3))/1000+N("electricity emissions + upstream losses on total generation + T&amp;D losses")))</f>
        <v/>
      </c>
      <c r="H30" s="172" t="str">
        <f>IF(F30="","",(F30*('CBECS IFs'!$M$18+'CBECS IFs'!$O$24))/1000)</f>
        <v/>
      </c>
      <c r="K30" s="272">
        <v>3</v>
      </c>
      <c r="L30" s="276"/>
      <c r="M30" s="157"/>
      <c r="N30" s="277"/>
      <c r="O30" s="277"/>
      <c r="P30" s="172" t="str">
        <f>IF(OR(M30="",N30=""),"",((N30*VLOOKUP(M30,'State eGrid factors'!$E:$M,9,FALSE))+(((N30/(1-EF!$E$34))*EF!$E$29)+(N30*EF!$H$3))/1000+N("electricity emissions + upstream losses on total generation + T&amp;D losses")))</f>
        <v/>
      </c>
      <c r="Q30" s="172" t="str">
        <f>IF(O30="","",(O30*('CBECS IFs'!$M$18+'CBECS IFs'!$O$24))/1000)</f>
        <v/>
      </c>
    </row>
    <row r="31" spans="1:17" ht="15">
      <c r="A31" s="272">
        <v>4</v>
      </c>
      <c r="B31" s="276"/>
      <c r="C31" s="277"/>
      <c r="D31" s="157"/>
      <c r="E31" s="278" t="str">
        <f>IF(C31="","",C31*'CBECS IFs'!$C$8)</f>
        <v/>
      </c>
      <c r="F31" s="278" t="str">
        <f>IF(C31="","",C31*'CBECS IFs'!$D$18)</f>
        <v/>
      </c>
      <c r="G31" s="172" t="str">
        <f>IF(OR(D31="",E31=""),"",((E31*VLOOKUP(D31,'State eGrid factors'!$E:$M,9,FALSE))+(((E31/(1-EF!$E$34))*EF!$E$29)+(E31*EF!$H$3))/1000+N("electricity emissions + upstream losses on total generation + T&amp;D losses")))</f>
        <v/>
      </c>
      <c r="H31" s="172" t="str">
        <f>IF(F31="","",(F31*('CBECS IFs'!$M$18+'CBECS IFs'!$O$24))/1000)</f>
        <v/>
      </c>
      <c r="K31" s="272">
        <v>4</v>
      </c>
      <c r="L31" s="276"/>
      <c r="M31" s="157"/>
      <c r="N31" s="277"/>
      <c r="O31" s="277"/>
      <c r="P31" s="172" t="str">
        <f>IF(OR(M31="",N31=""),"",((N31*VLOOKUP(M31,'State eGrid factors'!$E:$M,9,FALSE))+(((N31/(1-EF!$E$34))*EF!$E$29)+(N31*EF!$H$3))/1000+N("electricity emissions + upstream losses on total generation + T&amp;D losses")))</f>
        <v/>
      </c>
      <c r="Q31" s="172" t="str">
        <f>IF(O31="","",(O31*('CBECS IFs'!$M$18+'CBECS IFs'!$O$24))/1000)</f>
        <v/>
      </c>
    </row>
    <row r="32" spans="1:17" ht="15">
      <c r="A32" s="272">
        <v>5</v>
      </c>
      <c r="B32" s="276"/>
      <c r="C32" s="277"/>
      <c r="D32" s="157"/>
      <c r="E32" s="278" t="str">
        <f>IF(C32="","",C32*'CBECS IFs'!$C$8)</f>
        <v/>
      </c>
      <c r="F32" s="278" t="str">
        <f>IF(C32="","",C32*'CBECS IFs'!$D$18)</f>
        <v/>
      </c>
      <c r="G32" s="172" t="str">
        <f>IF(OR(D32="",E32=""),"",((E32*VLOOKUP(D32,'State eGrid factors'!$E:$M,9,FALSE))+(((E32/(1-EF!$E$34))*EF!$E$29)+(E32*EF!$H$3))/1000+N("electricity emissions + upstream losses on total generation + T&amp;D losses")))</f>
        <v/>
      </c>
      <c r="H32" s="172" t="str">
        <f>IF(F32="","",(F32*('CBECS IFs'!$M$18+'CBECS IFs'!$O$24))/1000)</f>
        <v/>
      </c>
      <c r="K32" s="272">
        <v>5</v>
      </c>
      <c r="L32" s="276"/>
      <c r="M32" s="157"/>
      <c r="N32" s="277"/>
      <c r="O32" s="277"/>
      <c r="P32" s="172" t="str">
        <f>IF(OR(M32="",N32=""),"",((N32*VLOOKUP(M32,'State eGrid factors'!$E:$M,9,FALSE))+(((N32/(1-EF!$E$34))*EF!$E$29)+(N32*EF!$H$3))/1000+N("electricity emissions + upstream losses on total generation + T&amp;D losses")))</f>
        <v/>
      </c>
      <c r="Q32" s="172" t="str">
        <f>IF(O32="","",(O32*('CBECS IFs'!$M$18+'CBECS IFs'!$O$24))/1000)</f>
        <v/>
      </c>
    </row>
    <row r="33" spans="1:17" ht="15">
      <c r="A33" s="272">
        <v>6</v>
      </c>
      <c r="B33" s="276"/>
      <c r="C33" s="277"/>
      <c r="D33" s="157"/>
      <c r="E33" s="278" t="str">
        <f>IF(C33="","",C33*'CBECS IFs'!$C$8)</f>
        <v/>
      </c>
      <c r="F33" s="278" t="str">
        <f>IF(C33="","",C33*'CBECS IFs'!$D$18)</f>
        <v/>
      </c>
      <c r="G33" s="172" t="str">
        <f>IF(OR(D33="",E33=""),"",((E33*VLOOKUP(D33,'State eGrid factors'!$E:$M,9,FALSE))+(((E33/(1-EF!$E$34))*EF!$E$29)+(E33*EF!$H$3))/1000+N("electricity emissions + upstream losses on total generation + T&amp;D losses")))</f>
        <v/>
      </c>
      <c r="H33" s="172" t="str">
        <f>IF(F33="","",(F33*('CBECS IFs'!$M$18+'CBECS IFs'!$O$24))/1000)</f>
        <v/>
      </c>
      <c r="K33" s="272">
        <v>6</v>
      </c>
      <c r="L33" s="276"/>
      <c r="M33" s="157"/>
      <c r="N33" s="277"/>
      <c r="O33" s="277"/>
      <c r="P33" s="172" t="str">
        <f>IF(OR(M33="",N33=""),"",((N33*VLOOKUP(M33,'State eGrid factors'!$E:$M,9,FALSE))+(((N33/(1-EF!$E$34))*EF!$E$29)+(N33*EF!$H$3))/1000+N("electricity emissions + upstream losses on total generation + T&amp;D losses")))</f>
        <v/>
      </c>
      <c r="Q33" s="172" t="str">
        <f>IF(O33="","",(O33*('CBECS IFs'!$M$18+'CBECS IFs'!$O$24))/1000)</f>
        <v/>
      </c>
    </row>
    <row r="34" spans="1:17" ht="15">
      <c r="A34" s="272">
        <v>7</v>
      </c>
      <c r="B34" s="276"/>
      <c r="C34" s="277"/>
      <c r="D34" s="157"/>
      <c r="E34" s="278" t="str">
        <f>IF(C34="","",C34*'CBECS IFs'!$C$8)</f>
        <v/>
      </c>
      <c r="F34" s="278" t="str">
        <f>IF(C34="","",C34*'CBECS IFs'!$D$18)</f>
        <v/>
      </c>
      <c r="G34" s="172" t="str">
        <f>IF(OR(D34="",E34=""),"",((E34*VLOOKUP(D34,'State eGrid factors'!$E:$M,9,FALSE))+(((E34/(1-EF!$E$34))*EF!$E$29)+(E34*EF!$H$3))/1000+N("electricity emissions + upstream losses on total generation + T&amp;D losses")))</f>
        <v/>
      </c>
      <c r="H34" s="172" t="str">
        <f>IF(F34="","",(F34*('CBECS IFs'!$M$18+'CBECS IFs'!$O$24))/1000)</f>
        <v/>
      </c>
      <c r="K34" s="272">
        <v>7</v>
      </c>
      <c r="L34" s="276"/>
      <c r="M34" s="157"/>
      <c r="N34" s="277"/>
      <c r="O34" s="277"/>
      <c r="P34" s="172" t="str">
        <f>IF(OR(M34="",N34=""),"",((N34*VLOOKUP(M34,'State eGrid factors'!$E:$M,9,FALSE))+(((N34/(1-EF!$E$34))*EF!$E$29)+(N34*EF!$H$3))/1000+N("electricity emissions + upstream losses on total generation + T&amp;D losses")))</f>
        <v/>
      </c>
      <c r="Q34" s="172" t="str">
        <f>IF(O34="","",(O34*('CBECS IFs'!$M$18+'CBECS IFs'!$O$24))/1000)</f>
        <v/>
      </c>
    </row>
    <row r="35" spans="1:17" ht="15">
      <c r="A35" s="272">
        <v>8</v>
      </c>
      <c r="B35" s="276"/>
      <c r="C35" s="277"/>
      <c r="D35" s="157"/>
      <c r="E35" s="278" t="str">
        <f>IF(C35="","",C35*'CBECS IFs'!$C$8)</f>
        <v/>
      </c>
      <c r="F35" s="278" t="str">
        <f>IF(C35="","",C35*'CBECS IFs'!$D$18)</f>
        <v/>
      </c>
      <c r="G35" s="172" t="str">
        <f>IF(OR(D35="",E35=""),"",((E35*VLOOKUP(D35,'State eGrid factors'!$E:$M,9,FALSE))+(((E35/(1-EF!$E$34))*EF!$E$29)+(E35*EF!$H$3))/1000+N("electricity emissions + upstream losses on total generation + T&amp;D losses")))</f>
        <v/>
      </c>
      <c r="H35" s="172" t="str">
        <f>IF(F35="","",(F35*('CBECS IFs'!$M$18+'CBECS IFs'!$O$24))/1000)</f>
        <v/>
      </c>
      <c r="K35" s="272">
        <v>8</v>
      </c>
      <c r="L35" s="276"/>
      <c r="M35" s="157"/>
      <c r="N35" s="277"/>
      <c r="O35" s="277"/>
      <c r="P35" s="172" t="str">
        <f>IF(OR(M35="",N35=""),"",((N35*VLOOKUP(M35,'State eGrid factors'!$E:$M,9,FALSE))+(((N35/(1-EF!$E$34))*EF!$E$29)+(N35*EF!$H$3))/1000+N("electricity emissions + upstream losses on total generation + T&amp;D losses")))</f>
        <v/>
      </c>
      <c r="Q35" s="172" t="str">
        <f>IF(O35="","",(O35*('CBECS IFs'!$M$18+'CBECS IFs'!$O$24))/1000)</f>
        <v/>
      </c>
    </row>
    <row r="36" spans="1:17" ht="15">
      <c r="A36" s="272">
        <v>9</v>
      </c>
      <c r="B36" s="276"/>
      <c r="C36" s="277"/>
      <c r="D36" s="157"/>
      <c r="E36" s="278" t="str">
        <f>IF(C36="","",C36*'CBECS IFs'!$C$8)</f>
        <v/>
      </c>
      <c r="F36" s="278" t="str">
        <f>IF(C36="","",C36*'CBECS IFs'!$D$18)</f>
        <v/>
      </c>
      <c r="G36" s="172" t="str">
        <f>IF(OR(D36="",E36=""),"",((E36*VLOOKUP(D36,'State eGrid factors'!$E:$M,9,FALSE))+(((E36/(1-EF!$E$34))*EF!$E$29)+(E36*EF!$H$3))/1000+N("electricity emissions + upstream losses on total generation + T&amp;D losses")))</f>
        <v/>
      </c>
      <c r="H36" s="172" t="str">
        <f>IF(F36="","",(F36*('CBECS IFs'!$M$18+'CBECS IFs'!$O$24))/1000)</f>
        <v/>
      </c>
      <c r="K36" s="272">
        <v>9</v>
      </c>
      <c r="L36" s="276"/>
      <c r="M36" s="157"/>
      <c r="N36" s="277"/>
      <c r="O36" s="277"/>
      <c r="P36" s="172" t="str">
        <f>IF(OR(M36="",N36=""),"",((N36*VLOOKUP(M36,'State eGrid factors'!$E:$M,9,FALSE))+(((N36/(1-EF!$E$34))*EF!$E$29)+(N36*EF!$H$3))/1000+N("electricity emissions + upstream losses on total generation + T&amp;D losses")))</f>
        <v/>
      </c>
      <c r="Q36" s="172" t="str">
        <f>IF(O36="","",(O36*('CBECS IFs'!$M$18+'CBECS IFs'!$O$24))/1000)</f>
        <v/>
      </c>
    </row>
    <row r="37" spans="1:17" ht="15">
      <c r="A37" s="272">
        <v>10</v>
      </c>
      <c r="B37" s="276"/>
      <c r="C37" s="277"/>
      <c r="D37" s="157"/>
      <c r="E37" s="278" t="str">
        <f>IF(C37="","",C37*'CBECS IFs'!$C$8)</f>
        <v/>
      </c>
      <c r="F37" s="278" t="str">
        <f>IF(C37="","",C37*'CBECS IFs'!$D$18)</f>
        <v/>
      </c>
      <c r="G37" s="172" t="str">
        <f>IF(OR(D37="",E37=""),"",((E37*VLOOKUP(D37,'State eGrid factors'!$E:$M,9,FALSE))+(((E37/(1-EF!$E$34))*EF!$E$29)+(E37*EF!$H$3))/1000+N("electricity emissions + upstream losses on total generation + T&amp;D losses")))</f>
        <v/>
      </c>
      <c r="H37" s="172" t="str">
        <f>IF(F37="","",(F37*('CBECS IFs'!$M$18+'CBECS IFs'!$O$24))/1000)</f>
        <v/>
      </c>
      <c r="K37" s="272">
        <v>10</v>
      </c>
      <c r="L37" s="276"/>
      <c r="M37" s="157"/>
      <c r="N37" s="277"/>
      <c r="O37" s="277"/>
      <c r="P37" s="172" t="str">
        <f>IF(OR(M37="",N37=""),"",((N37*VLOOKUP(M37,'State eGrid factors'!$E:$M,9,FALSE))+(((N37/(1-EF!$E$34))*EF!$E$29)+(N37*EF!$H$3))/1000+N("electricity emissions + upstream losses on total generation + T&amp;D losses")))</f>
        <v/>
      </c>
      <c r="Q37" s="172" t="str">
        <f>IF(O37="","",(O37*('CBECS IFs'!$M$18+'CBECS IFs'!$O$24))/1000)</f>
        <v/>
      </c>
    </row>
    <row r="38" spans="1:17" ht="15">
      <c r="A38" s="272">
        <v>11</v>
      </c>
      <c r="B38" s="276"/>
      <c r="C38" s="277"/>
      <c r="D38" s="157"/>
      <c r="E38" s="278" t="str">
        <f>IF(C38="","",C38*'CBECS IFs'!$C$8)</f>
        <v/>
      </c>
      <c r="F38" s="278" t="str">
        <f>IF(C38="","",C38*'CBECS IFs'!$D$18)</f>
        <v/>
      </c>
      <c r="G38" s="172" t="str">
        <f>IF(OR(D38="",E38=""),"",((E38*VLOOKUP(D38,'State eGrid factors'!$E:$M,9,FALSE))+(((E38/(1-EF!$E$34))*EF!$E$29)+(E38*EF!$H$3))/1000+N("electricity emissions + upstream losses on total generation + T&amp;D losses")))</f>
        <v/>
      </c>
      <c r="H38" s="172" t="str">
        <f>IF(F38="","",(F38*('CBECS IFs'!$M$18+'CBECS IFs'!$O$24))/1000)</f>
        <v/>
      </c>
      <c r="K38" s="272">
        <v>11</v>
      </c>
      <c r="L38" s="276"/>
      <c r="M38" s="157"/>
      <c r="N38" s="277"/>
      <c r="O38" s="277"/>
      <c r="P38" s="172" t="str">
        <f>IF(OR(M38="",N38=""),"",((N38*VLOOKUP(M38,'State eGrid factors'!$E:$M,9,FALSE))+(((N38/(1-EF!$E$34))*EF!$E$29)+(N38*EF!$H$3))/1000+N("electricity emissions + upstream losses on total generation + T&amp;D losses")))</f>
        <v/>
      </c>
      <c r="Q38" s="172" t="str">
        <f>IF(O38="","",(O38*('CBECS IFs'!$M$18+'CBECS IFs'!$O$24))/1000)</f>
        <v/>
      </c>
    </row>
    <row r="39" spans="1:17" ht="15">
      <c r="A39" s="272">
        <v>12</v>
      </c>
      <c r="B39" s="276"/>
      <c r="C39" s="277"/>
      <c r="D39" s="157"/>
      <c r="E39" s="278" t="str">
        <f>IF(C39="","",C39*'CBECS IFs'!$C$8)</f>
        <v/>
      </c>
      <c r="F39" s="278" t="str">
        <f>IF(C39="","",C39*'CBECS IFs'!$D$18)</f>
        <v/>
      </c>
      <c r="G39" s="172" t="str">
        <f>IF(OR(D39="",E39=""),"",((E39*VLOOKUP(D39,'State eGrid factors'!$E:$M,9,FALSE))+(((E39/(1-EF!$E$34))*EF!$E$29)+(E39*EF!$H$3))/1000+N("electricity emissions + upstream losses on total generation + T&amp;D losses")))</f>
        <v/>
      </c>
      <c r="H39" s="172" t="str">
        <f>IF(F39="","",(F39*('CBECS IFs'!$M$18+'CBECS IFs'!$O$24))/1000)</f>
        <v/>
      </c>
      <c r="K39" s="272">
        <v>12</v>
      </c>
      <c r="L39" s="276"/>
      <c r="M39" s="157"/>
      <c r="N39" s="277"/>
      <c r="O39" s="277"/>
      <c r="P39" s="172" t="str">
        <f>IF(OR(M39="",N39=""),"",((N39*VLOOKUP(M39,'State eGrid factors'!$E:$M,9,FALSE))+(((N39/(1-EF!$E$34))*EF!$E$29)+(N39*EF!$H$3))/1000+N("electricity emissions + upstream losses on total generation + T&amp;D losses")))</f>
        <v/>
      </c>
      <c r="Q39" s="172" t="str">
        <f>IF(O39="","",(O39*('CBECS IFs'!$M$18+'CBECS IFs'!$O$24))/1000)</f>
        <v/>
      </c>
    </row>
    <row r="40" spans="1:17" ht="15">
      <c r="A40" s="272">
        <v>13</v>
      </c>
      <c r="B40" s="276"/>
      <c r="C40" s="277"/>
      <c r="D40" s="157"/>
      <c r="E40" s="278" t="str">
        <f>IF(C40="","",C40*'CBECS IFs'!$C$8)</f>
        <v/>
      </c>
      <c r="F40" s="278" t="str">
        <f>IF(C40="","",C40*'CBECS IFs'!$D$18)</f>
        <v/>
      </c>
      <c r="G40" s="172" t="str">
        <f>IF(OR(D40="",E40=""),"",((E40*VLOOKUP(D40,'State eGrid factors'!$E:$M,9,FALSE))+(((E40/(1-EF!$E$34))*EF!$E$29)+(E40*EF!$H$3))/1000+N("electricity emissions + upstream losses on total generation + T&amp;D losses")))</f>
        <v/>
      </c>
      <c r="H40" s="172" t="str">
        <f>IF(F40="","",(F40*('CBECS IFs'!$M$18+'CBECS IFs'!$O$24))/1000)</f>
        <v/>
      </c>
      <c r="K40" s="272">
        <v>13</v>
      </c>
      <c r="L40" s="276"/>
      <c r="M40" s="157"/>
      <c r="N40" s="277"/>
      <c r="O40" s="277"/>
      <c r="P40" s="172" t="str">
        <f>IF(OR(M40="",N40=""),"",((N40*VLOOKUP(M40,'State eGrid factors'!$E:$M,9,FALSE))+(((N40/(1-EF!$E$34))*EF!$E$29)+(N40*EF!$H$3))/1000+N("electricity emissions + upstream losses on total generation + T&amp;D losses")))</f>
        <v/>
      </c>
      <c r="Q40" s="172" t="str">
        <f>IF(O40="","",(O40*('CBECS IFs'!$M$18+'CBECS IFs'!$O$24))/1000)</f>
        <v/>
      </c>
    </row>
    <row r="41" spans="1:17" ht="15">
      <c r="A41" s="272">
        <v>14</v>
      </c>
      <c r="B41" s="276"/>
      <c r="C41" s="277"/>
      <c r="D41" s="157"/>
      <c r="E41" s="278" t="str">
        <f>IF(C41="","",C41*'CBECS IFs'!$C$8)</f>
        <v/>
      </c>
      <c r="F41" s="278" t="str">
        <f>IF(C41="","",C41*'CBECS IFs'!$D$18)</f>
        <v/>
      </c>
      <c r="G41" s="172" t="str">
        <f>IF(OR(D41="",E41=""),"",((E41*VLOOKUP(D41,'State eGrid factors'!$E:$M,9,FALSE))+(((E41/(1-EF!$E$34))*EF!$E$29)+(E41*EF!$H$3))/1000+N("electricity emissions + upstream losses on total generation + T&amp;D losses")))</f>
        <v/>
      </c>
      <c r="H41" s="172" t="str">
        <f>IF(F41="","",(F41*('CBECS IFs'!$M$18+'CBECS IFs'!$O$24))/1000)</f>
        <v/>
      </c>
      <c r="K41" s="272">
        <v>14</v>
      </c>
      <c r="L41" s="276"/>
      <c r="M41" s="157"/>
      <c r="N41" s="277"/>
      <c r="O41" s="277"/>
      <c r="P41" s="172" t="str">
        <f>IF(OR(M41="",N41=""),"",((N41*VLOOKUP(M41,'State eGrid factors'!$E:$M,9,FALSE))+(((N41/(1-EF!$E$34))*EF!$E$29)+(N41*EF!$H$3))/1000+N("electricity emissions + upstream losses on total generation + T&amp;D losses")))</f>
        <v/>
      </c>
      <c r="Q41" s="172" t="str">
        <f>IF(O41="","",(O41*('CBECS IFs'!$M$18+'CBECS IFs'!$O$24))/1000)</f>
        <v/>
      </c>
    </row>
    <row r="42" spans="1:17" ht="15">
      <c r="A42" s="272">
        <v>15</v>
      </c>
      <c r="B42" s="276"/>
      <c r="C42" s="277"/>
      <c r="D42" s="157"/>
      <c r="E42" s="278" t="str">
        <f>IF(C42="","",C42*'CBECS IFs'!$C$8)</f>
        <v/>
      </c>
      <c r="F42" s="278" t="str">
        <f>IF(C42="","",C42*'CBECS IFs'!$D$18)</f>
        <v/>
      </c>
      <c r="G42" s="172" t="str">
        <f>IF(OR(D42="",E42=""),"",((E42*VLOOKUP(D42,'State eGrid factors'!$E:$M,9,FALSE))+(((E42/(1-EF!$E$34))*EF!$E$29)+(E42*EF!$H$3))/1000+N("electricity emissions + upstream losses on total generation + T&amp;D losses")))</f>
        <v/>
      </c>
      <c r="H42" s="172" t="str">
        <f>IF(F42="","",(F42*('CBECS IFs'!$M$18+'CBECS IFs'!$O$24))/1000)</f>
        <v/>
      </c>
      <c r="K42" s="272">
        <v>15</v>
      </c>
      <c r="L42" s="276"/>
      <c r="M42" s="157"/>
      <c r="N42" s="277"/>
      <c r="O42" s="277"/>
      <c r="P42" s="172" t="str">
        <f>IF(OR(M42="",N42=""),"",((N42*VLOOKUP(M42,'State eGrid factors'!$E:$M,9,FALSE))+(((N42/(1-EF!$E$34))*EF!$E$29)+(N42*EF!$H$3))/1000+N("electricity emissions + upstream losses on total generation + T&amp;D losses")))</f>
        <v/>
      </c>
      <c r="Q42" s="172" t="str">
        <f>IF(O42="","",(O42*('CBECS IFs'!$M$18+'CBECS IFs'!$O$24))/1000)</f>
        <v/>
      </c>
    </row>
    <row r="43" spans="1:17" ht="15">
      <c r="A43" s="272">
        <v>16</v>
      </c>
      <c r="B43" s="276"/>
      <c r="C43" s="277"/>
      <c r="D43" s="157"/>
      <c r="E43" s="278" t="str">
        <f>IF(C43="","",C43*'CBECS IFs'!$C$8)</f>
        <v/>
      </c>
      <c r="F43" s="278" t="str">
        <f>IF(C43="","",C43*'CBECS IFs'!$D$18)</f>
        <v/>
      </c>
      <c r="G43" s="172" t="str">
        <f>IF(OR(D43="",E43=""),"",((E43*VLOOKUP(D43,'State eGrid factors'!$E:$M,9,FALSE))+(((E43/(1-EF!$E$34))*EF!$E$29)+(E43*EF!$H$3))/1000+N("electricity emissions + upstream losses on total generation + T&amp;D losses")))</f>
        <v/>
      </c>
      <c r="H43" s="172" t="str">
        <f>IF(F43="","",(F43*('CBECS IFs'!$M$18+'CBECS IFs'!$O$24))/1000)</f>
        <v/>
      </c>
      <c r="K43" s="272">
        <v>16</v>
      </c>
      <c r="L43" s="276"/>
      <c r="M43" s="157"/>
      <c r="N43" s="277"/>
      <c r="O43" s="277"/>
      <c r="P43" s="172" t="str">
        <f>IF(OR(M43="",N43=""),"",((N43*VLOOKUP(M43,'State eGrid factors'!$E:$M,9,FALSE))+(((N43/(1-EF!$E$34))*EF!$E$29)+(N43*EF!$H$3))/1000+N("electricity emissions + upstream losses on total generation + T&amp;D losses")))</f>
        <v/>
      </c>
      <c r="Q43" s="172" t="str">
        <f>IF(O43="","",(O43*('CBECS IFs'!$M$18+'CBECS IFs'!$O$24))/1000)</f>
        <v/>
      </c>
    </row>
    <row r="44" spans="1:17" ht="15">
      <c r="A44" s="272">
        <v>17</v>
      </c>
      <c r="B44" s="276"/>
      <c r="C44" s="277"/>
      <c r="D44" s="157"/>
      <c r="E44" s="278" t="str">
        <f>IF(C44="","",C44*'CBECS IFs'!$C$8)</f>
        <v/>
      </c>
      <c r="F44" s="278" t="str">
        <f>IF(C44="","",C44*'CBECS IFs'!$D$18)</f>
        <v/>
      </c>
      <c r="G44" s="172" t="str">
        <f>IF(OR(D44="",E44=""),"",((E44*VLOOKUP(D44,'State eGrid factors'!$E:$M,9,FALSE))+(((E44/(1-EF!$E$34))*EF!$E$29)+(E44*EF!$H$3))/1000+N("electricity emissions + upstream losses on total generation + T&amp;D losses")))</f>
        <v/>
      </c>
      <c r="H44" s="172" t="str">
        <f>IF(F44="","",(F44*('CBECS IFs'!$M$18+'CBECS IFs'!$O$24))/1000)</f>
        <v/>
      </c>
      <c r="K44" s="272">
        <v>17</v>
      </c>
      <c r="L44" s="276"/>
      <c r="M44" s="157"/>
      <c r="N44" s="277"/>
      <c r="O44" s="277"/>
      <c r="P44" s="172" t="str">
        <f>IF(OR(M44="",N44=""),"",((N44*VLOOKUP(M44,'State eGrid factors'!$E:$M,9,FALSE))+(((N44/(1-EF!$E$34))*EF!$E$29)+(N44*EF!$H$3))/1000+N("electricity emissions + upstream losses on total generation + T&amp;D losses")))</f>
        <v/>
      </c>
      <c r="Q44" s="172" t="str">
        <f>IF(O44="","",(O44*('CBECS IFs'!$M$18+'CBECS IFs'!$O$24))/1000)</f>
        <v/>
      </c>
    </row>
    <row r="45" spans="1:17" ht="15">
      <c r="A45" s="272">
        <v>18</v>
      </c>
      <c r="B45" s="276"/>
      <c r="C45" s="277"/>
      <c r="D45" s="157"/>
      <c r="E45" s="278" t="str">
        <f>IF(C45="","",C45*'CBECS IFs'!$C$8)</f>
        <v/>
      </c>
      <c r="F45" s="278" t="str">
        <f>IF(C45="","",C45*'CBECS IFs'!$D$18)</f>
        <v/>
      </c>
      <c r="G45" s="172" t="str">
        <f>IF(OR(D45="",E45=""),"",((E45*VLOOKUP(D45,'State eGrid factors'!$E:$M,9,FALSE))+(((E45/(1-EF!$E$34))*EF!$E$29)+(E45*EF!$H$3))/1000+N("electricity emissions + upstream losses on total generation + T&amp;D losses")))</f>
        <v/>
      </c>
      <c r="H45" s="172" t="str">
        <f>IF(F45="","",(F45*('CBECS IFs'!$M$18+'CBECS IFs'!$O$24))/1000)</f>
        <v/>
      </c>
      <c r="K45" s="272">
        <v>18</v>
      </c>
      <c r="L45" s="276"/>
      <c r="M45" s="157"/>
      <c r="N45" s="277"/>
      <c r="O45" s="277"/>
      <c r="P45" s="172" t="str">
        <f>IF(OR(M45="",N45=""),"",((N45*VLOOKUP(M45,'State eGrid factors'!$E:$M,9,FALSE))+(((N45/(1-EF!$E$34))*EF!$E$29)+(N45*EF!$H$3))/1000+N("electricity emissions + upstream losses on total generation + T&amp;D losses")))</f>
        <v/>
      </c>
      <c r="Q45" s="172" t="str">
        <f>IF(O45="","",(O45*('CBECS IFs'!$M$18+'CBECS IFs'!$O$24))/1000)</f>
        <v/>
      </c>
    </row>
    <row r="46" spans="1:17" ht="15">
      <c r="A46" s="272">
        <v>19</v>
      </c>
      <c r="B46" s="276"/>
      <c r="C46" s="277"/>
      <c r="D46" s="157"/>
      <c r="E46" s="278" t="str">
        <f>IF(C46="","",C46*'CBECS IFs'!$C$8)</f>
        <v/>
      </c>
      <c r="F46" s="278" t="str">
        <f>IF(C46="","",C46*'CBECS IFs'!$D$18)</f>
        <v/>
      </c>
      <c r="G46" s="172" t="str">
        <f>IF(OR(D46="",E46=""),"",((E46*VLOOKUP(D46,'State eGrid factors'!$E:$M,9,FALSE))+(((E46/(1-EF!$E$34))*EF!$E$29)+(E46*EF!$H$3))/1000+N("electricity emissions + upstream losses on total generation + T&amp;D losses")))</f>
        <v/>
      </c>
      <c r="H46" s="172" t="str">
        <f>IF(F46="","",(F46*('CBECS IFs'!$M$18+'CBECS IFs'!$O$24))/1000)</f>
        <v/>
      </c>
      <c r="K46" s="272">
        <v>19</v>
      </c>
      <c r="L46" s="276"/>
      <c r="M46" s="157"/>
      <c r="N46" s="277"/>
      <c r="O46" s="277"/>
      <c r="P46" s="172" t="str">
        <f>IF(OR(M46="",N46=""),"",((N46*VLOOKUP(M46,'State eGrid factors'!$E:$M,9,FALSE))+(((N46/(1-EF!$E$34))*EF!$E$29)+(N46*EF!$H$3))/1000+N("electricity emissions + upstream losses on total generation + T&amp;D losses")))</f>
        <v/>
      </c>
      <c r="Q46" s="172" t="str">
        <f>IF(O46="","",(O46*('CBECS IFs'!$M$18+'CBECS IFs'!$O$24))/1000)</f>
        <v/>
      </c>
    </row>
    <row r="47" spans="1:17" ht="15.75" thickBot="1">
      <c r="A47" s="272">
        <v>20</v>
      </c>
      <c r="B47" s="276"/>
      <c r="C47" s="277"/>
      <c r="D47" s="157"/>
      <c r="E47" s="278" t="str">
        <f>IF(C47="","",C47*'CBECS IFs'!$C$8)</f>
        <v/>
      </c>
      <c r="F47" s="278" t="str">
        <f>IF(C47="","",C47*'CBECS IFs'!$D$18)</f>
        <v/>
      </c>
      <c r="G47" s="172" t="str">
        <f>IF(OR(D47="",E47=""),"",((E47*VLOOKUP(D47,'State eGrid factors'!$E:$M,9,FALSE))+(((E47/(1-EF!$E$34))*EF!$E$29)+(E47*EF!$H$3))/1000+N("electricity emissions + upstream losses on total generation + T&amp;D losses")))</f>
        <v/>
      </c>
      <c r="H47" s="172" t="str">
        <f>IF(F47="","",(F47*('CBECS IFs'!$M$18+'CBECS IFs'!$O$24))/1000)</f>
        <v/>
      </c>
      <c r="K47" s="272">
        <v>20</v>
      </c>
      <c r="L47" s="276"/>
      <c r="M47" s="157"/>
      <c r="N47" s="277"/>
      <c r="O47" s="277"/>
      <c r="P47" s="172" t="str">
        <f>IF(OR(M47="",N47=""),"",((N47*VLOOKUP(M47,'State eGrid factors'!$E:$M,9,FALSE))+(((N47/(1-EF!$E$34))*EF!$E$29)+(N47*EF!$H$3))/1000+N("electricity emissions + upstream losses on total generation + T&amp;D losses")))</f>
        <v/>
      </c>
      <c r="Q47" s="172" t="str">
        <f>IF(O47="","",(O47*('CBECS IFs'!$M$18+'CBECS IFs'!$O$24))/1000)</f>
        <v/>
      </c>
    </row>
    <row r="48" spans="1:17" ht="15" thickBot="1">
      <c r="F48" s="279" t="s">
        <v>1268</v>
      </c>
      <c r="G48" s="179">
        <f>SUM(G29:G47)</f>
        <v>0</v>
      </c>
      <c r="H48" s="179">
        <f>SUM(H29:H47)</f>
        <v>0</v>
      </c>
      <c r="O48" s="279" t="s">
        <v>1268</v>
      </c>
      <c r="P48" s="179">
        <f>SUM(P29:P47)</f>
        <v>0</v>
      </c>
      <c r="Q48" s="179">
        <f>SUM(Q29:Q47)</f>
        <v>0</v>
      </c>
    </row>
    <row r="49" spans="1:18">
      <c r="F49" s="280"/>
      <c r="G49" s="281"/>
      <c r="O49" s="280"/>
      <c r="P49" s="281"/>
    </row>
    <row r="50" spans="1:18" ht="18.75">
      <c r="A50" s="266" t="s">
        <v>1415</v>
      </c>
      <c r="K50" s="266" t="s">
        <v>1415</v>
      </c>
    </row>
    <row r="51" spans="1:18" ht="14.25" customHeight="1">
      <c r="A51" s="267" t="s">
        <v>1237</v>
      </c>
      <c r="K51" s="267" t="s">
        <v>1237</v>
      </c>
    </row>
    <row r="52" spans="1:18" ht="22.5" customHeight="1">
      <c r="A52" s="267"/>
      <c r="C52" s="1567" t="s">
        <v>2915</v>
      </c>
      <c r="D52" s="720"/>
      <c r="K52" s="267"/>
      <c r="M52" s="720"/>
    </row>
    <row r="53" spans="1:18" ht="8.25" customHeight="1">
      <c r="A53" s="267"/>
      <c r="C53" s="1567"/>
      <c r="D53" s="720"/>
      <c r="K53" s="267"/>
      <c r="L53" s="42"/>
      <c r="M53" s="720"/>
      <c r="N53" s="42"/>
      <c r="O53" s="42"/>
    </row>
    <row r="54" spans="1:18" ht="14.25" customHeight="1">
      <c r="B54" s="53" t="s">
        <v>312</v>
      </c>
      <c r="C54" s="53" t="s">
        <v>312</v>
      </c>
      <c r="D54" s="53" t="s">
        <v>312</v>
      </c>
      <c r="E54" s="53" t="s">
        <v>312</v>
      </c>
      <c r="F54" s="269"/>
      <c r="L54" s="53" t="s">
        <v>312</v>
      </c>
      <c r="M54" s="53" t="s">
        <v>312</v>
      </c>
      <c r="N54" s="53" t="s">
        <v>312</v>
      </c>
      <c r="O54" s="53" t="s">
        <v>312</v>
      </c>
      <c r="P54" s="53" t="s">
        <v>312</v>
      </c>
    </row>
    <row r="55" spans="1:18" ht="45">
      <c r="A55" s="270" t="s">
        <v>1238</v>
      </c>
      <c r="B55" s="271" t="s">
        <v>319</v>
      </c>
      <c r="C55" s="294" t="s">
        <v>2916</v>
      </c>
      <c r="D55" s="288" t="s">
        <v>1411</v>
      </c>
      <c r="E55" s="215" t="s">
        <v>4055</v>
      </c>
      <c r="F55" s="288" t="s">
        <v>1412</v>
      </c>
      <c r="G55" s="288" t="s">
        <v>1413</v>
      </c>
      <c r="H55" s="288" t="s">
        <v>4056</v>
      </c>
      <c r="I55" s="288" t="s">
        <v>4057</v>
      </c>
      <c r="K55" s="270" t="s">
        <v>1238</v>
      </c>
      <c r="L55" s="271" t="s">
        <v>319</v>
      </c>
      <c r="M55" s="271" t="s">
        <v>1729</v>
      </c>
      <c r="N55" s="215" t="s">
        <v>4055</v>
      </c>
      <c r="O55" s="270" t="s">
        <v>1412</v>
      </c>
      <c r="P55" s="288" t="s">
        <v>1413</v>
      </c>
      <c r="Q55" s="288" t="s">
        <v>4056</v>
      </c>
      <c r="R55" s="288" t="s">
        <v>4057</v>
      </c>
    </row>
    <row r="56" spans="1:18" ht="15">
      <c r="A56" s="272">
        <v>1</v>
      </c>
      <c r="B56" s="273" t="s">
        <v>1414</v>
      </c>
      <c r="C56" s="273"/>
      <c r="D56" s="277"/>
      <c r="E56" s="147"/>
      <c r="F56" s="275" t="str">
        <f>IF(OR(C56="",D56=""),"",(D56*IF(C56='CBECS IFs'!$B$10,'CBECS IFs'!$C$10,'CBECS IFs'!$C$11)))</f>
        <v/>
      </c>
      <c r="G56" s="275" t="str">
        <f>IF(OR(C56="",D56=""),"",(D56*IF(C56='CBECS IFs'!$B$20,'CBECS IFs'!$D$20,'CBECS IFs'!$D$21)))</f>
        <v/>
      </c>
      <c r="H56" s="171" t="str">
        <f>IF(OR(E56="",F56=""),"",((F56*VLOOKUP(E56,'State eGrid factors'!$E:$M,9,FALSE))+(((F56/(1-EF!$E$34))*EF!$E$29)+(F56*EF!$H$3))/1000+N("electricity emissions + upstream losses on total generation + T&amp;D losses")))</f>
        <v/>
      </c>
      <c r="I56" s="171" t="str">
        <f>IF(G56="","",(G56*('CBECS IFs'!$M$18+'CBECS IFs'!$O$24))/1000)</f>
        <v/>
      </c>
      <c r="K56" s="272">
        <v>1</v>
      </c>
      <c r="L56" s="273" t="s">
        <v>1414</v>
      </c>
      <c r="M56" s="273" t="s">
        <v>1416</v>
      </c>
      <c r="N56" s="147" t="s">
        <v>1396</v>
      </c>
      <c r="O56" s="274">
        <v>50000</v>
      </c>
      <c r="P56" s="274">
        <v>1000</v>
      </c>
      <c r="Q56" s="171">
        <f>IF(OR(N56="",O56=""),"",((O56*VLOOKUP(N56,'State eGrid factors'!$E:$M,9,FALSE))+(((O56/(1-EF!$E$34))*EF!$E$29)+(O56*EF!$H$3))/1000+N("electricity emissions + upstream losses on total generation + T&amp;D losses")))</f>
        <v>27.469101036012944</v>
      </c>
      <c r="R56" s="171">
        <f>IF(P56="","",(P56*('CBECS IFs'!$M$18+'CBECS IFs'!$O$24))/1000)</f>
        <v>6.2464855997752258</v>
      </c>
    </row>
    <row r="57" spans="1:18" ht="15">
      <c r="A57" s="272">
        <v>2</v>
      </c>
      <c r="B57" s="276"/>
      <c r="C57" s="276"/>
      <c r="D57" s="277"/>
      <c r="E57" s="157"/>
      <c r="F57" s="825" t="str">
        <f>IF(OR(C57="",D57=""),"",(D57*IF(C57='CBECS IFs'!$B$10,'CBECS IFs'!$C$10,'CBECS IFs'!$C$11)))</f>
        <v/>
      </c>
      <c r="G57" s="825" t="str">
        <f>IF(OR(C57="",D57=""),"",(D57*IF(C57='CBECS IFs'!$B$20,'CBECS IFs'!$D$20,'CBECS IFs'!$D$21)))</f>
        <v/>
      </c>
      <c r="H57" s="172" t="str">
        <f>IF(OR(E57="",F57=""),"",((F57*VLOOKUP(E57,'State eGrid factors'!$E:$M,9,FALSE))+(((F57/(1-EF!$E$34))*EF!$E$29)+(F57*EF!$H$3))/1000+N("electricity emissions + upstream losses on total generation + T&amp;D losses")))</f>
        <v/>
      </c>
      <c r="I57" s="172" t="str">
        <f>IF(G57="","",(G57*('CBECS IFs'!$M$18+'CBECS IFs'!$O$24))/1000)</f>
        <v/>
      </c>
      <c r="K57" s="272">
        <v>2</v>
      </c>
      <c r="L57" s="276"/>
      <c r="M57" s="276"/>
      <c r="N57" s="157"/>
      <c r="O57" s="277"/>
      <c r="P57" s="277"/>
      <c r="Q57" s="172" t="str">
        <f>IF(OR(N57="",O57=""),"",((O57*VLOOKUP(N57,'State eGrid factors'!$E:$M,9,FALSE))+(((O57/(1-EF!$E$34))*EF!$E$29)+(O57*EF!$H$3))/1000+N("electricity emissions + upstream losses on total generation + T&amp;D losses")))</f>
        <v/>
      </c>
      <c r="R57" s="172" t="str">
        <f>IF(P57="","",(P57*('CBECS IFs'!$M$18+'CBECS IFs'!$O$24))/1000)</f>
        <v/>
      </c>
    </row>
    <row r="58" spans="1:18" ht="15">
      <c r="A58" s="272">
        <v>3</v>
      </c>
      <c r="B58" s="276"/>
      <c r="C58" s="276"/>
      <c r="D58" s="277"/>
      <c r="E58" s="157"/>
      <c r="F58" s="825" t="str">
        <f>IF(OR(C58="",D58=""),"",(D58*IF(C58='CBECS IFs'!$B$10,'CBECS IFs'!$C$10,'CBECS IFs'!$C$11)))</f>
        <v/>
      </c>
      <c r="G58" s="825" t="str">
        <f>IF(OR(C58="",D58=""),"",(D58*IF(C58='CBECS IFs'!$B$20,'CBECS IFs'!$D$20,'CBECS IFs'!$D$21)))</f>
        <v/>
      </c>
      <c r="H58" s="172" t="str">
        <f>IF(OR(E58="",F58=""),"",((F58*VLOOKUP(E58,'State eGrid factors'!$E:$M,9,FALSE))+(((F58/(1-EF!$E$34))*EF!$E$29)+(F58*EF!$H$3))/1000+N("electricity emissions + upstream losses on total generation + T&amp;D losses")))</f>
        <v/>
      </c>
      <c r="I58" s="172" t="str">
        <f>IF(G58="","",(G58*('CBECS IFs'!$M$18+'CBECS IFs'!$O$24))/1000)</f>
        <v/>
      </c>
      <c r="K58" s="272">
        <v>3</v>
      </c>
      <c r="L58" s="276"/>
      <c r="M58" s="276"/>
      <c r="N58" s="157"/>
      <c r="O58" s="277"/>
      <c r="P58" s="277"/>
      <c r="Q58" s="172" t="str">
        <f>IF(OR(N58="",O58=""),"",((O58*VLOOKUP(N58,'State eGrid factors'!$E:$M,9,FALSE))+(((O58/(1-EF!$E$34))*EF!$E$29)+(O58*EF!$H$3))/1000+N("electricity emissions + upstream losses on total generation + T&amp;D losses")))</f>
        <v/>
      </c>
      <c r="R58" s="172" t="str">
        <f>IF(P58="","",(P58*('CBECS IFs'!$M$18+'CBECS IFs'!$O$24))/1000)</f>
        <v/>
      </c>
    </row>
    <row r="59" spans="1:18" ht="15">
      <c r="A59" s="272">
        <v>4</v>
      </c>
      <c r="B59" s="276"/>
      <c r="C59" s="276"/>
      <c r="D59" s="277"/>
      <c r="E59" s="157"/>
      <c r="F59" s="825" t="str">
        <f>IF(OR(C59="",D59=""),"",(D59*IF(C59='CBECS IFs'!$B$10,'CBECS IFs'!$C$10,'CBECS IFs'!$C$11)))</f>
        <v/>
      </c>
      <c r="G59" s="825" t="str">
        <f>IF(OR(C59="",D59=""),"",(D59*IF(C59='CBECS IFs'!$B$20,'CBECS IFs'!$D$20,'CBECS IFs'!$D$21)))</f>
        <v/>
      </c>
      <c r="H59" s="172" t="str">
        <f>IF(OR(E59="",F59=""),"",((F59*VLOOKUP(E59,'State eGrid factors'!$E:$M,9,FALSE))+(((F59/(1-EF!$E$34))*EF!$E$29)+(F59*EF!$H$3))/1000+N("electricity emissions + upstream losses on total generation + T&amp;D losses")))</f>
        <v/>
      </c>
      <c r="I59" s="172" t="str">
        <f>IF(G59="","",(G59*('CBECS IFs'!$M$18+'CBECS IFs'!$O$24))/1000)</f>
        <v/>
      </c>
      <c r="K59" s="272">
        <v>4</v>
      </c>
      <c r="L59" s="276"/>
      <c r="M59" s="276"/>
      <c r="N59" s="157"/>
      <c r="O59" s="277"/>
      <c r="P59" s="277"/>
      <c r="Q59" s="172" t="str">
        <f>IF(OR(N59="",O59=""),"",((O59*VLOOKUP(N59,'State eGrid factors'!$E:$M,9,FALSE))+(((O59/(1-EF!$E$34))*EF!$E$29)+(O59*EF!$H$3))/1000+N("electricity emissions + upstream losses on total generation + T&amp;D losses")))</f>
        <v/>
      </c>
      <c r="R59" s="172" t="str">
        <f>IF(P59="","",(P59*('CBECS IFs'!$M$18+'CBECS IFs'!$O$24))/1000)</f>
        <v/>
      </c>
    </row>
    <row r="60" spans="1:18" ht="15">
      <c r="A60" s="272">
        <v>5</v>
      </c>
      <c r="B60" s="276"/>
      <c r="C60" s="276"/>
      <c r="D60" s="277"/>
      <c r="E60" s="157"/>
      <c r="F60" s="825" t="str">
        <f>IF(OR(C60="",D60=""),"",(D60*IF(C60='CBECS IFs'!$B$10,'CBECS IFs'!$C$10,'CBECS IFs'!$C$11)))</f>
        <v/>
      </c>
      <c r="G60" s="825" t="str">
        <f>IF(OR(C60="",D60=""),"",(D60*IF(C60='CBECS IFs'!$B$20,'CBECS IFs'!$D$20,'CBECS IFs'!$D$21)))</f>
        <v/>
      </c>
      <c r="H60" s="172" t="str">
        <f>IF(OR(E60="",F60=""),"",((F60*VLOOKUP(E60,'State eGrid factors'!$E:$M,9,FALSE))+(((F60/(1-EF!$E$34))*EF!$E$29)+(F60*EF!$H$3))/1000+N("electricity emissions + upstream losses on total generation + T&amp;D losses")))</f>
        <v/>
      </c>
      <c r="I60" s="172" t="str">
        <f>IF(G60="","",(G60*('CBECS IFs'!$M$18+'CBECS IFs'!$O$24))/1000)</f>
        <v/>
      </c>
      <c r="K60" s="272">
        <v>5</v>
      </c>
      <c r="L60" s="276"/>
      <c r="M60" s="276"/>
      <c r="N60" s="157"/>
      <c r="O60" s="277"/>
      <c r="P60" s="277"/>
      <c r="Q60" s="172" t="str">
        <f>IF(OR(N60="",O60=""),"",((O60*VLOOKUP(N60,'State eGrid factors'!$E:$M,9,FALSE))+(((O60/(1-EF!$E$34))*EF!$E$29)+(O60*EF!$H$3))/1000+N("electricity emissions + upstream losses on total generation + T&amp;D losses")))</f>
        <v/>
      </c>
      <c r="R60" s="172" t="str">
        <f>IF(P60="","",(P60*('CBECS IFs'!$M$18+'CBECS IFs'!$O$24))/1000)</f>
        <v/>
      </c>
    </row>
    <row r="61" spans="1:18" ht="15">
      <c r="A61" s="272">
        <v>6</v>
      </c>
      <c r="B61" s="276"/>
      <c r="C61" s="276"/>
      <c r="D61" s="277"/>
      <c r="E61" s="157"/>
      <c r="F61" s="825" t="str">
        <f>IF(OR(C61="",D61=""),"",(D61*IF(C61='CBECS IFs'!$B$10,'CBECS IFs'!$C$10,'CBECS IFs'!$C$11)))</f>
        <v/>
      </c>
      <c r="G61" s="825" t="str">
        <f>IF(OR(C61="",D61=""),"",(D61*IF(C61='CBECS IFs'!$B$20,'CBECS IFs'!$D$20,'CBECS IFs'!$D$21)))</f>
        <v/>
      </c>
      <c r="H61" s="172" t="str">
        <f>IF(OR(E61="",F61=""),"",((F61*VLOOKUP(E61,'State eGrid factors'!$E:$M,9,FALSE))+(((F61/(1-EF!$E$34))*EF!$E$29)+(F61*EF!$H$3))/1000+N("electricity emissions + upstream losses on total generation + T&amp;D losses")))</f>
        <v/>
      </c>
      <c r="I61" s="172" t="str">
        <f>IF(G61="","",(G61*('CBECS IFs'!$M$18+'CBECS IFs'!$O$24))/1000)</f>
        <v/>
      </c>
      <c r="K61" s="272">
        <v>6</v>
      </c>
      <c r="L61" s="276"/>
      <c r="M61" s="276"/>
      <c r="N61" s="157"/>
      <c r="O61" s="277"/>
      <c r="P61" s="277"/>
      <c r="Q61" s="172" t="str">
        <f>IF(OR(N61="",O61=""),"",((O61*VLOOKUP(N61,'State eGrid factors'!$E:$M,9,FALSE))+(((O61/(1-EF!$E$34))*EF!$E$29)+(O61*EF!$H$3))/1000+N("electricity emissions + upstream losses on total generation + T&amp;D losses")))</f>
        <v/>
      </c>
      <c r="R61" s="172" t="str">
        <f>IF(P61="","",(P61*('CBECS IFs'!$M$18+'CBECS IFs'!$O$24))/1000)</f>
        <v/>
      </c>
    </row>
    <row r="62" spans="1:18" ht="15">
      <c r="A62" s="272">
        <v>7</v>
      </c>
      <c r="B62" s="276"/>
      <c r="C62" s="276"/>
      <c r="D62" s="277"/>
      <c r="E62" s="157"/>
      <c r="F62" s="825" t="str">
        <f>IF(OR(C62="",D62=""),"",(D62*IF(C62='CBECS IFs'!$B$10,'CBECS IFs'!$C$10,'CBECS IFs'!$C$11)))</f>
        <v/>
      </c>
      <c r="G62" s="825" t="str">
        <f>IF(OR(C62="",D62=""),"",(D62*IF(C62='CBECS IFs'!$B$20,'CBECS IFs'!$D$20,'CBECS IFs'!$D$21)))</f>
        <v/>
      </c>
      <c r="H62" s="172" t="str">
        <f>IF(OR(E62="",F62=""),"",((F62*VLOOKUP(E62,'State eGrid factors'!$E:$M,9,FALSE))+(((F62/(1-EF!$E$34))*EF!$E$29)+(F62*EF!$H$3))/1000+N("electricity emissions + upstream losses on total generation + T&amp;D losses")))</f>
        <v/>
      </c>
      <c r="I62" s="172" t="str">
        <f>IF(G62="","",(G62*('CBECS IFs'!$M$18+'CBECS IFs'!$O$24))/1000)</f>
        <v/>
      </c>
      <c r="K62" s="272">
        <v>7</v>
      </c>
      <c r="L62" s="276"/>
      <c r="M62" s="276"/>
      <c r="N62" s="157"/>
      <c r="O62" s="277"/>
      <c r="P62" s="277"/>
      <c r="Q62" s="172" t="str">
        <f>IF(OR(N62="",O62=""),"",((O62*VLOOKUP(N62,'State eGrid factors'!$E:$M,9,FALSE))+(((O62/(1-EF!$E$34))*EF!$E$29)+(O62*EF!$H$3))/1000+N("electricity emissions + upstream losses on total generation + T&amp;D losses")))</f>
        <v/>
      </c>
      <c r="R62" s="172" t="str">
        <f>IF(P62="","",(P62*('CBECS IFs'!$M$18+'CBECS IFs'!$O$24))/1000)</f>
        <v/>
      </c>
    </row>
    <row r="63" spans="1:18" ht="15">
      <c r="A63" s="272">
        <v>8</v>
      </c>
      <c r="B63" s="276"/>
      <c r="C63" s="276"/>
      <c r="D63" s="277"/>
      <c r="E63" s="157"/>
      <c r="F63" s="825" t="str">
        <f>IF(OR(C63="",D63=""),"",(D63*IF(C63='CBECS IFs'!$B$10,'CBECS IFs'!$C$10,'CBECS IFs'!$C$11)))</f>
        <v/>
      </c>
      <c r="G63" s="825" t="str">
        <f>IF(OR(C63="",D63=""),"",(D63*IF(C63='CBECS IFs'!$B$20,'CBECS IFs'!$D$20,'CBECS IFs'!$D$21)))</f>
        <v/>
      </c>
      <c r="H63" s="172" t="str">
        <f>IF(OR(E63="",F63=""),"",((F63*VLOOKUP(E63,'State eGrid factors'!$E:$M,9,FALSE))+(((F63/(1-EF!$E$34))*EF!$E$29)+(F63*EF!$H$3))/1000+N("electricity emissions + upstream losses on total generation + T&amp;D losses")))</f>
        <v/>
      </c>
      <c r="I63" s="172" t="str">
        <f>IF(G63="","",(G63*('CBECS IFs'!$M$18+'CBECS IFs'!$O$24))/1000)</f>
        <v/>
      </c>
      <c r="K63" s="272">
        <v>8</v>
      </c>
      <c r="L63" s="276"/>
      <c r="M63" s="276"/>
      <c r="N63" s="157"/>
      <c r="O63" s="277"/>
      <c r="P63" s="277"/>
      <c r="Q63" s="172" t="str">
        <f>IF(OR(N63="",O63=""),"",((O63*VLOOKUP(N63,'State eGrid factors'!$E:$M,9,FALSE))+(((O63/(1-EF!$E$34))*EF!$E$29)+(O63*EF!$H$3))/1000+N("electricity emissions + upstream losses on total generation + T&amp;D losses")))</f>
        <v/>
      </c>
      <c r="R63" s="172" t="str">
        <f>IF(P63="","",(P63*('CBECS IFs'!$M$18+'CBECS IFs'!$O$24))/1000)</f>
        <v/>
      </c>
    </row>
    <row r="64" spans="1:18" ht="15">
      <c r="A64" s="272">
        <v>9</v>
      </c>
      <c r="B64" s="276"/>
      <c r="C64" s="276"/>
      <c r="D64" s="277"/>
      <c r="E64" s="157"/>
      <c r="F64" s="825" t="str">
        <f>IF(OR(C64="",D64=""),"",(D64*IF(C64='CBECS IFs'!$B$10,'CBECS IFs'!$C$10,'CBECS IFs'!$C$11)))</f>
        <v/>
      </c>
      <c r="G64" s="825" t="str">
        <f>IF(OR(C64="",D64=""),"",(D64*IF(C64='CBECS IFs'!$B$20,'CBECS IFs'!$D$20,'CBECS IFs'!$D$21)))</f>
        <v/>
      </c>
      <c r="H64" s="172" t="str">
        <f>IF(OR(E64="",F64=""),"",((F64*VLOOKUP(E64,'State eGrid factors'!$E:$M,9,FALSE))+(((F64/(1-EF!$E$34))*EF!$E$29)+(F64*EF!$H$3))/1000+N("electricity emissions + upstream losses on total generation + T&amp;D losses")))</f>
        <v/>
      </c>
      <c r="I64" s="172" t="str">
        <f>IF(G64="","",(G64*('CBECS IFs'!$M$18+'CBECS IFs'!$O$24))/1000)</f>
        <v/>
      </c>
      <c r="K64" s="272">
        <v>9</v>
      </c>
      <c r="L64" s="276"/>
      <c r="M64" s="276"/>
      <c r="N64" s="157"/>
      <c r="O64" s="277"/>
      <c r="P64" s="277"/>
      <c r="Q64" s="172" t="str">
        <f>IF(OR(N64="",O64=""),"",((O64*VLOOKUP(N64,'State eGrid factors'!$E:$M,9,FALSE))+(((O64/(1-EF!$E$34))*EF!$E$29)+(O64*EF!$H$3))/1000+N("electricity emissions + upstream losses on total generation + T&amp;D losses")))</f>
        <v/>
      </c>
      <c r="R64" s="172" t="str">
        <f>IF(P64="","",(P64*('CBECS IFs'!$M$18+'CBECS IFs'!$O$24))/1000)</f>
        <v/>
      </c>
    </row>
    <row r="65" spans="1:18" ht="15">
      <c r="A65" s="272">
        <v>10</v>
      </c>
      <c r="B65" s="276"/>
      <c r="C65" s="276"/>
      <c r="D65" s="277"/>
      <c r="E65" s="157"/>
      <c r="F65" s="825" t="str">
        <f>IF(OR(C65="",D65=""),"",(D65*IF(C65='CBECS IFs'!$B$10,'CBECS IFs'!$C$10,'CBECS IFs'!$C$11)))</f>
        <v/>
      </c>
      <c r="G65" s="825" t="str">
        <f>IF(OR(C65="",D65=""),"",(D65*IF(C65='CBECS IFs'!$B$20,'CBECS IFs'!$D$20,'CBECS IFs'!$D$21)))</f>
        <v/>
      </c>
      <c r="H65" s="172" t="str">
        <f>IF(OR(E65="",F65=""),"",((F65*VLOOKUP(E65,'State eGrid factors'!$E:$M,9,FALSE))+(((F65/(1-EF!$E$34))*EF!$E$29)+(F65*EF!$H$3))/1000+N("electricity emissions + upstream losses on total generation + T&amp;D losses")))</f>
        <v/>
      </c>
      <c r="I65" s="172" t="str">
        <f>IF(G65="","",(G65*('CBECS IFs'!$M$18+'CBECS IFs'!$O$24))/1000)</f>
        <v/>
      </c>
      <c r="K65" s="272">
        <v>10</v>
      </c>
      <c r="L65" s="276"/>
      <c r="M65" s="276"/>
      <c r="N65" s="157"/>
      <c r="O65" s="277"/>
      <c r="P65" s="277"/>
      <c r="Q65" s="172" t="str">
        <f>IF(OR(N65="",O65=""),"",((O65*VLOOKUP(N65,'State eGrid factors'!$E:$M,9,FALSE))+(((O65/(1-EF!$E$34))*EF!$E$29)+(O65*EF!$H$3))/1000+N("electricity emissions + upstream losses on total generation + T&amp;D losses")))</f>
        <v/>
      </c>
      <c r="R65" s="172" t="str">
        <f>IF(P65="","",(P65*('CBECS IFs'!$M$18+'CBECS IFs'!$O$24))/1000)</f>
        <v/>
      </c>
    </row>
    <row r="66" spans="1:18" ht="15">
      <c r="A66" s="272">
        <v>11</v>
      </c>
      <c r="B66" s="276"/>
      <c r="C66" s="276"/>
      <c r="D66" s="277"/>
      <c r="E66" s="157"/>
      <c r="F66" s="825" t="str">
        <f>IF(OR(C66="",D66=""),"",(D66*IF(C66='CBECS IFs'!$B$10,'CBECS IFs'!$C$10,'CBECS IFs'!$C$11)))</f>
        <v/>
      </c>
      <c r="G66" s="825" t="str">
        <f>IF(OR(C66="",D66=""),"",(D66*IF(C66='CBECS IFs'!$B$20,'CBECS IFs'!$D$20,'CBECS IFs'!$D$21)))</f>
        <v/>
      </c>
      <c r="H66" s="172" t="str">
        <f>IF(OR(E66="",F66=""),"",((F66*VLOOKUP(E66,'State eGrid factors'!$E:$M,9,FALSE))+(((F66/(1-EF!$E$34))*EF!$E$29)+(F66*EF!$H$3))/1000+N("electricity emissions + upstream losses on total generation + T&amp;D losses")))</f>
        <v/>
      </c>
      <c r="I66" s="172" t="str">
        <f>IF(G66="","",(G66*('CBECS IFs'!$M$18+'CBECS IFs'!$O$24))/1000)</f>
        <v/>
      </c>
      <c r="K66" s="272">
        <v>11</v>
      </c>
      <c r="L66" s="276"/>
      <c r="M66" s="276"/>
      <c r="N66" s="157"/>
      <c r="O66" s="277"/>
      <c r="P66" s="277"/>
      <c r="Q66" s="172" t="str">
        <f>IF(OR(N66="",O66=""),"",((O66*VLOOKUP(N66,'State eGrid factors'!$E:$M,9,FALSE))+(((O66/(1-EF!$E$34))*EF!$E$29)+(O66*EF!$H$3))/1000+N("electricity emissions + upstream losses on total generation + T&amp;D losses")))</f>
        <v/>
      </c>
      <c r="R66" s="172" t="str">
        <f>IF(P66="","",(P66*('CBECS IFs'!$M$18+'CBECS IFs'!$O$24))/1000)</f>
        <v/>
      </c>
    </row>
    <row r="67" spans="1:18" ht="15">
      <c r="A67" s="272">
        <v>12</v>
      </c>
      <c r="B67" s="276"/>
      <c r="C67" s="276"/>
      <c r="D67" s="277"/>
      <c r="E67" s="157"/>
      <c r="F67" s="825" t="str">
        <f>IF(OR(C67="",D67=""),"",(D67*IF(C67='CBECS IFs'!$B$10,'CBECS IFs'!$C$10,'CBECS IFs'!$C$11)))</f>
        <v/>
      </c>
      <c r="G67" s="825" t="str">
        <f>IF(OR(C67="",D67=""),"",(D67*IF(C67='CBECS IFs'!$B$20,'CBECS IFs'!$D$20,'CBECS IFs'!$D$21)))</f>
        <v/>
      </c>
      <c r="H67" s="172" t="str">
        <f>IF(OR(E67="",F67=""),"",((F67*VLOOKUP(E67,'State eGrid factors'!$E:$M,9,FALSE))+(((F67/(1-EF!$E$34))*EF!$E$29)+(F67*EF!$H$3))/1000+N("electricity emissions + upstream losses on total generation + T&amp;D losses")))</f>
        <v/>
      </c>
      <c r="I67" s="172" t="str">
        <f>IF(G67="","",(G67*('CBECS IFs'!$M$18+'CBECS IFs'!$O$24))/1000)</f>
        <v/>
      </c>
      <c r="K67" s="272">
        <v>12</v>
      </c>
      <c r="L67" s="276"/>
      <c r="M67" s="276"/>
      <c r="N67" s="157"/>
      <c r="O67" s="277"/>
      <c r="P67" s="277"/>
      <c r="Q67" s="172" t="str">
        <f>IF(OR(N67="",O67=""),"",((O67*VLOOKUP(N67,'State eGrid factors'!$E:$M,9,FALSE))+(((O67/(1-EF!$E$34))*EF!$E$29)+(O67*EF!$H$3))/1000+N("electricity emissions + upstream losses on total generation + T&amp;D losses")))</f>
        <v/>
      </c>
      <c r="R67" s="172" t="str">
        <f>IF(P67="","",(P67*('CBECS IFs'!$M$18+'CBECS IFs'!$O$24))/1000)</f>
        <v/>
      </c>
    </row>
    <row r="68" spans="1:18" ht="15">
      <c r="A68" s="272">
        <v>13</v>
      </c>
      <c r="B68" s="276"/>
      <c r="C68" s="276"/>
      <c r="D68" s="277"/>
      <c r="E68" s="157"/>
      <c r="F68" s="825" t="str">
        <f>IF(OR(C68="",D68=""),"",(D68*IF(C68='CBECS IFs'!$B$10,'CBECS IFs'!$C$10,'CBECS IFs'!$C$11)))</f>
        <v/>
      </c>
      <c r="G68" s="825" t="str">
        <f>IF(OR(C68="",D68=""),"",(D68*IF(C68='CBECS IFs'!$B$20,'CBECS IFs'!$D$20,'CBECS IFs'!$D$21)))</f>
        <v/>
      </c>
      <c r="H68" s="172" t="str">
        <f>IF(OR(E68="",F68=""),"",((F68*VLOOKUP(E68,'State eGrid factors'!$E:$M,9,FALSE))+(((F68/(1-EF!$E$34))*EF!$E$29)+(F68*EF!$H$3))/1000+N("electricity emissions + upstream losses on total generation + T&amp;D losses")))</f>
        <v/>
      </c>
      <c r="I68" s="172" t="str">
        <f>IF(G68="","",(G68*('CBECS IFs'!$M$18+'CBECS IFs'!$O$24))/1000)</f>
        <v/>
      </c>
      <c r="K68" s="272">
        <v>13</v>
      </c>
      <c r="L68" s="276"/>
      <c r="M68" s="276"/>
      <c r="N68" s="157"/>
      <c r="O68" s="277"/>
      <c r="P68" s="277"/>
      <c r="Q68" s="172" t="str">
        <f>IF(OR(N68="",O68=""),"",((O68*VLOOKUP(N68,'State eGrid factors'!$E:$M,9,FALSE))+(((O68/(1-EF!$E$34))*EF!$E$29)+(O68*EF!$H$3))/1000+N("electricity emissions + upstream losses on total generation + T&amp;D losses")))</f>
        <v/>
      </c>
      <c r="R68" s="172" t="str">
        <f>IF(P68="","",(P68*('CBECS IFs'!$M$18+'CBECS IFs'!$O$24))/1000)</f>
        <v/>
      </c>
    </row>
    <row r="69" spans="1:18" ht="15">
      <c r="A69" s="272">
        <v>14</v>
      </c>
      <c r="B69" s="276"/>
      <c r="C69" s="276"/>
      <c r="D69" s="277"/>
      <c r="E69" s="157"/>
      <c r="F69" s="825" t="str">
        <f>IF(OR(C69="",D69=""),"",(D69*IF(C69='CBECS IFs'!$B$10,'CBECS IFs'!$C$10,'CBECS IFs'!$C$11)))</f>
        <v/>
      </c>
      <c r="G69" s="825" t="str">
        <f>IF(OR(C69="",D69=""),"",(D69*IF(C69='CBECS IFs'!$B$20,'CBECS IFs'!$D$20,'CBECS IFs'!$D$21)))</f>
        <v/>
      </c>
      <c r="H69" s="172" t="str">
        <f>IF(OR(E69="",F69=""),"",((F69*VLOOKUP(E69,'State eGrid factors'!$E:$M,9,FALSE))+(((F69/(1-EF!$E$34))*EF!$E$29)+(F69*EF!$H$3))/1000+N("electricity emissions + upstream losses on total generation + T&amp;D losses")))</f>
        <v/>
      </c>
      <c r="I69" s="172" t="str">
        <f>IF(G69="","",(G69*('CBECS IFs'!$M$18+'CBECS IFs'!$O$24))/1000)</f>
        <v/>
      </c>
      <c r="K69" s="272">
        <v>14</v>
      </c>
      <c r="L69" s="276"/>
      <c r="M69" s="276"/>
      <c r="N69" s="157"/>
      <c r="O69" s="277"/>
      <c r="P69" s="277"/>
      <c r="Q69" s="172" t="str">
        <f>IF(OR(N69="",O69=""),"",((O69*VLOOKUP(N69,'State eGrid factors'!$E:$M,9,FALSE))+(((O69/(1-EF!$E$34))*EF!$E$29)+(O69*EF!$H$3))/1000+N("electricity emissions + upstream losses on total generation + T&amp;D losses")))</f>
        <v/>
      </c>
      <c r="R69" s="172" t="str">
        <f>IF(P69="","",(P69*('CBECS IFs'!$M$18+'CBECS IFs'!$O$24))/1000)</f>
        <v/>
      </c>
    </row>
    <row r="70" spans="1:18" ht="15">
      <c r="A70" s="272">
        <v>15</v>
      </c>
      <c r="B70" s="276"/>
      <c r="C70" s="276"/>
      <c r="D70" s="277"/>
      <c r="E70" s="157"/>
      <c r="F70" s="825" t="str">
        <f>IF(OR(C70="",D70=""),"",(D70*IF(C70='CBECS IFs'!$B$10,'CBECS IFs'!$C$10,'CBECS IFs'!$C$11)))</f>
        <v/>
      </c>
      <c r="G70" s="825" t="str">
        <f>IF(OR(C70="",D70=""),"",(D70*IF(C70='CBECS IFs'!$B$20,'CBECS IFs'!$D$20,'CBECS IFs'!$D$21)))</f>
        <v/>
      </c>
      <c r="H70" s="172" t="str">
        <f>IF(OR(E70="",F70=""),"",((F70*VLOOKUP(E70,'State eGrid factors'!$E:$M,9,FALSE))+(((F70/(1-EF!$E$34))*EF!$E$29)+(F70*EF!$H$3))/1000+N("electricity emissions + upstream losses on total generation + T&amp;D losses")))</f>
        <v/>
      </c>
      <c r="I70" s="172" t="str">
        <f>IF(G70="","",(G70*('CBECS IFs'!$M$18+'CBECS IFs'!$O$24))/1000)</f>
        <v/>
      </c>
      <c r="K70" s="272">
        <v>15</v>
      </c>
      <c r="L70" s="276"/>
      <c r="M70" s="276"/>
      <c r="N70" s="157"/>
      <c r="O70" s="277"/>
      <c r="P70" s="277"/>
      <c r="Q70" s="172" t="str">
        <f>IF(OR(N70="",O70=""),"",((O70*VLOOKUP(N70,'State eGrid factors'!$E:$M,9,FALSE))+(((O70/(1-EF!$E$34))*EF!$E$29)+(O70*EF!$H$3))/1000+N("electricity emissions + upstream losses on total generation + T&amp;D losses")))</f>
        <v/>
      </c>
      <c r="R70" s="172" t="str">
        <f>IF(P70="","",(P70*('CBECS IFs'!$M$18+'CBECS IFs'!$O$24))/1000)</f>
        <v/>
      </c>
    </row>
    <row r="71" spans="1:18" ht="15">
      <c r="A71" s="272">
        <v>16</v>
      </c>
      <c r="B71" s="276"/>
      <c r="C71" s="276"/>
      <c r="D71" s="277"/>
      <c r="E71" s="157"/>
      <c r="F71" s="825" t="str">
        <f>IF(OR(C71="",D71=""),"",(D71*IF(C71='CBECS IFs'!$B$10,'CBECS IFs'!$C$10,'CBECS IFs'!$C$11)))</f>
        <v/>
      </c>
      <c r="G71" s="825" t="str">
        <f>IF(OR(C71="",D71=""),"",(D71*IF(C71='CBECS IFs'!$B$20,'CBECS IFs'!$D$20,'CBECS IFs'!$D$21)))</f>
        <v/>
      </c>
      <c r="H71" s="172" t="str">
        <f>IF(OR(E71="",F71=""),"",((F71*VLOOKUP(E71,'State eGrid factors'!$E:$M,9,FALSE))+(((F71/(1-EF!$E$34))*EF!$E$29)+(F71*EF!$H$3))/1000+N("electricity emissions + upstream losses on total generation + T&amp;D losses")))</f>
        <v/>
      </c>
      <c r="I71" s="172" t="str">
        <f>IF(G71="","",(G71*('CBECS IFs'!$M$18+'CBECS IFs'!$O$24))/1000)</f>
        <v/>
      </c>
      <c r="K71" s="272">
        <v>16</v>
      </c>
      <c r="L71" s="276"/>
      <c r="M71" s="276"/>
      <c r="N71" s="157"/>
      <c r="O71" s="277"/>
      <c r="P71" s="277"/>
      <c r="Q71" s="172" t="str">
        <f>IF(OR(N71="",O71=""),"",((O71*VLOOKUP(N71,'State eGrid factors'!$E:$M,9,FALSE))+(((O71/(1-EF!$E$34))*EF!$E$29)+(O71*EF!$H$3))/1000+N("electricity emissions + upstream losses on total generation + T&amp;D losses")))</f>
        <v/>
      </c>
      <c r="R71" s="172" t="str">
        <f>IF(P71="","",(P71*('CBECS IFs'!$M$18+'CBECS IFs'!$O$24))/1000)</f>
        <v/>
      </c>
    </row>
    <row r="72" spans="1:18" ht="15">
      <c r="A72" s="272">
        <v>17</v>
      </c>
      <c r="B72" s="276"/>
      <c r="C72" s="276"/>
      <c r="D72" s="277"/>
      <c r="E72" s="157"/>
      <c r="F72" s="825" t="str">
        <f>IF(OR(C72="",D72=""),"",(D72*IF(C72='CBECS IFs'!$B$10,'CBECS IFs'!$C$10,'CBECS IFs'!$C$11)))</f>
        <v/>
      </c>
      <c r="G72" s="825" t="str">
        <f>IF(OR(C72="",D72=""),"",(D72*IF(C72='CBECS IFs'!$B$20,'CBECS IFs'!$D$20,'CBECS IFs'!$D$21)))</f>
        <v/>
      </c>
      <c r="H72" s="172" t="str">
        <f>IF(OR(E72="",F72=""),"",((F72*VLOOKUP(E72,'State eGrid factors'!$E:$M,9,FALSE))+(((F72/(1-EF!$E$34))*EF!$E$29)+(F72*EF!$H$3))/1000+N("electricity emissions + upstream losses on total generation + T&amp;D losses")))</f>
        <v/>
      </c>
      <c r="I72" s="172" t="str">
        <f>IF(G72="","",(G72*('CBECS IFs'!$M$18+'CBECS IFs'!$O$24))/1000)</f>
        <v/>
      </c>
      <c r="K72" s="272">
        <v>17</v>
      </c>
      <c r="L72" s="276"/>
      <c r="M72" s="276"/>
      <c r="N72" s="157"/>
      <c r="O72" s="277"/>
      <c r="P72" s="277"/>
      <c r="Q72" s="172" t="str">
        <f>IF(OR(N72="",O72=""),"",((O72*VLOOKUP(N72,'State eGrid factors'!$E:$M,9,FALSE))+(((O72/(1-EF!$E$34))*EF!$E$29)+(O72*EF!$H$3))/1000+N("electricity emissions + upstream losses on total generation + T&amp;D losses")))</f>
        <v/>
      </c>
      <c r="R72" s="172" t="str">
        <f>IF(P72="","",(P72*('CBECS IFs'!$M$18+'CBECS IFs'!$O$24))/1000)</f>
        <v/>
      </c>
    </row>
    <row r="73" spans="1:18" ht="15">
      <c r="A73" s="272">
        <v>18</v>
      </c>
      <c r="B73" s="276"/>
      <c r="C73" s="276"/>
      <c r="D73" s="277"/>
      <c r="E73" s="157"/>
      <c r="F73" s="825" t="str">
        <f>IF(OR(C73="",D73=""),"",(D73*IF(C73='CBECS IFs'!$B$10,'CBECS IFs'!$C$10,'CBECS IFs'!$C$11)))</f>
        <v/>
      </c>
      <c r="G73" s="825" t="str">
        <f>IF(OR(C73="",D73=""),"",(D73*IF(C73='CBECS IFs'!$B$20,'CBECS IFs'!$D$20,'CBECS IFs'!$D$21)))</f>
        <v/>
      </c>
      <c r="H73" s="172" t="str">
        <f>IF(OR(E73="",F73=""),"",((F73*VLOOKUP(E73,'State eGrid factors'!$E:$M,9,FALSE))+(((F73/(1-EF!$E$34))*EF!$E$29)+(F73*EF!$H$3))/1000+N("electricity emissions + upstream losses on total generation + T&amp;D losses")))</f>
        <v/>
      </c>
      <c r="I73" s="172" t="str">
        <f>IF(G73="","",(G73*('CBECS IFs'!$M$18+'CBECS IFs'!$O$24))/1000)</f>
        <v/>
      </c>
      <c r="K73" s="272">
        <v>18</v>
      </c>
      <c r="L73" s="276"/>
      <c r="M73" s="276"/>
      <c r="N73" s="157"/>
      <c r="O73" s="277"/>
      <c r="P73" s="277"/>
      <c r="Q73" s="172" t="str">
        <f>IF(OR(N73="",O73=""),"",((O73*VLOOKUP(N73,'State eGrid factors'!$E:$M,9,FALSE))+(((O73/(1-EF!$E$34))*EF!$E$29)+(O73*EF!$H$3))/1000+N("electricity emissions + upstream losses on total generation + T&amp;D losses")))</f>
        <v/>
      </c>
      <c r="R73" s="172" t="str">
        <f>IF(P73="","",(P73*('CBECS IFs'!$M$18+'CBECS IFs'!$O$24))/1000)</f>
        <v/>
      </c>
    </row>
    <row r="74" spans="1:18" ht="15">
      <c r="A74" s="272">
        <v>19</v>
      </c>
      <c r="B74" s="276"/>
      <c r="C74" s="276"/>
      <c r="D74" s="277"/>
      <c r="E74" s="157"/>
      <c r="F74" s="825" t="str">
        <f>IF(OR(C74="",D74=""),"",(D74*IF(C74='CBECS IFs'!$B$10,'CBECS IFs'!$C$10,'CBECS IFs'!$C$11)))</f>
        <v/>
      </c>
      <c r="G74" s="825" t="str">
        <f>IF(OR(C74="",D74=""),"",(D74*IF(C74='CBECS IFs'!$B$20,'CBECS IFs'!$D$20,'CBECS IFs'!$D$21)))</f>
        <v/>
      </c>
      <c r="H74" s="172" t="str">
        <f>IF(OR(E74="",F74=""),"",((F74*VLOOKUP(E74,'State eGrid factors'!$E:$M,9,FALSE))+(((F74/(1-EF!$E$34))*EF!$E$29)+(F74*EF!$H$3))/1000+N("electricity emissions + upstream losses on total generation + T&amp;D losses")))</f>
        <v/>
      </c>
      <c r="I74" s="172" t="str">
        <f>IF(G74="","",(G74*('CBECS IFs'!$M$18+'CBECS IFs'!$O$24))/1000)</f>
        <v/>
      </c>
      <c r="K74" s="272">
        <v>19</v>
      </c>
      <c r="L74" s="276"/>
      <c r="M74" s="276"/>
      <c r="N74" s="157"/>
      <c r="O74" s="277"/>
      <c r="P74" s="277"/>
      <c r="Q74" s="172" t="str">
        <f>IF(OR(N74="",O74=""),"",((O74*VLOOKUP(N74,'State eGrid factors'!$E:$M,9,FALSE))+(((O74/(1-EF!$E$34))*EF!$E$29)+(O74*EF!$H$3))/1000+N("electricity emissions + upstream losses on total generation + T&amp;D losses")))</f>
        <v/>
      </c>
      <c r="R74" s="172" t="str">
        <f>IF(P74="","",(P74*('CBECS IFs'!$M$18+'CBECS IFs'!$O$24))/1000)</f>
        <v/>
      </c>
    </row>
    <row r="75" spans="1:18" ht="15.75" thickBot="1">
      <c r="A75" s="272">
        <v>20</v>
      </c>
      <c r="B75" s="276"/>
      <c r="C75" s="276"/>
      <c r="D75" s="277"/>
      <c r="E75" s="157"/>
      <c r="F75" s="825" t="str">
        <f>IF(OR(C75="",D75=""),"",(D75*IF(C75='CBECS IFs'!$B$10,'CBECS IFs'!$C$10,'CBECS IFs'!$C$11)))</f>
        <v/>
      </c>
      <c r="G75" s="825" t="str">
        <f>IF(OR(C75="",D75=""),"",(D75*IF(C75='CBECS IFs'!$B$20,'CBECS IFs'!$D$20,'CBECS IFs'!$D$21)))</f>
        <v/>
      </c>
      <c r="H75" s="172" t="str">
        <f>IF(OR(E75="",F75=""),"",((F75*VLOOKUP(E75,'State eGrid factors'!$E:$M,9,FALSE))+(((F75/(1-EF!$E$34))*EF!$E$29)+(F75*EF!$H$3))/1000+N("electricity emissions + upstream losses on total generation + T&amp;D losses")))</f>
        <v/>
      </c>
      <c r="I75" s="172" t="str">
        <f>IF(G75="","",(G75*('CBECS IFs'!$M$18+'CBECS IFs'!$O$24))/1000)</f>
        <v/>
      </c>
      <c r="K75" s="272">
        <v>20</v>
      </c>
      <c r="L75" s="276"/>
      <c r="M75" s="276"/>
      <c r="N75" s="157"/>
      <c r="O75" s="277"/>
      <c r="P75" s="277"/>
      <c r="Q75" s="172" t="str">
        <f>IF(OR(N75="",O75=""),"",((O75*VLOOKUP(N75,'State eGrid factors'!$E:$M,9,FALSE))+(((O75/(1-EF!$E$34))*EF!$E$29)+(O75*EF!$H$3))/1000+N("electricity emissions + upstream losses on total generation + T&amp;D losses")))</f>
        <v/>
      </c>
      <c r="R75" s="172" t="str">
        <f>IF(P75="","",(P75*('CBECS IFs'!$M$18+'CBECS IFs'!$O$24))/1000)</f>
        <v/>
      </c>
    </row>
    <row r="76" spans="1:18" ht="15" thickBot="1">
      <c r="G76" s="279" t="s">
        <v>1268</v>
      </c>
      <c r="H76" s="179">
        <f>SUM(H57:H75)</f>
        <v>0</v>
      </c>
      <c r="I76" s="179">
        <f>SUM(I57:I75)</f>
        <v>0</v>
      </c>
      <c r="P76" s="279" t="s">
        <v>1268</v>
      </c>
      <c r="Q76" s="179">
        <f>SUM(Q57:Q75)</f>
        <v>0</v>
      </c>
      <c r="R76" s="179">
        <f>SUM(R57:R75)</f>
        <v>0</v>
      </c>
    </row>
    <row r="78" spans="1:18" ht="18.75">
      <c r="A78" s="266" t="s">
        <v>1417</v>
      </c>
      <c r="K78" s="266" t="s">
        <v>1417</v>
      </c>
    </row>
    <row r="79" spans="1:18">
      <c r="A79" s="267" t="s">
        <v>1237</v>
      </c>
      <c r="K79" s="267" t="s">
        <v>1237</v>
      </c>
    </row>
    <row r="80" spans="1:18" ht="8.25" customHeight="1">
      <c r="A80" s="267"/>
      <c r="C80" s="720"/>
      <c r="D80" s="720"/>
      <c r="K80" s="267"/>
      <c r="M80" s="720"/>
    </row>
    <row r="81" spans="1:17">
      <c r="B81" s="53" t="s">
        <v>312</v>
      </c>
      <c r="C81" s="53" t="s">
        <v>312</v>
      </c>
      <c r="D81" s="53" t="s">
        <v>312</v>
      </c>
      <c r="F81" s="269"/>
      <c r="L81" s="53" t="s">
        <v>312</v>
      </c>
      <c r="M81" s="53" t="s">
        <v>312</v>
      </c>
      <c r="N81" s="53" t="s">
        <v>312</v>
      </c>
      <c r="O81" s="53" t="s">
        <v>312</v>
      </c>
    </row>
    <row r="82" spans="1:17" ht="60">
      <c r="A82" s="270" t="s">
        <v>1238</v>
      </c>
      <c r="B82" s="271" t="s">
        <v>319</v>
      </c>
      <c r="C82" s="288" t="s">
        <v>1411</v>
      </c>
      <c r="D82" s="215" t="s">
        <v>4055</v>
      </c>
      <c r="E82" s="288" t="s">
        <v>1412</v>
      </c>
      <c r="F82" s="288" t="s">
        <v>1413</v>
      </c>
      <c r="G82" s="288" t="s">
        <v>4056</v>
      </c>
      <c r="H82" s="288" t="s">
        <v>4057</v>
      </c>
      <c r="K82" s="270" t="s">
        <v>1238</v>
      </c>
      <c r="L82" s="271" t="s">
        <v>319</v>
      </c>
      <c r="M82" s="215" t="s">
        <v>4055</v>
      </c>
      <c r="N82" s="270" t="s">
        <v>1412</v>
      </c>
      <c r="O82" s="270" t="s">
        <v>1413</v>
      </c>
      <c r="P82" s="288" t="s">
        <v>4056</v>
      </c>
      <c r="Q82" s="288" t="s">
        <v>4057</v>
      </c>
    </row>
    <row r="83" spans="1:17" ht="15">
      <c r="A83" s="272">
        <v>1</v>
      </c>
      <c r="B83" s="273" t="s">
        <v>1418</v>
      </c>
      <c r="C83" s="274">
        <v>5000</v>
      </c>
      <c r="D83" s="147" t="s">
        <v>1396</v>
      </c>
      <c r="E83" s="275">
        <f>IF(C83="","",C83*'CBECS IFs'!$C$8)</f>
        <v>144000</v>
      </c>
      <c r="F83" s="275">
        <f>IF(C83="","",C83*'CBECS IFs'!$D$18)</f>
        <v>4027.9214064115827</v>
      </c>
      <c r="G83" s="171">
        <f>IF(OR(D83="",E83=""),"",((E83*VLOOKUP(D83,'State eGrid factors'!$E:$M,9,FALSE))+(((E83/(1-EF!$E$34))*EF!$E$29)+(E83*EF!$H$3))/1000+N("electricity emissions + upstream losses on total generation + T&amp;D losses")))</f>
        <v>79.111010983717279</v>
      </c>
      <c r="H83" s="171">
        <f>IF(F83="","",(F83*('CBECS IFs'!$M$18+'CBECS IFs'!$O$24))/1000)</f>
        <v>25.160353062176327</v>
      </c>
      <c r="K83" s="272">
        <v>1</v>
      </c>
      <c r="L83" s="273" t="s">
        <v>1418</v>
      </c>
      <c r="M83" s="147" t="s">
        <v>1396</v>
      </c>
      <c r="N83" s="274">
        <v>120000</v>
      </c>
      <c r="O83" s="274">
        <v>3700</v>
      </c>
      <c r="P83" s="171">
        <f>IF(OR(M83="",N83=""),"",((N83*VLOOKUP(M83,'State eGrid factors'!$E:$M,9,FALSE))+(((N83/(1-EF!$E$34))*EF!$E$29)+(N83*EF!$H$3))/1000+N("electricity emissions + upstream losses on total generation + T&amp;D losses")))</f>
        <v>65.925842486431065</v>
      </c>
      <c r="Q83" s="171">
        <f>IF(O83="","",(O83*('CBECS IFs'!$M$18+'CBECS IFs'!$O$24))/1000)</f>
        <v>23.111996719168335</v>
      </c>
    </row>
    <row r="84" spans="1:17" ht="15">
      <c r="A84" s="272">
        <v>2</v>
      </c>
      <c r="B84" s="276"/>
      <c r="C84" s="277"/>
      <c r="D84" s="157"/>
      <c r="E84" s="278" t="str">
        <f>IF(C84="","",C84*'CBECS IFs'!$C$8)</f>
        <v/>
      </c>
      <c r="F84" s="278" t="str">
        <f>IF(C84="","",C84*'CBECS IFs'!$D$18)</f>
        <v/>
      </c>
      <c r="G84" s="172" t="str">
        <f>IF(OR(D84="",E84=""),"",((E84*VLOOKUP(D84,'State eGrid factors'!$E:$M,9,FALSE))+(((E84/(1-EF!$E$34))*EF!$E$29)+(E84*EF!$H$3))/1000+N("electricity emissions + upstream losses on total generation + T&amp;D losses")))</f>
        <v/>
      </c>
      <c r="H84" s="172" t="str">
        <f>IF(F84="","",(F84*('CBECS IFs'!$M$18+'CBECS IFs'!$O$24))/1000)</f>
        <v/>
      </c>
      <c r="K84" s="272">
        <v>2</v>
      </c>
      <c r="L84" s="276"/>
      <c r="M84" s="157"/>
      <c r="N84" s="277"/>
      <c r="O84" s="277"/>
      <c r="P84" s="172" t="str">
        <f>IF(OR(M84="",N84=""),"",((N84*VLOOKUP(M84,'State eGrid factors'!$E:$M,9,FALSE))+(((N84/(1-EF!$E$34))*EF!$E$29)+(N84*EF!$H$3))/1000+N("electricity emissions + upstream losses on total generation + T&amp;D losses")))</f>
        <v/>
      </c>
      <c r="Q84" s="172" t="str">
        <f>IF(O84="","",(O84*('CBECS IFs'!$M$18+'CBECS IFs'!$O$24))/1000)</f>
        <v/>
      </c>
    </row>
    <row r="85" spans="1:17" ht="15">
      <c r="A85" s="272">
        <v>3</v>
      </c>
      <c r="B85" s="276"/>
      <c r="C85" s="277"/>
      <c r="D85" s="157"/>
      <c r="E85" s="278" t="str">
        <f>IF(C85="","",C85*'CBECS IFs'!$C$8)</f>
        <v/>
      </c>
      <c r="F85" s="278" t="str">
        <f>IF(C85="","",C85*'CBECS IFs'!$D$18)</f>
        <v/>
      </c>
      <c r="G85" s="172" t="str">
        <f>IF(OR(D85="",E85=""),"",((E85*VLOOKUP(D85,'State eGrid factors'!$E:$M,9,FALSE))+(((E85/(1-EF!$E$34))*EF!$E$29)+(E85*EF!$H$3))/1000+N("electricity emissions + upstream losses on total generation + T&amp;D losses")))</f>
        <v/>
      </c>
      <c r="H85" s="172" t="str">
        <f>IF(F85="","",(F85*('CBECS IFs'!$M$18+'CBECS IFs'!$O$24))/1000)</f>
        <v/>
      </c>
      <c r="K85" s="272">
        <v>3</v>
      </c>
      <c r="L85" s="276"/>
      <c r="M85" s="157"/>
      <c r="N85" s="277"/>
      <c r="O85" s="277"/>
      <c r="P85" s="172" t="str">
        <f>IF(OR(M85="",N85=""),"",((N85*VLOOKUP(M85,'State eGrid factors'!$E:$M,9,FALSE))+(((N85/(1-EF!$E$34))*EF!$E$29)+(N85*EF!$H$3))/1000+N("electricity emissions + upstream losses on total generation + T&amp;D losses")))</f>
        <v/>
      </c>
      <c r="Q85" s="172" t="str">
        <f>IF(O85="","",(O85*('CBECS IFs'!$M$18+'CBECS IFs'!$O$24))/1000)</f>
        <v/>
      </c>
    </row>
    <row r="86" spans="1:17" ht="15">
      <c r="A86" s="272">
        <v>4</v>
      </c>
      <c r="B86" s="276"/>
      <c r="C86" s="277"/>
      <c r="D86" s="157"/>
      <c r="E86" s="278" t="str">
        <f>IF(C86="","",C86*'CBECS IFs'!$C$8)</f>
        <v/>
      </c>
      <c r="F86" s="278" t="str">
        <f>IF(C86="","",C86*'CBECS IFs'!$D$18)</f>
        <v/>
      </c>
      <c r="G86" s="172" t="str">
        <f>IF(OR(D86="",E86=""),"",((E86*VLOOKUP(D86,'State eGrid factors'!$E:$M,9,FALSE))+(((E86/(1-EF!$E$34))*EF!$E$29)+(E86*EF!$H$3))/1000+N("electricity emissions + upstream losses on total generation + T&amp;D losses")))</f>
        <v/>
      </c>
      <c r="H86" s="172" t="str">
        <f>IF(F86="","",(F86*('CBECS IFs'!$M$18+'CBECS IFs'!$O$24))/1000)</f>
        <v/>
      </c>
      <c r="K86" s="272">
        <v>4</v>
      </c>
      <c r="L86" s="276"/>
      <c r="M86" s="157"/>
      <c r="N86" s="277"/>
      <c r="O86" s="277"/>
      <c r="P86" s="172" t="str">
        <f>IF(OR(M86="",N86=""),"",((N86*VLOOKUP(M86,'State eGrid factors'!$E:$M,9,FALSE))+(((N86/(1-EF!$E$34))*EF!$E$29)+(N86*EF!$H$3))/1000+N("electricity emissions + upstream losses on total generation + T&amp;D losses")))</f>
        <v/>
      </c>
      <c r="Q86" s="172" t="str">
        <f>IF(O86="","",(O86*('CBECS IFs'!$M$18+'CBECS IFs'!$O$24))/1000)</f>
        <v/>
      </c>
    </row>
    <row r="87" spans="1:17" ht="15">
      <c r="A87" s="272">
        <v>5</v>
      </c>
      <c r="B87" s="276"/>
      <c r="C87" s="277"/>
      <c r="D87" s="157"/>
      <c r="E87" s="278" t="str">
        <f>IF(C87="","",C87*'CBECS IFs'!$C$8)</f>
        <v/>
      </c>
      <c r="F87" s="278" t="str">
        <f>IF(C87="","",C87*'CBECS IFs'!$D$18)</f>
        <v/>
      </c>
      <c r="G87" s="172" t="str">
        <f>IF(OR(D87="",E87=""),"",((E87*VLOOKUP(D87,'State eGrid factors'!$E:$M,9,FALSE))+(((E87/(1-EF!$E$34))*EF!$E$29)+(E87*EF!$H$3))/1000+N("electricity emissions + upstream losses on total generation + T&amp;D losses")))</f>
        <v/>
      </c>
      <c r="H87" s="172" t="str">
        <f>IF(F87="","",(F87*('CBECS IFs'!$M$18+'CBECS IFs'!$O$24))/1000)</f>
        <v/>
      </c>
      <c r="K87" s="272">
        <v>5</v>
      </c>
      <c r="L87" s="276"/>
      <c r="M87" s="157"/>
      <c r="N87" s="277"/>
      <c r="O87" s="277"/>
      <c r="P87" s="172" t="str">
        <f>IF(OR(M87="",N87=""),"",((N87*VLOOKUP(M87,'State eGrid factors'!$E:$M,9,FALSE))+(((N87/(1-EF!$E$34))*EF!$E$29)+(N87*EF!$H$3))/1000+N("electricity emissions + upstream losses on total generation + T&amp;D losses")))</f>
        <v/>
      </c>
      <c r="Q87" s="172" t="str">
        <f>IF(O87="","",(O87*('CBECS IFs'!$M$18+'CBECS IFs'!$O$24))/1000)</f>
        <v/>
      </c>
    </row>
    <row r="88" spans="1:17" ht="15">
      <c r="A88" s="272">
        <v>6</v>
      </c>
      <c r="B88" s="276"/>
      <c r="C88" s="277"/>
      <c r="D88" s="157"/>
      <c r="E88" s="278" t="str">
        <f>IF(C88="","",C88*'CBECS IFs'!$C$8)</f>
        <v/>
      </c>
      <c r="F88" s="278" t="str">
        <f>IF(C88="","",C88*'CBECS IFs'!$D$18)</f>
        <v/>
      </c>
      <c r="G88" s="172" t="str">
        <f>IF(OR(D88="",E88=""),"",((E88*VLOOKUP(D88,'State eGrid factors'!$E:$M,9,FALSE))+(((E88/(1-EF!$E$34))*EF!$E$29)+(E88*EF!$H$3))/1000+N("electricity emissions + upstream losses on total generation + T&amp;D losses")))</f>
        <v/>
      </c>
      <c r="H88" s="172" t="str">
        <f>IF(F88="","",(F88*('CBECS IFs'!$M$18+'CBECS IFs'!$O$24))/1000)</f>
        <v/>
      </c>
      <c r="K88" s="272">
        <v>6</v>
      </c>
      <c r="L88" s="276"/>
      <c r="M88" s="157"/>
      <c r="N88" s="277"/>
      <c r="O88" s="277"/>
      <c r="P88" s="172" t="str">
        <f>IF(OR(M88="",N88=""),"",((N88*VLOOKUP(M88,'State eGrid factors'!$E:$M,9,FALSE))+(((N88/(1-EF!$E$34))*EF!$E$29)+(N88*EF!$H$3))/1000+N("electricity emissions + upstream losses on total generation + T&amp;D losses")))</f>
        <v/>
      </c>
      <c r="Q88" s="172" t="str">
        <f>IF(O88="","",(O88*('CBECS IFs'!$M$18+'CBECS IFs'!$O$24))/1000)</f>
        <v/>
      </c>
    </row>
    <row r="89" spans="1:17" ht="15">
      <c r="A89" s="272">
        <v>7</v>
      </c>
      <c r="B89" s="276"/>
      <c r="C89" s="277"/>
      <c r="D89" s="157"/>
      <c r="E89" s="278" t="str">
        <f>IF(C89="","",C89*'CBECS IFs'!$C$8)</f>
        <v/>
      </c>
      <c r="F89" s="278" t="str">
        <f>IF(C89="","",C89*'CBECS IFs'!$D$18)</f>
        <v/>
      </c>
      <c r="G89" s="172" t="str">
        <f>IF(OR(D89="",E89=""),"",((E89*VLOOKUP(D89,'State eGrid factors'!$E:$M,9,FALSE))+(((E89/(1-EF!$E$34))*EF!$E$29)+(E89*EF!$H$3))/1000+N("electricity emissions + upstream losses on total generation + T&amp;D losses")))</f>
        <v/>
      </c>
      <c r="H89" s="172" t="str">
        <f>IF(F89="","",(F89*('CBECS IFs'!$M$18+'CBECS IFs'!$O$24))/1000)</f>
        <v/>
      </c>
      <c r="K89" s="272">
        <v>7</v>
      </c>
      <c r="L89" s="276"/>
      <c r="M89" s="157"/>
      <c r="N89" s="277"/>
      <c r="O89" s="277"/>
      <c r="P89" s="172" t="str">
        <f>IF(OR(M89="",N89=""),"",((N89*VLOOKUP(M89,'State eGrid factors'!$E:$M,9,FALSE))+(((N89/(1-EF!$E$34))*EF!$E$29)+(N89*EF!$H$3))/1000+N("electricity emissions + upstream losses on total generation + T&amp;D losses")))</f>
        <v/>
      </c>
      <c r="Q89" s="172" t="str">
        <f>IF(O89="","",(O89*('CBECS IFs'!$M$18+'CBECS IFs'!$O$24))/1000)</f>
        <v/>
      </c>
    </row>
    <row r="90" spans="1:17" ht="15">
      <c r="A90" s="272">
        <v>8</v>
      </c>
      <c r="B90" s="276"/>
      <c r="C90" s="277"/>
      <c r="D90" s="157"/>
      <c r="E90" s="278" t="str">
        <f>IF(C90="","",C90*'CBECS IFs'!$C$8)</f>
        <v/>
      </c>
      <c r="F90" s="278" t="str">
        <f>IF(C90="","",C90*'CBECS IFs'!$D$18)</f>
        <v/>
      </c>
      <c r="G90" s="172" t="str">
        <f>IF(OR(D90="",E90=""),"",((E90*VLOOKUP(D90,'State eGrid factors'!$E:$M,9,FALSE))+(((E90/(1-EF!$E$34))*EF!$E$29)+(E90*EF!$H$3))/1000+N("electricity emissions + upstream losses on total generation + T&amp;D losses")))</f>
        <v/>
      </c>
      <c r="H90" s="172" t="str">
        <f>IF(F90="","",(F90*('CBECS IFs'!$M$18+'CBECS IFs'!$O$24))/1000)</f>
        <v/>
      </c>
      <c r="K90" s="272">
        <v>8</v>
      </c>
      <c r="L90" s="276"/>
      <c r="M90" s="157"/>
      <c r="N90" s="277"/>
      <c r="O90" s="277"/>
      <c r="P90" s="172" t="str">
        <f>IF(OR(M90="",N90=""),"",((N90*VLOOKUP(M90,'State eGrid factors'!$E:$M,9,FALSE))+(((N90/(1-EF!$E$34))*EF!$E$29)+(N90*EF!$H$3))/1000+N("electricity emissions + upstream losses on total generation + T&amp;D losses")))</f>
        <v/>
      </c>
      <c r="Q90" s="172" t="str">
        <f>IF(O90="","",(O90*('CBECS IFs'!$M$18+'CBECS IFs'!$O$24))/1000)</f>
        <v/>
      </c>
    </row>
    <row r="91" spans="1:17" ht="15">
      <c r="A91" s="272">
        <v>9</v>
      </c>
      <c r="B91" s="276"/>
      <c r="C91" s="277"/>
      <c r="D91" s="157"/>
      <c r="E91" s="278" t="str">
        <f>IF(C91="","",C91*'CBECS IFs'!$C$8)</f>
        <v/>
      </c>
      <c r="F91" s="278" t="str">
        <f>IF(C91="","",C91*'CBECS IFs'!$D$18)</f>
        <v/>
      </c>
      <c r="G91" s="172" t="str">
        <f>IF(OR(D91="",E91=""),"",((E91*VLOOKUP(D91,'State eGrid factors'!$E:$M,9,FALSE))+(((E91/(1-EF!$E$34))*EF!$E$29)+(E91*EF!$H$3))/1000+N("electricity emissions + upstream losses on total generation + T&amp;D losses")))</f>
        <v/>
      </c>
      <c r="H91" s="172" t="str">
        <f>IF(F91="","",(F91*('CBECS IFs'!$M$18+'CBECS IFs'!$O$24))/1000)</f>
        <v/>
      </c>
      <c r="K91" s="272">
        <v>9</v>
      </c>
      <c r="L91" s="276"/>
      <c r="M91" s="157"/>
      <c r="N91" s="277"/>
      <c r="O91" s="277"/>
      <c r="P91" s="172" t="str">
        <f>IF(OR(M91="",N91=""),"",((N91*VLOOKUP(M91,'State eGrid factors'!$E:$M,9,FALSE))+(((N91/(1-EF!$E$34))*EF!$E$29)+(N91*EF!$H$3))/1000+N("electricity emissions + upstream losses on total generation + T&amp;D losses")))</f>
        <v/>
      </c>
      <c r="Q91" s="172" t="str">
        <f>IF(O91="","",(O91*('CBECS IFs'!$M$18+'CBECS IFs'!$O$24))/1000)</f>
        <v/>
      </c>
    </row>
    <row r="92" spans="1:17" ht="15">
      <c r="A92" s="272">
        <v>10</v>
      </c>
      <c r="B92" s="276"/>
      <c r="C92" s="277"/>
      <c r="D92" s="157"/>
      <c r="E92" s="278" t="str">
        <f>IF(C92="","",C92*'CBECS IFs'!$C$8)</f>
        <v/>
      </c>
      <c r="F92" s="278" t="str">
        <f>IF(C92="","",C92*'CBECS IFs'!$D$18)</f>
        <v/>
      </c>
      <c r="G92" s="172" t="str">
        <f>IF(OR(D92="",E92=""),"",((E92*VLOOKUP(D92,'State eGrid factors'!$E:$M,9,FALSE))+(((E92/(1-EF!$E$34))*EF!$E$29)+(E92*EF!$H$3))/1000+N("electricity emissions + upstream losses on total generation + T&amp;D losses")))</f>
        <v/>
      </c>
      <c r="H92" s="172" t="str">
        <f>IF(F92="","",(F92*('CBECS IFs'!$M$18+'CBECS IFs'!$O$24))/1000)</f>
        <v/>
      </c>
      <c r="K92" s="272">
        <v>10</v>
      </c>
      <c r="L92" s="276"/>
      <c r="M92" s="157"/>
      <c r="N92" s="277"/>
      <c r="O92" s="277"/>
      <c r="P92" s="172" t="str">
        <f>IF(OR(M92="",N92=""),"",((N92*VLOOKUP(M92,'State eGrid factors'!$E:$M,9,FALSE))+(((N92/(1-EF!$E$34))*EF!$E$29)+(N92*EF!$H$3))/1000+N("electricity emissions + upstream losses on total generation + T&amp;D losses")))</f>
        <v/>
      </c>
      <c r="Q92" s="172" t="str">
        <f>IF(O92="","",(O92*('CBECS IFs'!$M$18+'CBECS IFs'!$O$24))/1000)</f>
        <v/>
      </c>
    </row>
    <row r="93" spans="1:17" ht="15">
      <c r="A93" s="272">
        <v>11</v>
      </c>
      <c r="B93" s="276"/>
      <c r="C93" s="277"/>
      <c r="D93" s="157"/>
      <c r="E93" s="278" t="str">
        <f>IF(C93="","",C93*'CBECS IFs'!$C$8)</f>
        <v/>
      </c>
      <c r="F93" s="278" t="str">
        <f>IF(C93="","",C93*'CBECS IFs'!$D$18)</f>
        <v/>
      </c>
      <c r="G93" s="172" t="str">
        <f>IF(OR(D93="",E93=""),"",((E93*VLOOKUP(D93,'State eGrid factors'!$E:$M,9,FALSE))+(((E93/(1-EF!$E$34))*EF!$E$29)+(E93*EF!$H$3))/1000+N("electricity emissions + upstream losses on total generation + T&amp;D losses")))</f>
        <v/>
      </c>
      <c r="H93" s="172" t="str">
        <f>IF(F93="","",(F93*('CBECS IFs'!$M$18+'CBECS IFs'!$O$24))/1000)</f>
        <v/>
      </c>
      <c r="K93" s="272">
        <v>11</v>
      </c>
      <c r="L93" s="276"/>
      <c r="M93" s="157"/>
      <c r="N93" s="277"/>
      <c r="O93" s="277"/>
      <c r="P93" s="172" t="str">
        <f>IF(OR(M93="",N93=""),"",((N93*VLOOKUP(M93,'State eGrid factors'!$E:$M,9,FALSE))+(((N93/(1-EF!$E$34))*EF!$E$29)+(N93*EF!$H$3))/1000+N("electricity emissions + upstream losses on total generation + T&amp;D losses")))</f>
        <v/>
      </c>
      <c r="Q93" s="172" t="str">
        <f>IF(O93="","",(O93*('CBECS IFs'!$M$18+'CBECS IFs'!$O$24))/1000)</f>
        <v/>
      </c>
    </row>
    <row r="94" spans="1:17" ht="15">
      <c r="A94" s="272">
        <v>12</v>
      </c>
      <c r="B94" s="276"/>
      <c r="C94" s="277"/>
      <c r="D94" s="157"/>
      <c r="E94" s="278" t="str">
        <f>IF(C94="","",C94*'CBECS IFs'!$C$8)</f>
        <v/>
      </c>
      <c r="F94" s="278" t="str">
        <f>IF(C94="","",C94*'CBECS IFs'!$D$18)</f>
        <v/>
      </c>
      <c r="G94" s="172" t="str">
        <f>IF(OR(D94="",E94=""),"",((E94*VLOOKUP(D94,'State eGrid factors'!$E:$M,9,FALSE))+(((E94/(1-EF!$E$34))*EF!$E$29)+(E94*EF!$H$3))/1000+N("electricity emissions + upstream losses on total generation + T&amp;D losses")))</f>
        <v/>
      </c>
      <c r="H94" s="172" t="str">
        <f>IF(F94="","",(F94*('CBECS IFs'!$M$18+'CBECS IFs'!$O$24))/1000)</f>
        <v/>
      </c>
      <c r="K94" s="272">
        <v>12</v>
      </c>
      <c r="L94" s="276"/>
      <c r="M94" s="157"/>
      <c r="N94" s="277"/>
      <c r="O94" s="277"/>
      <c r="P94" s="172" t="str">
        <f>IF(OR(M94="",N94=""),"",((N94*VLOOKUP(M94,'State eGrid factors'!$E:$M,9,FALSE))+(((N94/(1-EF!$E$34))*EF!$E$29)+(N94*EF!$H$3))/1000+N("electricity emissions + upstream losses on total generation + T&amp;D losses")))</f>
        <v/>
      </c>
      <c r="Q94" s="172" t="str">
        <f>IF(O94="","",(O94*('CBECS IFs'!$M$18+'CBECS IFs'!$O$24))/1000)</f>
        <v/>
      </c>
    </row>
    <row r="95" spans="1:17" ht="15">
      <c r="A95" s="272">
        <v>13</v>
      </c>
      <c r="B95" s="276"/>
      <c r="C95" s="277"/>
      <c r="D95" s="157"/>
      <c r="E95" s="278" t="str">
        <f>IF(C95="","",C95*'CBECS IFs'!$C$8)</f>
        <v/>
      </c>
      <c r="F95" s="278" t="str">
        <f>IF(C95="","",C95*'CBECS IFs'!$D$18)</f>
        <v/>
      </c>
      <c r="G95" s="172" t="str">
        <f>IF(OR(D95="",E95=""),"",((E95*VLOOKUP(D95,'State eGrid factors'!$E:$M,9,FALSE))+(((E95/(1-EF!$E$34))*EF!$E$29)+(E95*EF!$H$3))/1000+N("electricity emissions + upstream losses on total generation + T&amp;D losses")))</f>
        <v/>
      </c>
      <c r="H95" s="172" t="str">
        <f>IF(F95="","",(F95*('CBECS IFs'!$M$18+'CBECS IFs'!$O$24))/1000)</f>
        <v/>
      </c>
      <c r="K95" s="272">
        <v>13</v>
      </c>
      <c r="L95" s="276"/>
      <c r="M95" s="157"/>
      <c r="N95" s="277"/>
      <c r="O95" s="277"/>
      <c r="P95" s="172" t="str">
        <f>IF(OR(M95="",N95=""),"",((N95*VLOOKUP(M95,'State eGrid factors'!$E:$M,9,FALSE))+(((N95/(1-EF!$E$34))*EF!$E$29)+(N95*EF!$H$3))/1000+N("electricity emissions + upstream losses on total generation + T&amp;D losses")))</f>
        <v/>
      </c>
      <c r="Q95" s="172" t="str">
        <f>IF(O95="","",(O95*('CBECS IFs'!$M$18+'CBECS IFs'!$O$24))/1000)</f>
        <v/>
      </c>
    </row>
    <row r="96" spans="1:17" ht="15">
      <c r="A96" s="272">
        <v>14</v>
      </c>
      <c r="B96" s="276"/>
      <c r="C96" s="277"/>
      <c r="D96" s="157"/>
      <c r="E96" s="278" t="str">
        <f>IF(C96="","",C96*'CBECS IFs'!$C$8)</f>
        <v/>
      </c>
      <c r="F96" s="278" t="str">
        <f>IF(C96="","",C96*'CBECS IFs'!$D$18)</f>
        <v/>
      </c>
      <c r="G96" s="172" t="str">
        <f>IF(OR(D96="",E96=""),"",((E96*VLOOKUP(D96,'State eGrid factors'!$E:$M,9,FALSE))+(((E96/(1-EF!$E$34))*EF!$E$29)+(E96*EF!$H$3))/1000+N("electricity emissions + upstream losses on total generation + T&amp;D losses")))</f>
        <v/>
      </c>
      <c r="H96" s="172" t="str">
        <f>IF(F96="","",(F96*('CBECS IFs'!$M$18+'CBECS IFs'!$O$24))/1000)</f>
        <v/>
      </c>
      <c r="K96" s="272">
        <v>14</v>
      </c>
      <c r="L96" s="276"/>
      <c r="M96" s="157"/>
      <c r="N96" s="277"/>
      <c r="O96" s="277"/>
      <c r="P96" s="172" t="str">
        <f>IF(OR(M96="",N96=""),"",((N96*VLOOKUP(M96,'State eGrid factors'!$E:$M,9,FALSE))+(((N96/(1-EF!$E$34))*EF!$E$29)+(N96*EF!$H$3))/1000+N("electricity emissions + upstream losses on total generation + T&amp;D losses")))</f>
        <v/>
      </c>
      <c r="Q96" s="172" t="str">
        <f>IF(O96="","",(O96*('CBECS IFs'!$M$18+'CBECS IFs'!$O$24))/1000)</f>
        <v/>
      </c>
    </row>
    <row r="97" spans="1:18" ht="15">
      <c r="A97" s="272">
        <v>15</v>
      </c>
      <c r="B97" s="276"/>
      <c r="C97" s="277"/>
      <c r="D97" s="157"/>
      <c r="E97" s="278" t="str">
        <f>IF(C97="","",C97*'CBECS IFs'!$C$8)</f>
        <v/>
      </c>
      <c r="F97" s="278" t="str">
        <f>IF(C97="","",C97*'CBECS IFs'!$D$18)</f>
        <v/>
      </c>
      <c r="G97" s="172" t="str">
        <f>IF(OR(D97="",E97=""),"",((E97*VLOOKUP(D97,'State eGrid factors'!$E:$M,9,FALSE))+(((E97/(1-EF!$E$34))*EF!$E$29)+(E97*EF!$H$3))/1000+N("electricity emissions + upstream losses on total generation + T&amp;D losses")))</f>
        <v/>
      </c>
      <c r="H97" s="172" t="str">
        <f>IF(F97="","",(F97*('CBECS IFs'!$M$18+'CBECS IFs'!$O$24))/1000)</f>
        <v/>
      </c>
      <c r="K97" s="272">
        <v>15</v>
      </c>
      <c r="L97" s="276"/>
      <c r="M97" s="157"/>
      <c r="N97" s="277"/>
      <c r="O97" s="277"/>
      <c r="P97" s="172" t="str">
        <f>IF(OR(M97="",N97=""),"",((N97*VLOOKUP(M97,'State eGrid factors'!$E:$M,9,FALSE))+(((N97/(1-EF!$E$34))*EF!$E$29)+(N97*EF!$H$3))/1000+N("electricity emissions + upstream losses on total generation + T&amp;D losses")))</f>
        <v/>
      </c>
      <c r="Q97" s="172" t="str">
        <f>IF(O97="","",(O97*('CBECS IFs'!$M$18+'CBECS IFs'!$O$24))/1000)</f>
        <v/>
      </c>
    </row>
    <row r="98" spans="1:18" ht="15">
      <c r="A98" s="272">
        <v>16</v>
      </c>
      <c r="B98" s="276"/>
      <c r="C98" s="277"/>
      <c r="D98" s="157"/>
      <c r="E98" s="278" t="str">
        <f>IF(C98="","",C98*'CBECS IFs'!$C$8)</f>
        <v/>
      </c>
      <c r="F98" s="278" t="str">
        <f>IF(C98="","",C98*'CBECS IFs'!$D$18)</f>
        <v/>
      </c>
      <c r="G98" s="172" t="str">
        <f>IF(OR(D98="",E98=""),"",((E98*VLOOKUP(D98,'State eGrid factors'!$E:$M,9,FALSE))+(((E98/(1-EF!$E$34))*EF!$E$29)+(E98*EF!$H$3))/1000+N("electricity emissions + upstream losses on total generation + T&amp;D losses")))</f>
        <v/>
      </c>
      <c r="H98" s="172" t="str">
        <f>IF(F98="","",(F98*('CBECS IFs'!$M$18+'CBECS IFs'!$O$24))/1000)</f>
        <v/>
      </c>
      <c r="K98" s="272">
        <v>16</v>
      </c>
      <c r="L98" s="276"/>
      <c r="M98" s="157"/>
      <c r="N98" s="277"/>
      <c r="O98" s="277"/>
      <c r="P98" s="172" t="str">
        <f>IF(OR(M98="",N98=""),"",((N98*VLOOKUP(M98,'State eGrid factors'!$E:$M,9,FALSE))+(((N98/(1-EF!$E$34))*EF!$E$29)+(N98*EF!$H$3))/1000+N("electricity emissions + upstream losses on total generation + T&amp;D losses")))</f>
        <v/>
      </c>
      <c r="Q98" s="172" t="str">
        <f>IF(O98="","",(O98*('CBECS IFs'!$M$18+'CBECS IFs'!$O$24))/1000)</f>
        <v/>
      </c>
    </row>
    <row r="99" spans="1:18" ht="15">
      <c r="A99" s="272">
        <v>17</v>
      </c>
      <c r="B99" s="276"/>
      <c r="C99" s="277"/>
      <c r="D99" s="157"/>
      <c r="E99" s="278" t="str">
        <f>IF(C99="","",C99*'CBECS IFs'!$C$8)</f>
        <v/>
      </c>
      <c r="F99" s="278" t="str">
        <f>IF(C99="","",C99*'CBECS IFs'!$D$18)</f>
        <v/>
      </c>
      <c r="G99" s="172" t="str">
        <f>IF(OR(D99="",E99=""),"",((E99*VLOOKUP(D99,'State eGrid factors'!$E:$M,9,FALSE))+(((E99/(1-EF!$E$34))*EF!$E$29)+(E99*EF!$H$3))/1000+N("electricity emissions + upstream losses on total generation + T&amp;D losses")))</f>
        <v/>
      </c>
      <c r="H99" s="172" t="str">
        <f>IF(F99="","",(F99*('CBECS IFs'!$M$18+'CBECS IFs'!$O$24))/1000)</f>
        <v/>
      </c>
      <c r="K99" s="272">
        <v>17</v>
      </c>
      <c r="L99" s="276"/>
      <c r="M99" s="157"/>
      <c r="N99" s="277"/>
      <c r="O99" s="277"/>
      <c r="P99" s="172" t="str">
        <f>IF(OR(M99="",N99=""),"",((N99*VLOOKUP(M99,'State eGrid factors'!$E:$M,9,FALSE))+(((N99/(1-EF!$E$34))*EF!$E$29)+(N99*EF!$H$3))/1000+N("electricity emissions + upstream losses on total generation + T&amp;D losses")))</f>
        <v/>
      </c>
      <c r="Q99" s="172" t="str">
        <f>IF(O99="","",(O99*('CBECS IFs'!$M$18+'CBECS IFs'!$O$24))/1000)</f>
        <v/>
      </c>
    </row>
    <row r="100" spans="1:18" ht="15">
      <c r="A100" s="272">
        <v>18</v>
      </c>
      <c r="B100" s="276"/>
      <c r="C100" s="277"/>
      <c r="D100" s="157"/>
      <c r="E100" s="278" t="str">
        <f>IF(C100="","",C100*'CBECS IFs'!$C$8)</f>
        <v/>
      </c>
      <c r="F100" s="278" t="str">
        <f>IF(C100="","",C100*'CBECS IFs'!$D$18)</f>
        <v/>
      </c>
      <c r="G100" s="172" t="str">
        <f>IF(OR(D100="",E100=""),"",((E100*VLOOKUP(D100,'State eGrid factors'!$E:$M,9,FALSE))+(((E100/(1-EF!$E$34))*EF!$E$29)+(E100*EF!$H$3))/1000+N("electricity emissions + upstream losses on total generation + T&amp;D losses")))</f>
        <v/>
      </c>
      <c r="H100" s="172" t="str">
        <f>IF(F100="","",(F100*('CBECS IFs'!$M$18+'CBECS IFs'!$O$24))/1000)</f>
        <v/>
      </c>
      <c r="K100" s="272">
        <v>18</v>
      </c>
      <c r="L100" s="276"/>
      <c r="M100" s="157"/>
      <c r="N100" s="277"/>
      <c r="O100" s="277"/>
      <c r="P100" s="172" t="str">
        <f>IF(OR(M100="",N100=""),"",((N100*VLOOKUP(M100,'State eGrid factors'!$E:$M,9,FALSE))+(((N100/(1-EF!$E$34))*EF!$E$29)+(N100*EF!$H$3))/1000+N("electricity emissions + upstream losses on total generation + T&amp;D losses")))</f>
        <v/>
      </c>
      <c r="Q100" s="172" t="str">
        <f>IF(O100="","",(O100*('CBECS IFs'!$M$18+'CBECS IFs'!$O$24))/1000)</f>
        <v/>
      </c>
    </row>
    <row r="101" spans="1:18" ht="15">
      <c r="A101" s="272">
        <v>19</v>
      </c>
      <c r="B101" s="276"/>
      <c r="C101" s="277"/>
      <c r="D101" s="157"/>
      <c r="E101" s="278" t="str">
        <f>IF(C101="","",C101*'CBECS IFs'!$C$8)</f>
        <v/>
      </c>
      <c r="F101" s="278" t="str">
        <f>IF(C101="","",C101*'CBECS IFs'!$D$18)</f>
        <v/>
      </c>
      <c r="G101" s="172" t="str">
        <f>IF(OR(D101="",E101=""),"",((E101*VLOOKUP(D101,'State eGrid factors'!$E:$M,9,FALSE))+(((E101/(1-EF!$E$34))*EF!$E$29)+(E101*EF!$H$3))/1000+N("electricity emissions + upstream losses on total generation + T&amp;D losses")))</f>
        <v/>
      </c>
      <c r="H101" s="172" t="str">
        <f>IF(F101="","",(F101*('CBECS IFs'!$M$18+'CBECS IFs'!$O$24))/1000)</f>
        <v/>
      </c>
      <c r="K101" s="272">
        <v>19</v>
      </c>
      <c r="L101" s="276"/>
      <c r="M101" s="157"/>
      <c r="N101" s="277"/>
      <c r="O101" s="277"/>
      <c r="P101" s="172" t="str">
        <f>IF(OR(M101="",N101=""),"",((N101*VLOOKUP(M101,'State eGrid factors'!$E:$M,9,FALSE))+(((N101/(1-EF!$E$34))*EF!$E$29)+(N101*EF!$H$3))/1000+N("electricity emissions + upstream losses on total generation + T&amp;D losses")))</f>
        <v/>
      </c>
      <c r="Q101" s="172" t="str">
        <f>IF(O101="","",(O101*('CBECS IFs'!$M$18+'CBECS IFs'!$O$24))/1000)</f>
        <v/>
      </c>
    </row>
    <row r="102" spans="1:18" ht="15.75" thickBot="1">
      <c r="A102" s="272">
        <v>20</v>
      </c>
      <c r="B102" s="276"/>
      <c r="C102" s="277"/>
      <c r="D102" s="157"/>
      <c r="E102" s="278" t="str">
        <f>IF(C102="","",C102*'CBECS IFs'!$C$8)</f>
        <v/>
      </c>
      <c r="F102" s="278" t="str">
        <f>IF(C102="","",C102*'CBECS IFs'!$D$18)</f>
        <v/>
      </c>
      <c r="G102" s="172" t="str">
        <f>IF(OR(D102="",E102=""),"",((E102*VLOOKUP(D102,'State eGrid factors'!$E:$M,9,FALSE))+(((E102/(1-EF!$E$34))*EF!$E$29)+(E102*EF!$H$3))/1000+N("electricity emissions + upstream losses on total generation + T&amp;D losses")))</f>
        <v/>
      </c>
      <c r="H102" s="172" t="str">
        <f>IF(F102="","",(F102*('CBECS IFs'!$M$18+'CBECS IFs'!$O$24))/1000)</f>
        <v/>
      </c>
      <c r="K102" s="272">
        <v>20</v>
      </c>
      <c r="L102" s="276"/>
      <c r="M102" s="157"/>
      <c r="N102" s="277"/>
      <c r="O102" s="277"/>
      <c r="P102" s="172" t="str">
        <f>IF(OR(M102="",N102=""),"",((N102*VLOOKUP(M102,'State eGrid factors'!$E:$M,9,FALSE))+(((N102/(1-EF!$E$34))*EF!$E$29)+(N102*EF!$H$3))/1000+N("electricity emissions + upstream losses on total generation + T&amp;D losses")))</f>
        <v/>
      </c>
      <c r="Q102" s="172" t="str">
        <f>IF(O102="","",(O102*('CBECS IFs'!$M$18+'CBECS IFs'!$O$24))/1000)</f>
        <v/>
      </c>
    </row>
    <row r="103" spans="1:18" ht="15" thickBot="1">
      <c r="F103" s="279" t="s">
        <v>1268</v>
      </c>
      <c r="G103" s="179">
        <f>SUM(G84:G102)</f>
        <v>0</v>
      </c>
      <c r="H103" s="179">
        <f>SUM(H84:H102)</f>
        <v>0</v>
      </c>
      <c r="O103" s="279" t="s">
        <v>1268</v>
      </c>
      <c r="P103" s="179">
        <f>SUM(P84:P102)</f>
        <v>0</v>
      </c>
      <c r="Q103" s="179">
        <f>SUM(Q84:Q102)</f>
        <v>0</v>
      </c>
    </row>
    <row r="105" spans="1:18" ht="18.75">
      <c r="A105" s="266" t="s">
        <v>1419</v>
      </c>
      <c r="K105" s="266" t="s">
        <v>1419</v>
      </c>
    </row>
    <row r="106" spans="1:18">
      <c r="A106" s="267" t="s">
        <v>1237</v>
      </c>
      <c r="K106" s="267" t="s">
        <v>1237</v>
      </c>
    </row>
    <row r="107" spans="1:18" ht="22.5" customHeight="1">
      <c r="A107" s="267"/>
      <c r="C107" s="720" t="s">
        <v>2915</v>
      </c>
      <c r="D107" s="720"/>
      <c r="K107" s="267"/>
      <c r="M107" s="720"/>
    </row>
    <row r="108" spans="1:18" ht="8.25" customHeight="1">
      <c r="A108" s="267"/>
      <c r="C108" s="720"/>
      <c r="D108" s="720"/>
      <c r="K108" s="267"/>
      <c r="M108" s="720"/>
    </row>
    <row r="109" spans="1:18">
      <c r="B109" s="53" t="s">
        <v>312</v>
      </c>
      <c r="C109" s="53" t="s">
        <v>312</v>
      </c>
      <c r="D109" s="53" t="s">
        <v>312</v>
      </c>
      <c r="E109" s="53" t="s">
        <v>312</v>
      </c>
      <c r="F109" s="269"/>
      <c r="L109" s="53" t="s">
        <v>312</v>
      </c>
      <c r="M109" s="53" t="s">
        <v>312</v>
      </c>
      <c r="N109" s="53" t="s">
        <v>312</v>
      </c>
      <c r="O109" s="53" t="s">
        <v>312</v>
      </c>
      <c r="P109" s="53" t="s">
        <v>312</v>
      </c>
    </row>
    <row r="110" spans="1:18" ht="45">
      <c r="A110" s="270" t="s">
        <v>1238</v>
      </c>
      <c r="B110" s="271" t="s">
        <v>319</v>
      </c>
      <c r="C110" s="294" t="s">
        <v>2916</v>
      </c>
      <c r="D110" s="288" t="s">
        <v>1411</v>
      </c>
      <c r="E110" s="215" t="s">
        <v>4055</v>
      </c>
      <c r="F110" s="288" t="s">
        <v>1412</v>
      </c>
      <c r="G110" s="288" t="s">
        <v>1413</v>
      </c>
      <c r="H110" s="288" t="s">
        <v>4056</v>
      </c>
      <c r="I110" s="288" t="s">
        <v>4057</v>
      </c>
      <c r="K110" s="270" t="s">
        <v>1238</v>
      </c>
      <c r="L110" s="271" t="s">
        <v>319</v>
      </c>
      <c r="M110" s="271" t="s">
        <v>1729</v>
      </c>
      <c r="N110" s="215" t="s">
        <v>4055</v>
      </c>
      <c r="O110" s="270" t="s">
        <v>1412</v>
      </c>
      <c r="P110" s="288" t="s">
        <v>1413</v>
      </c>
      <c r="Q110" s="288" t="s">
        <v>4056</v>
      </c>
      <c r="R110" s="288" t="s">
        <v>4057</v>
      </c>
    </row>
    <row r="111" spans="1:18" ht="15">
      <c r="A111" s="272">
        <v>1</v>
      </c>
      <c r="B111" s="273" t="s">
        <v>1414</v>
      </c>
      <c r="C111" s="273" t="s">
        <v>1420</v>
      </c>
      <c r="D111" s="274">
        <v>100</v>
      </c>
      <c r="E111" s="147" t="s">
        <v>1396</v>
      </c>
      <c r="F111" s="275">
        <f>IF(OR(C111="",D111=""),"",(D111*IF(C111='CBECS IFs'!$B$10,'CBECS IFs'!$C$10,'CBECS IFs'!$C$11)))</f>
        <v>1490</v>
      </c>
      <c r="G111" s="275">
        <f>IF(OR(C111="",D111=""),"",(D111*IF(C111='CBECS IFs'!$B$20,'CBECS IFs'!$D$20,'CBECS IFs'!$D$21)))</f>
        <v>19.855222337125127</v>
      </c>
      <c r="H111" s="171">
        <f>IF(OR(E111="",F111=""),"",((F111*VLOOKUP(E111,'State eGrid factors'!$E:$M,9,FALSE))+(((F111/(1-EF!$E$34))*EF!$E$29)+(F111*EF!$H$3))/1000+N("electricity emissions + upstream losses on total generation + T&amp;D losses")))</f>
        <v>0.81857921087318575</v>
      </c>
      <c r="I111" s="171">
        <f>IF(G111="","",(G111*('CBECS IFs'!$M$18+'CBECS IFs'!$O$24))/1000)</f>
        <v>0.12402536040918752</v>
      </c>
      <c r="K111" s="272">
        <v>1</v>
      </c>
      <c r="L111" s="273" t="s">
        <v>1414</v>
      </c>
      <c r="M111" s="273" t="s">
        <v>1420</v>
      </c>
      <c r="N111" s="147" t="s">
        <v>1396</v>
      </c>
      <c r="O111" s="274">
        <v>20000</v>
      </c>
      <c r="P111" s="274">
        <v>350</v>
      </c>
      <c r="Q111" s="171">
        <f>IF(OR(N111="",O111=""),"",((O111*VLOOKUP(N111,'State eGrid factors'!$E:$M,9,FALSE))+(((O111/(1-EF!$E$34))*EF!$E$29)+(O111*EF!$H$3))/1000+N("electricity emissions + upstream losses on total generation + T&amp;D losses")))</f>
        <v>10.987640414405178</v>
      </c>
      <c r="R111" s="171">
        <f>IF(P111="","",(P111*('CBECS IFs'!$M$18+'CBECS IFs'!$O$24))/1000)</f>
        <v>2.1862699599213293</v>
      </c>
    </row>
    <row r="112" spans="1:18" ht="15">
      <c r="A112" s="272">
        <v>2</v>
      </c>
      <c r="B112" s="276"/>
      <c r="C112" s="276"/>
      <c r="D112" s="277"/>
      <c r="E112" s="157"/>
      <c r="F112" s="278" t="str">
        <f>IF(OR(C112="",D112=""),"",(D112*IF(C112='CBECS IFs'!$B$10,'CBECS IFs'!$C$10,'CBECS IFs'!$C$11)))</f>
        <v/>
      </c>
      <c r="G112" s="278" t="str">
        <f>IF(OR(C112="",D112=""),"",(D112*IF(C112='CBECS IFs'!$B$20,'CBECS IFs'!$D$20,'CBECS IFs'!$D$21)))</f>
        <v/>
      </c>
      <c r="H112" s="172" t="str">
        <f>IF(OR(E112="",F112=""),"",((F112*VLOOKUP(E112,'State eGrid factors'!$E:$M,9,FALSE))+(((F112/(1-EF!$E$34))*EF!$E$29)+(F112*EF!$H$3))/1000+N("electricity emissions + upstream losses on total generation + T&amp;D losses")))</f>
        <v/>
      </c>
      <c r="I112" s="172" t="str">
        <f>IF(G112="","",(G112*('CBECS IFs'!$M$18+'CBECS IFs'!$O$24))/1000)</f>
        <v/>
      </c>
      <c r="K112" s="272">
        <v>2</v>
      </c>
      <c r="L112" s="276"/>
      <c r="M112" s="276"/>
      <c r="N112" s="157"/>
      <c r="O112" s="277"/>
      <c r="P112" s="277"/>
      <c r="Q112" s="172" t="str">
        <f>IF(OR(N112="",O112=""),"",((O112*VLOOKUP(N112,'State eGrid factors'!$E:$M,9,FALSE))+(((O112/(1-EF!$E$34))*EF!$E$29)+(O112*EF!$H$3))/1000+N("electricity emissions + upstream losses on total generation + T&amp;D losses")))</f>
        <v/>
      </c>
      <c r="R112" s="172" t="str">
        <f>IF(P112="","",(P112*('CBECS IFs'!$M$18+'CBECS IFs'!$O$24))/1000)</f>
        <v/>
      </c>
    </row>
    <row r="113" spans="1:18" ht="15">
      <c r="A113" s="272">
        <v>3</v>
      </c>
      <c r="B113" s="276"/>
      <c r="C113" s="276"/>
      <c r="D113" s="277"/>
      <c r="E113" s="157"/>
      <c r="F113" s="278" t="str">
        <f>IF(OR(C113="",D113=""),"",(D113*IF(C113='CBECS IFs'!$B$10,'CBECS IFs'!$C$10,'CBECS IFs'!$C$11)))</f>
        <v/>
      </c>
      <c r="G113" s="278" t="str">
        <f>IF(OR(C113="",D113=""),"",(D113*IF(C113='CBECS IFs'!$B$20,'CBECS IFs'!$D$20,'CBECS IFs'!$D$21)))</f>
        <v/>
      </c>
      <c r="H113" s="172" t="str">
        <f>IF(OR(E113="",F113=""),"",((F113*VLOOKUP(E113,'State eGrid factors'!$E:$M,9,FALSE))+(((F113/(1-EF!$E$34))*EF!$E$29)+(F113*EF!$H$3))/1000+N("electricity emissions + upstream losses on total generation + T&amp;D losses")))</f>
        <v/>
      </c>
      <c r="I113" s="172" t="str">
        <f>IF(G113="","",(G113*('CBECS IFs'!$M$18+'CBECS IFs'!$O$24))/1000)</f>
        <v/>
      </c>
      <c r="K113" s="272">
        <v>3</v>
      </c>
      <c r="L113" s="276"/>
      <c r="M113" s="276"/>
      <c r="N113" s="157"/>
      <c r="O113" s="277"/>
      <c r="P113" s="277"/>
      <c r="Q113" s="172" t="str">
        <f>IF(OR(N113="",O113=""),"",((O113*VLOOKUP(N113,'State eGrid factors'!$E:$M,9,FALSE))+(((O113/(1-EF!$E$34))*EF!$E$29)+(O113*EF!$H$3))/1000+N("electricity emissions + upstream losses on total generation + T&amp;D losses")))</f>
        <v/>
      </c>
      <c r="R113" s="172" t="str">
        <f>IF(P113="","",(P113*('CBECS IFs'!$M$18+'CBECS IFs'!$O$24))/1000)</f>
        <v/>
      </c>
    </row>
    <row r="114" spans="1:18" ht="15">
      <c r="A114" s="272">
        <v>4</v>
      </c>
      <c r="B114" s="276"/>
      <c r="C114" s="276"/>
      <c r="D114" s="277"/>
      <c r="E114" s="157"/>
      <c r="F114" s="278" t="str">
        <f>IF(OR(C114="",D114=""),"",(D114*IF(C114='CBECS IFs'!$B$10,'CBECS IFs'!$C$10,'CBECS IFs'!$C$11)))</f>
        <v/>
      </c>
      <c r="G114" s="278" t="str">
        <f>IF(OR(C114="",D114=""),"",(D114*IF(C114='CBECS IFs'!$B$20,'CBECS IFs'!$D$20,'CBECS IFs'!$D$21)))</f>
        <v/>
      </c>
      <c r="H114" s="172" t="str">
        <f>IF(OR(E114="",F114=""),"",((F114*VLOOKUP(E114,'State eGrid factors'!$E:$M,9,FALSE))+(((F114/(1-EF!$E$34))*EF!$E$29)+(F114*EF!$H$3))/1000+N("electricity emissions + upstream losses on total generation + T&amp;D losses")))</f>
        <v/>
      </c>
      <c r="I114" s="172" t="str">
        <f>IF(G114="","",(G114*('CBECS IFs'!$M$18+'CBECS IFs'!$O$24))/1000)</f>
        <v/>
      </c>
      <c r="K114" s="272">
        <v>4</v>
      </c>
      <c r="L114" s="276"/>
      <c r="M114" s="276"/>
      <c r="N114" s="157"/>
      <c r="O114" s="277"/>
      <c r="P114" s="277"/>
      <c r="Q114" s="172" t="str">
        <f>IF(OR(N114="",O114=""),"",((O114*VLOOKUP(N114,'State eGrid factors'!$E:$M,9,FALSE))+(((O114/(1-EF!$E$34))*EF!$E$29)+(O114*EF!$H$3))/1000+N("electricity emissions + upstream losses on total generation + T&amp;D losses")))</f>
        <v/>
      </c>
      <c r="R114" s="172" t="str">
        <f>IF(P114="","",(P114*('CBECS IFs'!$M$18+'CBECS IFs'!$O$24))/1000)</f>
        <v/>
      </c>
    </row>
    <row r="115" spans="1:18" ht="15">
      <c r="A115" s="272">
        <v>5</v>
      </c>
      <c r="B115" s="276"/>
      <c r="C115" s="276"/>
      <c r="D115" s="277"/>
      <c r="E115" s="157"/>
      <c r="F115" s="278" t="str">
        <f>IF(OR(C115="",D115=""),"",(D115*IF(C115='CBECS IFs'!$B$10,'CBECS IFs'!$C$10,'CBECS IFs'!$C$11)))</f>
        <v/>
      </c>
      <c r="G115" s="278" t="str">
        <f>IF(OR(C115="",D115=""),"",(D115*IF(C115='CBECS IFs'!$B$20,'CBECS IFs'!$D$20,'CBECS IFs'!$D$21)))</f>
        <v/>
      </c>
      <c r="H115" s="172" t="str">
        <f>IF(OR(E115="",F115=""),"",((F115*VLOOKUP(E115,'State eGrid factors'!$E:$M,9,FALSE))+(((F115/(1-EF!$E$34))*EF!$E$29)+(F115*EF!$H$3))/1000+N("electricity emissions + upstream losses on total generation + T&amp;D losses")))</f>
        <v/>
      </c>
      <c r="I115" s="172" t="str">
        <f>IF(G115="","",(G115*('CBECS IFs'!$M$18+'CBECS IFs'!$O$24))/1000)</f>
        <v/>
      </c>
      <c r="K115" s="272">
        <v>5</v>
      </c>
      <c r="L115" s="276"/>
      <c r="M115" s="276"/>
      <c r="N115" s="157"/>
      <c r="O115" s="277"/>
      <c r="P115" s="277"/>
      <c r="Q115" s="172" t="str">
        <f>IF(OR(N115="",O115=""),"",((O115*VLOOKUP(N115,'State eGrid factors'!$E:$M,9,FALSE))+(((O115/(1-EF!$E$34))*EF!$E$29)+(O115*EF!$H$3))/1000+N("electricity emissions + upstream losses on total generation + T&amp;D losses")))</f>
        <v/>
      </c>
      <c r="R115" s="172" t="str">
        <f>IF(P115="","",(P115*('CBECS IFs'!$M$18+'CBECS IFs'!$O$24))/1000)</f>
        <v/>
      </c>
    </row>
    <row r="116" spans="1:18" ht="15">
      <c r="A116" s="272">
        <v>6</v>
      </c>
      <c r="B116" s="276"/>
      <c r="C116" s="276"/>
      <c r="D116" s="277"/>
      <c r="E116" s="157"/>
      <c r="F116" s="278" t="str">
        <f>IF(OR(C116="",D116=""),"",(D116*IF(C116='CBECS IFs'!$B$10,'CBECS IFs'!$C$10,'CBECS IFs'!$C$11)))</f>
        <v/>
      </c>
      <c r="G116" s="278" t="str">
        <f>IF(OR(C116="",D116=""),"",(D116*IF(C116='CBECS IFs'!$B$20,'CBECS IFs'!$D$20,'CBECS IFs'!$D$21)))</f>
        <v/>
      </c>
      <c r="H116" s="172" t="str">
        <f>IF(OR(E116="",F116=""),"",((F116*VLOOKUP(E116,'State eGrid factors'!$E:$M,9,FALSE))+(((F116/(1-EF!$E$34))*EF!$E$29)+(F116*EF!$H$3))/1000+N("electricity emissions + upstream losses on total generation + T&amp;D losses")))</f>
        <v/>
      </c>
      <c r="I116" s="172" t="str">
        <f>IF(G116="","",(G116*('CBECS IFs'!$M$18+'CBECS IFs'!$O$24))/1000)</f>
        <v/>
      </c>
      <c r="K116" s="272">
        <v>6</v>
      </c>
      <c r="L116" s="276"/>
      <c r="M116" s="276"/>
      <c r="N116" s="157"/>
      <c r="O116" s="277"/>
      <c r="P116" s="277"/>
      <c r="Q116" s="172" t="str">
        <f>IF(OR(N116="",O116=""),"",((O116*VLOOKUP(N116,'State eGrid factors'!$E:$M,9,FALSE))+(((O116/(1-EF!$E$34))*EF!$E$29)+(O116*EF!$H$3))/1000+N("electricity emissions + upstream losses on total generation + T&amp;D losses")))</f>
        <v/>
      </c>
      <c r="R116" s="172" t="str">
        <f>IF(P116="","",(P116*('CBECS IFs'!$M$18+'CBECS IFs'!$O$24))/1000)</f>
        <v/>
      </c>
    </row>
    <row r="117" spans="1:18" ht="15">
      <c r="A117" s="272">
        <v>7</v>
      </c>
      <c r="B117" s="276"/>
      <c r="C117" s="276"/>
      <c r="D117" s="277"/>
      <c r="E117" s="157"/>
      <c r="F117" s="278" t="str">
        <f>IF(OR(C117="",D117=""),"",(D117*IF(C117='CBECS IFs'!$B$10,'CBECS IFs'!$C$10,'CBECS IFs'!$C$11)))</f>
        <v/>
      </c>
      <c r="G117" s="278" t="str">
        <f>IF(OR(C117="",D117=""),"",(D117*IF(C117='CBECS IFs'!$B$20,'CBECS IFs'!$D$20,'CBECS IFs'!$D$21)))</f>
        <v/>
      </c>
      <c r="H117" s="172" t="str">
        <f>IF(OR(E117="",F117=""),"",((F117*VLOOKUP(E117,'State eGrid factors'!$E:$M,9,FALSE))+(((F117/(1-EF!$E$34))*EF!$E$29)+(F117*EF!$H$3))/1000+N("electricity emissions + upstream losses on total generation + T&amp;D losses")))</f>
        <v/>
      </c>
      <c r="I117" s="172" t="str">
        <f>IF(G117="","",(G117*('CBECS IFs'!$M$18+'CBECS IFs'!$O$24))/1000)</f>
        <v/>
      </c>
      <c r="K117" s="272">
        <v>7</v>
      </c>
      <c r="L117" s="276"/>
      <c r="M117" s="276"/>
      <c r="N117" s="157"/>
      <c r="O117" s="277"/>
      <c r="P117" s="277"/>
      <c r="Q117" s="172" t="str">
        <f>IF(OR(N117="",O117=""),"",((O117*VLOOKUP(N117,'State eGrid factors'!$E:$M,9,FALSE))+(((O117/(1-EF!$E$34))*EF!$E$29)+(O117*EF!$H$3))/1000+N("electricity emissions + upstream losses on total generation + T&amp;D losses")))</f>
        <v/>
      </c>
      <c r="R117" s="172" t="str">
        <f>IF(P117="","",(P117*('CBECS IFs'!$M$18+'CBECS IFs'!$O$24))/1000)</f>
        <v/>
      </c>
    </row>
    <row r="118" spans="1:18" ht="15">
      <c r="A118" s="272">
        <v>8</v>
      </c>
      <c r="B118" s="276"/>
      <c r="C118" s="276"/>
      <c r="D118" s="277"/>
      <c r="E118" s="157"/>
      <c r="F118" s="278" t="str">
        <f>IF(OR(C118="",D118=""),"",(D118*IF(C118='CBECS IFs'!$B$10,'CBECS IFs'!$C$10,'CBECS IFs'!$C$11)))</f>
        <v/>
      </c>
      <c r="G118" s="278" t="str">
        <f>IF(OR(C118="",D118=""),"",(D118*IF(C118='CBECS IFs'!$B$20,'CBECS IFs'!$D$20,'CBECS IFs'!$D$21)))</f>
        <v/>
      </c>
      <c r="H118" s="172" t="str">
        <f>IF(OR(E118="",F118=""),"",((F118*VLOOKUP(E118,'State eGrid factors'!$E:$M,9,FALSE))+(((F118/(1-EF!$E$34))*EF!$E$29)+(F118*EF!$H$3))/1000+N("electricity emissions + upstream losses on total generation + T&amp;D losses")))</f>
        <v/>
      </c>
      <c r="I118" s="172" t="str">
        <f>IF(G118="","",(G118*('CBECS IFs'!$M$18+'CBECS IFs'!$O$24))/1000)</f>
        <v/>
      </c>
      <c r="K118" s="272">
        <v>8</v>
      </c>
      <c r="L118" s="276"/>
      <c r="M118" s="276"/>
      <c r="N118" s="157"/>
      <c r="O118" s="277"/>
      <c r="P118" s="277"/>
      <c r="Q118" s="172" t="str">
        <f>IF(OR(N118="",O118=""),"",((O118*VLOOKUP(N118,'State eGrid factors'!$E:$M,9,FALSE))+(((O118/(1-EF!$E$34))*EF!$E$29)+(O118*EF!$H$3))/1000+N("electricity emissions + upstream losses on total generation + T&amp;D losses")))</f>
        <v/>
      </c>
      <c r="R118" s="172" t="str">
        <f>IF(P118="","",(P118*('CBECS IFs'!$M$18+'CBECS IFs'!$O$24))/1000)</f>
        <v/>
      </c>
    </row>
    <row r="119" spans="1:18" ht="15">
      <c r="A119" s="272">
        <v>9</v>
      </c>
      <c r="B119" s="276"/>
      <c r="C119" s="276"/>
      <c r="D119" s="277"/>
      <c r="E119" s="157"/>
      <c r="F119" s="278" t="str">
        <f>IF(OR(C119="",D119=""),"",(D119*IF(C119='CBECS IFs'!$B$10,'CBECS IFs'!$C$10,'CBECS IFs'!$C$11)))</f>
        <v/>
      </c>
      <c r="G119" s="278" t="str">
        <f>IF(OR(C119="",D119=""),"",(D119*IF(C119='CBECS IFs'!$B$20,'CBECS IFs'!$D$20,'CBECS IFs'!$D$21)))</f>
        <v/>
      </c>
      <c r="H119" s="172" t="str">
        <f>IF(OR(E119="",F119=""),"",((F119*VLOOKUP(E119,'State eGrid factors'!$E:$M,9,FALSE))+(((F119/(1-EF!$E$34))*EF!$E$29)+(F119*EF!$H$3))/1000+N("electricity emissions + upstream losses on total generation + T&amp;D losses")))</f>
        <v/>
      </c>
      <c r="I119" s="172" t="str">
        <f>IF(G119="","",(G119*('CBECS IFs'!$M$18+'CBECS IFs'!$O$24))/1000)</f>
        <v/>
      </c>
      <c r="K119" s="272">
        <v>9</v>
      </c>
      <c r="L119" s="276"/>
      <c r="M119" s="276"/>
      <c r="N119" s="157"/>
      <c r="O119" s="277"/>
      <c r="P119" s="277"/>
      <c r="Q119" s="172" t="str">
        <f>IF(OR(N119="",O119=""),"",((O119*VLOOKUP(N119,'State eGrid factors'!$E:$M,9,FALSE))+(((O119/(1-EF!$E$34))*EF!$E$29)+(O119*EF!$H$3))/1000+N("electricity emissions + upstream losses on total generation + T&amp;D losses")))</f>
        <v/>
      </c>
      <c r="R119" s="172" t="str">
        <f>IF(P119="","",(P119*('CBECS IFs'!$M$18+'CBECS IFs'!$O$24))/1000)</f>
        <v/>
      </c>
    </row>
    <row r="120" spans="1:18" ht="15">
      <c r="A120" s="272">
        <v>10</v>
      </c>
      <c r="B120" s="276"/>
      <c r="C120" s="276"/>
      <c r="D120" s="277"/>
      <c r="E120" s="157"/>
      <c r="F120" s="278" t="str">
        <f>IF(OR(C120="",D120=""),"",(D120*IF(C120='CBECS IFs'!$B$10,'CBECS IFs'!$C$10,'CBECS IFs'!$C$11)))</f>
        <v/>
      </c>
      <c r="G120" s="278" t="str">
        <f>IF(OR(C120="",D120=""),"",(D120*IF(C120='CBECS IFs'!$B$20,'CBECS IFs'!$D$20,'CBECS IFs'!$D$21)))</f>
        <v/>
      </c>
      <c r="H120" s="172" t="str">
        <f>IF(OR(E120="",F120=""),"",((F120*VLOOKUP(E120,'State eGrid factors'!$E:$M,9,FALSE))+(((F120/(1-EF!$E$34))*EF!$E$29)+(F120*EF!$H$3))/1000+N("electricity emissions + upstream losses on total generation + T&amp;D losses")))</f>
        <v/>
      </c>
      <c r="I120" s="172" t="str">
        <f>IF(G120="","",(G120*('CBECS IFs'!$M$18+'CBECS IFs'!$O$24))/1000)</f>
        <v/>
      </c>
      <c r="K120" s="272">
        <v>10</v>
      </c>
      <c r="L120" s="276"/>
      <c r="M120" s="276"/>
      <c r="N120" s="157"/>
      <c r="O120" s="277"/>
      <c r="P120" s="277"/>
      <c r="Q120" s="172" t="str">
        <f>IF(OR(N120="",O120=""),"",((O120*VLOOKUP(N120,'State eGrid factors'!$E:$M,9,FALSE))+(((O120/(1-EF!$E$34))*EF!$E$29)+(O120*EF!$H$3))/1000+N("electricity emissions + upstream losses on total generation + T&amp;D losses")))</f>
        <v/>
      </c>
      <c r="R120" s="172" t="str">
        <f>IF(P120="","",(P120*('CBECS IFs'!$M$18+'CBECS IFs'!$O$24))/1000)</f>
        <v/>
      </c>
    </row>
    <row r="121" spans="1:18" ht="15">
      <c r="A121" s="272">
        <v>11</v>
      </c>
      <c r="B121" s="276"/>
      <c r="C121" s="276"/>
      <c r="D121" s="277"/>
      <c r="E121" s="157"/>
      <c r="F121" s="278" t="str">
        <f>IF(OR(C121="",D121=""),"",(D121*IF(C121='CBECS IFs'!$B$10,'CBECS IFs'!$C$10,'CBECS IFs'!$C$11)))</f>
        <v/>
      </c>
      <c r="G121" s="278" t="str">
        <f>IF(OR(C121="",D121=""),"",(D121*IF(C121='CBECS IFs'!$B$20,'CBECS IFs'!$D$20,'CBECS IFs'!$D$21)))</f>
        <v/>
      </c>
      <c r="H121" s="172" t="str">
        <f>IF(OR(E121="",F121=""),"",((F121*VLOOKUP(E121,'State eGrid factors'!$E:$M,9,FALSE))+(((F121/(1-EF!$E$34))*EF!$E$29)+(F121*EF!$H$3))/1000+N("electricity emissions + upstream losses on total generation + T&amp;D losses")))</f>
        <v/>
      </c>
      <c r="I121" s="172" t="str">
        <f>IF(G121="","",(G121*('CBECS IFs'!$M$18+'CBECS IFs'!$O$24))/1000)</f>
        <v/>
      </c>
      <c r="K121" s="272">
        <v>11</v>
      </c>
      <c r="L121" s="276"/>
      <c r="M121" s="276"/>
      <c r="N121" s="157"/>
      <c r="O121" s="277"/>
      <c r="P121" s="277"/>
      <c r="Q121" s="172" t="str">
        <f>IF(OR(N121="",O121=""),"",((O121*VLOOKUP(N121,'State eGrid factors'!$E:$M,9,FALSE))+(((O121/(1-EF!$E$34))*EF!$E$29)+(O121*EF!$H$3))/1000+N("electricity emissions + upstream losses on total generation + T&amp;D losses")))</f>
        <v/>
      </c>
      <c r="R121" s="172" t="str">
        <f>IF(P121="","",(P121*('CBECS IFs'!$M$18+'CBECS IFs'!$O$24))/1000)</f>
        <v/>
      </c>
    </row>
    <row r="122" spans="1:18" ht="15">
      <c r="A122" s="272">
        <v>12</v>
      </c>
      <c r="B122" s="276"/>
      <c r="C122" s="276"/>
      <c r="D122" s="277"/>
      <c r="E122" s="157"/>
      <c r="F122" s="278" t="str">
        <f>IF(OR(C122="",D122=""),"",(D122*IF(C122='CBECS IFs'!$B$10,'CBECS IFs'!$C$10,'CBECS IFs'!$C$11)))</f>
        <v/>
      </c>
      <c r="G122" s="278" t="str">
        <f>IF(OR(C122="",D122=""),"",(D122*IF(C122='CBECS IFs'!$B$20,'CBECS IFs'!$D$20,'CBECS IFs'!$D$21)))</f>
        <v/>
      </c>
      <c r="H122" s="172" t="str">
        <f>IF(OR(E122="",F122=""),"",((F122*VLOOKUP(E122,'State eGrid factors'!$E:$M,9,FALSE))+(((F122/(1-EF!$E$34))*EF!$E$29)+(F122*EF!$H$3))/1000+N("electricity emissions + upstream losses on total generation + T&amp;D losses")))</f>
        <v/>
      </c>
      <c r="I122" s="172" t="str">
        <f>IF(G122="","",(G122*('CBECS IFs'!$M$18+'CBECS IFs'!$O$24))/1000)</f>
        <v/>
      </c>
      <c r="K122" s="272">
        <v>12</v>
      </c>
      <c r="L122" s="276"/>
      <c r="M122" s="276"/>
      <c r="N122" s="157"/>
      <c r="O122" s="277"/>
      <c r="P122" s="277"/>
      <c r="Q122" s="172" t="str">
        <f>IF(OR(N122="",O122=""),"",((O122*VLOOKUP(N122,'State eGrid factors'!$E:$M,9,FALSE))+(((O122/(1-EF!$E$34))*EF!$E$29)+(O122*EF!$H$3))/1000+N("electricity emissions + upstream losses on total generation + T&amp;D losses")))</f>
        <v/>
      </c>
      <c r="R122" s="172" t="str">
        <f>IF(P122="","",(P122*('CBECS IFs'!$M$18+'CBECS IFs'!$O$24))/1000)</f>
        <v/>
      </c>
    </row>
    <row r="123" spans="1:18" ht="15">
      <c r="A123" s="272">
        <v>13</v>
      </c>
      <c r="B123" s="276"/>
      <c r="C123" s="276"/>
      <c r="D123" s="277"/>
      <c r="E123" s="157"/>
      <c r="F123" s="278" t="str">
        <f>IF(OR(C123="",D123=""),"",(D123*IF(C123='CBECS IFs'!$B$10,'CBECS IFs'!$C$10,'CBECS IFs'!$C$11)))</f>
        <v/>
      </c>
      <c r="G123" s="278" t="str">
        <f>IF(OR(C123="",D123=""),"",(D123*IF(C123='CBECS IFs'!$B$20,'CBECS IFs'!$D$20,'CBECS IFs'!$D$21)))</f>
        <v/>
      </c>
      <c r="H123" s="172" t="str">
        <f>IF(OR(E123="",F123=""),"",((F123*VLOOKUP(E123,'State eGrid factors'!$E:$M,9,FALSE))+(((F123/(1-EF!$E$34))*EF!$E$29)+(F123*EF!$H$3))/1000+N("electricity emissions + upstream losses on total generation + T&amp;D losses")))</f>
        <v/>
      </c>
      <c r="I123" s="172" t="str">
        <f>IF(G123="","",(G123*('CBECS IFs'!$M$18+'CBECS IFs'!$O$24))/1000)</f>
        <v/>
      </c>
      <c r="K123" s="272">
        <v>13</v>
      </c>
      <c r="L123" s="276"/>
      <c r="M123" s="276"/>
      <c r="N123" s="157"/>
      <c r="O123" s="277"/>
      <c r="P123" s="277"/>
      <c r="Q123" s="172" t="str">
        <f>IF(OR(N123="",O123=""),"",((O123*VLOOKUP(N123,'State eGrid factors'!$E:$M,9,FALSE))+(((O123/(1-EF!$E$34))*EF!$E$29)+(O123*EF!$H$3))/1000+N("electricity emissions + upstream losses on total generation + T&amp;D losses")))</f>
        <v/>
      </c>
      <c r="R123" s="172" t="str">
        <f>IF(P123="","",(P123*('CBECS IFs'!$M$18+'CBECS IFs'!$O$24))/1000)</f>
        <v/>
      </c>
    </row>
    <row r="124" spans="1:18" ht="15">
      <c r="A124" s="272">
        <v>14</v>
      </c>
      <c r="B124" s="276"/>
      <c r="C124" s="276"/>
      <c r="D124" s="277"/>
      <c r="E124" s="157"/>
      <c r="F124" s="278" t="str">
        <f>IF(OR(C124="",D124=""),"",(D124*IF(C124='CBECS IFs'!$B$10,'CBECS IFs'!$C$10,'CBECS IFs'!$C$11)))</f>
        <v/>
      </c>
      <c r="G124" s="278" t="str">
        <f>IF(OR(C124="",D124=""),"",(D124*IF(C124='CBECS IFs'!$B$20,'CBECS IFs'!$D$20,'CBECS IFs'!$D$21)))</f>
        <v/>
      </c>
      <c r="H124" s="172" t="str">
        <f>IF(OR(E124="",F124=""),"",((F124*VLOOKUP(E124,'State eGrid factors'!$E:$M,9,FALSE))+(((F124/(1-EF!$E$34))*EF!$E$29)+(F124*EF!$H$3))/1000+N("electricity emissions + upstream losses on total generation + T&amp;D losses")))</f>
        <v/>
      </c>
      <c r="I124" s="172" t="str">
        <f>IF(G124="","",(G124*('CBECS IFs'!$M$18+'CBECS IFs'!$O$24))/1000)</f>
        <v/>
      </c>
      <c r="K124" s="272">
        <v>14</v>
      </c>
      <c r="L124" s="276"/>
      <c r="M124" s="276"/>
      <c r="N124" s="157"/>
      <c r="O124" s="277"/>
      <c r="P124" s="277"/>
      <c r="Q124" s="172" t="str">
        <f>IF(OR(N124="",O124=""),"",((O124*VLOOKUP(N124,'State eGrid factors'!$E:$M,9,FALSE))+(((O124/(1-EF!$E$34))*EF!$E$29)+(O124*EF!$H$3))/1000+N("electricity emissions + upstream losses on total generation + T&amp;D losses")))</f>
        <v/>
      </c>
      <c r="R124" s="172" t="str">
        <f>IF(P124="","",(P124*('CBECS IFs'!$M$18+'CBECS IFs'!$O$24))/1000)</f>
        <v/>
      </c>
    </row>
    <row r="125" spans="1:18" ht="15">
      <c r="A125" s="272">
        <v>15</v>
      </c>
      <c r="B125" s="276"/>
      <c r="C125" s="276"/>
      <c r="D125" s="277"/>
      <c r="E125" s="157"/>
      <c r="F125" s="278" t="str">
        <f>IF(OR(C125="",D125=""),"",(D125*IF(C125='CBECS IFs'!$B$10,'CBECS IFs'!$C$10,'CBECS IFs'!$C$11)))</f>
        <v/>
      </c>
      <c r="G125" s="278" t="str">
        <f>IF(OR(C125="",D125=""),"",(D125*IF(C125='CBECS IFs'!$B$20,'CBECS IFs'!$D$20,'CBECS IFs'!$D$21)))</f>
        <v/>
      </c>
      <c r="H125" s="172" t="str">
        <f>IF(OR(E125="",F125=""),"",((F125*VLOOKUP(E125,'State eGrid factors'!$E:$M,9,FALSE))+(((F125/(1-EF!$E$34))*EF!$E$29)+(F125*EF!$H$3))/1000+N("electricity emissions + upstream losses on total generation + T&amp;D losses")))</f>
        <v/>
      </c>
      <c r="I125" s="172" t="str">
        <f>IF(G125="","",(G125*('CBECS IFs'!$M$18+'CBECS IFs'!$O$24))/1000)</f>
        <v/>
      </c>
      <c r="K125" s="272">
        <v>15</v>
      </c>
      <c r="L125" s="276"/>
      <c r="M125" s="276"/>
      <c r="N125" s="157"/>
      <c r="O125" s="277"/>
      <c r="P125" s="277"/>
      <c r="Q125" s="172" t="str">
        <f>IF(OR(N125="",O125=""),"",((O125*VLOOKUP(N125,'State eGrid factors'!$E:$M,9,FALSE))+(((O125/(1-EF!$E$34))*EF!$E$29)+(O125*EF!$H$3))/1000+N("electricity emissions + upstream losses on total generation + T&amp;D losses")))</f>
        <v/>
      </c>
      <c r="R125" s="172" t="str">
        <f>IF(P125="","",(P125*('CBECS IFs'!$M$18+'CBECS IFs'!$O$24))/1000)</f>
        <v/>
      </c>
    </row>
    <row r="126" spans="1:18" ht="15">
      <c r="A126" s="272">
        <v>16</v>
      </c>
      <c r="B126" s="276"/>
      <c r="C126" s="276"/>
      <c r="D126" s="277"/>
      <c r="E126" s="157"/>
      <c r="F126" s="278" t="str">
        <f>IF(OR(C126="",D126=""),"",(D126*IF(C126='CBECS IFs'!$B$10,'CBECS IFs'!$C$10,'CBECS IFs'!$C$11)))</f>
        <v/>
      </c>
      <c r="G126" s="278" t="str">
        <f>IF(OR(C126="",D126=""),"",(D126*IF(C126='CBECS IFs'!$B$20,'CBECS IFs'!$D$20,'CBECS IFs'!$D$21)))</f>
        <v/>
      </c>
      <c r="H126" s="172" t="str">
        <f>IF(OR(E126="",F126=""),"",((F126*VLOOKUP(E126,'State eGrid factors'!$E:$M,9,FALSE))+(((F126/(1-EF!$E$34))*EF!$E$29)+(F126*EF!$H$3))/1000+N("electricity emissions + upstream losses on total generation + T&amp;D losses")))</f>
        <v/>
      </c>
      <c r="I126" s="172" t="str">
        <f>IF(G126="","",(G126*('CBECS IFs'!$M$18+'CBECS IFs'!$O$24))/1000)</f>
        <v/>
      </c>
      <c r="K126" s="272">
        <v>16</v>
      </c>
      <c r="L126" s="276"/>
      <c r="M126" s="276"/>
      <c r="N126" s="157"/>
      <c r="O126" s="277"/>
      <c r="P126" s="277"/>
      <c r="Q126" s="172" t="str">
        <f>IF(OR(N126="",O126=""),"",((O126*VLOOKUP(N126,'State eGrid factors'!$E:$M,9,FALSE))+(((O126/(1-EF!$E$34))*EF!$E$29)+(O126*EF!$H$3))/1000+N("electricity emissions + upstream losses on total generation + T&amp;D losses")))</f>
        <v/>
      </c>
      <c r="R126" s="172" t="str">
        <f>IF(P126="","",(P126*('CBECS IFs'!$M$18+'CBECS IFs'!$O$24))/1000)</f>
        <v/>
      </c>
    </row>
    <row r="127" spans="1:18" ht="15">
      <c r="A127" s="272">
        <v>17</v>
      </c>
      <c r="B127" s="276"/>
      <c r="C127" s="276"/>
      <c r="D127" s="277"/>
      <c r="E127" s="157"/>
      <c r="F127" s="278" t="str">
        <f>IF(OR(C127="",D127=""),"",(D127*IF(C127='CBECS IFs'!$B$10,'CBECS IFs'!$C$10,'CBECS IFs'!$C$11)))</f>
        <v/>
      </c>
      <c r="G127" s="278" t="str">
        <f>IF(OR(C127="",D127=""),"",(D127*IF(C127='CBECS IFs'!$B$20,'CBECS IFs'!$D$20,'CBECS IFs'!$D$21)))</f>
        <v/>
      </c>
      <c r="H127" s="172" t="str">
        <f>IF(OR(E127="",F127=""),"",((F127*VLOOKUP(E127,'State eGrid factors'!$E:$M,9,FALSE))+(((F127/(1-EF!$E$34))*EF!$E$29)+(F127*EF!$H$3))/1000+N("electricity emissions + upstream losses on total generation + T&amp;D losses")))</f>
        <v/>
      </c>
      <c r="I127" s="172" t="str">
        <f>IF(G127="","",(G127*('CBECS IFs'!$M$18+'CBECS IFs'!$O$24))/1000)</f>
        <v/>
      </c>
      <c r="K127" s="272">
        <v>17</v>
      </c>
      <c r="L127" s="276"/>
      <c r="M127" s="276"/>
      <c r="N127" s="157"/>
      <c r="O127" s="277"/>
      <c r="P127" s="277"/>
      <c r="Q127" s="172" t="str">
        <f>IF(OR(N127="",O127=""),"",((O127*VLOOKUP(N127,'State eGrid factors'!$E:$M,9,FALSE))+(((O127/(1-EF!$E$34))*EF!$E$29)+(O127*EF!$H$3))/1000+N("electricity emissions + upstream losses on total generation + T&amp;D losses")))</f>
        <v/>
      </c>
      <c r="R127" s="172" t="str">
        <f>IF(P127="","",(P127*('CBECS IFs'!$M$18+'CBECS IFs'!$O$24))/1000)</f>
        <v/>
      </c>
    </row>
    <row r="128" spans="1:18" ht="15">
      <c r="A128" s="272">
        <v>18</v>
      </c>
      <c r="B128" s="276"/>
      <c r="C128" s="276"/>
      <c r="D128" s="277"/>
      <c r="E128" s="157"/>
      <c r="F128" s="278" t="str">
        <f>IF(OR(C128="",D128=""),"",(D128*IF(C128='CBECS IFs'!$B$10,'CBECS IFs'!$C$10,'CBECS IFs'!$C$11)))</f>
        <v/>
      </c>
      <c r="G128" s="278" t="str">
        <f>IF(OR(C128="",D128=""),"",(D128*IF(C128='CBECS IFs'!$B$20,'CBECS IFs'!$D$20,'CBECS IFs'!$D$21)))</f>
        <v/>
      </c>
      <c r="H128" s="172" t="str">
        <f>IF(OR(E128="",F128=""),"",((F128*VLOOKUP(E128,'State eGrid factors'!$E:$M,9,FALSE))+(((F128/(1-EF!$E$34))*EF!$E$29)+(F128*EF!$H$3))/1000+N("electricity emissions + upstream losses on total generation + T&amp;D losses")))</f>
        <v/>
      </c>
      <c r="I128" s="172" t="str">
        <f>IF(G128="","",(G128*('CBECS IFs'!$M$18+'CBECS IFs'!$O$24))/1000)</f>
        <v/>
      </c>
      <c r="K128" s="272">
        <v>18</v>
      </c>
      <c r="L128" s="276"/>
      <c r="M128" s="276"/>
      <c r="N128" s="157"/>
      <c r="O128" s="277"/>
      <c r="P128" s="277"/>
      <c r="Q128" s="172" t="str">
        <f>IF(OR(N128="",O128=""),"",((O128*VLOOKUP(N128,'State eGrid factors'!$E:$M,9,FALSE))+(((O128/(1-EF!$E$34))*EF!$E$29)+(O128*EF!$H$3))/1000+N("electricity emissions + upstream losses on total generation + T&amp;D losses")))</f>
        <v/>
      </c>
      <c r="R128" s="172" t="str">
        <f>IF(P128="","",(P128*('CBECS IFs'!$M$18+'CBECS IFs'!$O$24))/1000)</f>
        <v/>
      </c>
    </row>
    <row r="129" spans="1:18" ht="15">
      <c r="A129" s="272">
        <v>19</v>
      </c>
      <c r="B129" s="276"/>
      <c r="C129" s="276"/>
      <c r="D129" s="277"/>
      <c r="E129" s="157"/>
      <c r="F129" s="278" t="str">
        <f>IF(OR(C129="",D129=""),"",(D129*IF(C129='CBECS IFs'!$B$10,'CBECS IFs'!$C$10,'CBECS IFs'!$C$11)))</f>
        <v/>
      </c>
      <c r="G129" s="278" t="str">
        <f>IF(OR(C129="",D129=""),"",(D129*IF(C129='CBECS IFs'!$B$20,'CBECS IFs'!$D$20,'CBECS IFs'!$D$21)))</f>
        <v/>
      </c>
      <c r="H129" s="172" t="str">
        <f>IF(OR(E129="",F129=""),"",((F129*VLOOKUP(E129,'State eGrid factors'!$E:$M,9,FALSE))+(((F129/(1-EF!$E$34))*EF!$E$29)+(F129*EF!$H$3))/1000+N("electricity emissions + upstream losses on total generation + T&amp;D losses")))</f>
        <v/>
      </c>
      <c r="I129" s="172" t="str">
        <f>IF(G129="","",(G129*('CBECS IFs'!$M$18+'CBECS IFs'!$O$24))/1000)</f>
        <v/>
      </c>
      <c r="K129" s="272">
        <v>19</v>
      </c>
      <c r="L129" s="276"/>
      <c r="M129" s="276"/>
      <c r="N129" s="157"/>
      <c r="O129" s="277"/>
      <c r="P129" s="277"/>
      <c r="Q129" s="172" t="str">
        <f>IF(OR(N129="",O129=""),"",((O129*VLOOKUP(N129,'State eGrid factors'!$E:$M,9,FALSE))+(((O129/(1-EF!$E$34))*EF!$E$29)+(O129*EF!$H$3))/1000+N("electricity emissions + upstream losses on total generation + T&amp;D losses")))</f>
        <v/>
      </c>
      <c r="R129" s="172" t="str">
        <f>IF(P129="","",(P129*('CBECS IFs'!$M$18+'CBECS IFs'!$O$24))/1000)</f>
        <v/>
      </c>
    </row>
    <row r="130" spans="1:18" ht="15.75" thickBot="1">
      <c r="A130" s="272">
        <v>20</v>
      </c>
      <c r="B130" s="276"/>
      <c r="C130" s="276"/>
      <c r="D130" s="277"/>
      <c r="E130" s="157"/>
      <c r="F130" s="278" t="str">
        <f>IF(OR(C130="",D130=""),"",(D130*IF(C130='CBECS IFs'!$B$10,'CBECS IFs'!$C$10,'CBECS IFs'!$C$11)))</f>
        <v/>
      </c>
      <c r="G130" s="278" t="str">
        <f>IF(OR(C130="",D130=""),"",(D130*IF(C130='CBECS IFs'!$B$20,'CBECS IFs'!$D$20,'CBECS IFs'!$D$21)))</f>
        <v/>
      </c>
      <c r="H130" s="172" t="str">
        <f>IF(OR(E130="",F130=""),"",((F130*VLOOKUP(E130,'State eGrid factors'!$E:$M,9,FALSE))+(((F130/(1-EF!$E$34))*EF!$E$29)+(F130*EF!$H$3))/1000+N("electricity emissions + upstream losses on total generation + T&amp;D losses")))</f>
        <v/>
      </c>
      <c r="I130" s="172" t="str">
        <f>IF(G130="","",(G130*('CBECS IFs'!$M$18+'CBECS IFs'!$O$24))/1000)</f>
        <v/>
      </c>
      <c r="K130" s="272">
        <v>20</v>
      </c>
      <c r="L130" s="276"/>
      <c r="M130" s="276"/>
      <c r="N130" s="157"/>
      <c r="O130" s="277"/>
      <c r="P130" s="277"/>
      <c r="Q130" s="172" t="str">
        <f>IF(OR(N130="",O130=""),"",((O130*VLOOKUP(N130,'State eGrid factors'!$E:$M,9,FALSE))+(((O130/(1-EF!$E$34))*EF!$E$29)+(O130*EF!$H$3))/1000+N("electricity emissions + upstream losses on total generation + T&amp;D losses")))</f>
        <v/>
      </c>
      <c r="R130" s="172" t="str">
        <f>IF(P130="","",(P130*('CBECS IFs'!$M$18+'CBECS IFs'!$O$24))/1000)</f>
        <v/>
      </c>
    </row>
    <row r="131" spans="1:18" ht="15" thickBot="1">
      <c r="G131" s="279" t="s">
        <v>1268</v>
      </c>
      <c r="H131" s="179">
        <f>SUM(H112:H130)</f>
        <v>0</v>
      </c>
      <c r="I131" s="179">
        <f>SUM(I112:I130)</f>
        <v>0</v>
      </c>
      <c r="P131" s="279" t="s">
        <v>1268</v>
      </c>
      <c r="Q131" s="179">
        <f>SUM(Q112:Q130)</f>
        <v>0</v>
      </c>
      <c r="R131" s="179">
        <f>SUM(R112:R130)</f>
        <v>0</v>
      </c>
    </row>
  </sheetData>
  <sheetProtection algorithmName="SHA-512" hashValue="ovqTa/rAi+lUzIdPkwfj1lmcRjk6kMORyiDlWrdbwu2Jfi9N7PY3SaXDE1+hKOhRXxWsjg8PIkFRwmuMDZ0A9A==" saltValue="/L4J+d6hIhpZLcbEMF3V8w==" spinCount="100000" sheet="1" objects="1" scenarios="1"/>
  <mergeCells count="1">
    <mergeCell ref="C52:C5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DF46A1-3A77-4EF0-9548-1C01016573E3}">
          <x14:formula1>
            <xm:f>'CBECS IFs'!$B$10:$B$11</xm:f>
          </x14:formula1>
          <xm:sqref>C56:C75 M56:M75 M111:M130 C111:C130 D55</xm:sqref>
        </x14:dataValidation>
        <x14:dataValidation type="list" allowBlank="1" showInputMessage="1" showErrorMessage="1" xr:uid="{9F8ED02E-98FF-4718-952F-1D922891F712}">
          <x14:formula1>
            <xm:f>'Commute Calcs'!$K$7:$K$57</xm:f>
          </x14:formula1>
          <xm:sqref>E111:E130 D83:D102 D28:D47 E56:E75 N111:N130 M83:M102 N56:N75 M28:M47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E48C-D45D-40C6-97AE-1A208A556341}">
  <sheetPr codeName="Sheet32">
    <tabColor theme="3" tint="0.59999389629810485"/>
  </sheetPr>
  <dimension ref="A1:K98"/>
  <sheetViews>
    <sheetView showGridLines="0" zoomScale="85" zoomScaleNormal="85" workbookViewId="0"/>
  </sheetViews>
  <sheetFormatPr defaultColWidth="8.875" defaultRowHeight="14.25"/>
  <cols>
    <col min="2" max="3" width="29.125" customWidth="1"/>
    <col min="4" max="4" width="26.375" bestFit="1" customWidth="1"/>
    <col min="5" max="5" width="15.75" customWidth="1"/>
    <col min="6" max="6" width="14.625" customWidth="1"/>
    <col min="7" max="7" width="14.5" customWidth="1"/>
  </cols>
  <sheetData>
    <row r="1" spans="1:6" ht="25.7" customHeight="1">
      <c r="A1" s="74" t="s">
        <v>1421</v>
      </c>
      <c r="B1" s="74"/>
      <c r="C1" s="74"/>
      <c r="D1" s="74"/>
      <c r="E1" s="74"/>
      <c r="F1" s="74"/>
    </row>
    <row r="2" spans="1:6" ht="15.95" customHeight="1">
      <c r="A2" s="198" t="s">
        <v>1387</v>
      </c>
      <c r="B2" s="110"/>
      <c r="C2" s="110"/>
      <c r="D2" s="110"/>
      <c r="E2" s="110"/>
      <c r="F2" s="110"/>
    </row>
    <row r="3" spans="1:6" ht="15.95" customHeight="1">
      <c r="A3" s="112" t="s">
        <v>1339</v>
      </c>
      <c r="B3" s="110"/>
      <c r="C3" s="110"/>
      <c r="D3" s="110"/>
      <c r="E3" s="110"/>
      <c r="F3" s="110"/>
    </row>
    <row r="4" spans="1:6" s="244" customFormat="1" ht="15.95" customHeight="1">
      <c r="A4" s="112" t="s">
        <v>1422</v>
      </c>
      <c r="B4" s="112"/>
      <c r="C4" s="112"/>
      <c r="D4" s="112"/>
      <c r="E4" s="112"/>
      <c r="F4" s="112"/>
    </row>
    <row r="5" spans="1:6" ht="15.95" customHeight="1">
      <c r="A5" s="112" t="s">
        <v>1389</v>
      </c>
      <c r="B5" s="110"/>
      <c r="C5" s="110"/>
      <c r="D5" s="110"/>
      <c r="E5" s="110"/>
      <c r="F5" s="110"/>
    </row>
    <row r="6" spans="1:6" ht="15.95" customHeight="1">
      <c r="A6" s="282" t="s">
        <v>1423</v>
      </c>
      <c r="B6" s="110"/>
      <c r="C6" s="110"/>
      <c r="D6" s="110"/>
      <c r="E6" s="110"/>
      <c r="F6" s="110"/>
    </row>
    <row r="7" spans="1:6" ht="15.95" customHeight="1">
      <c r="A7" s="235" t="s">
        <v>1424</v>
      </c>
      <c r="B7" s="110"/>
      <c r="C7" s="110"/>
      <c r="D7" s="110"/>
      <c r="E7" s="110"/>
      <c r="F7" s="110"/>
    </row>
    <row r="8" spans="1:6" ht="15.95" customHeight="1"/>
    <row r="9" spans="1:6" ht="15.95" customHeight="1"/>
    <row r="14" spans="1:6" ht="21.95" customHeight="1"/>
    <row r="15" spans="1:6" ht="21.95" customHeight="1"/>
    <row r="16" spans="1:6" ht="21.95" customHeight="1"/>
    <row r="17" spans="1:11" ht="21.95" customHeight="1"/>
    <row r="18" spans="1:11" ht="21.95" customHeight="1"/>
    <row r="19" spans="1:11" ht="21.95" customHeight="1"/>
    <row r="20" spans="1:11" ht="18.75">
      <c r="A20" s="203" t="s">
        <v>1425</v>
      </c>
    </row>
    <row r="21" spans="1:11">
      <c r="A21" s="204" t="s">
        <v>1237</v>
      </c>
    </row>
    <row r="22" spans="1:11" s="30" customFormat="1" ht="8.25" customHeight="1">
      <c r="A22" s="267"/>
      <c r="C22" s="720"/>
      <c r="H22"/>
      <c r="I22" s="267"/>
      <c r="K22" s="720"/>
    </row>
    <row r="23" spans="1:11">
      <c r="B23" s="815" t="s">
        <v>312</v>
      </c>
      <c r="C23" s="815" t="s">
        <v>312</v>
      </c>
      <c r="D23" s="815" t="s">
        <v>312</v>
      </c>
    </row>
    <row r="24" spans="1:11" ht="30">
      <c r="A24" s="205" t="s">
        <v>1238</v>
      </c>
      <c r="B24" s="206" t="s">
        <v>1300</v>
      </c>
      <c r="C24" s="215" t="s">
        <v>4055</v>
      </c>
      <c r="D24" s="205" t="s">
        <v>1426</v>
      </c>
      <c r="E24" s="216" t="s">
        <v>322</v>
      </c>
    </row>
    <row r="25" spans="1:11" ht="15">
      <c r="A25" s="207">
        <v>1</v>
      </c>
      <c r="B25" s="147" t="s">
        <v>1427</v>
      </c>
      <c r="C25" s="147" t="s">
        <v>1396</v>
      </c>
      <c r="D25" s="253">
        <v>1000000</v>
      </c>
      <c r="E25" s="240">
        <f>IFERROR(D25*VLOOKUP(C25,'Commute Calcs'!$K$7:$M$57,3,FALSE)*('DESNZ Cat 6-9'!$R$29+'DESNZ Cat 6-9'!$S$29)/1000+N("number of visits x state-specific round trip commute distance x (weighted avg emissions for car &amp; SUV for different fuel types + weighted avg WTT emissions for car &amp; SUV for different fuel types)"),"")</f>
        <v>4826.2403538640174</v>
      </c>
    </row>
    <row r="26" spans="1:11" ht="15">
      <c r="A26" s="207">
        <v>2</v>
      </c>
      <c r="B26" s="157"/>
      <c r="C26" s="157"/>
      <c r="D26" s="167"/>
      <c r="E26" s="810" t="str">
        <f>IFERROR(D26*VLOOKUP(C26,'Commute Calcs'!$K$7:$M$57,3,FALSE)*('DESNZ Cat 6-9'!$R$29+'DESNZ Cat 6-9'!$S$29)/1000+N("number of visits x state-specific round trip commute distance x (weighted avg emissions for car &amp; SUV for different fuel types + weighted avg WTT emissions for car &amp; SUV for different fuel types)"),"")</f>
        <v/>
      </c>
    </row>
    <row r="27" spans="1:11" ht="15">
      <c r="A27" s="207">
        <v>3</v>
      </c>
      <c r="B27" s="157"/>
      <c r="C27" s="157"/>
      <c r="D27" s="167"/>
      <c r="E27" s="812" t="str">
        <f>IFERROR(D27*VLOOKUP(C27,'Commute Calcs'!$K$7:$M$57,3,FALSE)*('DESNZ Cat 6-9'!$R$29+'DESNZ Cat 6-9'!$S$29)/1000+N("number of visits x state-specific round trip commute distance x (weighted avg emissions for car &amp; SUV for different fuel types + weighted avg WTT emissions for car &amp; SUV for different fuel types)"),"")</f>
        <v/>
      </c>
    </row>
    <row r="28" spans="1:11" ht="15">
      <c r="A28" s="207">
        <v>4</v>
      </c>
      <c r="B28" s="157"/>
      <c r="C28" s="157"/>
      <c r="D28" s="167"/>
      <c r="E28" s="812" t="str">
        <f>IFERROR(D28*VLOOKUP(C28,'Commute Calcs'!$K$7:$M$57,3,FALSE)*('DESNZ Cat 6-9'!$R$29+'DESNZ Cat 6-9'!$S$29)/1000+N("number of visits x state-specific round trip commute distance x (weighted avg emissions for car &amp; SUV for different fuel types + weighted avg WTT emissions for car &amp; SUV for different fuel types)"),"")</f>
        <v/>
      </c>
    </row>
    <row r="29" spans="1:11" ht="15">
      <c r="A29" s="207">
        <v>5</v>
      </c>
      <c r="B29" s="157"/>
      <c r="C29" s="157"/>
      <c r="D29" s="167"/>
      <c r="E29" s="812" t="str">
        <f>IFERROR(D29*VLOOKUP(C29,'Commute Calcs'!$K$7:$M$57,3,FALSE)*('DESNZ Cat 6-9'!$R$29+'DESNZ Cat 6-9'!$S$29)/1000+N("number of visits x state-specific round trip commute distance x (weighted avg emissions for car &amp; SUV for different fuel types + weighted avg WTT emissions for car &amp; SUV for different fuel types)"),"")</f>
        <v/>
      </c>
    </row>
    <row r="30" spans="1:11" ht="15">
      <c r="A30" s="207">
        <v>6</v>
      </c>
      <c r="B30" s="157"/>
      <c r="C30" s="157"/>
      <c r="D30" s="167"/>
      <c r="E30" s="812" t="str">
        <f>IFERROR(D30*VLOOKUP(C30,'Commute Calcs'!$K$7:$M$57,3,FALSE)*('DESNZ Cat 6-9'!$R$29+'DESNZ Cat 6-9'!$S$29)/1000+N("number of visits x state-specific round trip commute distance x (weighted avg emissions for car &amp; SUV for different fuel types + weighted avg WTT emissions for car &amp; SUV for different fuel types)"),"")</f>
        <v/>
      </c>
    </row>
    <row r="31" spans="1:11" ht="15">
      <c r="A31" s="207">
        <v>7</v>
      </c>
      <c r="B31" s="157"/>
      <c r="C31" s="157"/>
      <c r="D31" s="167"/>
      <c r="E31" s="812" t="str">
        <f>IFERROR(D31*VLOOKUP(C31,'Commute Calcs'!$K$7:$M$57,3,FALSE)*('DESNZ Cat 6-9'!$R$29+'DESNZ Cat 6-9'!$S$29)/1000+N("number of visits x state-specific round trip commute distance x (weighted avg emissions for car &amp; SUV for different fuel types + weighted avg WTT emissions for car &amp; SUV for different fuel types)"),"")</f>
        <v/>
      </c>
    </row>
    <row r="32" spans="1:11" ht="15">
      <c r="A32" s="207">
        <v>8</v>
      </c>
      <c r="B32" s="157"/>
      <c r="C32" s="157"/>
      <c r="D32" s="167"/>
      <c r="E32" s="812" t="str">
        <f>IFERROR(D32*VLOOKUP(C32,'Commute Calcs'!$K$7:$M$57,3,FALSE)*('DESNZ Cat 6-9'!$R$29+'DESNZ Cat 6-9'!$S$29)/1000+N("number of visits x state-specific round trip commute distance x (weighted avg emissions for car &amp; SUV for different fuel types + weighted avg WTT emissions for car &amp; SUV for different fuel types)"),"")</f>
        <v/>
      </c>
    </row>
    <row r="33" spans="1:6" ht="15">
      <c r="A33" s="207">
        <v>9</v>
      </c>
      <c r="B33" s="157"/>
      <c r="C33" s="157"/>
      <c r="D33" s="167"/>
      <c r="E33" s="812" t="str">
        <f>IFERROR(D33*VLOOKUP(C33,'Commute Calcs'!$K$7:$M$57,3,FALSE)*('DESNZ Cat 6-9'!$R$29+'DESNZ Cat 6-9'!$S$29)/1000+N("number of visits x state-specific round trip commute distance x (weighted avg emissions for car &amp; SUV for different fuel types + weighted avg WTT emissions for car &amp; SUV for different fuel types)"),"")</f>
        <v/>
      </c>
    </row>
    <row r="34" spans="1:6" ht="15">
      <c r="A34" s="207">
        <v>10</v>
      </c>
      <c r="B34" s="157"/>
      <c r="C34" s="157"/>
      <c r="D34" s="167"/>
      <c r="E34" s="812" t="str">
        <f>IFERROR(D34*VLOOKUP(C34,'Commute Calcs'!$K$7:$M$57,3,FALSE)*('DESNZ Cat 6-9'!$R$29+'DESNZ Cat 6-9'!$S$29)/1000+N("number of visits x state-specific round trip commute distance x (weighted avg emissions for car &amp; SUV for different fuel types + weighted avg WTT emissions for car &amp; SUV for different fuel types)"),"")</f>
        <v/>
      </c>
    </row>
    <row r="35" spans="1:6" ht="15">
      <c r="A35" s="207">
        <v>11</v>
      </c>
      <c r="B35" s="157"/>
      <c r="C35" s="157"/>
      <c r="D35" s="167"/>
      <c r="E35" s="812" t="str">
        <f>IFERROR(D35*VLOOKUP(C35,'Commute Calcs'!$K$7:$M$57,3,FALSE)*('DESNZ Cat 6-9'!$R$29+'DESNZ Cat 6-9'!$S$29)/1000+N("number of visits x state-specific round trip commute distance x (weighted avg emissions for car &amp; SUV for different fuel types + weighted avg WTT emissions for car &amp; SUV for different fuel types)"),"")</f>
        <v/>
      </c>
    </row>
    <row r="36" spans="1:6" ht="15">
      <c r="A36" s="207">
        <v>12</v>
      </c>
      <c r="B36" s="157"/>
      <c r="C36" s="157"/>
      <c r="D36" s="167"/>
      <c r="E36" s="812" t="str">
        <f>IFERROR(D36*VLOOKUP(C36,'Commute Calcs'!$K$7:$M$57,3,FALSE)*('DESNZ Cat 6-9'!$R$29+'DESNZ Cat 6-9'!$S$29)/1000+N("number of visits x state-specific round trip commute distance x (weighted avg emissions for car &amp; SUV for different fuel types + weighted avg WTT emissions for car &amp; SUV for different fuel types)"),"")</f>
        <v/>
      </c>
    </row>
    <row r="37" spans="1:6" ht="15">
      <c r="A37" s="207">
        <v>13</v>
      </c>
      <c r="B37" s="157"/>
      <c r="C37" s="157"/>
      <c r="D37" s="167"/>
      <c r="E37" s="812" t="str">
        <f>IFERROR(D37*VLOOKUP(C37,'Commute Calcs'!$K$7:$M$57,3,FALSE)*('DESNZ Cat 6-9'!$R$29+'DESNZ Cat 6-9'!$S$29)/1000+N("number of visits x state-specific round trip commute distance x (weighted avg emissions for car &amp; SUV for different fuel types + weighted avg WTT emissions for car &amp; SUV for different fuel types)"),"")</f>
        <v/>
      </c>
    </row>
    <row r="38" spans="1:6" ht="15">
      <c r="A38" s="207">
        <v>14</v>
      </c>
      <c r="B38" s="157"/>
      <c r="C38" s="157"/>
      <c r="D38" s="167"/>
      <c r="E38" s="812" t="str">
        <f>IFERROR(D38*VLOOKUP(C38,'Commute Calcs'!$K$7:$M$57,3,FALSE)*('DESNZ Cat 6-9'!$R$29+'DESNZ Cat 6-9'!$S$29)/1000+N("number of visits x state-specific round trip commute distance x (weighted avg emissions for car &amp; SUV for different fuel types + weighted avg WTT emissions for car &amp; SUV for different fuel types)"),"")</f>
        <v/>
      </c>
    </row>
    <row r="39" spans="1:6" ht="15">
      <c r="A39" s="207">
        <v>15</v>
      </c>
      <c r="B39" s="157"/>
      <c r="C39" s="157"/>
      <c r="D39" s="167"/>
      <c r="E39" s="812" t="str">
        <f>IFERROR(D39*VLOOKUP(C39,'Commute Calcs'!$K$7:$M$57,3,FALSE)*('DESNZ Cat 6-9'!$R$29+'DESNZ Cat 6-9'!$S$29)/1000+N("number of visits x state-specific round trip commute distance x (weighted avg emissions for car &amp; SUV for different fuel types + weighted avg WTT emissions for car &amp; SUV for different fuel types)"),"")</f>
        <v/>
      </c>
    </row>
    <row r="40" spans="1:6" ht="15">
      <c r="A40" s="207">
        <v>16</v>
      </c>
      <c r="B40" s="157"/>
      <c r="C40" s="157"/>
      <c r="D40" s="167"/>
      <c r="E40" s="812" t="str">
        <f>IFERROR(D40*VLOOKUP(C40,'Commute Calcs'!$K$7:$M$57,3,FALSE)*('DESNZ Cat 6-9'!$R$29+'DESNZ Cat 6-9'!$S$29)/1000+N("number of visits x state-specific round trip commute distance x (weighted avg emissions for car &amp; SUV for different fuel types + weighted avg WTT emissions for car &amp; SUV for different fuel types)"),"")</f>
        <v/>
      </c>
    </row>
    <row r="41" spans="1:6" ht="15">
      <c r="A41" s="207">
        <v>17</v>
      </c>
      <c r="B41" s="157"/>
      <c r="C41" s="157"/>
      <c r="D41" s="167"/>
      <c r="E41" s="812" t="str">
        <f>IFERROR(D41*VLOOKUP(C41,'Commute Calcs'!$K$7:$M$57,3,FALSE)*('DESNZ Cat 6-9'!$R$29+'DESNZ Cat 6-9'!$S$29)/1000+N("number of visits x state-specific round trip commute distance x (weighted avg emissions for car &amp; SUV for different fuel types + weighted avg WTT emissions for car &amp; SUV for different fuel types)"),"")</f>
        <v/>
      </c>
    </row>
    <row r="42" spans="1:6" ht="15">
      <c r="A42" s="207">
        <v>18</v>
      </c>
      <c r="B42" s="157"/>
      <c r="C42" s="157"/>
      <c r="D42" s="167"/>
      <c r="E42" s="812" t="str">
        <f>IFERROR(D42*VLOOKUP(C42,'Commute Calcs'!$K$7:$M$57,3,FALSE)*('DESNZ Cat 6-9'!$R$29+'DESNZ Cat 6-9'!$S$29)/1000+N("number of visits x state-specific round trip commute distance x (weighted avg emissions for car &amp; SUV for different fuel types + weighted avg WTT emissions for car &amp; SUV for different fuel types)"),"")</f>
        <v/>
      </c>
    </row>
    <row r="43" spans="1:6" ht="15">
      <c r="A43" s="207">
        <v>19</v>
      </c>
      <c r="B43" s="157"/>
      <c r="C43" s="157"/>
      <c r="D43" s="167"/>
      <c r="E43" s="812" t="str">
        <f>IFERROR(D43*VLOOKUP(C43,'Commute Calcs'!$K$7:$M$57,3,FALSE)*('DESNZ Cat 6-9'!$R$29+'DESNZ Cat 6-9'!$S$29)/1000+N("number of visits x state-specific round trip commute distance x (weighted avg emissions for car &amp; SUV for different fuel types + weighted avg WTT emissions for car &amp; SUV for different fuel types)"),"")</f>
        <v/>
      </c>
    </row>
    <row r="44" spans="1:6" ht="15.75" thickBot="1">
      <c r="A44" s="207">
        <v>20</v>
      </c>
      <c r="B44" s="157"/>
      <c r="C44" s="157"/>
      <c r="D44" s="167"/>
      <c r="E44" s="812" t="str">
        <f>IFERROR(D44*VLOOKUP(C44,'Commute Calcs'!$K$7:$M$57,3,FALSE)*('DESNZ Cat 6-9'!$R$29+'DESNZ Cat 6-9'!$S$29)/1000+N("number of visits x state-specific round trip commute distance x (weighted avg emissions for car &amp; SUV for different fuel types + weighted avg WTT emissions for car &amp; SUV for different fuel types)"),"")</f>
        <v/>
      </c>
    </row>
    <row r="45" spans="1:6" ht="15" thickBot="1">
      <c r="D45" s="218" t="s">
        <v>1268</v>
      </c>
      <c r="E45" s="179">
        <f>SUM(E26:E44)</f>
        <v>0</v>
      </c>
    </row>
    <row r="46" spans="1:6" ht="15" thickBot="1">
      <c r="D46" s="256" t="s">
        <v>1268</v>
      </c>
      <c r="E46" s="257"/>
      <c r="F46" s="236" t="s">
        <v>4097</v>
      </c>
    </row>
    <row r="48" spans="1:6" ht="18.75">
      <c r="A48" s="203" t="s">
        <v>1428</v>
      </c>
    </row>
    <row r="49" spans="1:11">
      <c r="A49" s="204" t="s">
        <v>1237</v>
      </c>
    </row>
    <row r="50" spans="1:11" s="30" customFormat="1" ht="8.25" customHeight="1">
      <c r="A50" s="267"/>
      <c r="C50" s="720"/>
      <c r="H50"/>
      <c r="I50" s="267"/>
      <c r="K50" s="720"/>
    </row>
    <row r="51" spans="1:11">
      <c r="B51" s="815" t="s">
        <v>312</v>
      </c>
      <c r="C51" s="815" t="s">
        <v>312</v>
      </c>
      <c r="D51" s="815" t="s">
        <v>312</v>
      </c>
    </row>
    <row r="52" spans="1:11" ht="30">
      <c r="A52" s="205" t="s">
        <v>1238</v>
      </c>
      <c r="B52" s="206" t="s">
        <v>1300</v>
      </c>
      <c r="C52" s="215" t="s">
        <v>4055</v>
      </c>
      <c r="D52" s="205" t="s">
        <v>1426</v>
      </c>
      <c r="E52" s="216" t="s">
        <v>322</v>
      </c>
    </row>
    <row r="53" spans="1:11" ht="15">
      <c r="A53" s="207">
        <v>1</v>
      </c>
      <c r="B53" s="147" t="s">
        <v>1429</v>
      </c>
      <c r="C53" s="147" t="s">
        <v>1396</v>
      </c>
      <c r="D53" s="253">
        <v>1000000</v>
      </c>
      <c r="E53" s="283">
        <f>IFERROR(D53*VLOOKUP(C53,'Commute Calcs'!$K$7:$M$57,3,FALSE)*('DESNZ Cat 6-9'!$R$29+'DESNZ Cat 6-9'!$S$29)/1000+N("number of visits x state-specific round trip commute distance x (weighted avg emissions for car &amp; SUV for different fuel types + weighted avg WTT emissions for car &amp; SUV for different fuel types)"),"")</f>
        <v>4826.2403538640174</v>
      </c>
    </row>
    <row r="54" spans="1:11" ht="15">
      <c r="A54" s="207">
        <v>2</v>
      </c>
      <c r="B54" s="157"/>
      <c r="C54" s="157"/>
      <c r="D54" s="167"/>
      <c r="E54" s="811" t="str">
        <f>IFERROR(D54*VLOOKUP(C54,'Commute Calcs'!$K$7:$M$57,3,FALSE)*('DESNZ Cat 6-9'!$R$29+'DESNZ Cat 6-9'!$S$29)/1000+N("number of visits x state-specific round trip commute distance x (weighted avg emissions for car &amp; SUV for different fuel types + weighted avg WTT emissions for car &amp; SUV for different fuel types)"),"")</f>
        <v/>
      </c>
    </row>
    <row r="55" spans="1:11" ht="15">
      <c r="A55" s="207">
        <v>3</v>
      </c>
      <c r="B55" s="157"/>
      <c r="C55" s="157"/>
      <c r="D55" s="167"/>
      <c r="E55" s="811" t="str">
        <f>IFERROR(D55*VLOOKUP(C55,'Commute Calcs'!$K$7:$M$57,3,FALSE)*('DESNZ Cat 6-9'!$R$29+'DESNZ Cat 6-9'!$S$29)/1000+N("number of visits x state-specific round trip commute distance x (weighted avg emissions for car &amp; SUV for different fuel types + weighted avg WTT emissions for car &amp; SUV for different fuel types)"),"")</f>
        <v/>
      </c>
    </row>
    <row r="56" spans="1:11" ht="15">
      <c r="A56" s="207">
        <v>4</v>
      </c>
      <c r="B56" s="157"/>
      <c r="C56" s="157"/>
      <c r="D56" s="167"/>
      <c r="E56" s="811" t="str">
        <f>IFERROR(D56*VLOOKUP(C56,'Commute Calcs'!$K$7:$M$57,3,FALSE)*('DESNZ Cat 6-9'!$R$29+'DESNZ Cat 6-9'!$S$29)/1000+N("number of visits x state-specific round trip commute distance x (weighted avg emissions for car &amp; SUV for different fuel types + weighted avg WTT emissions for car &amp; SUV for different fuel types)"),"")</f>
        <v/>
      </c>
    </row>
    <row r="57" spans="1:11" ht="15">
      <c r="A57" s="207">
        <v>5</v>
      </c>
      <c r="B57" s="157"/>
      <c r="C57" s="157"/>
      <c r="D57" s="167"/>
      <c r="E57" s="811" t="str">
        <f>IFERROR(D57*VLOOKUP(C57,'Commute Calcs'!$K$7:$M$57,3,FALSE)*('DESNZ Cat 6-9'!$R$29+'DESNZ Cat 6-9'!$S$29)/1000+N("number of visits x state-specific round trip commute distance x (weighted avg emissions for car &amp; SUV for different fuel types + weighted avg WTT emissions for car &amp; SUV for different fuel types)"),"")</f>
        <v/>
      </c>
    </row>
    <row r="58" spans="1:11" ht="15">
      <c r="A58" s="207">
        <v>6</v>
      </c>
      <c r="B58" s="157"/>
      <c r="C58" s="157"/>
      <c r="D58" s="167"/>
      <c r="E58" s="811" t="str">
        <f>IFERROR(D58*VLOOKUP(C58,'Commute Calcs'!$K$7:$M$57,3,FALSE)*('DESNZ Cat 6-9'!$R$29+'DESNZ Cat 6-9'!$S$29)/1000+N("number of visits x state-specific round trip commute distance x (weighted avg emissions for car &amp; SUV for different fuel types + weighted avg WTT emissions for car &amp; SUV for different fuel types)"),"")</f>
        <v/>
      </c>
    </row>
    <row r="59" spans="1:11" ht="15">
      <c r="A59" s="207">
        <v>7</v>
      </c>
      <c r="B59" s="157"/>
      <c r="C59" s="157"/>
      <c r="D59" s="167"/>
      <c r="E59" s="811" t="str">
        <f>IFERROR(D59*VLOOKUP(C59,'Commute Calcs'!$K$7:$M$57,3,FALSE)*('DESNZ Cat 6-9'!$R$29+'DESNZ Cat 6-9'!$S$29)/1000+N("number of visits x state-specific round trip commute distance x (weighted avg emissions for car &amp; SUV for different fuel types + weighted avg WTT emissions for car &amp; SUV for different fuel types)"),"")</f>
        <v/>
      </c>
    </row>
    <row r="60" spans="1:11" ht="15">
      <c r="A60" s="207">
        <v>8</v>
      </c>
      <c r="B60" s="157"/>
      <c r="C60" s="157"/>
      <c r="D60" s="167"/>
      <c r="E60" s="811" t="str">
        <f>IFERROR(D60*VLOOKUP(C60,'Commute Calcs'!$K$7:$M$57,3,FALSE)*('DESNZ Cat 6-9'!$R$29+'DESNZ Cat 6-9'!$S$29)/1000+N("number of visits x state-specific round trip commute distance x (weighted avg emissions for car &amp; SUV for different fuel types + weighted avg WTT emissions for car &amp; SUV for different fuel types)"),"")</f>
        <v/>
      </c>
    </row>
    <row r="61" spans="1:11" ht="15">
      <c r="A61" s="207">
        <v>9</v>
      </c>
      <c r="B61" s="157"/>
      <c r="C61" s="157"/>
      <c r="D61" s="167"/>
      <c r="E61" s="811" t="str">
        <f>IFERROR(D61*VLOOKUP(C61,'Commute Calcs'!$K$7:$M$57,3,FALSE)*('DESNZ Cat 6-9'!$R$29+'DESNZ Cat 6-9'!$S$29)/1000+N("number of visits x state-specific round trip commute distance x (weighted avg emissions for car &amp; SUV for different fuel types + weighted avg WTT emissions for car &amp; SUV for different fuel types)"),"")</f>
        <v/>
      </c>
    </row>
    <row r="62" spans="1:11" ht="15">
      <c r="A62" s="207">
        <v>10</v>
      </c>
      <c r="B62" s="157"/>
      <c r="C62" s="157"/>
      <c r="D62" s="167"/>
      <c r="E62" s="811" t="str">
        <f>IFERROR(D62*VLOOKUP(C62,'Commute Calcs'!$K$7:$M$57,3,FALSE)*('DESNZ Cat 6-9'!$R$29+'DESNZ Cat 6-9'!$S$29)/1000+N("number of visits x state-specific round trip commute distance x (weighted avg emissions for car &amp; SUV for different fuel types + weighted avg WTT emissions for car &amp; SUV for different fuel types)"),"")</f>
        <v/>
      </c>
    </row>
    <row r="63" spans="1:11" ht="15">
      <c r="A63" s="207">
        <v>11</v>
      </c>
      <c r="B63" s="157"/>
      <c r="C63" s="157"/>
      <c r="D63" s="167"/>
      <c r="E63" s="811" t="str">
        <f>IFERROR(D63*VLOOKUP(C63,'Commute Calcs'!$K$7:$M$57,3,FALSE)*('DESNZ Cat 6-9'!$R$29+'DESNZ Cat 6-9'!$S$29)/1000+N("number of visits x state-specific round trip commute distance x (weighted avg emissions for car &amp; SUV for different fuel types + weighted avg WTT emissions for car &amp; SUV for different fuel types)"),"")</f>
        <v/>
      </c>
    </row>
    <row r="64" spans="1:11" ht="15">
      <c r="A64" s="207">
        <v>12</v>
      </c>
      <c r="B64" s="157"/>
      <c r="C64" s="157"/>
      <c r="D64" s="167"/>
      <c r="E64" s="811" t="str">
        <f>IFERROR(D64*VLOOKUP(C64,'Commute Calcs'!$K$7:$M$57,3,FALSE)*('DESNZ Cat 6-9'!$R$29+'DESNZ Cat 6-9'!$S$29)/1000+N("number of visits x state-specific round trip commute distance x (weighted avg emissions for car &amp; SUV for different fuel types + weighted avg WTT emissions for car &amp; SUV for different fuel types)"),"")</f>
        <v/>
      </c>
    </row>
    <row r="65" spans="1:11" ht="15">
      <c r="A65" s="207">
        <v>13</v>
      </c>
      <c r="B65" s="157"/>
      <c r="C65" s="157"/>
      <c r="D65" s="167"/>
      <c r="E65" s="811" t="str">
        <f>IFERROR(D65*VLOOKUP(C65,'Commute Calcs'!$K$7:$M$57,3,FALSE)*('DESNZ Cat 6-9'!$R$29+'DESNZ Cat 6-9'!$S$29)/1000+N("number of visits x state-specific round trip commute distance x (weighted avg emissions for car &amp; SUV for different fuel types + weighted avg WTT emissions for car &amp; SUV for different fuel types)"),"")</f>
        <v/>
      </c>
    </row>
    <row r="66" spans="1:11" ht="15">
      <c r="A66" s="207">
        <v>14</v>
      </c>
      <c r="B66" s="157"/>
      <c r="C66" s="157"/>
      <c r="D66" s="167"/>
      <c r="E66" s="811" t="str">
        <f>IFERROR(D66*VLOOKUP(C66,'Commute Calcs'!$K$7:$M$57,3,FALSE)*('DESNZ Cat 6-9'!$R$29+'DESNZ Cat 6-9'!$S$29)/1000+N("number of visits x state-specific round trip commute distance x (weighted avg emissions for car &amp; SUV for different fuel types + weighted avg WTT emissions for car &amp; SUV for different fuel types)"),"")</f>
        <v/>
      </c>
    </row>
    <row r="67" spans="1:11" ht="15">
      <c r="A67" s="207">
        <v>15</v>
      </c>
      <c r="B67" s="157"/>
      <c r="C67" s="157"/>
      <c r="D67" s="167"/>
      <c r="E67" s="811" t="str">
        <f>IFERROR(D67*VLOOKUP(C67,'Commute Calcs'!$K$7:$M$57,3,FALSE)*('DESNZ Cat 6-9'!$R$29+'DESNZ Cat 6-9'!$S$29)/1000+N("number of visits x state-specific round trip commute distance x (weighted avg emissions for car &amp; SUV for different fuel types + weighted avg WTT emissions for car &amp; SUV for different fuel types)"),"")</f>
        <v/>
      </c>
    </row>
    <row r="68" spans="1:11" ht="15">
      <c r="A68" s="207">
        <v>16</v>
      </c>
      <c r="B68" s="157"/>
      <c r="C68" s="157"/>
      <c r="D68" s="167"/>
      <c r="E68" s="811" t="str">
        <f>IFERROR(D68*VLOOKUP(C68,'Commute Calcs'!$K$7:$M$57,3,FALSE)*('DESNZ Cat 6-9'!$R$29+'DESNZ Cat 6-9'!$S$29)/1000+N("number of visits x state-specific round trip commute distance x (weighted avg emissions for car &amp; SUV for different fuel types + weighted avg WTT emissions for car &amp; SUV for different fuel types)"),"")</f>
        <v/>
      </c>
    </row>
    <row r="69" spans="1:11" ht="15">
      <c r="A69" s="207">
        <v>17</v>
      </c>
      <c r="B69" s="157"/>
      <c r="C69" s="157"/>
      <c r="D69" s="167"/>
      <c r="E69" s="811" t="str">
        <f>IFERROR(D69*VLOOKUP(C69,'Commute Calcs'!$K$7:$M$57,3,FALSE)*('DESNZ Cat 6-9'!$R$29+'DESNZ Cat 6-9'!$S$29)/1000+N("number of visits x state-specific round trip commute distance x (weighted avg emissions for car &amp; SUV for different fuel types + weighted avg WTT emissions for car &amp; SUV for different fuel types)"),"")</f>
        <v/>
      </c>
    </row>
    <row r="70" spans="1:11" ht="15">
      <c r="A70" s="207">
        <v>18</v>
      </c>
      <c r="B70" s="157"/>
      <c r="C70" s="157"/>
      <c r="D70" s="167"/>
      <c r="E70" s="811" t="str">
        <f>IFERROR(D70*VLOOKUP(C70,'Commute Calcs'!$K$7:$M$57,3,FALSE)*('DESNZ Cat 6-9'!$R$29+'DESNZ Cat 6-9'!$S$29)/1000+N("number of visits x state-specific round trip commute distance x (weighted avg emissions for car &amp; SUV for different fuel types + weighted avg WTT emissions for car &amp; SUV for different fuel types)"),"")</f>
        <v/>
      </c>
    </row>
    <row r="71" spans="1:11" ht="15">
      <c r="A71" s="207">
        <v>19</v>
      </c>
      <c r="B71" s="157"/>
      <c r="C71" s="157"/>
      <c r="D71" s="167"/>
      <c r="E71" s="811" t="str">
        <f>IFERROR(D71*VLOOKUP(C71,'Commute Calcs'!$K$7:$M$57,3,FALSE)*('DESNZ Cat 6-9'!$R$29+'DESNZ Cat 6-9'!$S$29)/1000+N("number of visits x state-specific round trip commute distance x (weighted avg emissions for car &amp; SUV for different fuel types + weighted avg WTT emissions for car &amp; SUV for different fuel types)"),"")</f>
        <v/>
      </c>
    </row>
    <row r="72" spans="1:11" ht="15.75" thickBot="1">
      <c r="A72" s="207">
        <v>20</v>
      </c>
      <c r="B72" s="157"/>
      <c r="C72" s="157"/>
      <c r="D72" s="167"/>
      <c r="E72" s="811" t="str">
        <f>IFERROR(D72*VLOOKUP(C72,'Commute Calcs'!$K$7:$M$57,3,FALSE)*('DESNZ Cat 6-9'!$R$29+'DESNZ Cat 6-9'!$S$29)/1000+N("number of visits x state-specific round trip commute distance x (weighted avg emissions for car &amp; SUV for different fuel types + weighted avg WTT emissions for car &amp; SUV for different fuel types)"),"")</f>
        <v/>
      </c>
    </row>
    <row r="73" spans="1:11" ht="15" thickBot="1">
      <c r="D73" s="218" t="s">
        <v>1268</v>
      </c>
      <c r="E73" s="179">
        <f>SUM(E54:E72)</f>
        <v>0</v>
      </c>
    </row>
    <row r="74" spans="1:11" ht="15" thickBot="1">
      <c r="D74" s="256" t="s">
        <v>1268</v>
      </c>
      <c r="E74" s="257"/>
      <c r="F74" s="236" t="s">
        <v>4091</v>
      </c>
    </row>
    <row r="76" spans="1:11" ht="18.75">
      <c r="A76" s="203" t="s">
        <v>1430</v>
      </c>
    </row>
    <row r="77" spans="1:11">
      <c r="A77" s="204" t="s">
        <v>1237</v>
      </c>
    </row>
    <row r="78" spans="1:11" s="30" customFormat="1" ht="8.25" customHeight="1">
      <c r="A78" s="267"/>
      <c r="C78" s="720"/>
      <c r="H78"/>
      <c r="I78" s="267"/>
      <c r="K78" s="720"/>
    </row>
    <row r="79" spans="1:11">
      <c r="B79" s="815" t="s">
        <v>312</v>
      </c>
      <c r="C79" s="815"/>
      <c r="D79" s="815" t="s">
        <v>312</v>
      </c>
    </row>
    <row r="80" spans="1:11" ht="45">
      <c r="A80" s="205" t="s">
        <v>1238</v>
      </c>
      <c r="B80" s="206" t="s">
        <v>1300</v>
      </c>
      <c r="C80" s="215" t="s">
        <v>4055</v>
      </c>
      <c r="D80" s="205" t="s">
        <v>1431</v>
      </c>
      <c r="E80" s="216" t="s">
        <v>1432</v>
      </c>
      <c r="F80" s="216" t="s">
        <v>4072</v>
      </c>
      <c r="G80" s="216" t="s">
        <v>322</v>
      </c>
    </row>
    <row r="81" spans="1:7" ht="15">
      <c r="A81" s="207">
        <v>1</v>
      </c>
      <c r="B81" s="147" t="s">
        <v>1433</v>
      </c>
      <c r="C81" s="147" t="s">
        <v>1396</v>
      </c>
      <c r="D81" s="254">
        <v>800</v>
      </c>
      <c r="E81" s="284">
        <v>50</v>
      </c>
      <c r="F81" s="829">
        <f>IF(OR(ISBLANK(D81),ISBLANK(E81)),"",('State eGrid factors'!$A$3/1000)*D81*(E81/60))</f>
        <v>100</v>
      </c>
      <c r="G81" s="285">
        <f>IFERROR(F81*VLOOKUP(C81,'State eGrid factors'!E:M,9,FALSE)+(F81/(1-EF!$E$34)*EF!$E$29/1000)+(F81*EF!$E$33/1000),"")</f>
        <v>5.4938202072025891E-2</v>
      </c>
    </row>
    <row r="82" spans="1:7" ht="15">
      <c r="A82" s="207">
        <v>2</v>
      </c>
      <c r="B82" s="157"/>
      <c r="C82" s="150"/>
      <c r="D82" s="255"/>
      <c r="E82" s="822"/>
      <c r="F82" s="830" t="str">
        <f>IF(OR(ISBLANK(D82),ISBLANK(E82)),"",('State eGrid factors'!$A$3/1000)*D82*(E82/60))</f>
        <v/>
      </c>
      <c r="G82" s="823" t="str">
        <f>IFERROR(F82*VLOOKUP(C82,'State eGrid factors'!E:M,9,FALSE)+(F82/(1-EF!$E$34)*EF!$E$29/1000)+(F82*EF!$E$33/1000),"")</f>
        <v/>
      </c>
    </row>
    <row r="83" spans="1:7" ht="15">
      <c r="A83" s="207">
        <v>3</v>
      </c>
      <c r="B83" s="157"/>
      <c r="C83" s="150"/>
      <c r="D83" s="255"/>
      <c r="E83" s="822"/>
      <c r="F83" s="830" t="str">
        <f>IF(OR(ISBLANK(D83),ISBLANK(E83)),"",('State eGrid factors'!$A$3/1000)*D83*(E83/60))</f>
        <v/>
      </c>
      <c r="G83" s="823" t="str">
        <f>IFERROR(F83*VLOOKUP(C83,'State eGrid factors'!E:M,9,FALSE)+(F83/(1-EF!$E$34)*EF!$E$29/1000)+(F83*EF!$E$33/1000),"")</f>
        <v/>
      </c>
    </row>
    <row r="84" spans="1:7" ht="15">
      <c r="A84" s="207">
        <v>4</v>
      </c>
      <c r="B84" s="157"/>
      <c r="C84" s="150"/>
      <c r="D84" s="255"/>
      <c r="E84" s="822"/>
      <c r="F84" s="830" t="str">
        <f>IF(OR(ISBLANK(D84),ISBLANK(E84)),"",('State eGrid factors'!$A$3/1000)*D84*(E84/60))</f>
        <v/>
      </c>
      <c r="G84" s="823" t="str">
        <f>IFERROR(F84*VLOOKUP(C84,'State eGrid factors'!E:M,9,FALSE)+(F84/(1-EF!$E$34)*EF!$E$29/1000)+(F84*EF!$E$33/1000),"")</f>
        <v/>
      </c>
    </row>
    <row r="85" spans="1:7" ht="15">
      <c r="A85" s="207">
        <v>5</v>
      </c>
      <c r="B85" s="157"/>
      <c r="C85" s="150"/>
      <c r="D85" s="255"/>
      <c r="E85" s="822"/>
      <c r="F85" s="830" t="str">
        <f>IF(OR(ISBLANK(D85),ISBLANK(E85)),"",('State eGrid factors'!$A$3/1000)*D85*(E85/60))</f>
        <v/>
      </c>
      <c r="G85" s="823" t="str">
        <f>IFERROR(F85*VLOOKUP(C85,'State eGrid factors'!E:M,9,FALSE)+(F85/(1-EF!$E$34)*EF!$E$29/1000)+(F85*EF!$E$33/1000),"")</f>
        <v/>
      </c>
    </row>
    <row r="86" spans="1:7" ht="15">
      <c r="A86" s="207">
        <v>6</v>
      </c>
      <c r="B86" s="157"/>
      <c r="C86" s="150"/>
      <c r="D86" s="255"/>
      <c r="E86" s="822"/>
      <c r="F86" s="830" t="str">
        <f>IF(OR(ISBLANK(D86),ISBLANK(E86)),"",('State eGrid factors'!$A$3/1000)*D86*(E86/60))</f>
        <v/>
      </c>
      <c r="G86" s="823" t="str">
        <f>IFERROR(F86*VLOOKUP(C86,'State eGrid factors'!E:M,9,FALSE)+(F86/(1-EF!$E$34)*EF!$E$29/1000)+(F86*EF!$E$33/1000),"")</f>
        <v/>
      </c>
    </row>
    <row r="87" spans="1:7" ht="15">
      <c r="A87" s="207">
        <v>7</v>
      </c>
      <c r="B87" s="157"/>
      <c r="C87" s="150"/>
      <c r="D87" s="255"/>
      <c r="E87" s="822"/>
      <c r="F87" s="830" t="str">
        <f>IF(OR(ISBLANK(D87),ISBLANK(E87)),"",('State eGrid factors'!$A$3/1000)*D87*(E87/60))</f>
        <v/>
      </c>
      <c r="G87" s="823" t="str">
        <f>IFERROR(F87*VLOOKUP(C87,'State eGrid factors'!E:M,9,FALSE)+(F87/(1-EF!$E$34)*EF!$E$29/1000)+(F87*EF!$E$33/1000),"")</f>
        <v/>
      </c>
    </row>
    <row r="88" spans="1:7" ht="15">
      <c r="A88" s="207">
        <v>8</v>
      </c>
      <c r="B88" s="157"/>
      <c r="C88" s="150"/>
      <c r="D88" s="255"/>
      <c r="E88" s="822"/>
      <c r="F88" s="830" t="str">
        <f>IF(OR(ISBLANK(D88),ISBLANK(E88)),"",('State eGrid factors'!$A$3/1000)*D88*(E88/60))</f>
        <v/>
      </c>
      <c r="G88" s="823" t="str">
        <f>IFERROR(F88*VLOOKUP(C88,'State eGrid factors'!E:M,9,FALSE)+(F88/(1-EF!$E$34)*EF!$E$29/1000)+(F88*EF!$E$33/1000),"")</f>
        <v/>
      </c>
    </row>
    <row r="89" spans="1:7" ht="15">
      <c r="A89" s="207">
        <v>9</v>
      </c>
      <c r="B89" s="157"/>
      <c r="C89" s="150"/>
      <c r="D89" s="255"/>
      <c r="E89" s="822"/>
      <c r="F89" s="830" t="str">
        <f>IF(OR(ISBLANK(D89),ISBLANK(E89)),"",('State eGrid factors'!$A$3/1000)*D89*(E89/60))</f>
        <v/>
      </c>
      <c r="G89" s="823" t="str">
        <f>IFERROR(F89*VLOOKUP(C89,'State eGrid factors'!E:M,9,FALSE)+(F89/(1-EF!$E$34)*EF!$E$29/1000)+(F89*EF!$E$33/1000),"")</f>
        <v/>
      </c>
    </row>
    <row r="90" spans="1:7" ht="15">
      <c r="A90" s="207">
        <v>10</v>
      </c>
      <c r="B90" s="157"/>
      <c r="C90" s="150"/>
      <c r="D90" s="255"/>
      <c r="E90" s="822"/>
      <c r="F90" s="830" t="str">
        <f>IF(OR(ISBLANK(D90),ISBLANK(E90)),"",('State eGrid factors'!$A$3/1000)*D90*(E90/60))</f>
        <v/>
      </c>
      <c r="G90" s="823" t="str">
        <f>IFERROR(F90*VLOOKUP(C90,'State eGrid factors'!E:M,9,FALSE)+(F90/(1-EF!$E$34)*EF!$E$29/1000)+(F90*EF!$E$33/1000),"")</f>
        <v/>
      </c>
    </row>
    <row r="91" spans="1:7" ht="15">
      <c r="A91" s="207">
        <v>11</v>
      </c>
      <c r="B91" s="157"/>
      <c r="C91" s="150"/>
      <c r="D91" s="255"/>
      <c r="E91" s="822"/>
      <c r="F91" s="830" t="str">
        <f>IF(OR(ISBLANK(D91),ISBLANK(E91)),"",('State eGrid factors'!$A$3/1000)*D91*(E91/60))</f>
        <v/>
      </c>
      <c r="G91" s="823" t="str">
        <f>IFERROR(F91*VLOOKUP(C91,'State eGrid factors'!E:M,9,FALSE)+(F91/(1-EF!$E$34)*EF!$E$29/1000)+(F91*EF!$E$33/1000),"")</f>
        <v/>
      </c>
    </row>
    <row r="92" spans="1:7" ht="15">
      <c r="A92" s="207">
        <v>12</v>
      </c>
      <c r="B92" s="157"/>
      <c r="C92" s="150"/>
      <c r="D92" s="255"/>
      <c r="E92" s="822"/>
      <c r="F92" s="830" t="str">
        <f>IF(OR(ISBLANK(D92),ISBLANK(E92)),"",('State eGrid factors'!$A$3/1000)*D92*(E92/60))</f>
        <v/>
      </c>
      <c r="G92" s="823" t="str">
        <f>IFERROR(F92*VLOOKUP(C92,'State eGrid factors'!E:M,9,FALSE)+(F92/(1-EF!$E$34)*EF!$E$29/1000)+(F92*EF!$E$33/1000),"")</f>
        <v/>
      </c>
    </row>
    <row r="93" spans="1:7" ht="15">
      <c r="A93" s="207">
        <v>13</v>
      </c>
      <c r="B93" s="157"/>
      <c r="C93" s="150"/>
      <c r="D93" s="255"/>
      <c r="E93" s="822"/>
      <c r="F93" s="830" t="str">
        <f>IF(OR(ISBLANK(D93),ISBLANK(E93)),"",('State eGrid factors'!$A$3/1000)*D93*(E93/60))</f>
        <v/>
      </c>
      <c r="G93" s="823" t="str">
        <f>IFERROR(F93*VLOOKUP(C93,'State eGrid factors'!E:M,9,FALSE)+(F93/(1-EF!$E$34)*EF!$E$29/1000)+(F93*EF!$E$33/1000),"")</f>
        <v/>
      </c>
    </row>
    <row r="94" spans="1:7" ht="15">
      <c r="A94" s="207">
        <v>14</v>
      </c>
      <c r="B94" s="157"/>
      <c r="C94" s="150"/>
      <c r="D94" s="255"/>
      <c r="E94" s="822"/>
      <c r="F94" s="830" t="str">
        <f>IF(OR(ISBLANK(D94),ISBLANK(E94)),"",('State eGrid factors'!$A$3/1000)*D94*(E94/60))</f>
        <v/>
      </c>
      <c r="G94" s="823" t="str">
        <f>IFERROR(F94*VLOOKUP(C94,'State eGrid factors'!E:M,9,FALSE)+(F94/(1-EF!$E$34)*EF!$E$29/1000)+(F94*EF!$E$33/1000),"")</f>
        <v/>
      </c>
    </row>
    <row r="95" spans="1:7" ht="15">
      <c r="A95" s="207">
        <v>15</v>
      </c>
      <c r="B95" s="157"/>
      <c r="C95" s="150"/>
      <c r="D95" s="255"/>
      <c r="E95" s="822"/>
      <c r="F95" s="830" t="str">
        <f>IF(OR(ISBLANK(D95),ISBLANK(E95)),"",('State eGrid factors'!$A$3/1000)*D95*(E95/60))</f>
        <v/>
      </c>
      <c r="G95" s="823" t="str">
        <f>IFERROR(F95*VLOOKUP(C95,'State eGrid factors'!E:M,9,FALSE)+(F95/(1-EF!$E$34)*EF!$E$29/1000)+(F95*EF!$E$33/1000),"")</f>
        <v/>
      </c>
    </row>
    <row r="96" spans="1:7" ht="15.75" thickBot="1">
      <c r="A96" s="207">
        <v>16</v>
      </c>
      <c r="B96" s="157"/>
      <c r="C96" s="150"/>
      <c r="D96" s="255"/>
      <c r="E96" s="822"/>
      <c r="F96" s="830" t="str">
        <f>IF(OR(ISBLANK(D96),ISBLANK(E96)),"",('State eGrid factors'!$A$3/1000)*D96*(E96/60))</f>
        <v/>
      </c>
      <c r="G96" s="823" t="str">
        <f>IFERROR(F96*VLOOKUP(C96,'State eGrid factors'!E:M,9,FALSE)+(F96/(1-EF!$E$34)*EF!$E$29/1000)+(F96*EF!$E$33/1000),"")</f>
        <v/>
      </c>
    </row>
    <row r="97" spans="4:8" ht="15" thickBot="1">
      <c r="D97" s="260"/>
      <c r="F97" s="218" t="s">
        <v>1268</v>
      </c>
      <c r="G97" s="179">
        <f>SUM(G82:G96)</f>
        <v>0</v>
      </c>
    </row>
    <row r="98" spans="4:8" ht="15" thickBot="1">
      <c r="F98" s="256" t="s">
        <v>1268</v>
      </c>
      <c r="G98" s="257"/>
      <c r="H98" s="236" t="s">
        <v>4097</v>
      </c>
    </row>
  </sheetData>
  <sheetProtection algorithmName="SHA-512" hashValue="E1+cL2pg1UVN9KTCeJyzVimlVmgvVJOtgSfQGnNlT5toE0abZHD5qE74/SFUOX1tODZKirwCy1zu8PjyHli2Cw==" saltValue="IWniq47bd4MDQfjcL7WAK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0CA9A5-FAC1-41C0-BAC6-E157D4156573}">
          <x14:formula1>
            <xm:f>'Commute Calcs'!$K$7:$K$57</xm:f>
          </x14:formula1>
          <xm:sqref>C25:C44 C53:C72 C81:C96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83BC-5694-48F7-AAFB-75866A432D24}">
  <sheetPr codeName="Sheet3">
    <tabColor rgb="FF94E494"/>
  </sheetPr>
  <dimension ref="A1:K29"/>
  <sheetViews>
    <sheetView showGridLines="0" zoomScale="80" zoomScaleNormal="80" workbookViewId="0">
      <pane ySplit="2" topLeftCell="A3" activePane="bottomLeft" state="frozen"/>
      <selection activeCell="C8" sqref="C8"/>
      <selection pane="bottomLeft" activeCell="C5" sqref="C5:C6"/>
    </sheetView>
  </sheetViews>
  <sheetFormatPr defaultColWidth="10.5" defaultRowHeight="14.25"/>
  <cols>
    <col min="1" max="1" width="8.125" style="4" customWidth="1"/>
    <col min="2" max="2" width="64.375" style="4" customWidth="1"/>
    <col min="3" max="3" width="45.875" style="4" customWidth="1"/>
    <col min="4" max="4" width="5.125" style="4" customWidth="1"/>
    <col min="5" max="16384" width="10.5" style="4"/>
  </cols>
  <sheetData>
    <row r="1" spans="1:11" ht="90" customHeight="1">
      <c r="A1" s="361"/>
    </row>
    <row r="2" spans="1:11" s="364" customFormat="1" ht="29.25" customHeight="1">
      <c r="A2" s="362"/>
      <c r="B2" s="363" t="s">
        <v>1762</v>
      </c>
      <c r="C2" s="362"/>
      <c r="D2" s="362"/>
    </row>
    <row r="3" spans="1:11" ht="57" customHeight="1">
      <c r="A3" s="361"/>
      <c r="B3" s="1448" t="s">
        <v>3299</v>
      </c>
      <c r="C3" s="1449"/>
      <c r="D3" s="366"/>
    </row>
    <row r="4" spans="1:11" ht="50.25" customHeight="1">
      <c r="A4" s="361"/>
      <c r="B4" s="1448" t="s">
        <v>1737</v>
      </c>
      <c r="C4" s="1448"/>
    </row>
    <row r="5" spans="1:11" ht="18" customHeight="1">
      <c r="A5" s="367"/>
      <c r="B5" s="6" t="s">
        <v>3300</v>
      </c>
      <c r="C5" s="781"/>
      <c r="E5" s="368" t="s">
        <v>1764</v>
      </c>
      <c r="J5" s="341"/>
      <c r="K5" s="341"/>
    </row>
    <row r="6" spans="1:11" ht="24.95" customHeight="1">
      <c r="A6" s="367"/>
      <c r="B6" s="369" t="s">
        <v>1765</v>
      </c>
      <c r="C6" s="1392"/>
      <c r="D6"/>
      <c r="E6" s="1391" t="s">
        <v>1766</v>
      </c>
      <c r="J6" s="341"/>
      <c r="K6" s="341"/>
    </row>
    <row r="7" spans="1:11" ht="18" customHeight="1">
      <c r="A7" s="367"/>
      <c r="B7" s="6" t="s">
        <v>1767</v>
      </c>
      <c r="C7" s="14"/>
      <c r="E7" s="370" t="s">
        <v>1768</v>
      </c>
      <c r="J7" s="341"/>
      <c r="K7" s="341"/>
    </row>
    <row r="8" spans="1:11" ht="14.25" customHeight="1">
      <c r="A8" s="371" t="s">
        <v>1769</v>
      </c>
      <c r="B8" s="1450"/>
      <c r="C8" s="1450"/>
      <c r="E8" s="370" t="s">
        <v>4361</v>
      </c>
      <c r="F8" s="341"/>
      <c r="G8" s="341"/>
      <c r="H8" s="341"/>
      <c r="I8" s="341"/>
      <c r="J8" s="341"/>
      <c r="K8" s="341"/>
    </row>
    <row r="9" spans="1:11">
      <c r="A9" s="371" t="s">
        <v>1770</v>
      </c>
      <c r="B9" s="1450"/>
      <c r="C9" s="1450"/>
      <c r="E9" s="341"/>
      <c r="F9" s="341"/>
      <c r="G9" s="341"/>
      <c r="H9" s="341"/>
      <c r="I9" s="341"/>
      <c r="J9" s="341"/>
      <c r="K9" s="341"/>
    </row>
    <row r="10" spans="1:11">
      <c r="A10" s="371" t="s">
        <v>1771</v>
      </c>
      <c r="B10" s="1451"/>
      <c r="C10" s="1450"/>
      <c r="F10" s="341"/>
      <c r="G10" s="341"/>
      <c r="H10" s="341"/>
      <c r="I10" s="341"/>
      <c r="J10" s="341"/>
      <c r="K10" s="341"/>
    </row>
    <row r="11" spans="1:11" ht="24.95" customHeight="1">
      <c r="B11" s="1448" t="s">
        <v>1772</v>
      </c>
      <c r="C11" s="1448"/>
      <c r="F11" s="341"/>
      <c r="G11" s="341"/>
      <c r="H11" s="341"/>
      <c r="I11" s="341"/>
      <c r="J11" s="373"/>
      <c r="K11" s="373"/>
    </row>
    <row r="12" spans="1:11" customFormat="1" ht="14.25" customHeight="1">
      <c r="B12" s="1446" t="s">
        <v>1773</v>
      </c>
      <c r="C12" s="1446"/>
      <c r="E12" s="4"/>
      <c r="F12" s="341"/>
      <c r="G12" s="341"/>
      <c r="H12" s="341"/>
      <c r="I12" s="341"/>
    </row>
    <row r="13" spans="1:11" customFormat="1" ht="14.25" customHeight="1">
      <c r="B13" s="1446" t="s">
        <v>1774</v>
      </c>
      <c r="C13" s="1446"/>
      <c r="E13" s="4"/>
    </row>
    <row r="14" spans="1:11" customFormat="1" ht="27.6" customHeight="1">
      <c r="B14" s="1446" t="s">
        <v>1775</v>
      </c>
      <c r="C14" s="1446"/>
    </row>
    <row r="15" spans="1:11" ht="14.25" customHeight="1">
      <c r="B15" s="365"/>
      <c r="C15" s="365"/>
    </row>
    <row r="16" spans="1:11" ht="15">
      <c r="B16" s="1447" t="s">
        <v>1776</v>
      </c>
      <c r="C16" s="1447"/>
    </row>
    <row r="17" spans="2:3">
      <c r="B17" s="374" t="s">
        <v>1777</v>
      </c>
      <c r="C17" s="375"/>
    </row>
    <row r="18" spans="2:3">
      <c r="B18" s="374" t="s">
        <v>1778</v>
      </c>
      <c r="C18" s="376"/>
    </row>
    <row r="19" spans="2:3" ht="20.100000000000001" customHeight="1">
      <c r="B19" s="377" t="s">
        <v>1779</v>
      </c>
      <c r="C19" s="378" t="s">
        <v>1780</v>
      </c>
    </row>
    <row r="20" spans="2:3" ht="20.100000000000001" customHeight="1">
      <c r="B20" s="377" t="s">
        <v>1781</v>
      </c>
      <c r="C20" s="379" t="s">
        <v>1782</v>
      </c>
    </row>
    <row r="22" spans="2:3" ht="141.75">
      <c r="B22" s="380" t="s">
        <v>1783</v>
      </c>
    </row>
    <row r="24" spans="2:3" ht="31.5">
      <c r="B24" s="380" t="s">
        <v>1784</v>
      </c>
    </row>
    <row r="25" spans="2:3" ht="15.75">
      <c r="B25" s="381" t="s">
        <v>1785</v>
      </c>
    </row>
    <row r="26" spans="2:3" ht="15.75">
      <c r="B26" s="381" t="s">
        <v>1786</v>
      </c>
    </row>
    <row r="28" spans="2:3" ht="47.25">
      <c r="B28" s="380" t="s">
        <v>1787</v>
      </c>
    </row>
    <row r="29" spans="2:3" ht="15.75">
      <c r="B29" s="382" t="s">
        <v>1788</v>
      </c>
    </row>
  </sheetData>
  <sheetProtection algorithmName="SHA-512" hashValue="cPQV65LU1WM3DT3EB2ak9ZpZ7DMzXclRiC4xf0X7FH0XQSBK85tPd6aLdvuqLbi0Xc6XSAc26S79EGyJF26cGw==" saltValue="3VLbZjzVOnFxqoMy/gMgsw==" spinCount="100000" sheet="1" objects="1" scenarios="1"/>
  <mergeCells count="10">
    <mergeCell ref="B12:C12"/>
    <mergeCell ref="B13:C13"/>
    <mergeCell ref="B14:C14"/>
    <mergeCell ref="B16:C16"/>
    <mergeCell ref="B3:C3"/>
    <mergeCell ref="B4:C4"/>
    <mergeCell ref="B8:C8"/>
    <mergeCell ref="B9:C9"/>
    <mergeCell ref="B10:C10"/>
    <mergeCell ref="B11:C11"/>
  </mergeCells>
  <hyperlinks>
    <hyperlink ref="B25" r:id="rId1" xr:uid="{B7F6686C-C4E9-43C6-AD9B-4401B6EBBD0A}"/>
    <hyperlink ref="B26" r:id="rId2" xr:uid="{485BF78F-C5A3-42F4-897C-B15ABC54BC95}"/>
    <hyperlink ref="B29" r:id="rId3" xr:uid="{EA9E98A4-6CA3-4736-9AA6-ECA04701B571}"/>
    <hyperlink ref="E6" r:id="rId4" location="/" xr:uid="{0795053E-DB97-4C44-B8E7-D47248752A50}"/>
  </hyperlinks>
  <pageMargins left="0.25" right="0.25" top="0.75" bottom="0.75" header="0.3" footer="0.3"/>
  <pageSetup paperSize="9" orientation="landscape" horizontalDpi="1200" verticalDpi="1200"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2D36D7FD-089D-418C-B99E-E6B67B170421}">
          <x14:formula1>
            <xm:f>'S1&amp;2 Lists'!$A$4:$A$14</xm:f>
          </x14:formula1>
          <xm:sqref>C6</xm:sqref>
        </x14:dataValidation>
        <x14:dataValidation type="list" allowBlank="1" showInputMessage="1" showErrorMessage="1" xr:uid="{C7FD7B47-F56C-48FD-805F-C7664A6E4B1F}">
          <x14:formula1>
            <xm:f>'S1&amp;2 Lists'!$AW$80:$AW$119</xm:f>
          </x14:formula1>
          <xm:sqref>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8D51-88DC-46FB-9A45-CD3C98EC2A15}">
  <sheetPr codeName="Sheet33">
    <tabColor theme="3" tint="0.59999389629810485"/>
  </sheetPr>
  <dimension ref="A1:F68"/>
  <sheetViews>
    <sheetView showGridLines="0" zoomScale="85" zoomScaleNormal="85" workbookViewId="0"/>
  </sheetViews>
  <sheetFormatPr defaultColWidth="8.875" defaultRowHeight="14.25"/>
  <cols>
    <col min="1" max="1" width="7.5" style="30" customWidth="1"/>
    <col min="2" max="2" width="43.5" style="30" customWidth="1"/>
    <col min="3" max="3" width="42.375" style="30" customWidth="1"/>
    <col min="4" max="4" width="17.625" style="30" customWidth="1"/>
    <col min="5" max="5" width="18.375" style="30" customWidth="1"/>
    <col min="6" max="6" width="30.5" style="30" customWidth="1"/>
    <col min="7" max="16384" width="8.875" style="30"/>
  </cols>
  <sheetData>
    <row r="1" spans="1:6" ht="24.75" customHeight="1">
      <c r="A1" s="23" t="s">
        <v>1187</v>
      </c>
      <c r="B1" s="24"/>
      <c r="C1" s="24"/>
      <c r="D1" s="24"/>
      <c r="E1" s="24"/>
      <c r="F1" s="24"/>
    </row>
    <row r="2" spans="1:6">
      <c r="A2" s="261" t="s">
        <v>1387</v>
      </c>
      <c r="B2" s="32"/>
      <c r="C2" s="32"/>
      <c r="D2" s="32"/>
      <c r="E2" s="32"/>
      <c r="F2" s="32"/>
    </row>
    <row r="3" spans="1:6">
      <c r="A3" s="38" t="s">
        <v>1366</v>
      </c>
      <c r="B3" s="32"/>
      <c r="C3" s="32"/>
      <c r="D3" s="32"/>
      <c r="E3" s="32"/>
      <c r="F3" s="32"/>
    </row>
    <row r="4" spans="1:6" ht="18.75" customHeight="1">
      <c r="A4" s="38" t="s">
        <v>1626</v>
      </c>
      <c r="B4" s="32"/>
      <c r="C4" s="32"/>
      <c r="D4" s="32"/>
      <c r="E4" s="32"/>
      <c r="F4" s="32"/>
    </row>
    <row r="5" spans="1:6">
      <c r="A5" s="262" t="s">
        <v>1627</v>
      </c>
      <c r="B5" s="32"/>
      <c r="C5" s="32"/>
      <c r="D5" s="32"/>
      <c r="E5" s="32"/>
      <c r="F5" s="32"/>
    </row>
    <row r="6" spans="1:6">
      <c r="A6" s="287" t="s">
        <v>1628</v>
      </c>
      <c r="B6" s="32"/>
      <c r="C6" s="32"/>
      <c r="D6" s="32"/>
      <c r="E6" s="32"/>
      <c r="F6" s="32"/>
    </row>
    <row r="7" spans="1:6">
      <c r="A7" s="262" t="s">
        <v>1629</v>
      </c>
      <c r="B7" s="32"/>
      <c r="C7" s="32"/>
      <c r="D7" s="32"/>
      <c r="E7" s="32"/>
      <c r="F7" s="32"/>
    </row>
    <row r="8" spans="1:6">
      <c r="A8" s="287" t="s">
        <v>1630</v>
      </c>
      <c r="B8" s="32"/>
      <c r="C8" s="32"/>
      <c r="D8" s="32"/>
      <c r="E8" s="32"/>
      <c r="F8" s="32"/>
    </row>
    <row r="17" spans="1:6" ht="18.75">
      <c r="A17" s="266" t="s">
        <v>1631</v>
      </c>
    </row>
    <row r="18" spans="1:6">
      <c r="A18" s="267" t="s">
        <v>1237</v>
      </c>
    </row>
    <row r="19" spans="1:6" ht="9" customHeight="1">
      <c r="A19" s="267"/>
    </row>
    <row r="20" spans="1:6">
      <c r="B20" s="53" t="s">
        <v>312</v>
      </c>
      <c r="C20" s="53" t="s">
        <v>312</v>
      </c>
      <c r="D20" s="53" t="s">
        <v>312</v>
      </c>
      <c r="E20" s="53" t="s">
        <v>312</v>
      </c>
    </row>
    <row r="21" spans="1:6" ht="45">
      <c r="A21" s="270" t="s">
        <v>1238</v>
      </c>
      <c r="B21" s="271" t="s">
        <v>1632</v>
      </c>
      <c r="C21" s="271" t="s">
        <v>1633</v>
      </c>
      <c r="D21" s="288" t="s">
        <v>1634</v>
      </c>
      <c r="E21" s="288" t="s">
        <v>1635</v>
      </c>
      <c r="F21" s="270" t="s">
        <v>322</v>
      </c>
    </row>
    <row r="22" spans="1:6" ht="15">
      <c r="A22" s="272">
        <v>1</v>
      </c>
      <c r="B22" s="147" t="s">
        <v>1636</v>
      </c>
      <c r="C22" s="147"/>
      <c r="D22" s="254">
        <v>500</v>
      </c>
      <c r="E22" s="254">
        <v>18</v>
      </c>
      <c r="F22" s="210">
        <f>IF(OR(ISBLANK(D22),ISBLANK(E22)),"",(D22*E22*GWPs!$C$6/1000000)+N("number of units x mass of GHG in each unit (grams) x GWP of HFC-227ea / 1,000,000 grams per MT"))</f>
        <v>32.4</v>
      </c>
    </row>
    <row r="23" spans="1:6" ht="15">
      <c r="A23" s="272">
        <v>2</v>
      </c>
      <c r="B23" s="150"/>
      <c r="C23" s="150"/>
      <c r="D23" s="166"/>
      <c r="E23" s="166"/>
      <c r="F23" s="213" t="str">
        <f>IF(OR(ISBLANK(D23),ISBLANK(E23)),"",(D23*E23*GWPs!$C$6/1000000)+N("number of units x mass of GHG in each unit (grams) x GWP of HFC-227ea / 1,000,000 grams per MT"))</f>
        <v/>
      </c>
    </row>
    <row r="24" spans="1:6" ht="15">
      <c r="A24" s="272">
        <v>3</v>
      </c>
      <c r="B24" s="150"/>
      <c r="C24" s="150"/>
      <c r="D24" s="166"/>
      <c r="E24" s="166"/>
      <c r="F24" s="213" t="str">
        <f>IF(OR(ISBLANK(D24),ISBLANK(E24)),"",(D24*E24*GWPs!$C$6/1000000)+N("number of units x mass of GHG in each unit (grams) x GWP of HFC-227ea / 1,000,000 grams per MT"))</f>
        <v/>
      </c>
    </row>
    <row r="25" spans="1:6" ht="15">
      <c r="A25" s="272">
        <v>4</v>
      </c>
      <c r="B25" s="150"/>
      <c r="C25" s="150"/>
      <c r="D25" s="166"/>
      <c r="E25" s="166"/>
      <c r="F25" s="213" t="str">
        <f>IF(OR(ISBLANK(D25),ISBLANK(E25)),"",(D25*E25*GWPs!$C$6/1000000)+N("number of units x mass of GHG in each unit (grams) x GWP of HFC-227ea / 1,000,000 grams per MT"))</f>
        <v/>
      </c>
    </row>
    <row r="26" spans="1:6" ht="15">
      <c r="A26" s="272">
        <v>5</v>
      </c>
      <c r="B26" s="150"/>
      <c r="C26" s="150"/>
      <c r="D26" s="166"/>
      <c r="E26" s="166"/>
      <c r="F26" s="213" t="str">
        <f>IF(OR(ISBLANK(D26),ISBLANK(E26)),"",(D26*E26*GWPs!$C$6/1000000)+N("number of units x mass of GHG in each unit (grams) x GWP of HFC-227ea / 1,000,000 grams per MT"))</f>
        <v/>
      </c>
    </row>
    <row r="27" spans="1:6" ht="15">
      <c r="A27" s="272">
        <v>6</v>
      </c>
      <c r="B27" s="150"/>
      <c r="C27" s="150"/>
      <c r="D27" s="166"/>
      <c r="E27" s="166"/>
      <c r="F27" s="213" t="str">
        <f>IF(OR(ISBLANK(D27),ISBLANK(E27)),"",(D27*E27*GWPs!$C$6/1000000)+N("number of units x mass of GHG in each unit (grams) x GWP of HFC-227ea / 1,000,000 grams per MT"))</f>
        <v/>
      </c>
    </row>
    <row r="28" spans="1:6" ht="15">
      <c r="A28" s="272">
        <v>7</v>
      </c>
      <c r="B28" s="150"/>
      <c r="C28" s="150"/>
      <c r="D28" s="166"/>
      <c r="E28" s="166"/>
      <c r="F28" s="213" t="str">
        <f>IF(OR(ISBLANK(D28),ISBLANK(E28)),"",(D28*E28*GWPs!$C$6/1000000)+N("number of units x mass of GHG in each unit (grams) x GWP of HFC-227ea / 1,000,000 grams per MT"))</f>
        <v/>
      </c>
    </row>
    <row r="29" spans="1:6" ht="15">
      <c r="A29" s="272">
        <v>8</v>
      </c>
      <c r="B29" s="150"/>
      <c r="C29" s="150"/>
      <c r="D29" s="166"/>
      <c r="E29" s="166"/>
      <c r="F29" s="213" t="str">
        <f>IF(OR(ISBLANK(D29),ISBLANK(E29)),"",(D29*E29*GWPs!$C$6/1000000)+N("number of units x mass of GHG in each unit (grams) x GWP of HFC-227ea / 1,000,000 grams per MT"))</f>
        <v/>
      </c>
    </row>
    <row r="30" spans="1:6" ht="15">
      <c r="A30" s="272">
        <v>9</v>
      </c>
      <c r="B30" s="150"/>
      <c r="C30" s="150"/>
      <c r="D30" s="166"/>
      <c r="E30" s="166"/>
      <c r="F30" s="213" t="str">
        <f>IF(OR(ISBLANK(D30),ISBLANK(E30)),"",(D30*E30*GWPs!$C$6/1000000)+N("number of units x mass of GHG in each unit (grams) x GWP of HFC-227ea / 1,000,000 grams per MT"))</f>
        <v/>
      </c>
    </row>
    <row r="31" spans="1:6" ht="15">
      <c r="A31" s="272">
        <v>10</v>
      </c>
      <c r="B31" s="150"/>
      <c r="C31" s="150"/>
      <c r="D31" s="166"/>
      <c r="E31" s="166"/>
      <c r="F31" s="213" t="str">
        <f>IF(OR(ISBLANK(D31),ISBLANK(E31)),"",(D31*E31*GWPs!$C$6/1000000)+N("number of units x mass of GHG in each unit (grams) x GWP of HFC-227ea / 1,000,000 grams per MT"))</f>
        <v/>
      </c>
    </row>
    <row r="32" spans="1:6" ht="15">
      <c r="A32" s="272">
        <v>11</v>
      </c>
      <c r="B32" s="150"/>
      <c r="C32" s="150"/>
      <c r="D32" s="166"/>
      <c r="E32" s="166"/>
      <c r="F32" s="213" t="str">
        <f>IF(OR(ISBLANK(D32),ISBLANK(E32)),"",(D32*E32*GWPs!$C$6/1000000)+N("number of units x mass of GHG in each unit (grams) x GWP of HFC-227ea / 1,000,000 grams per MT"))</f>
        <v/>
      </c>
    </row>
    <row r="33" spans="1:6" ht="15">
      <c r="A33" s="272">
        <v>12</v>
      </c>
      <c r="B33" s="150"/>
      <c r="C33" s="150"/>
      <c r="D33" s="166"/>
      <c r="E33" s="166"/>
      <c r="F33" s="213" t="str">
        <f>IF(OR(ISBLANK(D33),ISBLANK(E33)),"",(D33*E33*GWPs!$C$6/1000000)+N("number of units x mass of GHG in each unit (grams) x GWP of HFC-227ea / 1,000,000 grams per MT"))</f>
        <v/>
      </c>
    </row>
    <row r="34" spans="1:6" ht="15">
      <c r="A34" s="272">
        <v>13</v>
      </c>
      <c r="B34" s="150"/>
      <c r="C34" s="150"/>
      <c r="D34" s="166"/>
      <c r="E34" s="166"/>
      <c r="F34" s="213" t="str">
        <f>IF(OR(ISBLANK(D34),ISBLANK(E34)),"",(D34*E34*GWPs!$C$6/1000000)+N("number of units x mass of GHG in each unit (grams) x GWP of HFC-227ea / 1,000,000 grams per MT"))</f>
        <v/>
      </c>
    </row>
    <row r="35" spans="1:6" ht="15">
      <c r="A35" s="272">
        <v>14</v>
      </c>
      <c r="B35" s="150"/>
      <c r="C35" s="150"/>
      <c r="D35" s="166"/>
      <c r="E35" s="166"/>
      <c r="F35" s="213" t="str">
        <f>IF(OR(ISBLANK(D35),ISBLANK(E35)),"",(D35*E35*GWPs!$C$6/1000000)+N("number of units x mass of GHG in each unit (grams) x GWP of HFC-227ea / 1,000,000 grams per MT"))</f>
        <v/>
      </c>
    </row>
    <row r="36" spans="1:6" ht="15">
      <c r="A36" s="272">
        <v>15</v>
      </c>
      <c r="B36" s="150"/>
      <c r="C36" s="150"/>
      <c r="D36" s="166"/>
      <c r="E36" s="166"/>
      <c r="F36" s="213" t="str">
        <f>IF(OR(ISBLANK(D36),ISBLANK(E36)),"",(D36*E36*GWPs!$C$6/1000000)+N("number of units x mass of GHG in each unit (grams) x GWP of HFC-227ea / 1,000,000 grams per MT"))</f>
        <v/>
      </c>
    </row>
    <row r="37" spans="1:6" ht="15">
      <c r="A37" s="272">
        <v>16</v>
      </c>
      <c r="B37" s="150"/>
      <c r="C37" s="150"/>
      <c r="D37" s="166"/>
      <c r="E37" s="166"/>
      <c r="F37" s="213" t="str">
        <f>IF(OR(ISBLANK(D37),ISBLANK(E37)),"",(D37*E37*GWPs!$C$6/1000000)+N("number of units x mass of GHG in each unit (grams) x GWP of HFC-227ea / 1,000,000 grams per MT"))</f>
        <v/>
      </c>
    </row>
    <row r="38" spans="1:6" ht="15">
      <c r="A38" s="272">
        <v>17</v>
      </c>
      <c r="B38" s="150"/>
      <c r="C38" s="150"/>
      <c r="D38" s="166"/>
      <c r="E38" s="166"/>
      <c r="F38" s="213" t="str">
        <f>IF(OR(ISBLANK(D38),ISBLANK(E38)),"",(D38*E38*GWPs!$C$6/1000000)+N("number of units x mass of GHG in each unit (grams) x GWP of HFC-227ea / 1,000,000 grams per MT"))</f>
        <v/>
      </c>
    </row>
    <row r="39" spans="1:6" ht="15">
      <c r="A39" s="272">
        <v>18</v>
      </c>
      <c r="B39" s="150"/>
      <c r="C39" s="150"/>
      <c r="D39" s="166"/>
      <c r="E39" s="166"/>
      <c r="F39" s="213" t="str">
        <f>IF(OR(ISBLANK(D39),ISBLANK(E39)),"",(D39*E39*GWPs!$C$6/1000000)+N("number of units x mass of GHG in each unit (grams) x GWP of HFC-227ea / 1,000,000 grams per MT"))</f>
        <v/>
      </c>
    </row>
    <row r="40" spans="1:6" ht="15">
      <c r="A40" s="272">
        <v>19</v>
      </c>
      <c r="B40" s="150"/>
      <c r="C40" s="150"/>
      <c r="D40" s="166"/>
      <c r="E40" s="166"/>
      <c r="F40" s="213" t="str">
        <f>IF(OR(ISBLANK(D40),ISBLANK(E40)),"",(D40*E40*GWPs!$C$6/1000000)+N("number of units x mass of GHG in each unit (grams) x GWP of HFC-227ea / 1,000,000 grams per MT"))</f>
        <v/>
      </c>
    </row>
    <row r="41" spans="1:6" ht="15.75" thickBot="1">
      <c r="A41" s="272">
        <v>20</v>
      </c>
      <c r="B41" s="150"/>
      <c r="C41" s="150"/>
      <c r="D41" s="166"/>
      <c r="E41" s="824"/>
      <c r="F41" s="213" t="str">
        <f>IF(OR(ISBLANK(D41),ISBLANK(E41)),"",(D41*E41*GWPs!$C$6/1000000)+N("number of units x mass of GHG in each unit (grams) x GWP of HFC-227ea / 1,000,000 grams per MT"))</f>
        <v/>
      </c>
    </row>
    <row r="42" spans="1:6" ht="15" thickBot="1">
      <c r="E42" s="279" t="s">
        <v>1268</v>
      </c>
      <c r="F42" s="289">
        <f>SUM(F23:F41)</f>
        <v>0</v>
      </c>
    </row>
    <row r="43" spans="1:6" ht="18.75">
      <c r="A43" s="266" t="s">
        <v>1637</v>
      </c>
    </row>
    <row r="44" spans="1:6">
      <c r="A44" s="267" t="s">
        <v>1237</v>
      </c>
    </row>
    <row r="45" spans="1:6" ht="9" customHeight="1">
      <c r="A45" s="267"/>
    </row>
    <row r="46" spans="1:6">
      <c r="B46" s="53" t="s">
        <v>312</v>
      </c>
      <c r="C46" s="53" t="s">
        <v>312</v>
      </c>
      <c r="D46" s="53" t="s">
        <v>312</v>
      </c>
      <c r="E46" s="53" t="s">
        <v>312</v>
      </c>
    </row>
    <row r="47" spans="1:6" ht="45">
      <c r="A47" s="270" t="s">
        <v>1238</v>
      </c>
      <c r="B47" s="271" t="s">
        <v>1632</v>
      </c>
      <c r="C47" s="271" t="s">
        <v>1633</v>
      </c>
      <c r="D47" s="288" t="s">
        <v>1634</v>
      </c>
      <c r="E47" s="288" t="s">
        <v>1635</v>
      </c>
      <c r="F47" s="270" t="s">
        <v>322</v>
      </c>
    </row>
    <row r="48" spans="1:6" ht="15">
      <c r="A48" s="272">
        <v>1</v>
      </c>
      <c r="B48" s="147" t="s">
        <v>1638</v>
      </c>
      <c r="C48" s="147"/>
      <c r="D48" s="254">
        <v>1000</v>
      </c>
      <c r="E48" s="254">
        <v>12</v>
      </c>
      <c r="F48" s="210">
        <f>IF(OR(ISBLANK(D48),ISBLANK(E48)),"",(D48*E48*GWPs!$C$7/1000000)+N("number of units x mass of GHG in each unit (grams) x GWP of HFC-134a / 1,000,000 grams per MT"))</f>
        <v>18.36</v>
      </c>
    </row>
    <row r="49" spans="1:6" ht="15">
      <c r="A49" s="272">
        <v>2</v>
      </c>
      <c r="B49" s="150"/>
      <c r="C49" s="150"/>
      <c r="D49" s="166"/>
      <c r="E49" s="166"/>
      <c r="F49" s="213" t="str">
        <f>IF(OR(ISBLANK(D49),ISBLANK(E49)),"",(D49*E49*GWPs!$C$7/1000000)+N("number of units x mass of GHG in each unit (grams) x GWP of HFC-134a / 1,000,000 grams per MT"))</f>
        <v/>
      </c>
    </row>
    <row r="50" spans="1:6" ht="15">
      <c r="A50" s="272">
        <v>3</v>
      </c>
      <c r="B50" s="150"/>
      <c r="C50" s="150"/>
      <c r="D50" s="166"/>
      <c r="E50" s="166"/>
      <c r="F50" s="213" t="str">
        <f>IF(OR(ISBLANK(D50),ISBLANK(E50)),"",(D50*E50*GWPs!$C$7/1000000)+N("number of units x mass of GHG in each unit (grams) x GWP of HFC-134a / 1,000,000 grams per MT"))</f>
        <v/>
      </c>
    </row>
    <row r="51" spans="1:6" ht="15">
      <c r="A51" s="272">
        <v>4</v>
      </c>
      <c r="B51" s="150"/>
      <c r="C51" s="150"/>
      <c r="D51" s="166"/>
      <c r="E51" s="166"/>
      <c r="F51" s="213" t="str">
        <f>IF(OR(ISBLANK(D51),ISBLANK(E51)),"",(D51*E51*GWPs!$C$7/1000000)+N("number of units x mass of GHG in each unit (grams) x GWP of HFC-134a / 1,000,000 grams per MT"))</f>
        <v/>
      </c>
    </row>
    <row r="52" spans="1:6" ht="15">
      <c r="A52" s="272">
        <v>5</v>
      </c>
      <c r="B52" s="150"/>
      <c r="C52" s="150"/>
      <c r="D52" s="166"/>
      <c r="E52" s="166"/>
      <c r="F52" s="213" t="str">
        <f>IF(OR(ISBLANK(D52),ISBLANK(E52)),"",(D52*E52*GWPs!$C$7/1000000)+N("number of units x mass of GHG in each unit (grams) x GWP of HFC-134a / 1,000,000 grams per MT"))</f>
        <v/>
      </c>
    </row>
    <row r="53" spans="1:6" ht="15">
      <c r="A53" s="272">
        <v>6</v>
      </c>
      <c r="B53" s="150"/>
      <c r="C53" s="150"/>
      <c r="D53" s="166"/>
      <c r="E53" s="166"/>
      <c r="F53" s="213" t="str">
        <f>IF(OR(ISBLANK(D53),ISBLANK(E53)),"",(D53*E53*GWPs!$C$7/1000000)+N("number of units x mass of GHG in each unit (grams) x GWP of HFC-134a / 1,000,000 grams per MT"))</f>
        <v/>
      </c>
    </row>
    <row r="54" spans="1:6" ht="15">
      <c r="A54" s="272">
        <v>7</v>
      </c>
      <c r="B54" s="150"/>
      <c r="C54" s="150"/>
      <c r="D54" s="166"/>
      <c r="E54" s="166"/>
      <c r="F54" s="213" t="str">
        <f>IF(OR(ISBLANK(D54),ISBLANK(E54)),"",(D54*E54*GWPs!$C$7/1000000)+N("number of units x mass of GHG in each unit (grams) x GWP of HFC-134a / 1,000,000 grams per MT"))</f>
        <v/>
      </c>
    </row>
    <row r="55" spans="1:6" ht="15">
      <c r="A55" s="272">
        <v>8</v>
      </c>
      <c r="B55" s="150"/>
      <c r="C55" s="150"/>
      <c r="D55" s="166"/>
      <c r="E55" s="166"/>
      <c r="F55" s="213" t="str">
        <f>IF(OR(ISBLANK(D55),ISBLANK(E55)),"",(D55*E55*GWPs!$C$7/1000000)+N("number of units x mass of GHG in each unit (grams) x GWP of HFC-134a / 1,000,000 grams per MT"))</f>
        <v/>
      </c>
    </row>
    <row r="56" spans="1:6" ht="15">
      <c r="A56" s="272">
        <v>9</v>
      </c>
      <c r="B56" s="150"/>
      <c r="C56" s="150"/>
      <c r="D56" s="166"/>
      <c r="E56" s="166"/>
      <c r="F56" s="213" t="str">
        <f>IF(OR(ISBLANK(D56),ISBLANK(E56)),"",(D56*E56*GWPs!$C$7/1000000)+N("number of units x mass of GHG in each unit (grams) x GWP of HFC-134a / 1,000,000 grams per MT"))</f>
        <v/>
      </c>
    </row>
    <row r="57" spans="1:6" ht="15">
      <c r="A57" s="272">
        <v>10</v>
      </c>
      <c r="B57" s="150"/>
      <c r="C57" s="150"/>
      <c r="D57" s="166"/>
      <c r="E57" s="166"/>
      <c r="F57" s="213" t="str">
        <f>IF(OR(ISBLANK(D57),ISBLANK(E57)),"",(D57*E57*GWPs!$C$7/1000000)+N("number of units x mass of GHG in each unit (grams) x GWP of HFC-134a / 1,000,000 grams per MT"))</f>
        <v/>
      </c>
    </row>
    <row r="58" spans="1:6" ht="15">
      <c r="A58" s="272">
        <v>11</v>
      </c>
      <c r="B58" s="150"/>
      <c r="C58" s="150"/>
      <c r="D58" s="166"/>
      <c r="E58" s="166"/>
      <c r="F58" s="213" t="str">
        <f>IF(OR(ISBLANK(D58),ISBLANK(E58)),"",(D58*E58*GWPs!$C$7/1000000)+N("number of units x mass of GHG in each unit (grams) x GWP of HFC-134a / 1,000,000 grams per MT"))</f>
        <v/>
      </c>
    </row>
    <row r="59" spans="1:6" ht="15">
      <c r="A59" s="272">
        <v>12</v>
      </c>
      <c r="B59" s="150"/>
      <c r="C59" s="150"/>
      <c r="D59" s="166"/>
      <c r="E59" s="166"/>
      <c r="F59" s="213" t="str">
        <f>IF(OR(ISBLANK(D59),ISBLANK(E59)),"",(D59*E59*GWPs!$C$7/1000000)+N("number of units x mass of GHG in each unit (grams) x GWP of HFC-134a / 1,000,000 grams per MT"))</f>
        <v/>
      </c>
    </row>
    <row r="60" spans="1:6" ht="15">
      <c r="A60" s="272">
        <v>13</v>
      </c>
      <c r="B60" s="150"/>
      <c r="C60" s="150"/>
      <c r="D60" s="166"/>
      <c r="E60" s="166"/>
      <c r="F60" s="213" t="str">
        <f>IF(OR(ISBLANK(D60),ISBLANK(E60)),"",(D60*E60*GWPs!$C$7/1000000)+N("number of units x mass of GHG in each unit (grams) x GWP of HFC-134a / 1,000,000 grams per MT"))</f>
        <v/>
      </c>
    </row>
    <row r="61" spans="1:6" ht="15">
      <c r="A61" s="272">
        <v>14</v>
      </c>
      <c r="B61" s="150"/>
      <c r="C61" s="150"/>
      <c r="D61" s="166"/>
      <c r="E61" s="166"/>
      <c r="F61" s="213" t="str">
        <f>IF(OR(ISBLANK(D61),ISBLANK(E61)),"",(D61*E61*GWPs!$C$7/1000000)+N("number of units x mass of GHG in each unit (grams) x GWP of HFC-134a / 1,000,000 grams per MT"))</f>
        <v/>
      </c>
    </row>
    <row r="62" spans="1:6" ht="15">
      <c r="A62" s="272">
        <v>15</v>
      </c>
      <c r="B62" s="150"/>
      <c r="C62" s="150"/>
      <c r="D62" s="166"/>
      <c r="E62" s="166"/>
      <c r="F62" s="213" t="str">
        <f>IF(OR(ISBLANK(D62),ISBLANK(E62)),"",(D62*E62*GWPs!$C$7/1000000)+N("number of units x mass of GHG in each unit (grams) x GWP of HFC-134a / 1,000,000 grams per MT"))</f>
        <v/>
      </c>
    </row>
    <row r="63" spans="1:6" ht="15">
      <c r="A63" s="272">
        <v>16</v>
      </c>
      <c r="B63" s="150"/>
      <c r="C63" s="150"/>
      <c r="D63" s="166"/>
      <c r="E63" s="166"/>
      <c r="F63" s="213" t="str">
        <f>IF(OR(ISBLANK(D63),ISBLANK(E63)),"",(D63*E63*GWPs!$C$7/1000000)+N("number of units x mass of GHG in each unit (grams) x GWP of HFC-134a / 1,000,000 grams per MT"))</f>
        <v/>
      </c>
    </row>
    <row r="64" spans="1:6" ht="15">
      <c r="A64" s="272">
        <v>17</v>
      </c>
      <c r="B64" s="150"/>
      <c r="C64" s="150"/>
      <c r="D64" s="166"/>
      <c r="E64" s="166"/>
      <c r="F64" s="213" t="str">
        <f>IF(OR(ISBLANK(D64),ISBLANK(E64)),"",(D64*E64*GWPs!$C$7/1000000)+N("number of units x mass of GHG in each unit (grams) x GWP of HFC-134a / 1,000,000 grams per MT"))</f>
        <v/>
      </c>
    </row>
    <row r="65" spans="1:6" ht="15">
      <c r="A65" s="272">
        <v>18</v>
      </c>
      <c r="B65" s="150"/>
      <c r="C65" s="150"/>
      <c r="D65" s="166"/>
      <c r="E65" s="166"/>
      <c r="F65" s="213" t="str">
        <f>IF(OR(ISBLANK(D65),ISBLANK(E65)),"",(D65*E65*GWPs!$C$7/1000000)+N("number of units x mass of GHG in each unit (grams) x GWP of HFC-134a / 1,000,000 grams per MT"))</f>
        <v/>
      </c>
    </row>
    <row r="66" spans="1:6" ht="15">
      <c r="A66" s="272">
        <v>19</v>
      </c>
      <c r="B66" s="150"/>
      <c r="C66" s="150"/>
      <c r="D66" s="166"/>
      <c r="E66" s="166"/>
      <c r="F66" s="213" t="str">
        <f>IF(OR(ISBLANK(D66),ISBLANK(E66)),"",(D66*E66*GWPs!$C$7/1000000)+N("number of units x mass of GHG in each unit (grams) x GWP of HFC-134a / 1,000,000 grams per MT"))</f>
        <v/>
      </c>
    </row>
    <row r="67" spans="1:6" ht="15.75" thickBot="1">
      <c r="A67" s="272">
        <v>20</v>
      </c>
      <c r="B67" s="150"/>
      <c r="C67" s="150"/>
      <c r="D67" s="166"/>
      <c r="E67" s="166"/>
      <c r="F67" s="213" t="str">
        <f>IF(OR(ISBLANK(D67),ISBLANK(E67)),"",(D67*E67*GWPs!$C$7/1000000)+N("number of units x mass of GHG in each unit (grams) x GWP of HFC-134a / 1,000,000 grams per MT"))</f>
        <v/>
      </c>
    </row>
    <row r="68" spans="1:6" ht="15" thickBot="1">
      <c r="E68" s="279" t="s">
        <v>1268</v>
      </c>
      <c r="F68" s="289">
        <f>SUM(F49:F67)</f>
        <v>0</v>
      </c>
    </row>
  </sheetData>
  <sheetProtection algorithmName="SHA-512" hashValue="t0xzdy3x6WdJwPtUyaSK1UfjuwrsI0VLSkK/WT7XQgEyeDT6fz/f3BGOg2Nuolfp53j5Z9QOcS4/h6MNhuht/w==" saltValue="Mb5eJa0aNdi5dG986rzXLw==" spinCount="100000" sheet="1" objects="1" scenarios="1"/>
  <pageMargins left="0.7" right="0.7" top="0.75" bottom="0.75" header="0.3" footer="0.3"/>
  <pageSetup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8992-E7E4-42F7-825C-6197200E8BF1}">
  <sheetPr codeName="Sheet38">
    <tabColor theme="3" tint="0.59999389629810485"/>
  </sheetPr>
  <dimension ref="A1:AF70"/>
  <sheetViews>
    <sheetView showGridLines="0" zoomScale="85" zoomScaleNormal="85" workbookViewId="0">
      <pane ySplit="19" topLeftCell="A20" activePane="bottomLeft" state="frozen"/>
      <selection pane="bottomLeft"/>
    </sheetView>
  </sheetViews>
  <sheetFormatPr defaultColWidth="8.875" defaultRowHeight="14.25"/>
  <cols>
    <col min="1" max="1" width="8.875" style="30"/>
    <col min="2" max="2" width="26.375" style="30" customWidth="1"/>
    <col min="3" max="3" width="65.375" style="30" customWidth="1"/>
    <col min="4" max="4" width="23.375" style="30" customWidth="1"/>
    <col min="5" max="5" width="21" style="30" customWidth="1"/>
    <col min="6" max="6" width="21.125" style="30" customWidth="1"/>
    <col min="7" max="7" width="19.375" style="30" customWidth="1"/>
    <col min="8" max="8" width="17.875" style="30" customWidth="1"/>
    <col min="9" max="9" width="16.5" style="30" customWidth="1"/>
    <col min="10" max="10" width="26.75" style="30" customWidth="1"/>
    <col min="11" max="11" width="37.125" style="30" customWidth="1"/>
    <col min="12" max="12" width="8.875" style="30"/>
    <col min="13" max="13" width="28.125" style="30" customWidth="1"/>
    <col min="14" max="14" width="21" style="30" customWidth="1"/>
    <col min="15" max="15" width="75.625" style="30" customWidth="1"/>
    <col min="16" max="16384" width="8.875" style="30"/>
  </cols>
  <sheetData>
    <row r="1" spans="1:32" ht="27.6" customHeight="1">
      <c r="A1" s="23" t="s">
        <v>1198</v>
      </c>
      <c r="B1" s="24"/>
      <c r="C1" s="24"/>
      <c r="D1" s="24"/>
      <c r="E1" s="24"/>
      <c r="F1" s="24"/>
      <c r="G1" s="24"/>
      <c r="H1" s="24"/>
      <c r="I1" s="24"/>
      <c r="J1" s="24"/>
    </row>
    <row r="2" spans="1:32">
      <c r="A2" s="261" t="s">
        <v>1387</v>
      </c>
      <c r="B2" s="32"/>
      <c r="C2" s="32"/>
      <c r="D2" s="32"/>
      <c r="E2" s="32"/>
      <c r="F2" s="32"/>
      <c r="G2" s="32"/>
      <c r="H2" s="32"/>
      <c r="I2" s="32"/>
      <c r="J2" s="32"/>
    </row>
    <row r="3" spans="1:32" ht="16.350000000000001" customHeight="1">
      <c r="A3" s="38" t="s">
        <v>1339</v>
      </c>
      <c r="B3" s="32"/>
      <c r="C3" s="32"/>
      <c r="D3" s="32"/>
      <c r="E3" s="32"/>
      <c r="F3" s="32"/>
      <c r="G3" s="32"/>
      <c r="H3" s="32"/>
      <c r="I3" s="32"/>
      <c r="J3" s="32"/>
    </row>
    <row r="4" spans="1:32">
      <c r="A4" s="38" t="s">
        <v>3918</v>
      </c>
      <c r="B4" s="32"/>
      <c r="C4" s="32"/>
      <c r="D4" s="32"/>
      <c r="E4" s="32"/>
      <c r="F4" s="32"/>
      <c r="G4" s="32"/>
      <c r="H4" s="32"/>
      <c r="I4" s="32"/>
      <c r="J4" s="32"/>
    </row>
    <row r="5" spans="1:32">
      <c r="A5" s="291" t="s">
        <v>1654</v>
      </c>
      <c r="B5" s="32"/>
      <c r="C5" s="32"/>
      <c r="D5" s="32"/>
      <c r="E5" s="32"/>
      <c r="F5" s="32"/>
      <c r="G5" s="32"/>
      <c r="H5" s="32"/>
      <c r="I5" s="32"/>
      <c r="J5" s="32"/>
    </row>
    <row r="6" spans="1:32">
      <c r="A6" s="38" t="s">
        <v>1655</v>
      </c>
      <c r="B6" s="32"/>
      <c r="C6" s="32"/>
      <c r="D6" s="32"/>
      <c r="E6" s="32"/>
      <c r="F6" s="32"/>
      <c r="G6" s="32"/>
      <c r="H6" s="32"/>
      <c r="I6" s="32"/>
      <c r="J6" s="32"/>
    </row>
    <row r="7" spans="1:32">
      <c r="A7" s="292" t="s">
        <v>4271</v>
      </c>
      <c r="B7" s="32"/>
      <c r="C7" s="32"/>
      <c r="D7" s="32"/>
      <c r="E7" s="32"/>
      <c r="F7" s="32"/>
      <c r="G7" s="32"/>
      <c r="H7" s="32"/>
      <c r="I7" s="32"/>
      <c r="J7" s="32"/>
    </row>
    <row r="8" spans="1:32">
      <c r="A8" s="292" t="s">
        <v>1656</v>
      </c>
      <c r="B8" s="32"/>
      <c r="C8" s="32"/>
      <c r="D8" s="32"/>
      <c r="E8" s="32"/>
      <c r="F8" s="32"/>
      <c r="G8" s="32"/>
      <c r="H8" s="32"/>
      <c r="I8" s="32"/>
      <c r="J8" s="32"/>
    </row>
    <row r="9" spans="1:32">
      <c r="A9" s="291" t="s">
        <v>1657</v>
      </c>
      <c r="B9" s="32"/>
      <c r="C9" s="32"/>
      <c r="D9" s="32"/>
      <c r="E9" s="32"/>
      <c r="F9" s="32"/>
      <c r="G9" s="32"/>
      <c r="H9" s="32"/>
      <c r="I9" s="32"/>
      <c r="J9" s="32"/>
    </row>
    <row r="13" spans="1:32">
      <c r="B13" s="104"/>
      <c r="C13" s="104"/>
      <c r="D13" s="104"/>
      <c r="E13" s="104"/>
      <c r="F13" s="104"/>
      <c r="G13" s="104"/>
      <c r="H13" s="104"/>
      <c r="K13" s="104"/>
      <c r="L13" s="104"/>
      <c r="M13" s="104"/>
      <c r="N13" s="104"/>
      <c r="O13" s="293"/>
      <c r="P13" s="293"/>
      <c r="Q13" s="104"/>
      <c r="R13" s="104"/>
      <c r="S13" s="104"/>
      <c r="T13" s="104"/>
      <c r="U13" s="104"/>
      <c r="V13" s="104"/>
      <c r="W13" s="104"/>
      <c r="X13" s="104"/>
      <c r="Y13" s="104"/>
      <c r="Z13" s="104"/>
      <c r="AA13" s="104"/>
      <c r="AB13" s="104"/>
      <c r="AC13" s="104"/>
      <c r="AD13" s="104"/>
      <c r="AE13" s="104"/>
      <c r="AF13" s="104"/>
    </row>
    <row r="14" spans="1:32">
      <c r="B14" s="104"/>
      <c r="C14" s="104"/>
      <c r="D14" s="104"/>
      <c r="E14" s="104"/>
      <c r="F14" s="104"/>
      <c r="G14" s="104"/>
      <c r="H14" s="104"/>
      <c r="K14" s="104"/>
      <c r="L14" s="104"/>
      <c r="M14" s="104"/>
      <c r="N14" s="104"/>
      <c r="O14" s="293"/>
      <c r="P14" s="293"/>
      <c r="Q14" s="104"/>
      <c r="R14" s="104"/>
      <c r="S14" s="104"/>
      <c r="T14" s="104"/>
      <c r="U14" s="104"/>
      <c r="V14" s="104"/>
      <c r="W14" s="104"/>
      <c r="X14" s="104"/>
      <c r="Y14" s="104"/>
      <c r="Z14" s="104"/>
      <c r="AA14" s="104"/>
      <c r="AB14" s="104"/>
      <c r="AC14" s="104"/>
      <c r="AD14" s="104"/>
      <c r="AE14" s="104"/>
      <c r="AF14" s="104"/>
    </row>
    <row r="15" spans="1:32" ht="18.75" customHeight="1"/>
    <row r="16" spans="1:32">
      <c r="A16" s="267" t="s">
        <v>1237</v>
      </c>
    </row>
    <row r="17" spans="1:11" ht="9" customHeight="1">
      <c r="A17" s="267"/>
    </row>
    <row r="18" spans="1:11">
      <c r="B18" s="53" t="s">
        <v>312</v>
      </c>
      <c r="C18" s="53" t="s">
        <v>312</v>
      </c>
      <c r="D18" s="53" t="s">
        <v>312</v>
      </c>
      <c r="E18" s="53" t="s">
        <v>312</v>
      </c>
      <c r="F18" s="53" t="s">
        <v>312</v>
      </c>
      <c r="G18" s="53" t="s">
        <v>312</v>
      </c>
      <c r="H18" s="269"/>
    </row>
    <row r="19" spans="1:11" ht="60">
      <c r="A19" s="270" t="s">
        <v>1238</v>
      </c>
      <c r="B19" s="271" t="s">
        <v>1658</v>
      </c>
      <c r="C19" s="294" t="s">
        <v>1659</v>
      </c>
      <c r="D19" s="294" t="s">
        <v>3917</v>
      </c>
      <c r="E19" s="294" t="s">
        <v>4270</v>
      </c>
      <c r="F19" s="294" t="s">
        <v>1660</v>
      </c>
      <c r="G19" s="294" t="s">
        <v>1661</v>
      </c>
      <c r="H19" s="288" t="s">
        <v>3916</v>
      </c>
      <c r="I19" s="288" t="s">
        <v>1662</v>
      </c>
      <c r="J19" s="288" t="s">
        <v>322</v>
      </c>
      <c r="K19"/>
    </row>
    <row r="20" spans="1:11" ht="15">
      <c r="A20" s="272">
        <v>1</v>
      </c>
      <c r="B20" s="147" t="s">
        <v>1242</v>
      </c>
      <c r="C20" s="295" t="s">
        <v>3886</v>
      </c>
      <c r="D20" s="295">
        <v>40000000000</v>
      </c>
      <c r="E20" s="296">
        <v>1</v>
      </c>
      <c r="F20" s="295">
        <v>80000000000</v>
      </c>
      <c r="G20" s="295">
        <v>1000000</v>
      </c>
      <c r="H20" s="798">
        <f>IFERROR(G20/F20,"")</f>
        <v>1.2500000000000001E-5</v>
      </c>
      <c r="I20" s="209">
        <f>IFERROR(VLOOKUP(C20,IndustryFactors_v1.4!$B$2:$C$210,2),"")</f>
        <v>5.1040409437033758E-2</v>
      </c>
      <c r="J20" s="210">
        <f>IFERROR(D20*E20*H20*I20/1000*'Reporting Year &amp; Inflation Adj.'!$F$9,"")</f>
        <v>24.754598576961367</v>
      </c>
      <c r="K20" s="297"/>
    </row>
    <row r="21" spans="1:11" ht="15">
      <c r="A21" s="272">
        <v>2</v>
      </c>
      <c r="B21" s="150"/>
      <c r="C21" s="150"/>
      <c r="D21" s="298"/>
      <c r="E21" s="299"/>
      <c r="F21" s="298"/>
      <c r="G21" s="298"/>
      <c r="H21" s="799" t="str">
        <f>IFERROR(G21/F21,"")</f>
        <v/>
      </c>
      <c r="I21" s="209" t="str">
        <f>IFERROR(VLOOKUP(C21,IndustryFactors_v1.4!$B$2:$C$210,2),"")</f>
        <v/>
      </c>
      <c r="J21" s="217" t="str">
        <f>IFERROR(D21*E21*H21*I21/1000*'Reporting Year &amp; Inflation Adj.'!$F$9,"")</f>
        <v/>
      </c>
    </row>
    <row r="22" spans="1:11" ht="15">
      <c r="A22" s="272">
        <v>3</v>
      </c>
      <c r="B22" s="150"/>
      <c r="C22" s="150"/>
      <c r="D22" s="298"/>
      <c r="E22" s="299"/>
      <c r="F22" s="298"/>
      <c r="G22" s="298"/>
      <c r="H22" s="799" t="str">
        <f t="shared" ref="H22:H69" si="0">IFERROR(G22/F22,"")</f>
        <v/>
      </c>
      <c r="I22" s="209" t="str">
        <f>IFERROR(VLOOKUP(C22,IndustryFactors_v1.4!$B$2:$C$210,2),"")</f>
        <v/>
      </c>
      <c r="J22" s="217" t="str">
        <f>IFERROR(D22*E22*H22*I22/1000*'Reporting Year &amp; Inflation Adj.'!$F$9,"")</f>
        <v/>
      </c>
    </row>
    <row r="23" spans="1:11" ht="15">
      <c r="A23" s="272">
        <v>4</v>
      </c>
      <c r="B23" s="150"/>
      <c r="C23" s="150"/>
      <c r="D23" s="298"/>
      <c r="E23" s="299"/>
      <c r="F23" s="298"/>
      <c r="G23" s="298"/>
      <c r="H23" s="799" t="str">
        <f t="shared" si="0"/>
        <v/>
      </c>
      <c r="I23" s="209" t="str">
        <f>IFERROR(VLOOKUP(C23,IndustryFactors_v1.4!$B$2:$C$210,2),"")</f>
        <v/>
      </c>
      <c r="J23" s="217" t="str">
        <f>IFERROR(D23*E23*H23*I23/1000*'Reporting Year &amp; Inflation Adj.'!$F$9,"")</f>
        <v/>
      </c>
    </row>
    <row r="24" spans="1:11" ht="15">
      <c r="A24" s="272">
        <v>5</v>
      </c>
      <c r="B24" s="150"/>
      <c r="C24" s="150"/>
      <c r="D24" s="298"/>
      <c r="E24" s="299"/>
      <c r="F24" s="298"/>
      <c r="G24" s="298"/>
      <c r="H24" s="799" t="str">
        <f t="shared" si="0"/>
        <v/>
      </c>
      <c r="I24" s="209" t="str">
        <f>IFERROR(VLOOKUP(C24,IndustryFactors_v1.4!$B$2:$C$210,2),"")</f>
        <v/>
      </c>
      <c r="J24" s="217" t="str">
        <f>IFERROR(D24*E24*H24*I24/1000*'Reporting Year &amp; Inflation Adj.'!$F$9,"")</f>
        <v/>
      </c>
    </row>
    <row r="25" spans="1:11" ht="15">
      <c r="A25" s="272">
        <v>6</v>
      </c>
      <c r="B25" s="150"/>
      <c r="C25" s="150"/>
      <c r="D25" s="298"/>
      <c r="E25" s="299"/>
      <c r="F25" s="298"/>
      <c r="G25" s="298"/>
      <c r="H25" s="799" t="str">
        <f t="shared" si="0"/>
        <v/>
      </c>
      <c r="I25" s="209" t="str">
        <f>IFERROR(VLOOKUP(C25,IndustryFactors_v1.4!$B$2:$C$210,2),"")</f>
        <v/>
      </c>
      <c r="J25" s="217" t="str">
        <f>IFERROR(D25*E25*H25*I25/1000*'Reporting Year &amp; Inflation Adj.'!$F$9,"")</f>
        <v/>
      </c>
    </row>
    <row r="26" spans="1:11" ht="15">
      <c r="A26" s="272">
        <v>7</v>
      </c>
      <c r="B26" s="150"/>
      <c r="C26" s="150"/>
      <c r="D26" s="298"/>
      <c r="E26" s="299"/>
      <c r="F26" s="298"/>
      <c r="G26" s="298"/>
      <c r="H26" s="799" t="str">
        <f t="shared" si="0"/>
        <v/>
      </c>
      <c r="I26" s="209" t="str">
        <f>IFERROR(VLOOKUP(C26,IndustryFactors_v1.4!$B$2:$C$210,2),"")</f>
        <v/>
      </c>
      <c r="J26" s="217" t="str">
        <f>IFERROR(D26*E26*H26*I26/1000*'Reporting Year &amp; Inflation Adj.'!$F$9,"")</f>
        <v/>
      </c>
    </row>
    <row r="27" spans="1:11" ht="15">
      <c r="A27" s="272">
        <v>8</v>
      </c>
      <c r="B27" s="150"/>
      <c r="C27" s="150"/>
      <c r="D27" s="298"/>
      <c r="E27" s="299"/>
      <c r="F27" s="298"/>
      <c r="G27" s="298"/>
      <c r="H27" s="799" t="str">
        <f t="shared" si="0"/>
        <v/>
      </c>
      <c r="I27" s="209" t="str">
        <f>IFERROR(VLOOKUP(C27,IndustryFactors_v1.4!$B$2:$C$210,2),"")</f>
        <v/>
      </c>
      <c r="J27" s="217" t="str">
        <f>IFERROR(D27*E27*H27*I27/1000*'Reporting Year &amp; Inflation Adj.'!$F$9,"")</f>
        <v/>
      </c>
    </row>
    <row r="28" spans="1:11" ht="15">
      <c r="A28" s="272">
        <v>9</v>
      </c>
      <c r="B28" s="150"/>
      <c r="C28" s="150"/>
      <c r="D28" s="298"/>
      <c r="E28" s="299"/>
      <c r="F28" s="298"/>
      <c r="G28" s="298"/>
      <c r="H28" s="799" t="str">
        <f t="shared" si="0"/>
        <v/>
      </c>
      <c r="I28" s="209" t="str">
        <f>IFERROR(VLOOKUP(C28,IndustryFactors_v1.4!$B$2:$C$210,2),"")</f>
        <v/>
      </c>
      <c r="J28" s="217" t="str">
        <f>IFERROR(D28*E28*H28*I28/1000*'Reporting Year &amp; Inflation Adj.'!$F$9,"")</f>
        <v/>
      </c>
    </row>
    <row r="29" spans="1:11" ht="15">
      <c r="A29" s="272">
        <v>10</v>
      </c>
      <c r="B29" s="150"/>
      <c r="C29" s="150"/>
      <c r="D29" s="298"/>
      <c r="E29" s="299"/>
      <c r="F29" s="298"/>
      <c r="G29" s="298"/>
      <c r="H29" s="799" t="str">
        <f t="shared" si="0"/>
        <v/>
      </c>
      <c r="I29" s="209" t="str">
        <f>IFERROR(VLOOKUP(C29,IndustryFactors_v1.4!$B$2:$C$210,2),"")</f>
        <v/>
      </c>
      <c r="J29" s="217" t="str">
        <f>IFERROR(D29*E29*H29*I29/1000*'Reporting Year &amp; Inflation Adj.'!$F$9,"")</f>
        <v/>
      </c>
    </row>
    <row r="30" spans="1:11" ht="15">
      <c r="A30" s="272">
        <v>11</v>
      </c>
      <c r="B30" s="150"/>
      <c r="C30" s="150"/>
      <c r="D30" s="298"/>
      <c r="E30" s="299"/>
      <c r="F30" s="298"/>
      <c r="G30" s="298"/>
      <c r="H30" s="799" t="str">
        <f t="shared" si="0"/>
        <v/>
      </c>
      <c r="I30" s="209" t="str">
        <f>IFERROR(VLOOKUP(C30,IndustryFactors_v1.4!$B$2:$C$210,2),"")</f>
        <v/>
      </c>
      <c r="J30" s="217" t="str">
        <f>IFERROR(D30*E30*H30*I30/1000*'Reporting Year &amp; Inflation Adj.'!$F$9,"")</f>
        <v/>
      </c>
    </row>
    <row r="31" spans="1:11" ht="15">
      <c r="A31" s="272">
        <v>12</v>
      </c>
      <c r="B31" s="150"/>
      <c r="C31" s="150"/>
      <c r="D31" s="298"/>
      <c r="E31" s="299"/>
      <c r="F31" s="298"/>
      <c r="G31" s="298"/>
      <c r="H31" s="799" t="str">
        <f t="shared" si="0"/>
        <v/>
      </c>
      <c r="I31" s="209" t="str">
        <f>IFERROR(VLOOKUP(C31,IndustryFactors_v1.4!$B$2:$C$210,2),"")</f>
        <v/>
      </c>
      <c r="J31" s="217" t="str">
        <f>IFERROR(D31*E31*H31*I31/1000*'Reporting Year &amp; Inflation Adj.'!$F$9,"")</f>
        <v/>
      </c>
    </row>
    <row r="32" spans="1:11" ht="15">
      <c r="A32" s="272">
        <v>13</v>
      </c>
      <c r="B32" s="150"/>
      <c r="C32" s="150"/>
      <c r="D32" s="298"/>
      <c r="E32" s="299"/>
      <c r="F32" s="298"/>
      <c r="G32" s="298"/>
      <c r="H32" s="799" t="str">
        <f t="shared" si="0"/>
        <v/>
      </c>
      <c r="I32" s="209" t="str">
        <f>IFERROR(VLOOKUP(C32,IndustryFactors_v1.4!$B$2:$C$210,2),"")</f>
        <v/>
      </c>
      <c r="J32" s="217" t="str">
        <f>IFERROR(D32*E32*H32*I32/1000*'Reporting Year &amp; Inflation Adj.'!$F$9,"")</f>
        <v/>
      </c>
    </row>
    <row r="33" spans="1:10" ht="15">
      <c r="A33" s="272">
        <v>14</v>
      </c>
      <c r="B33" s="150"/>
      <c r="C33" s="150"/>
      <c r="D33" s="298"/>
      <c r="E33" s="299"/>
      <c r="F33" s="298"/>
      <c r="G33" s="298"/>
      <c r="H33" s="799" t="str">
        <f t="shared" si="0"/>
        <v/>
      </c>
      <c r="I33" s="209" t="str">
        <f>IFERROR(VLOOKUP(C33,IndustryFactors_v1.4!$B$2:$C$210,2),"")</f>
        <v/>
      </c>
      <c r="J33" s="217" t="str">
        <f>IFERROR(D33*E33*H33*I33/1000*'Reporting Year &amp; Inflation Adj.'!$F$9,"")</f>
        <v/>
      </c>
    </row>
    <row r="34" spans="1:10" ht="15">
      <c r="A34" s="272">
        <v>15</v>
      </c>
      <c r="B34" s="150"/>
      <c r="C34" s="150"/>
      <c r="D34" s="298"/>
      <c r="E34" s="299"/>
      <c r="F34" s="298"/>
      <c r="G34" s="298"/>
      <c r="H34" s="799" t="str">
        <f t="shared" si="0"/>
        <v/>
      </c>
      <c r="I34" s="209" t="str">
        <f>IFERROR(VLOOKUP(C34,IndustryFactors_v1.4!$B$2:$C$210,2),"")</f>
        <v/>
      </c>
      <c r="J34" s="217" t="str">
        <f>IFERROR(D34*E34*H34*I34/1000*'Reporting Year &amp; Inflation Adj.'!$F$9,"")</f>
        <v/>
      </c>
    </row>
    <row r="35" spans="1:10" ht="15">
      <c r="A35" s="272">
        <v>16</v>
      </c>
      <c r="B35" s="150"/>
      <c r="C35" s="150"/>
      <c r="D35" s="298"/>
      <c r="E35" s="299"/>
      <c r="F35" s="298"/>
      <c r="G35" s="298"/>
      <c r="H35" s="799" t="str">
        <f t="shared" si="0"/>
        <v/>
      </c>
      <c r="I35" s="209" t="str">
        <f>IFERROR(VLOOKUP(C35,IndustryFactors_v1.4!$B$2:$C$210,2),"")</f>
        <v/>
      </c>
      <c r="J35" s="217" t="str">
        <f>IFERROR(D35*E35*H35*I35/1000*'Reporting Year &amp; Inflation Adj.'!$F$9,"")</f>
        <v/>
      </c>
    </row>
    <row r="36" spans="1:10" ht="15">
      <c r="A36" s="272">
        <v>17</v>
      </c>
      <c r="B36" s="150"/>
      <c r="C36" s="150"/>
      <c r="D36" s="298"/>
      <c r="E36" s="299"/>
      <c r="F36" s="298"/>
      <c r="G36" s="298"/>
      <c r="H36" s="799" t="str">
        <f t="shared" si="0"/>
        <v/>
      </c>
      <c r="I36" s="209" t="str">
        <f>IFERROR(VLOOKUP(C36,IndustryFactors_v1.4!$B$2:$C$210,2),"")</f>
        <v/>
      </c>
      <c r="J36" s="217" t="str">
        <f>IFERROR(D36*E36*H36*I36/1000*'Reporting Year &amp; Inflation Adj.'!$F$9,"")</f>
        <v/>
      </c>
    </row>
    <row r="37" spans="1:10" ht="15">
      <c r="A37" s="272">
        <v>18</v>
      </c>
      <c r="B37" s="150"/>
      <c r="C37" s="150"/>
      <c r="D37" s="298"/>
      <c r="E37" s="299"/>
      <c r="F37" s="298"/>
      <c r="G37" s="298"/>
      <c r="H37" s="799" t="str">
        <f t="shared" si="0"/>
        <v/>
      </c>
      <c r="I37" s="209" t="str">
        <f>IFERROR(VLOOKUP(C37,IndustryFactors_v1.4!$B$2:$C$210,2),"")</f>
        <v/>
      </c>
      <c r="J37" s="217" t="str">
        <f>IFERROR(D37*E37*H37*I37/1000*'Reporting Year &amp; Inflation Adj.'!$F$9,"")</f>
        <v/>
      </c>
    </row>
    <row r="38" spans="1:10" ht="15">
      <c r="A38" s="272">
        <v>19</v>
      </c>
      <c r="B38" s="150"/>
      <c r="C38" s="150"/>
      <c r="D38" s="298"/>
      <c r="E38" s="299"/>
      <c r="F38" s="298"/>
      <c r="G38" s="298"/>
      <c r="H38" s="799" t="str">
        <f t="shared" si="0"/>
        <v/>
      </c>
      <c r="I38" s="209" t="str">
        <f>IFERROR(VLOOKUP(C38,IndustryFactors_v1.4!$B$2:$C$210,2),"")</f>
        <v/>
      </c>
      <c r="J38" s="217" t="str">
        <f>IFERROR(D38*E38*H38*I38/1000*'Reporting Year &amp; Inflation Adj.'!$F$9,"")</f>
        <v/>
      </c>
    </row>
    <row r="39" spans="1:10" ht="15">
      <c r="A39" s="272">
        <v>20</v>
      </c>
      <c r="B39" s="150"/>
      <c r="C39" s="150"/>
      <c r="D39" s="298"/>
      <c r="E39" s="299"/>
      <c r="F39" s="298"/>
      <c r="G39" s="298"/>
      <c r="H39" s="799" t="str">
        <f t="shared" si="0"/>
        <v/>
      </c>
      <c r="I39" s="209" t="str">
        <f>IFERROR(VLOOKUP(C39,IndustryFactors_v1.4!$B$2:$C$210,2),"")</f>
        <v/>
      </c>
      <c r="J39" s="217" t="str">
        <f>IFERROR(D39*E39*H39*I39/1000*'Reporting Year &amp; Inflation Adj.'!$F$9,"")</f>
        <v/>
      </c>
    </row>
    <row r="40" spans="1:10" ht="15">
      <c r="A40" s="272">
        <v>21</v>
      </c>
      <c r="B40" s="150"/>
      <c r="C40" s="150"/>
      <c r="D40" s="298"/>
      <c r="E40" s="299"/>
      <c r="F40" s="298"/>
      <c r="G40" s="298"/>
      <c r="H40" s="799" t="str">
        <f t="shared" si="0"/>
        <v/>
      </c>
      <c r="I40" s="209" t="str">
        <f>IFERROR(VLOOKUP(C40,IndustryFactors_v1.4!$B$2:$C$210,2),"")</f>
        <v/>
      </c>
      <c r="J40" s="217" t="str">
        <f>IFERROR(D40*E40*H40*I40/1000*'Reporting Year &amp; Inflation Adj.'!$F$9,"")</f>
        <v/>
      </c>
    </row>
    <row r="41" spans="1:10" ht="15">
      <c r="A41" s="272">
        <v>22</v>
      </c>
      <c r="B41" s="150"/>
      <c r="C41" s="150"/>
      <c r="D41" s="298"/>
      <c r="E41" s="299"/>
      <c r="F41" s="298"/>
      <c r="G41" s="298"/>
      <c r="H41" s="799" t="str">
        <f t="shared" si="0"/>
        <v/>
      </c>
      <c r="I41" s="209" t="str">
        <f>IFERROR(VLOOKUP(C41,IndustryFactors_v1.4!$B$2:$C$210,2),"")</f>
        <v/>
      </c>
      <c r="J41" s="217" t="str">
        <f>IFERROR(D41*E41*H41*I41/1000*'Reporting Year &amp; Inflation Adj.'!$F$9,"")</f>
        <v/>
      </c>
    </row>
    <row r="42" spans="1:10" ht="15">
      <c r="A42" s="272">
        <v>23</v>
      </c>
      <c r="B42" s="150"/>
      <c r="C42" s="150"/>
      <c r="D42" s="298"/>
      <c r="E42" s="299"/>
      <c r="F42" s="298"/>
      <c r="G42" s="298"/>
      <c r="H42" s="799" t="str">
        <f t="shared" si="0"/>
        <v/>
      </c>
      <c r="I42" s="209" t="str">
        <f>IFERROR(VLOOKUP(C42,IndustryFactors_v1.4!$B$2:$C$210,2),"")</f>
        <v/>
      </c>
      <c r="J42" s="217" t="str">
        <f>IFERROR(D42*E42*H42*I42/1000*'Reporting Year &amp; Inflation Adj.'!$F$9,"")</f>
        <v/>
      </c>
    </row>
    <row r="43" spans="1:10" ht="15">
      <c r="A43" s="272">
        <v>24</v>
      </c>
      <c r="B43" s="150"/>
      <c r="C43" s="150"/>
      <c r="D43" s="298"/>
      <c r="E43" s="299"/>
      <c r="F43" s="298"/>
      <c r="G43" s="298"/>
      <c r="H43" s="799" t="str">
        <f t="shared" si="0"/>
        <v/>
      </c>
      <c r="I43" s="209" t="str">
        <f>IFERROR(VLOOKUP(C43,IndustryFactors_v1.4!$B$2:$C$210,2),"")</f>
        <v/>
      </c>
      <c r="J43" s="217" t="str">
        <f>IFERROR(D43*E43*H43*I43/1000*'Reporting Year &amp; Inflation Adj.'!$F$9,"")</f>
        <v/>
      </c>
    </row>
    <row r="44" spans="1:10" ht="15">
      <c r="A44" s="272">
        <v>25</v>
      </c>
      <c r="B44" s="150"/>
      <c r="C44" s="150"/>
      <c r="D44" s="298"/>
      <c r="E44" s="299"/>
      <c r="F44" s="298"/>
      <c r="G44" s="298"/>
      <c r="H44" s="799" t="str">
        <f t="shared" si="0"/>
        <v/>
      </c>
      <c r="I44" s="209" t="str">
        <f>IFERROR(VLOOKUP(C44,IndustryFactors_v1.4!$B$2:$C$210,2),"")</f>
        <v/>
      </c>
      <c r="J44" s="217" t="str">
        <f>IFERROR(D44*E44*H44*I44/1000*'Reporting Year &amp; Inflation Adj.'!$F$9,"")</f>
        <v/>
      </c>
    </row>
    <row r="45" spans="1:10" ht="15">
      <c r="A45" s="272">
        <v>26</v>
      </c>
      <c r="B45" s="150"/>
      <c r="C45" s="150"/>
      <c r="D45" s="298"/>
      <c r="E45" s="299"/>
      <c r="F45" s="298"/>
      <c r="G45" s="298"/>
      <c r="H45" s="799" t="str">
        <f t="shared" si="0"/>
        <v/>
      </c>
      <c r="I45" s="209" t="str">
        <f>IFERROR(VLOOKUP(C45,IndustryFactors_v1.4!$B$2:$C$210,2),"")</f>
        <v/>
      </c>
      <c r="J45" s="217" t="str">
        <f>IFERROR(D45*E45*H45*I45/1000*'Reporting Year &amp; Inflation Adj.'!$F$9,"")</f>
        <v/>
      </c>
    </row>
    <row r="46" spans="1:10" ht="15">
      <c r="A46" s="272">
        <v>27</v>
      </c>
      <c r="B46" s="150"/>
      <c r="C46" s="150"/>
      <c r="D46" s="298"/>
      <c r="E46" s="299"/>
      <c r="F46" s="298"/>
      <c r="G46" s="298"/>
      <c r="H46" s="799" t="str">
        <f t="shared" si="0"/>
        <v/>
      </c>
      <c r="I46" s="209" t="str">
        <f>IFERROR(VLOOKUP(C46,IndustryFactors_v1.4!$B$2:$C$210,2),"")</f>
        <v/>
      </c>
      <c r="J46" s="217" t="str">
        <f>IFERROR(D46*E46*H46*I46/1000*'Reporting Year &amp; Inflation Adj.'!$F$9,"")</f>
        <v/>
      </c>
    </row>
    <row r="47" spans="1:10" ht="15">
      <c r="A47" s="272">
        <v>28</v>
      </c>
      <c r="B47" s="150"/>
      <c r="C47" s="150"/>
      <c r="D47" s="298"/>
      <c r="E47" s="299"/>
      <c r="F47" s="298"/>
      <c r="G47" s="298"/>
      <c r="H47" s="799" t="str">
        <f t="shared" si="0"/>
        <v/>
      </c>
      <c r="I47" s="209" t="str">
        <f>IFERROR(VLOOKUP(C47,IndustryFactors_v1.4!$B$2:$C$210,2),"")</f>
        <v/>
      </c>
      <c r="J47" s="217" t="str">
        <f>IFERROR(D47*E47*H47*I47/1000*'Reporting Year &amp; Inflation Adj.'!$F$9,"")</f>
        <v/>
      </c>
    </row>
    <row r="48" spans="1:10" ht="15">
      <c r="A48" s="272">
        <v>29</v>
      </c>
      <c r="B48" s="150"/>
      <c r="C48" s="150"/>
      <c r="D48" s="298"/>
      <c r="E48" s="299"/>
      <c r="F48" s="298"/>
      <c r="G48" s="298"/>
      <c r="H48" s="799" t="str">
        <f t="shared" si="0"/>
        <v/>
      </c>
      <c r="I48" s="209" t="str">
        <f>IFERROR(VLOOKUP(C48,IndustryFactors_v1.4!$B$2:$C$210,2),"")</f>
        <v/>
      </c>
      <c r="J48" s="217" t="str">
        <f>IFERROR(D48*E48*H48*I48/1000*'Reporting Year &amp; Inflation Adj.'!$F$9,"")</f>
        <v/>
      </c>
    </row>
    <row r="49" spans="1:10" ht="15">
      <c r="A49" s="272">
        <v>30</v>
      </c>
      <c r="B49" s="150"/>
      <c r="C49" s="150"/>
      <c r="D49" s="298"/>
      <c r="E49" s="299"/>
      <c r="F49" s="298"/>
      <c r="G49" s="298"/>
      <c r="H49" s="799" t="str">
        <f t="shared" si="0"/>
        <v/>
      </c>
      <c r="I49" s="209" t="str">
        <f>IFERROR(VLOOKUP(C49,IndustryFactors_v1.4!$B$2:$C$210,2),"")</f>
        <v/>
      </c>
      <c r="J49" s="217" t="str">
        <f>IFERROR(D49*E49*H49*I49/1000*'Reporting Year &amp; Inflation Adj.'!$F$9,"")</f>
        <v/>
      </c>
    </row>
    <row r="50" spans="1:10" ht="15">
      <c r="A50" s="272">
        <v>31</v>
      </c>
      <c r="B50" s="150"/>
      <c r="C50" s="150"/>
      <c r="D50" s="298"/>
      <c r="E50" s="299"/>
      <c r="F50" s="298"/>
      <c r="G50" s="298"/>
      <c r="H50" s="799" t="str">
        <f t="shared" si="0"/>
        <v/>
      </c>
      <c r="I50" s="209" t="str">
        <f>IFERROR(VLOOKUP(C50,IndustryFactors_v1.4!$B$2:$C$210,2),"")</f>
        <v/>
      </c>
      <c r="J50" s="217" t="str">
        <f>IFERROR(D50*E50*H50*I50/1000*'Reporting Year &amp; Inflation Adj.'!$F$9,"")</f>
        <v/>
      </c>
    </row>
    <row r="51" spans="1:10" ht="15">
      <c r="A51" s="272">
        <v>32</v>
      </c>
      <c r="B51" s="150"/>
      <c r="C51" s="150"/>
      <c r="D51" s="298"/>
      <c r="E51" s="299"/>
      <c r="F51" s="298"/>
      <c r="G51" s="298"/>
      <c r="H51" s="799" t="str">
        <f t="shared" si="0"/>
        <v/>
      </c>
      <c r="I51" s="209" t="str">
        <f>IFERROR(VLOOKUP(C51,IndustryFactors_v1.4!$B$2:$C$210,2),"")</f>
        <v/>
      </c>
      <c r="J51" s="217" t="str">
        <f>IFERROR(D51*E51*H51*I51/1000*'Reporting Year &amp; Inflation Adj.'!$F$9,"")</f>
        <v/>
      </c>
    </row>
    <row r="52" spans="1:10" ht="15">
      <c r="A52" s="272">
        <v>33</v>
      </c>
      <c r="B52" s="150"/>
      <c r="C52" s="150"/>
      <c r="D52" s="298"/>
      <c r="E52" s="299"/>
      <c r="F52" s="298"/>
      <c r="G52" s="298"/>
      <c r="H52" s="799" t="str">
        <f t="shared" si="0"/>
        <v/>
      </c>
      <c r="I52" s="209" t="str">
        <f>IFERROR(VLOOKUP(C52,IndustryFactors_v1.4!$B$2:$C$210,2),"")</f>
        <v/>
      </c>
      <c r="J52" s="217" t="str">
        <f>IFERROR(D52*E52*H52*I52/1000*'Reporting Year &amp; Inflation Adj.'!$F$9,"")</f>
        <v/>
      </c>
    </row>
    <row r="53" spans="1:10" ht="15">
      <c r="A53" s="272">
        <v>34</v>
      </c>
      <c r="B53" s="150"/>
      <c r="C53" s="150"/>
      <c r="D53" s="298"/>
      <c r="E53" s="299"/>
      <c r="F53" s="298"/>
      <c r="G53" s="298"/>
      <c r="H53" s="799" t="str">
        <f t="shared" si="0"/>
        <v/>
      </c>
      <c r="I53" s="209" t="str">
        <f>IFERROR(VLOOKUP(C53,IndustryFactors_v1.4!$B$2:$C$210,2),"")</f>
        <v/>
      </c>
      <c r="J53" s="217" t="str">
        <f>IFERROR(D53*E53*H53*I53/1000*'Reporting Year &amp; Inflation Adj.'!$F$9,"")</f>
        <v/>
      </c>
    </row>
    <row r="54" spans="1:10" ht="15">
      <c r="A54" s="272">
        <v>35</v>
      </c>
      <c r="B54" s="150"/>
      <c r="C54" s="150"/>
      <c r="D54" s="298"/>
      <c r="E54" s="299"/>
      <c r="F54" s="298"/>
      <c r="G54" s="298"/>
      <c r="H54" s="799" t="str">
        <f t="shared" si="0"/>
        <v/>
      </c>
      <c r="I54" s="209" t="str">
        <f>IFERROR(VLOOKUP(C54,IndustryFactors_v1.4!$B$2:$C$210,2),"")</f>
        <v/>
      </c>
      <c r="J54" s="217" t="str">
        <f>IFERROR(D54*E54*H54*I54/1000*'Reporting Year &amp; Inflation Adj.'!$F$9,"")</f>
        <v/>
      </c>
    </row>
    <row r="55" spans="1:10" ht="15">
      <c r="A55" s="272">
        <v>36</v>
      </c>
      <c r="B55" s="150"/>
      <c r="C55" s="150"/>
      <c r="D55" s="298"/>
      <c r="E55" s="299"/>
      <c r="F55" s="298"/>
      <c r="G55" s="298"/>
      <c r="H55" s="799" t="str">
        <f t="shared" si="0"/>
        <v/>
      </c>
      <c r="I55" s="209" t="str">
        <f>IFERROR(VLOOKUP(C55,IndustryFactors_v1.4!$B$2:$C$210,2),"")</f>
        <v/>
      </c>
      <c r="J55" s="217" t="str">
        <f>IFERROR(D55*E55*H55*I55/1000*'Reporting Year &amp; Inflation Adj.'!$F$9,"")</f>
        <v/>
      </c>
    </row>
    <row r="56" spans="1:10" ht="15">
      <c r="A56" s="272">
        <v>37</v>
      </c>
      <c r="B56" s="150"/>
      <c r="C56" s="150"/>
      <c r="D56" s="298"/>
      <c r="E56" s="299"/>
      <c r="F56" s="298"/>
      <c r="G56" s="298"/>
      <c r="H56" s="799" t="str">
        <f t="shared" si="0"/>
        <v/>
      </c>
      <c r="I56" s="209" t="str">
        <f>IFERROR(VLOOKUP(C56,IndustryFactors_v1.4!$B$2:$C$210,2),"")</f>
        <v/>
      </c>
      <c r="J56" s="217" t="str">
        <f>IFERROR(D56*E56*H56*I56/1000*'Reporting Year &amp; Inflation Adj.'!$F$9,"")</f>
        <v/>
      </c>
    </row>
    <row r="57" spans="1:10" ht="15">
      <c r="A57" s="272">
        <v>38</v>
      </c>
      <c r="B57" s="150"/>
      <c r="C57" s="150"/>
      <c r="D57" s="298"/>
      <c r="E57" s="299"/>
      <c r="F57" s="298"/>
      <c r="G57" s="298"/>
      <c r="H57" s="799" t="str">
        <f t="shared" si="0"/>
        <v/>
      </c>
      <c r="I57" s="209" t="str">
        <f>IFERROR(VLOOKUP(C57,IndustryFactors_v1.4!$B$2:$C$210,2),"")</f>
        <v/>
      </c>
      <c r="J57" s="217" t="str">
        <f>IFERROR(D57*E57*H57*I57/1000*'Reporting Year &amp; Inflation Adj.'!$F$9,"")</f>
        <v/>
      </c>
    </row>
    <row r="58" spans="1:10" ht="15">
      <c r="A58" s="272">
        <v>39</v>
      </c>
      <c r="B58" s="150"/>
      <c r="C58" s="150"/>
      <c r="D58" s="298"/>
      <c r="E58" s="299"/>
      <c r="F58" s="298"/>
      <c r="G58" s="298"/>
      <c r="H58" s="799" t="str">
        <f t="shared" si="0"/>
        <v/>
      </c>
      <c r="I58" s="209" t="str">
        <f>IFERROR(VLOOKUP(C58,IndustryFactors_v1.4!$B$2:$C$210,2),"")</f>
        <v/>
      </c>
      <c r="J58" s="217" t="str">
        <f>IFERROR(D58*E58*H58*I58/1000*'Reporting Year &amp; Inflation Adj.'!$F$9,"")</f>
        <v/>
      </c>
    </row>
    <row r="59" spans="1:10" ht="15">
      <c r="A59" s="272">
        <v>40</v>
      </c>
      <c r="B59" s="150"/>
      <c r="C59" s="150"/>
      <c r="D59" s="298"/>
      <c r="E59" s="299"/>
      <c r="F59" s="298"/>
      <c r="G59" s="298"/>
      <c r="H59" s="799" t="str">
        <f t="shared" si="0"/>
        <v/>
      </c>
      <c r="I59" s="209" t="str">
        <f>IFERROR(VLOOKUP(C59,IndustryFactors_v1.4!$B$2:$C$210,2),"")</f>
        <v/>
      </c>
      <c r="J59" s="217" t="str">
        <f>IFERROR(D59*E59*H59*I59/1000*'Reporting Year &amp; Inflation Adj.'!$F$9,"")</f>
        <v/>
      </c>
    </row>
    <row r="60" spans="1:10" ht="15">
      <c r="A60" s="272">
        <v>41</v>
      </c>
      <c r="B60" s="150"/>
      <c r="C60" s="150"/>
      <c r="D60" s="298"/>
      <c r="E60" s="299"/>
      <c r="F60" s="298"/>
      <c r="G60" s="298"/>
      <c r="H60" s="799" t="str">
        <f t="shared" si="0"/>
        <v/>
      </c>
      <c r="I60" s="209" t="str">
        <f>IFERROR(VLOOKUP(C60,IndustryFactors_v1.4!$B$2:$C$210,2),"")</f>
        <v/>
      </c>
      <c r="J60" s="217" t="str">
        <f>IFERROR(D60*E60*H60*I60/1000*'Reporting Year &amp; Inflation Adj.'!$F$9,"")</f>
        <v/>
      </c>
    </row>
    <row r="61" spans="1:10" ht="15">
      <c r="A61" s="272">
        <v>42</v>
      </c>
      <c r="B61" s="150"/>
      <c r="C61" s="150"/>
      <c r="D61" s="298"/>
      <c r="E61" s="299"/>
      <c r="F61" s="298"/>
      <c r="G61" s="298"/>
      <c r="H61" s="799" t="str">
        <f t="shared" si="0"/>
        <v/>
      </c>
      <c r="I61" s="209" t="str">
        <f>IFERROR(VLOOKUP(C61,IndustryFactors_v1.4!$B$2:$C$210,2),"")</f>
        <v/>
      </c>
      <c r="J61" s="217" t="str">
        <f>IFERROR(D61*E61*H61*I61/1000*'Reporting Year &amp; Inflation Adj.'!$F$9,"")</f>
        <v/>
      </c>
    </row>
    <row r="62" spans="1:10" ht="15">
      <c r="A62" s="272">
        <v>43</v>
      </c>
      <c r="B62" s="150"/>
      <c r="C62" s="150"/>
      <c r="D62" s="298"/>
      <c r="E62" s="299"/>
      <c r="F62" s="298"/>
      <c r="G62" s="298"/>
      <c r="H62" s="799" t="str">
        <f t="shared" si="0"/>
        <v/>
      </c>
      <c r="I62" s="209" t="str">
        <f>IFERROR(VLOOKUP(C62,IndustryFactors_v1.4!$B$2:$C$210,2),"")</f>
        <v/>
      </c>
      <c r="J62" s="217" t="str">
        <f>IFERROR(D62*E62*H62*I62/1000*'Reporting Year &amp; Inflation Adj.'!$F$9,"")</f>
        <v/>
      </c>
    </row>
    <row r="63" spans="1:10" ht="15">
      <c r="A63" s="272">
        <v>44</v>
      </c>
      <c r="B63" s="150"/>
      <c r="C63" s="150"/>
      <c r="D63" s="298"/>
      <c r="E63" s="299"/>
      <c r="F63" s="298"/>
      <c r="G63" s="298"/>
      <c r="H63" s="799" t="str">
        <f t="shared" si="0"/>
        <v/>
      </c>
      <c r="I63" s="209" t="str">
        <f>IFERROR(VLOOKUP(C63,IndustryFactors_v1.4!$B$2:$C$210,2),"")</f>
        <v/>
      </c>
      <c r="J63" s="217" t="str">
        <f>IFERROR(D63*E63*H63*I63/1000*'Reporting Year &amp; Inflation Adj.'!$F$9,"")</f>
        <v/>
      </c>
    </row>
    <row r="64" spans="1:10" ht="15">
      <c r="A64" s="272">
        <v>45</v>
      </c>
      <c r="B64" s="150"/>
      <c r="C64" s="150"/>
      <c r="D64" s="298"/>
      <c r="E64" s="299"/>
      <c r="F64" s="298"/>
      <c r="G64" s="298"/>
      <c r="H64" s="799" t="str">
        <f t="shared" si="0"/>
        <v/>
      </c>
      <c r="I64" s="209" t="str">
        <f>IFERROR(VLOOKUP(C64,IndustryFactors_v1.4!$B$2:$C$210,2),"")</f>
        <v/>
      </c>
      <c r="J64" s="217" t="str">
        <f>IFERROR(D64*E64*H64*I64/1000*'Reporting Year &amp; Inflation Adj.'!$F$9,"")</f>
        <v/>
      </c>
    </row>
    <row r="65" spans="1:10" ht="15">
      <c r="A65" s="272">
        <v>46</v>
      </c>
      <c r="B65" s="150"/>
      <c r="C65" s="150"/>
      <c r="D65" s="298"/>
      <c r="E65" s="299"/>
      <c r="F65" s="298"/>
      <c r="G65" s="298"/>
      <c r="H65" s="799" t="str">
        <f t="shared" si="0"/>
        <v/>
      </c>
      <c r="I65" s="209" t="str">
        <f>IFERROR(VLOOKUP(C65,IndustryFactors_v1.4!$B$2:$C$210,2),"")</f>
        <v/>
      </c>
      <c r="J65" s="217" t="str">
        <f>IFERROR(D65*E65*H65*I65/1000*'Reporting Year &amp; Inflation Adj.'!$F$9,"")</f>
        <v/>
      </c>
    </row>
    <row r="66" spans="1:10" ht="15">
      <c r="A66" s="272">
        <v>47</v>
      </c>
      <c r="B66" s="150"/>
      <c r="C66" s="150"/>
      <c r="D66" s="298"/>
      <c r="E66" s="299"/>
      <c r="F66" s="298"/>
      <c r="G66" s="298"/>
      <c r="H66" s="799" t="str">
        <f t="shared" si="0"/>
        <v/>
      </c>
      <c r="I66" s="209" t="str">
        <f>IFERROR(VLOOKUP(C66,IndustryFactors_v1.4!$B$2:$C$210,2),"")</f>
        <v/>
      </c>
      <c r="J66" s="217" t="str">
        <f>IFERROR(D66*E66*H66*I66/1000*'Reporting Year &amp; Inflation Adj.'!$F$9,"")</f>
        <v/>
      </c>
    </row>
    <row r="67" spans="1:10" ht="15">
      <c r="A67" s="272">
        <v>48</v>
      </c>
      <c r="B67" s="150"/>
      <c r="C67" s="150"/>
      <c r="D67" s="298"/>
      <c r="E67" s="299"/>
      <c r="F67" s="298"/>
      <c r="G67" s="298"/>
      <c r="H67" s="799" t="str">
        <f t="shared" si="0"/>
        <v/>
      </c>
      <c r="I67" s="209" t="str">
        <f>IFERROR(VLOOKUP(C67,IndustryFactors_v1.4!$B$2:$C$210,2),"")</f>
        <v/>
      </c>
      <c r="J67" s="217" t="str">
        <f>IFERROR(D67*E67*H67*I67/1000*'Reporting Year &amp; Inflation Adj.'!$F$9,"")</f>
        <v/>
      </c>
    </row>
    <row r="68" spans="1:10" ht="15">
      <c r="A68" s="272">
        <v>49</v>
      </c>
      <c r="B68" s="150"/>
      <c r="C68" s="150"/>
      <c r="D68" s="298"/>
      <c r="E68" s="299"/>
      <c r="F68" s="298"/>
      <c r="G68" s="298"/>
      <c r="H68" s="799" t="str">
        <f t="shared" si="0"/>
        <v/>
      </c>
      <c r="I68" s="209" t="str">
        <f>IFERROR(VLOOKUP(C68,IndustryFactors_v1.4!$B$2:$C$210,2),"")</f>
        <v/>
      </c>
      <c r="J68" s="217" t="str">
        <f>IFERROR(D68*E68*H68*I68/1000*'Reporting Year &amp; Inflation Adj.'!$F$9,"")</f>
        <v/>
      </c>
    </row>
    <row r="69" spans="1:10" ht="15.75" thickBot="1">
      <c r="A69" s="272">
        <v>50</v>
      </c>
      <c r="B69" s="150"/>
      <c r="C69" s="150"/>
      <c r="D69" s="298"/>
      <c r="E69" s="299"/>
      <c r="F69" s="298"/>
      <c r="G69" s="298"/>
      <c r="H69" s="799" t="str">
        <f t="shared" si="0"/>
        <v/>
      </c>
      <c r="I69" s="209" t="str">
        <f>IFERROR(VLOOKUP(C69,IndustryFactors_v1.4!$B$2:$C$210,2),"")</f>
        <v/>
      </c>
      <c r="J69" s="217" t="str">
        <f>IFERROR(D69*E69*H69*I69/1000*'Reporting Year &amp; Inflation Adj.'!$F$9,"")</f>
        <v/>
      </c>
    </row>
    <row r="70" spans="1:10" ht="15" thickBot="1">
      <c r="J70" s="300">
        <f>SUM($J$21:$J$69)</f>
        <v>0</v>
      </c>
    </row>
  </sheetData>
  <sheetProtection algorithmName="SHA-512" hashValue="rD5fE6KI45yaXOnq6bQ6ETrVMahbn+QsLyoSvpgDT0OzhJMZLvwZysNC4QhRJO+ER1oQRky/rGgn6xpF2O8FeA==" saltValue="p06IUvLfT6DacWGcftbJEQ==" spinCount="100000" sheet="1" objects="1" scenarios="1"/>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076D70-1D01-4FD5-AA0F-0DD26D1D3DD1}">
          <x14:formula1>
            <xm:f>IndustryFactors_v1.4!$B$2:$B$186</xm:f>
          </x14:formula1>
          <xm:sqref>C20:C69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A066-4141-47B7-B714-265820EDAA40}">
  <sheetPr codeName="Sheet39">
    <tabColor theme="3" tint="0.59999389629810485"/>
  </sheetPr>
  <dimension ref="A1:K188"/>
  <sheetViews>
    <sheetView zoomScaleNormal="100" workbookViewId="0">
      <pane xSplit="2" ySplit="3" topLeftCell="C4" activePane="bottomRight" state="frozen"/>
      <selection activeCell="E26" sqref="E26"/>
      <selection pane="topRight" activeCell="E26" sqref="E26"/>
      <selection pane="bottomLeft" activeCell="E26" sqref="E26"/>
      <selection pane="bottomRight" activeCell="E6" sqref="E6"/>
    </sheetView>
  </sheetViews>
  <sheetFormatPr defaultRowHeight="14.25"/>
  <cols>
    <col min="2" max="2" width="9" hidden="1" customWidth="1"/>
    <col min="3" max="3" width="39.625" style="12" hidden="1" customWidth="1"/>
    <col min="4" max="4" width="39.625" style="12" customWidth="1"/>
    <col min="5" max="5" width="123.625" style="305" customWidth="1"/>
  </cols>
  <sheetData>
    <row r="1" spans="1:11" ht="27.6" customHeight="1">
      <c r="A1" s="74" t="s">
        <v>1663</v>
      </c>
      <c r="B1" s="107"/>
      <c r="C1" s="107"/>
      <c r="D1" s="107"/>
      <c r="E1" s="107"/>
      <c r="F1" s="107"/>
      <c r="G1" s="107"/>
      <c r="H1" s="107"/>
      <c r="I1" s="107"/>
      <c r="J1" s="107"/>
      <c r="K1" s="107"/>
    </row>
    <row r="2" spans="1:11" ht="9.75" customHeight="1" thickBot="1">
      <c r="C2"/>
      <c r="D2"/>
      <c r="E2"/>
    </row>
    <row r="3" spans="1:11" ht="52.5" customHeight="1">
      <c r="B3" t="s">
        <v>4344</v>
      </c>
      <c r="C3" s="301" t="s">
        <v>3914</v>
      </c>
      <c r="D3" s="301" t="s">
        <v>1664</v>
      </c>
      <c r="E3" s="302" t="s">
        <v>1665</v>
      </c>
    </row>
    <row r="4" spans="1:11" ht="54.75" customHeight="1">
      <c r="B4" t="s">
        <v>3886</v>
      </c>
      <c r="C4" s="303" t="s">
        <v>985</v>
      </c>
      <c r="D4" s="303" t="str">
        <f>_xlfn.XLOOKUP(C4,IndustryFactors_v1.4!A:A,IndustryFactors_v1.4!B:B,,0)</f>
        <v>Accounting, Tax Preparation, Bookkeeping, and Payroll Services</v>
      </c>
      <c r="E4" s="304" t="s">
        <v>984</v>
      </c>
    </row>
    <row r="5" spans="1:11" ht="74.25" customHeight="1">
      <c r="B5" t="s">
        <v>3892</v>
      </c>
      <c r="C5" s="303" t="s">
        <v>1651</v>
      </c>
      <c r="D5" s="303" t="str">
        <f>_xlfn.XLOOKUP(C5,IndustryFactors_v1.4!A:A,IndustryFactors_v1.4!B:B,,0)</f>
        <v>Advertising, Public Relations, and Related Services</v>
      </c>
      <c r="E5" s="304" t="s">
        <v>1688</v>
      </c>
    </row>
    <row r="6" spans="1:11" ht="74.25" customHeight="1">
      <c r="B6" t="s">
        <v>3829</v>
      </c>
      <c r="C6" s="303" t="s">
        <v>802</v>
      </c>
      <c r="D6" s="303" t="str">
        <f>_xlfn.XLOOKUP(C6,IndustryFactors_v1.4!A:A,IndustryFactors_v1.4!B:B,,0)</f>
        <v>Aerospace Product and Parts Manufacturing</v>
      </c>
      <c r="E6" s="304" t="s">
        <v>801</v>
      </c>
    </row>
    <row r="7" spans="1:11" ht="46.5" customHeight="1">
      <c r="B7" t="s">
        <v>3879</v>
      </c>
      <c r="C7" s="303" t="s">
        <v>960</v>
      </c>
      <c r="D7" s="303" t="str">
        <f>_xlfn.XLOOKUP(C7,IndustryFactors_v1.4!A:A,IndustryFactors_v1.4!B:B,,0)</f>
        <v>Agencies, Brokerages, and Other Insurance Related Activities</v>
      </c>
      <c r="E7" s="304" t="s">
        <v>959</v>
      </c>
    </row>
    <row r="8" spans="1:11" ht="30">
      <c r="B8" t="s">
        <v>3809</v>
      </c>
      <c r="C8" s="303" t="s">
        <v>681</v>
      </c>
      <c r="D8" s="303" t="str">
        <f>_xlfn.XLOOKUP(C8,IndustryFactors_v1.4!A:A,IndustryFactors_v1.4!B:B,,0)</f>
        <v>Agriculture, Construction, and Mining Machinery Manufacturing</v>
      </c>
      <c r="E8" s="304" t="s">
        <v>680</v>
      </c>
    </row>
    <row r="9" spans="1:11" ht="81.75" customHeight="1">
      <c r="B9" t="s">
        <v>3797</v>
      </c>
      <c r="C9" s="303" t="s">
        <v>626</v>
      </c>
      <c r="D9" s="303" t="str">
        <f>_xlfn.XLOOKUP(C9,IndustryFactors_v1.4!A:A,IndustryFactors_v1.4!B:B,,0)</f>
        <v>Alumina and Aluminum Production and Processing</v>
      </c>
      <c r="E9" s="304" t="s">
        <v>625</v>
      </c>
    </row>
    <row r="10" spans="1:11" ht="66.75" customHeight="1">
      <c r="B10" t="s">
        <v>3756</v>
      </c>
      <c r="C10" s="303" t="s">
        <v>441</v>
      </c>
      <c r="D10" s="303" t="str">
        <f>_xlfn.XLOOKUP(C10,IndustryFactors_v1.4!A:A,IndustryFactors_v1.4!B:B,,0)</f>
        <v>Animal Food Manufacturing</v>
      </c>
      <c r="E10" s="304" t="s">
        <v>439</v>
      </c>
    </row>
    <row r="11" spans="1:11" ht="92.25" customHeight="1">
      <c r="B11" t="s">
        <v>3761</v>
      </c>
      <c r="C11" s="303" t="s">
        <v>466</v>
      </c>
      <c r="D11" s="303" t="str">
        <f>_xlfn.XLOOKUP(C11,IndustryFactors_v1.4!A:A,IndustryFactors_v1.4!B:B,,0)</f>
        <v>Animal Slaughtering and Processing</v>
      </c>
      <c r="E11" s="304" t="s">
        <v>468</v>
      </c>
    </row>
    <row r="12" spans="1:11" ht="76.5">
      <c r="B12" t="s">
        <v>3772</v>
      </c>
      <c r="C12" s="303" t="s">
        <v>511</v>
      </c>
      <c r="D12" s="303" t="str">
        <f>_xlfn.XLOOKUP(C12,IndustryFactors_v1.4!A:A,IndustryFactors_v1.4!B:B,,0)</f>
        <v>Apparel Knitting Mills</v>
      </c>
      <c r="E12" s="304" t="s">
        <v>510</v>
      </c>
    </row>
    <row r="13" spans="1:11" ht="30">
      <c r="B13" t="s">
        <v>3802</v>
      </c>
      <c r="C13" s="303" t="s">
        <v>649</v>
      </c>
      <c r="D13" s="303" t="str">
        <f>_xlfn.XLOOKUP(C13,IndustryFactors_v1.4!A:A,IndustryFactors_v1.4!B:B,,0)</f>
        <v>Architectural and Structural Metals Manufacturing</v>
      </c>
      <c r="E13" s="304" t="s">
        <v>648</v>
      </c>
    </row>
    <row r="14" spans="1:11" ht="38.25">
      <c r="B14" t="s">
        <v>3887</v>
      </c>
      <c r="C14" s="303" t="s">
        <v>988</v>
      </c>
      <c r="D14" s="303" t="str">
        <f>_xlfn.XLOOKUP(C14,IndustryFactors_v1.4!A:A,IndustryFactors_v1.4!B:B,,0)</f>
        <v>Architectural, Engineering, and Related Services</v>
      </c>
      <c r="E14" s="304" t="s">
        <v>987</v>
      </c>
    </row>
    <row r="15" spans="1:11" ht="51">
      <c r="B15" t="s">
        <v>3818</v>
      </c>
      <c r="C15" s="303" t="s">
        <v>736</v>
      </c>
      <c r="D15" s="303" t="str">
        <f>_xlfn.XLOOKUP(C15,IndustryFactors_v1.4!A:A,IndustryFactors_v1.4!B:B,,0)</f>
        <v>Audio and Video Equipment Manufacturing</v>
      </c>
      <c r="E15" s="304" t="s">
        <v>735</v>
      </c>
    </row>
    <row r="16" spans="1:11" ht="76.5">
      <c r="B16" t="s">
        <v>3846</v>
      </c>
      <c r="C16" s="303" t="s">
        <v>883</v>
      </c>
      <c r="D16" s="303" t="str">
        <f>_xlfn.XLOOKUP(C16,IndustryFactors_v1.4!A:A,IndustryFactors_v1.4!B:B,,0)</f>
        <v>Automobile Dealers</v>
      </c>
      <c r="E16" s="304" t="s">
        <v>881</v>
      </c>
    </row>
    <row r="17" spans="2:5" ht="26.45" customHeight="1">
      <c r="B17" t="s">
        <v>3881</v>
      </c>
      <c r="C17" s="303" t="s">
        <v>970</v>
      </c>
      <c r="D17" s="303" t="str">
        <f>_xlfn.XLOOKUP(C17,IndustryFactors_v1.4!A:A,IndustryFactors_v1.4!B:B,,0)</f>
        <v>Automotive Equipment Rental and Leasing</v>
      </c>
      <c r="E17" s="304" t="s">
        <v>969</v>
      </c>
    </row>
    <row r="18" spans="2:5" ht="38.25">
      <c r="B18" t="s">
        <v>3909</v>
      </c>
      <c r="C18" s="303" t="s">
        <v>1099</v>
      </c>
      <c r="D18" s="303" t="str">
        <f>_xlfn.XLOOKUP(C18,IndustryFactors_v1.4!A:A,IndustryFactors_v1.4!B:B,,0)</f>
        <v>Automotive Repair and Maintenance</v>
      </c>
      <c r="E18" s="304" t="s">
        <v>1097</v>
      </c>
    </row>
    <row r="19" spans="2:5" ht="30" customHeight="1">
      <c r="B19" t="s">
        <v>3763</v>
      </c>
      <c r="C19" s="303" t="s">
        <v>474</v>
      </c>
      <c r="D19" s="303" t="str">
        <f>_xlfn.XLOOKUP(C19,IndustryFactors_v1.4!A:A,IndustryFactors_v1.4!B:B,,0)</f>
        <v>Bakeries and Tortilla Manufacturing</v>
      </c>
      <c r="E19" s="304" t="s">
        <v>473</v>
      </c>
    </row>
    <row r="20" spans="2:5" ht="69.75" customHeight="1">
      <c r="B20" t="s">
        <v>3781</v>
      </c>
      <c r="C20" s="303" t="s">
        <v>550</v>
      </c>
      <c r="D20" s="303" t="str">
        <f>_xlfn.XLOOKUP(C20,IndustryFactors_v1.4!A:A,IndustryFactors_v1.4!B:B,,0)</f>
        <v>Basic Chemical Manufacturing</v>
      </c>
      <c r="E20" s="304" t="s">
        <v>549</v>
      </c>
    </row>
    <row r="21" spans="2:5" ht="55.5" customHeight="1">
      <c r="B21" t="s">
        <v>3765</v>
      </c>
      <c r="C21" s="303" t="s">
        <v>486</v>
      </c>
      <c r="D21" s="303" t="str">
        <f>_xlfn.XLOOKUP(C21,IndustryFactors_v1.4!A:A,IndustryFactors_v1.4!B:B,,0)</f>
        <v>Beverage Manufacturing</v>
      </c>
      <c r="E21" s="304" t="s">
        <v>485</v>
      </c>
    </row>
    <row r="22" spans="2:5" ht="33.75" customHeight="1">
      <c r="B22" t="s">
        <v>3803</v>
      </c>
      <c r="C22" s="303" t="s">
        <v>653</v>
      </c>
      <c r="D22" s="303" t="str">
        <f>_xlfn.XLOOKUP(C22,IndustryFactors_v1.4!A:A,IndustryFactors_v1.4!B:B,,0)</f>
        <v>Boiler, Tank, and Shipping Container Manufacturing</v>
      </c>
      <c r="E22" s="304" t="s">
        <v>652</v>
      </c>
    </row>
    <row r="23" spans="2:5" ht="43.5" customHeight="1">
      <c r="B23" t="s">
        <v>3847</v>
      </c>
      <c r="C23" s="303" t="s">
        <v>887</v>
      </c>
      <c r="D23" s="303" t="str">
        <f>_xlfn.XLOOKUP(C23,IndustryFactors_v1.4!A:A,IndustryFactors_v1.4!B:B,,0)</f>
        <v>Building Material and Supplies Dealers</v>
      </c>
      <c r="E23" s="304" t="s">
        <v>1669</v>
      </c>
    </row>
    <row r="24" spans="2:5" ht="44.25" customHeight="1">
      <c r="B24" t="s">
        <v>3898</v>
      </c>
      <c r="C24" s="303" t="s">
        <v>1016</v>
      </c>
      <c r="D24" s="303" t="str">
        <f>_xlfn.XLOOKUP(C24,IndustryFactors_v1.4!A:A,IndustryFactors_v1.4!B:B,,0)</f>
        <v>Business Support Services</v>
      </c>
      <c r="E24" s="304" t="s">
        <v>1015</v>
      </c>
    </row>
    <row r="25" spans="2:5" ht="56.25" customHeight="1">
      <c r="B25" t="s">
        <v>3868</v>
      </c>
      <c r="C25" s="303" t="s">
        <v>924</v>
      </c>
      <c r="D25" s="303" t="str">
        <f>_xlfn.XLOOKUP(C25,IndustryFactors_v1.4!A:A,IndustryFactors_v1.4!B:B,,0)</f>
        <v>Cable and Other Subscription Programming</v>
      </c>
      <c r="E25" s="304" t="s">
        <v>923</v>
      </c>
    </row>
    <row r="26" spans="2:5" ht="69.75" customHeight="1">
      <c r="B26" t="s">
        <v>3740</v>
      </c>
      <c r="C26" s="303" t="s">
        <v>350</v>
      </c>
      <c r="D26" s="303" t="str">
        <f>_xlfn.XLOOKUP(C26,IndustryFactors_v1.4!A:A,IndustryFactors_v1.4!B:B,,0)</f>
        <v>Cattle Ranching and Farming</v>
      </c>
      <c r="E26" s="304" t="s">
        <v>352</v>
      </c>
    </row>
    <row r="27" spans="2:5" ht="46.5" customHeight="1">
      <c r="B27" t="s">
        <v>3792</v>
      </c>
      <c r="C27" s="303" t="s">
        <v>604</v>
      </c>
      <c r="D27" s="303" t="str">
        <f>_xlfn.XLOOKUP(C27,IndustryFactors_v1.4!A:A,IndustryFactors_v1.4!B:B,,0)</f>
        <v>Cement and Concrete Product Manufacturing</v>
      </c>
      <c r="E27" s="304" t="s">
        <v>603</v>
      </c>
    </row>
    <row r="28" spans="2:5" ht="68.25" customHeight="1">
      <c r="B28" t="s">
        <v>3790</v>
      </c>
      <c r="C28" s="303" t="s">
        <v>598</v>
      </c>
      <c r="D28" s="303" t="str">
        <f>_xlfn.XLOOKUP(C28,IndustryFactors_v1.4!A:A,IndustryFactors_v1.4!B:B,,0)</f>
        <v>Clay Product and Refractory Manufacturing</v>
      </c>
      <c r="E28" s="304" t="s">
        <v>597</v>
      </c>
    </row>
    <row r="29" spans="2:5" ht="54.75" customHeight="1">
      <c r="B29" t="s">
        <v>3851</v>
      </c>
      <c r="C29" s="303" t="s">
        <v>896</v>
      </c>
      <c r="D29" s="303" t="str">
        <f>_xlfn.XLOOKUP(C29,IndustryFactors_v1.4!A:A,IndustryFactors_v1.4!B:B,,0)</f>
        <v>Clothing Stores</v>
      </c>
      <c r="E29" s="304" t="s">
        <v>1672</v>
      </c>
    </row>
    <row r="30" spans="2:5" ht="43.5" customHeight="1">
      <c r="B30" t="s">
        <v>3746</v>
      </c>
      <c r="C30" s="303" t="s">
        <v>374</v>
      </c>
      <c r="D30" s="303" t="str">
        <f>_xlfn.XLOOKUP(C30,IndustryFactors_v1.4!A:A,IndustryFactors_v1.4!B:B,,0)</f>
        <v>Coal Mining</v>
      </c>
      <c r="E30" s="304" t="s">
        <v>373</v>
      </c>
    </row>
    <row r="31" spans="2:5" ht="59.25" customHeight="1">
      <c r="B31" t="s">
        <v>3807</v>
      </c>
      <c r="C31" s="303" t="s">
        <v>668</v>
      </c>
      <c r="D31" s="303" t="str">
        <f>_xlfn.XLOOKUP(C31,IndustryFactors_v1.4!A:A,IndustryFactors_v1.4!B:B,,0)</f>
        <v>Coating, Engraving, Heat Treating, and Allied Activities</v>
      </c>
      <c r="E31" s="304" t="s">
        <v>667</v>
      </c>
    </row>
    <row r="32" spans="2:5" ht="60" customHeight="1">
      <c r="B32" t="s">
        <v>1032</v>
      </c>
      <c r="C32" s="303" t="s">
        <v>1032</v>
      </c>
      <c r="D32" s="303" t="str">
        <f>_xlfn.XLOOKUP(C32,IndustryFactors_v1.4!A:A,IndustryFactors_v1.4!B:B,,0)</f>
        <v>Colleges, universities, junior colleges, and professional schools</v>
      </c>
      <c r="E32" s="304" t="s">
        <v>1692</v>
      </c>
    </row>
    <row r="33" spans="2:5" ht="89.25">
      <c r="B33" t="s">
        <v>3883</v>
      </c>
      <c r="C33" s="303" t="s">
        <v>975</v>
      </c>
      <c r="D33" s="303" t="str">
        <f>_xlfn.XLOOKUP(C33,IndustryFactors_v1.4!A:A,IndustryFactors_v1.4!B:B,,0)</f>
        <v>Commercial and Industrial Machinery and Equipment Rental and Leasing</v>
      </c>
      <c r="E33" s="304" t="s">
        <v>1685</v>
      </c>
    </row>
    <row r="34" spans="2:5" ht="38.25">
      <c r="B34" t="s">
        <v>3811</v>
      </c>
      <c r="C34" s="303" t="s">
        <v>692</v>
      </c>
      <c r="D34" s="303" t="str">
        <f>_xlfn.XLOOKUP(C34,IndustryFactors_v1.4!A:A,IndustryFactors_v1.4!B:B,,0)</f>
        <v>Commercial and Service Industry Machinery Manufacturing</v>
      </c>
      <c r="E34" s="304" t="s">
        <v>691</v>
      </c>
    </row>
    <row r="35" spans="2:5" ht="60" customHeight="1">
      <c r="B35" t="s">
        <v>3817</v>
      </c>
      <c r="C35" s="303" t="s">
        <v>731</v>
      </c>
      <c r="D35" s="303" t="str">
        <f>_xlfn.XLOOKUP(C35,IndustryFactors_v1.4!A:A,IndustryFactors_v1.4!B:B,,0)</f>
        <v>Communications Equipment Manufacturing</v>
      </c>
      <c r="E35" s="304" t="s">
        <v>730</v>
      </c>
    </row>
    <row r="36" spans="2:5" ht="48" customHeight="1">
      <c r="B36" t="s">
        <v>3816</v>
      </c>
      <c r="C36" s="303" t="s">
        <v>726</v>
      </c>
      <c r="D36" s="303" t="str">
        <f>_xlfn.XLOOKUP(C36,IndustryFactors_v1.4!A:A,IndustryFactors_v1.4!B:B,,0)</f>
        <v>Computer and Peripheral Equipment Manufacturing</v>
      </c>
      <c r="E36" s="304" t="s">
        <v>725</v>
      </c>
    </row>
    <row r="37" spans="2:5" ht="46.5" customHeight="1">
      <c r="B37" t="s">
        <v>3889</v>
      </c>
      <c r="C37" s="303" t="s">
        <v>994</v>
      </c>
      <c r="D37" s="303" t="str">
        <f>_xlfn.XLOOKUP(C37,IndustryFactors_v1.4!A:A,IndustryFactors_v1.4!B:B,,0)</f>
        <v>Computer Systems Design and Related Services</v>
      </c>
      <c r="E37" s="304" t="s">
        <v>993</v>
      </c>
    </row>
    <row r="38" spans="2:5" ht="33.75" customHeight="1">
      <c r="B38" t="s">
        <v>3882</v>
      </c>
      <c r="C38" s="303" t="s">
        <v>973</v>
      </c>
      <c r="D38" s="303" t="str">
        <f>_xlfn.XLOOKUP(C38,IndustryFactors_v1.4!A:A,IndustryFactors_v1.4!B:B,,0)</f>
        <v>Consumer Goods Rental</v>
      </c>
      <c r="E38" s="304" t="s">
        <v>1684</v>
      </c>
    </row>
    <row r="39" spans="2:5" ht="72" customHeight="1">
      <c r="B39" t="s">
        <v>3778</v>
      </c>
      <c r="C39" s="303" t="s">
        <v>533</v>
      </c>
      <c r="D39" s="303" t="str">
        <f>_xlfn.XLOOKUP(C39,IndustryFactors_v1.4!A:A,IndustryFactors_v1.4!B:B,,0)</f>
        <v>Converted Paper Product Manufacturing</v>
      </c>
      <c r="E39" s="304" t="s">
        <v>532</v>
      </c>
    </row>
    <row r="40" spans="2:5" ht="56.25" customHeight="1">
      <c r="B40" t="s">
        <v>3861</v>
      </c>
      <c r="C40" s="303" t="s">
        <v>1647</v>
      </c>
      <c r="D40" s="303" t="str">
        <f>_xlfn.XLOOKUP(C40,IndustryFactors_v1.4!A:A,IndustryFactors_v1.4!B:B,,0)</f>
        <v>Couriers and Express Delivery Services</v>
      </c>
      <c r="E40" s="304" t="s">
        <v>1677</v>
      </c>
    </row>
    <row r="41" spans="2:5" ht="43.5" customHeight="1">
      <c r="B41" t="s">
        <v>3801</v>
      </c>
      <c r="C41" s="303" t="s">
        <v>646</v>
      </c>
      <c r="D41" s="303" t="str">
        <f>_xlfn.XLOOKUP(C41,IndustryFactors_v1.4!A:A,IndustryFactors_v1.4!B:B,,0)</f>
        <v>Cutlery and Handtool Manufacturing</v>
      </c>
      <c r="E41" s="304" t="s">
        <v>645</v>
      </c>
    </row>
    <row r="42" spans="2:5" ht="68.25" customHeight="1">
      <c r="B42" t="s">
        <v>3760</v>
      </c>
      <c r="C42" s="303" t="s">
        <v>459</v>
      </c>
      <c r="D42" s="303" t="str">
        <f>_xlfn.XLOOKUP(C42,IndustryFactors_v1.4!A:A,IndustryFactors_v1.4!B:B,,0)</f>
        <v>Dairy Product Manufacturing</v>
      </c>
      <c r="E42" s="304" t="s">
        <v>461</v>
      </c>
    </row>
    <row r="43" spans="2:5" ht="48" customHeight="1">
      <c r="B43" t="s">
        <v>3872</v>
      </c>
      <c r="C43" s="303" t="s">
        <v>935</v>
      </c>
      <c r="D43" s="303" t="str">
        <f>_xlfn.XLOOKUP(C43,IndustryFactors_v1.4!A:A,IndustryFactors_v1.4!B:B,,0)</f>
        <v>Data Processing, Hosting, and Related Services</v>
      </c>
      <c r="E43" s="304" t="s">
        <v>934</v>
      </c>
    </row>
    <row r="44" spans="2:5" ht="101.25" customHeight="1">
      <c r="B44" t="s">
        <v>3856</v>
      </c>
      <c r="C44" s="303" t="s">
        <v>1642</v>
      </c>
      <c r="D44" s="303" t="str">
        <f>_xlfn.XLOOKUP(C44,IndustryFactors_v1.4!A:A,IndustryFactors_v1.4!B:B,,0)</f>
        <v>Deep Sea, Coastal, and Great Lakes Water Transportation</v>
      </c>
      <c r="E44" s="304" t="s">
        <v>1362</v>
      </c>
    </row>
    <row r="45" spans="2:5" ht="38.25">
      <c r="B45" t="s">
        <v>3842</v>
      </c>
      <c r="C45" s="303" t="s">
        <v>870</v>
      </c>
      <c r="D45" s="303" t="str">
        <f>_xlfn.XLOOKUP(C45,IndustryFactors_v1.4!A:A,IndustryFactors_v1.4!B:B,,0)</f>
        <v>Drugs and Druggists Sundries Merchant Wholesalers</v>
      </c>
      <c r="E45" s="304" t="s">
        <v>869</v>
      </c>
    </row>
    <row r="46" spans="2:5" ht="35.25" customHeight="1">
      <c r="B46" t="s">
        <v>3822</v>
      </c>
      <c r="C46" s="303" t="s">
        <v>760</v>
      </c>
      <c r="D46" s="303" t="str">
        <f>_xlfn.XLOOKUP(C46,IndustryFactors_v1.4!A:A,IndustryFactors_v1.4!B:B,,0)</f>
        <v>Electric Lighting Equipment Manufacturing</v>
      </c>
      <c r="E46" s="304" t="s">
        <v>759</v>
      </c>
    </row>
    <row r="47" spans="2:5" ht="61.5" customHeight="1">
      <c r="B47" t="s">
        <v>3824</v>
      </c>
      <c r="C47" s="303" t="s">
        <v>767</v>
      </c>
      <c r="D47" s="303" t="str">
        <f>_xlfn.XLOOKUP(C47,IndustryFactors_v1.4!A:A,IndustryFactors_v1.4!B:B,,0)</f>
        <v>Electrical Equipment Manufacturing</v>
      </c>
      <c r="E47" s="304" t="s">
        <v>766</v>
      </c>
    </row>
    <row r="48" spans="2:5" ht="61.5" customHeight="1">
      <c r="B48" t="s">
        <v>3910</v>
      </c>
      <c r="C48" s="303" t="s">
        <v>1102</v>
      </c>
      <c r="D48" s="303" t="str">
        <f>_xlfn.XLOOKUP(C48,IndustryFactors_v1.4!A:A,IndustryFactors_v1.4!B:B,,0)</f>
        <v>Electronic and Precision Equipment Repair and Maintenance</v>
      </c>
      <c r="E48" s="304" t="s">
        <v>1101</v>
      </c>
    </row>
    <row r="49" spans="2:5" ht="72" customHeight="1">
      <c r="B49" t="s">
        <v>3853</v>
      </c>
      <c r="C49" s="303" t="s">
        <v>901</v>
      </c>
      <c r="D49" s="303" t="str">
        <f>_xlfn.XLOOKUP(C49,IndustryFactors_v1.4!A:A,IndustryFactors_v1.4!B:B,,0)</f>
        <v>Electronic Shopping and Mail-Order Houses</v>
      </c>
      <c r="E49" s="304" t="s">
        <v>1673</v>
      </c>
    </row>
    <row r="50" spans="2:5" ht="50.25" customHeight="1">
      <c r="B50" t="s">
        <v>3903</v>
      </c>
      <c r="C50" s="303" t="s">
        <v>1031</v>
      </c>
      <c r="D50" s="303" t="str">
        <f>_xlfn.XLOOKUP(C50,IndustryFactors_v1.4!A:A,IndustryFactors_v1.4!B:B,,0)</f>
        <v>Elementary and Secondary Schools</v>
      </c>
      <c r="E50" s="304" t="s">
        <v>1029</v>
      </c>
    </row>
    <row r="51" spans="2:5" ht="25.5">
      <c r="B51" t="s">
        <v>3897</v>
      </c>
      <c r="C51" s="303" t="s">
        <v>1013</v>
      </c>
      <c r="D51" s="303" t="str">
        <f>_xlfn.XLOOKUP(C51,IndustryFactors_v1.4!A:A,IndustryFactors_v1.4!B:B,,0)</f>
        <v>Employment Services</v>
      </c>
      <c r="E51" s="304" t="s">
        <v>1012</v>
      </c>
    </row>
    <row r="52" spans="2:5" ht="30">
      <c r="B52" t="s">
        <v>3814</v>
      </c>
      <c r="C52" s="303" t="s">
        <v>709</v>
      </c>
      <c r="D52" s="303" t="str">
        <f>_xlfn.XLOOKUP(C52,IndustryFactors_v1.4!A:A,IndustryFactors_v1.4!B:B,,0)</f>
        <v>Engine, Turbine, and Power Transmission Equipment Manufacturing</v>
      </c>
      <c r="E52" s="304" t="s">
        <v>708</v>
      </c>
    </row>
    <row r="53" spans="2:5" ht="44.25" customHeight="1">
      <c r="B53" t="s">
        <v>3768</v>
      </c>
      <c r="C53" s="303" t="s">
        <v>498</v>
      </c>
      <c r="D53" s="303" t="str">
        <f>_xlfn.XLOOKUP(C53,IndustryFactors_v1.4!A:A,IndustryFactors_v1.4!B:B,,0)</f>
        <v>Fabric Mills</v>
      </c>
      <c r="E53" s="304" t="s">
        <v>497</v>
      </c>
    </row>
    <row r="54" spans="2:5" ht="76.5">
      <c r="B54" t="s">
        <v>3896</v>
      </c>
      <c r="C54" s="303" t="s">
        <v>1010</v>
      </c>
      <c r="D54" s="303" t="str">
        <f>_xlfn.XLOOKUP(C54,IndustryFactors_v1.4!A:A,IndustryFactors_v1.4!B:B,,0)</f>
        <v>Facilities Support Services</v>
      </c>
      <c r="E54" s="304" t="s">
        <v>1009</v>
      </c>
    </row>
    <row r="55" spans="2:5" ht="56.25" customHeight="1">
      <c r="B55" t="s">
        <v>3767</v>
      </c>
      <c r="C55" s="303" t="s">
        <v>495</v>
      </c>
      <c r="D55" s="303" t="str">
        <f>_xlfn.XLOOKUP(C55,IndustryFactors_v1.4!A:A,IndustryFactors_v1.4!B:B,,0)</f>
        <v>Fiber, Yarn, and Thread Mills</v>
      </c>
      <c r="E55" s="304" t="s">
        <v>494</v>
      </c>
    </row>
    <row r="56" spans="2:5" ht="63.75">
      <c r="B56" t="s">
        <v>89</v>
      </c>
      <c r="C56" s="303" t="s">
        <v>364</v>
      </c>
      <c r="D56" s="303" t="str">
        <f>_xlfn.XLOOKUP(C56,IndustryFactors_v1.4!A:A,IndustryFactors_v1.4!B:B,,0)</f>
        <v>Fishing</v>
      </c>
      <c r="E56" s="304" t="s">
        <v>363</v>
      </c>
    </row>
    <row r="57" spans="2:5" ht="69.75" customHeight="1">
      <c r="B57" t="s">
        <v>3800</v>
      </c>
      <c r="C57" s="303" t="s">
        <v>640</v>
      </c>
      <c r="D57" s="303" t="str">
        <f>_xlfn.XLOOKUP(C57,IndustryFactors_v1.4!A:A,IndustryFactors_v1.4!B:B,,0)</f>
        <v>Forging and Stamping</v>
      </c>
      <c r="E57" s="304" t="s">
        <v>642</v>
      </c>
    </row>
    <row r="58" spans="2:5" ht="25.5">
      <c r="B58" t="s">
        <v>3799</v>
      </c>
      <c r="C58" s="303" t="s">
        <v>636</v>
      </c>
      <c r="D58" s="303" t="str">
        <f>_xlfn.XLOOKUP(C58,IndustryFactors_v1.4!A:A,IndustryFactors_v1.4!B:B,,0)</f>
        <v>Foundries</v>
      </c>
      <c r="E58" s="304" t="s">
        <v>635</v>
      </c>
    </row>
    <row r="59" spans="2:5" ht="25.5">
      <c r="B59" t="s">
        <v>3737</v>
      </c>
      <c r="C59" s="303" t="s">
        <v>341</v>
      </c>
      <c r="D59" s="303" t="str">
        <f>_xlfn.XLOOKUP(C59,IndustryFactors_v1.4!A:A,IndustryFactors_v1.4!B:B,,0)</f>
        <v>Fruit and Tree Nut Farming</v>
      </c>
      <c r="E59" s="304" t="s">
        <v>340</v>
      </c>
    </row>
    <row r="60" spans="2:5" ht="38.25">
      <c r="B60" t="s">
        <v>3759</v>
      </c>
      <c r="C60" s="303" t="s">
        <v>455</v>
      </c>
      <c r="D60" s="303" t="str">
        <f>_xlfn.XLOOKUP(C60,IndustryFactors_v1.4!A:A,IndustryFactors_v1.4!B:B,,0)</f>
        <v>Fruit and Vegetable Preserving and Specialty Food Manufacturing</v>
      </c>
      <c r="E60" s="304" t="s">
        <v>454</v>
      </c>
    </row>
    <row r="61" spans="2:5" ht="58.5" customHeight="1">
      <c r="B61" t="s">
        <v>3850</v>
      </c>
      <c r="C61" s="303" t="s">
        <v>894</v>
      </c>
      <c r="D61" s="303" t="str">
        <f>_xlfn.XLOOKUP(C61,IndustryFactors_v1.4!A:A,IndustryFactors_v1.4!B:B,,0)</f>
        <v>Gasoline Stations</v>
      </c>
      <c r="E61" s="304" t="s">
        <v>1671</v>
      </c>
    </row>
    <row r="62" spans="2:5" ht="60" customHeight="1">
      <c r="B62" t="s">
        <v>3857</v>
      </c>
      <c r="C62" s="303" t="s">
        <v>1643</v>
      </c>
      <c r="D62" s="303" t="str">
        <f>_xlfn.XLOOKUP(C62,IndustryFactors_v1.4!A:A,IndustryFactors_v1.4!B:B,,0)</f>
        <v>General Freight Trucking</v>
      </c>
      <c r="E62" s="304" t="s">
        <v>1674</v>
      </c>
    </row>
    <row r="63" spans="2:5" ht="57.75" customHeight="1">
      <c r="B63" t="s">
        <v>3852</v>
      </c>
      <c r="C63" s="303" t="s">
        <v>899</v>
      </c>
      <c r="D63" s="303" t="str">
        <f>_xlfn.XLOOKUP(C63,IndustryFactors_v1.4!A:A,IndustryFactors_v1.4!B:B,,0)</f>
        <v>General Merchandise Stores, including Warehouse Clubs and Supercenters</v>
      </c>
      <c r="E63" s="304" t="s">
        <v>898</v>
      </c>
    </row>
    <row r="64" spans="2:5" ht="54.75" customHeight="1">
      <c r="B64" t="s">
        <v>3791</v>
      </c>
      <c r="C64" s="303" t="s">
        <v>601</v>
      </c>
      <c r="D64" s="303" t="str">
        <f>_xlfn.XLOOKUP(C64,IndustryFactors_v1.4!A:A,IndustryFactors_v1.4!B:B,,0)</f>
        <v>Glass and Glass Product Manufacturing</v>
      </c>
      <c r="E64" s="304" t="s">
        <v>600</v>
      </c>
    </row>
    <row r="65" spans="2:5" ht="44.25" customHeight="1">
      <c r="B65" t="s">
        <v>3757</v>
      </c>
      <c r="C65" s="303" t="s">
        <v>445</v>
      </c>
      <c r="D65" s="303" t="str">
        <f>_xlfn.XLOOKUP(C65,IndustryFactors_v1.4!A:A,IndustryFactors_v1.4!B:B,,0)</f>
        <v>Grain and Oilseed Milling</v>
      </c>
      <c r="E65" s="304" t="s">
        <v>444</v>
      </c>
    </row>
    <row r="66" spans="2:5" ht="51">
      <c r="B66" t="s">
        <v>3738</v>
      </c>
      <c r="C66" s="303" t="s">
        <v>344</v>
      </c>
      <c r="D66" s="303" t="str">
        <f>_xlfn.XLOOKUP(C66,IndustryFactors_v1.4!A:A,IndustryFactors_v1.4!B:B,,0)</f>
        <v>Greenhouse, Nursery, and Floriculture Production</v>
      </c>
      <c r="E66" s="304" t="s">
        <v>343</v>
      </c>
    </row>
    <row r="67" spans="2:5" ht="98.25" customHeight="1">
      <c r="B67" t="s">
        <v>3843</v>
      </c>
      <c r="C67" s="303" t="s">
        <v>873</v>
      </c>
      <c r="D67" s="303" t="str">
        <f>_xlfn.XLOOKUP(C67,IndustryFactors_v1.4!A:A,IndustryFactors_v1.4!B:B,,0)</f>
        <v>Grocery and Related Product Merchant Wholesalers</v>
      </c>
      <c r="E67" s="304" t="s">
        <v>872</v>
      </c>
    </row>
    <row r="68" spans="2:5" ht="38.25">
      <c r="B68" t="s">
        <v>3848</v>
      </c>
      <c r="C68" s="303" t="s">
        <v>890</v>
      </c>
      <c r="D68" s="303" t="str">
        <f>_xlfn.XLOOKUP(C68,IndustryFactors_v1.4!A:A,IndustryFactors_v1.4!B:B,,0)</f>
        <v>Grocery Stores</v>
      </c>
      <c r="E68" s="304" t="s">
        <v>889</v>
      </c>
    </row>
    <row r="69" spans="2:5" ht="58.5" customHeight="1">
      <c r="B69" t="s">
        <v>3804</v>
      </c>
      <c r="C69" s="303" t="s">
        <v>658</v>
      </c>
      <c r="D69" s="303" t="str">
        <f>_xlfn.XLOOKUP(C69,IndustryFactors_v1.4!A:A,IndustryFactors_v1.4!B:B,,0)</f>
        <v>Hardware Manufacturing</v>
      </c>
      <c r="E69" s="304" t="s">
        <v>657</v>
      </c>
    </row>
    <row r="70" spans="2:5" ht="58.5" customHeight="1">
      <c r="B70" t="s">
        <v>3849</v>
      </c>
      <c r="C70" s="303" t="s">
        <v>892</v>
      </c>
      <c r="D70" s="303" t="str">
        <f>_xlfn.XLOOKUP(C70,IndustryFactors_v1.4!A:A,IndustryFactors_v1.4!B:B,,0)</f>
        <v>Health and Personal Care Stores</v>
      </c>
      <c r="E70" s="304" t="s">
        <v>1670</v>
      </c>
    </row>
    <row r="71" spans="2:5" ht="30">
      <c r="B71" t="s">
        <v>3755</v>
      </c>
      <c r="C71" s="303" t="s">
        <v>1639</v>
      </c>
      <c r="D71" s="303" t="str">
        <f>_xlfn.XLOOKUP(C71,IndustryFactors_v1.4!A:A,IndustryFactors_v1.4!B:B,,0)</f>
        <v>Highway, Street, and Bridge Construction</v>
      </c>
      <c r="E71" s="304" t="s">
        <v>1668</v>
      </c>
    </row>
    <row r="72" spans="2:5" ht="45">
      <c r="B72" t="s">
        <v>3833</v>
      </c>
      <c r="C72" s="303" t="s">
        <v>822</v>
      </c>
      <c r="D72" s="303" t="str">
        <f>_xlfn.XLOOKUP(C72,IndustryFactors_v1.4!A:A,IndustryFactors_v1.4!B:B,,0)</f>
        <v>Household and Institutional Furniture and Kitchen Cabinet Manufacturing</v>
      </c>
      <c r="E72" s="304" t="s">
        <v>821</v>
      </c>
    </row>
    <row r="73" spans="2:5" ht="25.5">
      <c r="B73" t="s">
        <v>3823</v>
      </c>
      <c r="C73" s="303" t="s">
        <v>764</v>
      </c>
      <c r="D73" s="303" t="str">
        <f>_xlfn.XLOOKUP(C73,IndustryFactors_v1.4!A:A,IndustryFactors_v1.4!B:B,,0)</f>
        <v>Household Appliance Manufacturing</v>
      </c>
      <c r="E73" s="304" t="s">
        <v>763</v>
      </c>
    </row>
    <row r="74" spans="2:5" ht="45">
      <c r="B74" t="s">
        <v>3840</v>
      </c>
      <c r="C74" s="303" t="s">
        <v>862</v>
      </c>
      <c r="D74" s="303" t="str">
        <f>_xlfn.XLOOKUP(C74,IndustryFactors_v1.4!A:A,IndustryFactors_v1.4!B:B,,0)</f>
        <v>Household Appliances and Electrical and Electronic Goods Merchant Wholesalers</v>
      </c>
      <c r="E74" s="304" t="s">
        <v>861</v>
      </c>
    </row>
    <row r="75" spans="2:5" ht="25.5">
      <c r="B75" t="s">
        <v>3810</v>
      </c>
      <c r="C75" s="303" t="s">
        <v>687</v>
      </c>
      <c r="D75" s="303" t="str">
        <f>_xlfn.XLOOKUP(C75,IndustryFactors_v1.4!A:A,IndustryFactors_v1.4!B:B,,0)</f>
        <v>Industrial Machinery Manufacturing</v>
      </c>
      <c r="E75" s="304" t="s">
        <v>689</v>
      </c>
    </row>
    <row r="76" spans="2:5" ht="70.5" customHeight="1">
      <c r="B76" t="s">
        <v>3880</v>
      </c>
      <c r="C76" s="303" t="s">
        <v>963</v>
      </c>
      <c r="D76" s="303" t="str">
        <f>_xlfn.XLOOKUP(C76,IndustryFactors_v1.4!A:A,IndustryFactors_v1.4!B:B,,0)</f>
        <v>Insurance and Employee Benefit Funds</v>
      </c>
      <c r="E76" s="304" t="s">
        <v>962</v>
      </c>
    </row>
    <row r="77" spans="2:5" ht="35.25" customHeight="1">
      <c r="B77" t="s">
        <v>3878</v>
      </c>
      <c r="C77" s="303" t="s">
        <v>957</v>
      </c>
      <c r="D77" s="303" t="str">
        <f>_xlfn.XLOOKUP(C77,IndustryFactors_v1.4!A:A,IndustryFactors_v1.4!B:B,,0)</f>
        <v>Insurance Carriers</v>
      </c>
      <c r="E77" s="304" t="s">
        <v>1683</v>
      </c>
    </row>
    <row r="78" spans="2:5" ht="15">
      <c r="B78" t="s">
        <v>3900</v>
      </c>
      <c r="C78" s="303" t="s">
        <v>1021</v>
      </c>
      <c r="D78" s="303" t="str">
        <f>_xlfn.XLOOKUP(C78,IndustryFactors_v1.4!A:A,IndustryFactors_v1.4!B:B,,0)</f>
        <v>Investigation and Security Services</v>
      </c>
      <c r="E78" s="304" t="s">
        <v>1020</v>
      </c>
    </row>
    <row r="79" spans="2:5" ht="70.5" customHeight="1">
      <c r="B79" t="s">
        <v>3795</v>
      </c>
      <c r="C79" s="303" t="s">
        <v>620</v>
      </c>
      <c r="D79" s="303" t="str">
        <f>_xlfn.XLOOKUP(C79,IndustryFactors_v1.4!A:A,IndustryFactors_v1.4!B:B,,0)</f>
        <v>Iron and Steel Mills and Ferroalloy Manufacturing</v>
      </c>
      <c r="E79" s="304" t="s">
        <v>619</v>
      </c>
    </row>
    <row r="80" spans="2:5" ht="43.5" customHeight="1">
      <c r="B80" t="s">
        <v>3773</v>
      </c>
      <c r="C80" s="303" t="s">
        <v>514</v>
      </c>
      <c r="D80" s="303" t="str">
        <f>_xlfn.XLOOKUP(C80,IndustryFactors_v1.4!A:A,IndustryFactors_v1.4!B:B,,0)</f>
        <v>Leather and Hide Tanning and Finishing</v>
      </c>
      <c r="E80" s="304" t="s">
        <v>513</v>
      </c>
    </row>
    <row r="81" spans="2:5" ht="72.75" customHeight="1">
      <c r="B81" t="s">
        <v>3885</v>
      </c>
      <c r="C81" s="303" t="s">
        <v>982</v>
      </c>
      <c r="D81" s="303" t="str">
        <f>_xlfn.XLOOKUP(C81,IndustryFactors_v1.4!A:A,IndustryFactors_v1.4!B:B,,0)</f>
        <v>Legal Services</v>
      </c>
      <c r="E81" s="304" t="s">
        <v>980</v>
      </c>
    </row>
    <row r="82" spans="2:5" ht="94.5" customHeight="1">
      <c r="B82" t="s">
        <v>3884</v>
      </c>
      <c r="C82" s="303" t="s">
        <v>978</v>
      </c>
      <c r="D82" s="303" t="str">
        <f>_xlfn.XLOOKUP(C82,IndustryFactors_v1.4!A:A,IndustryFactors_v1.4!B:B,,0)</f>
        <v>Lessors of Nonfinancial Intangible Assets (except Copyrighted Works)</v>
      </c>
      <c r="E82" s="304" t="s">
        <v>977</v>
      </c>
    </row>
    <row r="83" spans="2:5" ht="63.75">
      <c r="B83" t="s">
        <v>3315</v>
      </c>
      <c r="C83" s="303" t="s">
        <v>3315</v>
      </c>
      <c r="D83" s="303" t="s">
        <v>3315</v>
      </c>
      <c r="E83" s="304" t="s">
        <v>3499</v>
      </c>
    </row>
    <row r="84" spans="2:5" ht="30">
      <c r="B84" t="s">
        <v>3793</v>
      </c>
      <c r="C84" s="303" t="s">
        <v>610</v>
      </c>
      <c r="D84" s="303" t="str">
        <f>_xlfn.XLOOKUP(C84,IndustryFactors_v1.4!A:A,IndustryFactors_v1.4!B:B,,0)</f>
        <v>Lime and Gypsum Product Manufacturing</v>
      </c>
      <c r="E84" s="304" t="s">
        <v>609</v>
      </c>
    </row>
    <row r="85" spans="2:5" ht="38.25">
      <c r="B85" t="s">
        <v>3806</v>
      </c>
      <c r="C85" s="303" t="s">
        <v>664</v>
      </c>
      <c r="D85" s="303" t="str">
        <f>_xlfn.XLOOKUP(C85,IndustryFactors_v1.4!A:A,IndustryFactors_v1.4!B:B,,0)</f>
        <v>Machine Shops; Turned Product; and Screw, Nut, and Bolt Manufacturing</v>
      </c>
      <c r="E85" s="304" t="s">
        <v>663</v>
      </c>
    </row>
    <row r="86" spans="2:5" ht="30">
      <c r="B86" t="s">
        <v>3841</v>
      </c>
      <c r="C86" s="303" t="s">
        <v>865</v>
      </c>
      <c r="D86" s="303" t="str">
        <f>_xlfn.XLOOKUP(C86,IndustryFactors_v1.4!A:A,IndustryFactors_v1.4!B:B,,0)</f>
        <v>Machinery, Equipment, and Supplies Merchant Wholesalers</v>
      </c>
      <c r="E86" s="304" t="s">
        <v>864</v>
      </c>
    </row>
    <row r="87" spans="2:5" ht="114.75">
      <c r="B87" t="s">
        <v>3894</v>
      </c>
      <c r="C87" s="303" t="s">
        <v>1653</v>
      </c>
      <c r="D87" s="303" t="str">
        <f>_xlfn.XLOOKUP(C87,IndustryFactors_v1.4!A:A,IndustryFactors_v1.4!B:B,,0)</f>
        <v>Management of Companies and Enterprises</v>
      </c>
      <c r="E87" s="304" t="s">
        <v>1690</v>
      </c>
    </row>
    <row r="88" spans="2:5" ht="38.25">
      <c r="B88" t="s">
        <v>3890</v>
      </c>
      <c r="C88" s="303" t="s">
        <v>1649</v>
      </c>
      <c r="D88" s="303" t="str">
        <f>_xlfn.XLOOKUP(C88,IndustryFactors_v1.4!A:A,IndustryFactors_v1.4!B:B,,0)</f>
        <v>Management, Scientific, and Technical Consulting Services</v>
      </c>
      <c r="E88" s="304" t="s">
        <v>1686</v>
      </c>
    </row>
    <row r="89" spans="2:5" ht="38.25">
      <c r="B89" t="s">
        <v>3821</v>
      </c>
      <c r="C89" s="303" t="s">
        <v>757</v>
      </c>
      <c r="D89" s="303" t="str">
        <f>_xlfn.XLOOKUP(C89,IndustryFactors_v1.4!A:A,IndustryFactors_v1.4!B:B,,0)</f>
        <v>Manufacturing and Reproducing Magnetic and Optical Media</v>
      </c>
      <c r="E89" s="304" t="s">
        <v>756</v>
      </c>
    </row>
    <row r="90" spans="2:5" ht="38.25">
      <c r="B90" t="s">
        <v>3836</v>
      </c>
      <c r="C90" s="303" t="s">
        <v>838</v>
      </c>
      <c r="D90" s="303" t="str">
        <f>_xlfn.XLOOKUP(C90,IndustryFactors_v1.4!A:A,IndustryFactors_v1.4!B:B,,0)</f>
        <v>Medical Equipment and Supplies Manufacturing</v>
      </c>
      <c r="E90" s="304" t="s">
        <v>837</v>
      </c>
    </row>
    <row r="91" spans="2:5" ht="25.5">
      <c r="B91" t="s">
        <v>3747</v>
      </c>
      <c r="C91" s="303" t="s">
        <v>377</v>
      </c>
      <c r="D91" s="303" t="str">
        <f>_xlfn.XLOOKUP(C91,IndustryFactors_v1.4!A:A,IndustryFactors_v1.4!B:B,,0)</f>
        <v>Metal Ore Mining</v>
      </c>
      <c r="E91" s="304" t="s">
        <v>379</v>
      </c>
    </row>
    <row r="92" spans="2:5" ht="30">
      <c r="B92" t="s">
        <v>3813</v>
      </c>
      <c r="C92" s="303" t="s">
        <v>702</v>
      </c>
      <c r="D92" s="303" t="str">
        <f>_xlfn.XLOOKUP(C92,IndustryFactors_v1.4!A:A,IndustryFactors_v1.4!B:B,,0)</f>
        <v>Metalworking Machinery Manufacturing</v>
      </c>
      <c r="E92" s="304" t="s">
        <v>701</v>
      </c>
    </row>
    <row r="93" spans="2:5" ht="409.5">
      <c r="B93" t="s">
        <v>3874</v>
      </c>
      <c r="C93" s="303" t="s">
        <v>944</v>
      </c>
      <c r="D93" s="303" t="str">
        <f>_xlfn.XLOOKUP(C93,IndustryFactors_v1.4!A:A,IndustryFactors_v1.4!B:B,,0)</f>
        <v>Monetary Authorities-Central Bank</v>
      </c>
      <c r="E93" s="304" t="s">
        <v>1680</v>
      </c>
    </row>
    <row r="94" spans="2:5" ht="38.25">
      <c r="B94" t="s">
        <v>3865</v>
      </c>
      <c r="C94" s="303" t="s">
        <v>915</v>
      </c>
      <c r="D94" s="303" t="str">
        <f>_xlfn.XLOOKUP(C94,IndustryFactors_v1.4!A:A,IndustryFactors_v1.4!B:B,,0)</f>
        <v>Motion Picture and Video Industries</v>
      </c>
      <c r="E94" s="304" t="s">
        <v>914</v>
      </c>
    </row>
    <row r="95" spans="2:5" ht="30">
      <c r="B95" t="s">
        <v>3838</v>
      </c>
      <c r="C95" s="303" t="s">
        <v>854</v>
      </c>
      <c r="D95" s="303" t="str">
        <f>_xlfn.XLOOKUP(C95,IndustryFactors_v1.4!A:A,IndustryFactors_v1.4!B:B,,0)</f>
        <v>Motor Vehicle and Motor Vehicle Parts and Supplies Merchant Wholesalers</v>
      </c>
      <c r="E95" s="304" t="s">
        <v>852</v>
      </c>
    </row>
    <row r="96" spans="2:5" ht="30">
      <c r="B96" t="s">
        <v>3827</v>
      </c>
      <c r="C96" s="303" t="s">
        <v>786</v>
      </c>
      <c r="D96" s="303" t="str">
        <f>_xlfn.XLOOKUP(C96,IndustryFactors_v1.4!A:A,IndustryFactors_v1.4!B:B,,0)</f>
        <v>Motor Vehicle Body and Trailer Manufacturing</v>
      </c>
      <c r="E96" s="304" t="s">
        <v>785</v>
      </c>
    </row>
    <row r="97" spans="2:5" ht="25.5">
      <c r="B97" t="s">
        <v>3826</v>
      </c>
      <c r="C97" s="303" t="s">
        <v>781</v>
      </c>
      <c r="D97" s="303" t="str">
        <f>_xlfn.XLOOKUP(C97,IndustryFactors_v1.4!A:A,IndustryFactors_v1.4!B:B,,0)</f>
        <v>Motor Vehicle Manufacturing</v>
      </c>
      <c r="E97" s="304" t="s">
        <v>780</v>
      </c>
    </row>
    <row r="98" spans="2:5" ht="25.5">
      <c r="B98" t="s">
        <v>3828</v>
      </c>
      <c r="C98" s="303" t="s">
        <v>792</v>
      </c>
      <c r="D98" s="303" t="str">
        <f>_xlfn.XLOOKUP(C98,IndustryFactors_v1.4!A:A,IndustryFactors_v1.4!B:B,,0)</f>
        <v>Motor Vehicle Parts Manufacturing</v>
      </c>
      <c r="E98" s="304" t="s">
        <v>791</v>
      </c>
    </row>
    <row r="99" spans="2:5" ht="38.25">
      <c r="B99" t="s">
        <v>3750</v>
      </c>
      <c r="C99" s="303" t="s">
        <v>392</v>
      </c>
      <c r="D99" s="303" t="str">
        <f>_xlfn.XLOOKUP(C99,IndustryFactors_v1.4!A:A,IndustryFactors_v1.4!B:B,,0)</f>
        <v>Natural Gas Distribution</v>
      </c>
      <c r="E99" s="304" t="s">
        <v>390</v>
      </c>
    </row>
    <row r="100" spans="2:5" ht="45">
      <c r="B100" t="s">
        <v>3820</v>
      </c>
      <c r="C100" s="303" t="s">
        <v>745</v>
      </c>
      <c r="D100" s="303" t="str">
        <f>_xlfn.XLOOKUP(C100,IndustryFactors_v1.4!A:A,IndustryFactors_v1.4!B:B,,0)</f>
        <v>Navigational, Measuring, Electromedical, and Control Instruments Manufacturing</v>
      </c>
      <c r="E100" s="304" t="s">
        <v>744</v>
      </c>
    </row>
    <row r="101" spans="2:5" ht="38.25">
      <c r="B101" t="s">
        <v>3863</v>
      </c>
      <c r="C101" s="303" t="s">
        <v>905</v>
      </c>
      <c r="D101" s="303" t="str">
        <f>_xlfn.XLOOKUP(C101,IndustryFactors_v1.4!A:A,IndustryFactors_v1.4!B:B,,0)</f>
        <v>Newspaper, Periodical, Book, and Directory Publishers</v>
      </c>
      <c r="E101" s="304" t="s">
        <v>903</v>
      </c>
    </row>
    <row r="102" spans="2:5" ht="38.25">
      <c r="B102" t="s">
        <v>3875</v>
      </c>
      <c r="C102" s="303" t="s">
        <v>947</v>
      </c>
      <c r="D102" s="303" t="str">
        <f>_xlfn.XLOOKUP(C102,IndustryFactors_v1.4!A:A,IndustryFactors_v1.4!B:B,,0)</f>
        <v>Nondepository Credit Intermediation</v>
      </c>
      <c r="E102" s="304" t="s">
        <v>1681</v>
      </c>
    </row>
    <row r="103" spans="2:5" ht="30">
      <c r="B103" t="s">
        <v>3798</v>
      </c>
      <c r="C103" s="303" t="s">
        <v>631</v>
      </c>
      <c r="D103" s="303" t="str">
        <f>_xlfn.XLOOKUP(C103,IndustryFactors_v1.4!A:A,IndustryFactors_v1.4!B:B,,0)</f>
        <v>Nonferrous Metal (except Aluminum) Production and Processing</v>
      </c>
      <c r="E103" s="304" t="s">
        <v>630</v>
      </c>
    </row>
    <row r="104" spans="2:5" ht="38.25">
      <c r="B104" t="s">
        <v>3748</v>
      </c>
      <c r="C104" s="303" t="s">
        <v>382</v>
      </c>
      <c r="D104" s="303" t="str">
        <f>_xlfn.XLOOKUP(C104,IndustryFactors_v1.4!A:A,IndustryFactors_v1.4!B:B,,0)</f>
        <v>Nonmetallic Mineral Mining and Quarrying</v>
      </c>
      <c r="E104" s="304" t="s">
        <v>381</v>
      </c>
    </row>
    <row r="105" spans="2:5" ht="63.75">
      <c r="B105" t="s">
        <v>3753</v>
      </c>
      <c r="C105" s="303" t="s">
        <v>403</v>
      </c>
      <c r="D105" s="303" t="str">
        <f>_xlfn.XLOOKUP(C105,IndustryFactors_v1.4!A:A,IndustryFactors_v1.4!B:B,,0)</f>
        <v>Nonresidential Building Construction</v>
      </c>
      <c r="E105" s="304" t="s">
        <v>412</v>
      </c>
    </row>
    <row r="106" spans="2:5" ht="38.25">
      <c r="B106" t="s">
        <v>3895</v>
      </c>
      <c r="C106" s="303" t="s">
        <v>1007</v>
      </c>
      <c r="D106" s="303" t="str">
        <f>_xlfn.XLOOKUP(C106,IndustryFactors_v1.4!A:A,IndustryFactors_v1.4!B:B,,0)</f>
        <v>Office Administrative Services</v>
      </c>
      <c r="E106" s="304" t="s">
        <v>1005</v>
      </c>
    </row>
    <row r="107" spans="2:5" ht="30">
      <c r="B107" t="s">
        <v>3834</v>
      </c>
      <c r="C107" s="303" t="s">
        <v>830</v>
      </c>
      <c r="D107" s="303" t="str">
        <f>_xlfn.XLOOKUP(C107,IndustryFactors_v1.4!A:A,IndustryFactors_v1.4!B:B,,0)</f>
        <v>Office Furniture (including Fixtures) Manufacturing</v>
      </c>
      <c r="E107" s="304" t="s">
        <v>832</v>
      </c>
    </row>
    <row r="108" spans="2:5" ht="51">
      <c r="B108" t="s">
        <v>3905</v>
      </c>
      <c r="C108" s="303" t="s">
        <v>1042</v>
      </c>
      <c r="D108" s="303" t="str">
        <f>_xlfn.XLOOKUP(C108,IndustryFactors_v1.4!A:A,IndustryFactors_v1.4!B:B,,0)</f>
        <v>Offices of Dentists</v>
      </c>
      <c r="E108" s="304" t="s">
        <v>1041</v>
      </c>
    </row>
    <row r="109" spans="2:5" ht="15">
      <c r="B109" t="s">
        <v>3906</v>
      </c>
      <c r="C109" s="303" t="s">
        <v>1045</v>
      </c>
      <c r="D109" s="303" t="str">
        <f>_xlfn.XLOOKUP(C109,IndustryFactors_v1.4!A:A,IndustryFactors_v1.4!B:B,,0)</f>
        <v>Offices of Other Health Practitioners</v>
      </c>
      <c r="E109" s="304" t="s">
        <v>1044</v>
      </c>
    </row>
    <row r="110" spans="2:5" ht="38.25">
      <c r="B110" t="s">
        <v>3904</v>
      </c>
      <c r="C110" s="303" t="s">
        <v>1039</v>
      </c>
      <c r="D110" s="303" t="str">
        <f>_xlfn.XLOOKUP(C110,IndustryFactors_v1.4!A:A,IndustryFactors_v1.4!B:B,,0)</f>
        <v>Offices of Physicians</v>
      </c>
      <c r="E110" s="304" t="s">
        <v>1037</v>
      </c>
    </row>
    <row r="111" spans="2:5" ht="102">
      <c r="B111" t="s">
        <v>3745</v>
      </c>
      <c r="C111" s="303" t="s">
        <v>372</v>
      </c>
      <c r="D111" s="303" t="str">
        <f>_xlfn.XLOOKUP(C111,IndustryFactors_v1.4!A:A,IndustryFactors_v1.4!B:B,,0)</f>
        <v>Oil and Gas Extraction</v>
      </c>
      <c r="E111" s="304" t="s">
        <v>370</v>
      </c>
    </row>
    <row r="112" spans="2:5" ht="25.5">
      <c r="B112" t="s">
        <v>3735</v>
      </c>
      <c r="C112" s="303" t="s">
        <v>333</v>
      </c>
      <c r="D112" s="303" t="str">
        <f>_xlfn.XLOOKUP(C112,IndustryFactors_v1.4!A:A,IndustryFactors_v1.4!B:B,,0)</f>
        <v>Oilseed and Grain Farming</v>
      </c>
      <c r="E112" s="304" t="s">
        <v>1666</v>
      </c>
    </row>
    <row r="113" spans="2:5" ht="114.75">
      <c r="B113" t="s">
        <v>3742</v>
      </c>
      <c r="C113" s="303" t="s">
        <v>355</v>
      </c>
      <c r="D113" s="303" t="str">
        <f>_xlfn.XLOOKUP(C113,IndustryFactors_v1.4!A:A,IndustryFactors_v1.4!B:B,,0)</f>
        <v>Other Animal Production</v>
      </c>
      <c r="E113" s="304" t="s">
        <v>1667</v>
      </c>
    </row>
    <row r="114" spans="2:5" ht="30">
      <c r="B114" t="s">
        <v>3787</v>
      </c>
      <c r="C114" s="303" t="s">
        <v>579</v>
      </c>
      <c r="D114" s="303" t="str">
        <f>_xlfn.XLOOKUP(C114,IndustryFactors_v1.4!A:A,IndustryFactors_v1.4!B:B,,0)</f>
        <v>Other Chemical Product and Preparation Manufacturing</v>
      </c>
      <c r="E114" s="304" t="s">
        <v>578</v>
      </c>
    </row>
    <row r="115" spans="2:5" ht="51">
      <c r="B115" t="s">
        <v>3739</v>
      </c>
      <c r="C115" s="303" t="s">
        <v>347</v>
      </c>
      <c r="D115" s="303" t="str">
        <f>_xlfn.XLOOKUP(C115,IndustryFactors_v1.4!A:A,IndustryFactors_v1.4!B:B,,0)</f>
        <v>Other Crop Farming</v>
      </c>
      <c r="E115" s="304" t="s">
        <v>346</v>
      </c>
    </row>
    <row r="116" spans="2:5" ht="191.25">
      <c r="B116" t="s">
        <v>855</v>
      </c>
      <c r="C116" s="303" t="s">
        <v>855</v>
      </c>
      <c r="D116" s="303" t="s">
        <v>855</v>
      </c>
      <c r="E116" s="304" t="s">
        <v>3559</v>
      </c>
    </row>
    <row r="117" spans="2:5" ht="102">
      <c r="B117" t="s">
        <v>1034</v>
      </c>
      <c r="C117" s="303" t="s">
        <v>1034</v>
      </c>
      <c r="D117" s="303" t="s">
        <v>1034</v>
      </c>
      <c r="E117" s="304" t="s">
        <v>3381</v>
      </c>
    </row>
    <row r="118" spans="2:5" ht="30">
      <c r="B118" t="s">
        <v>3825</v>
      </c>
      <c r="C118" s="303" t="s">
        <v>773</v>
      </c>
      <c r="D118" s="303" t="str">
        <f>_xlfn.XLOOKUP(C118,IndustryFactors_v1.4!A:A,IndustryFactors_v1.4!B:B,,0)</f>
        <v>Other Electrical Equipment and Component Manufacturing</v>
      </c>
      <c r="E118" s="304" t="s">
        <v>772</v>
      </c>
    </row>
    <row r="119" spans="2:5" ht="30">
      <c r="B119" t="s">
        <v>3808</v>
      </c>
      <c r="C119" s="303" t="s">
        <v>671</v>
      </c>
      <c r="D119" s="303" t="str">
        <f>_xlfn.XLOOKUP(C119,IndustryFactors_v1.4!A:A,IndustryFactors_v1.4!B:B,,0)</f>
        <v>Other Fabricated Metal Product Manufacturing</v>
      </c>
      <c r="E119" s="304" t="s">
        <v>673</v>
      </c>
    </row>
    <row r="120" spans="2:5" ht="51">
      <c r="B120" t="s">
        <v>3877</v>
      </c>
      <c r="C120" s="303" t="s">
        <v>953</v>
      </c>
      <c r="D120" s="303" t="str">
        <f>_xlfn.XLOOKUP(C120,IndustryFactors_v1.4!A:A,IndustryFactors_v1.4!B:B,,0)</f>
        <v>Other Financial Investment Activities</v>
      </c>
      <c r="E120" s="304" t="s">
        <v>952</v>
      </c>
    </row>
    <row r="121" spans="2:5" ht="51">
      <c r="B121" t="s">
        <v>3764</v>
      </c>
      <c r="C121" s="303" t="s">
        <v>479</v>
      </c>
      <c r="D121" s="303" t="str">
        <f>_xlfn.XLOOKUP(C121,IndustryFactors_v1.4!A:A,IndustryFactors_v1.4!B:B,,0)</f>
        <v>Other Food Manufacturing</v>
      </c>
      <c r="E121" s="304" t="s">
        <v>478</v>
      </c>
    </row>
    <row r="122" spans="2:5" ht="30">
      <c r="B122" t="s">
        <v>3835</v>
      </c>
      <c r="C122" s="303" t="s">
        <v>835</v>
      </c>
      <c r="D122" s="303" t="str">
        <f>_xlfn.XLOOKUP(C122,IndustryFactors_v1.4!A:A,IndustryFactors_v1.4!B:B,,0)</f>
        <v>Other Furniture Related Product Manufacturing</v>
      </c>
      <c r="E122" s="304" t="s">
        <v>834</v>
      </c>
    </row>
    <row r="123" spans="2:5" ht="38.25">
      <c r="B123" t="s">
        <v>3815</v>
      </c>
      <c r="C123" s="303" t="s">
        <v>715</v>
      </c>
      <c r="D123" s="303" t="str">
        <f>_xlfn.XLOOKUP(C123,IndustryFactors_v1.4!A:A,IndustryFactors_v1.4!B:B,,0)</f>
        <v>Other General Purpose Machinery Manufacturing</v>
      </c>
      <c r="E123" s="304" t="s">
        <v>714</v>
      </c>
    </row>
    <row r="124" spans="2:5" ht="76.5">
      <c r="B124" t="s">
        <v>3873</v>
      </c>
      <c r="C124" s="303" t="s">
        <v>938</v>
      </c>
      <c r="D124" s="303" t="str">
        <f>_xlfn.XLOOKUP(C124,IndustryFactors_v1.4!A:A,IndustryFactors_v1.4!B:B,,0)</f>
        <v>Other Information Services</v>
      </c>
      <c r="E124" s="304" t="s">
        <v>940</v>
      </c>
    </row>
    <row r="125" spans="2:5" ht="76.5">
      <c r="B125" t="s">
        <v>3837</v>
      </c>
      <c r="C125" s="303" t="s">
        <v>845</v>
      </c>
      <c r="D125" s="303" t="str">
        <f>_xlfn.XLOOKUP(C125,IndustryFactors_v1.4!A:A,IndustryFactors_v1.4!B:B,,0)</f>
        <v>Other Miscellaneous Manufacturing</v>
      </c>
      <c r="E125" s="304" t="s">
        <v>844</v>
      </c>
    </row>
    <row r="126" spans="2:5" ht="51">
      <c r="B126" t="s">
        <v>866</v>
      </c>
      <c r="C126" s="303" t="s">
        <v>866</v>
      </c>
      <c r="D126" s="303" t="s">
        <v>866</v>
      </c>
      <c r="E126" s="304" t="s">
        <v>3562</v>
      </c>
    </row>
    <row r="127" spans="2:5" ht="30">
      <c r="B127" t="s">
        <v>3794</v>
      </c>
      <c r="C127" s="303" t="s">
        <v>613</v>
      </c>
      <c r="D127" s="303" t="str">
        <f>_xlfn.XLOOKUP(C127,IndustryFactors_v1.4!A:A,IndustryFactors_v1.4!B:B,,0)</f>
        <v>Other Nonmetallic Mineral Product Manufacturing</v>
      </c>
      <c r="E127" s="304" t="s">
        <v>612</v>
      </c>
    </row>
    <row r="128" spans="2:5" ht="51">
      <c r="B128" t="s">
        <v>3859</v>
      </c>
      <c r="C128" s="303" t="s">
        <v>1645</v>
      </c>
      <c r="D128" s="303" t="str">
        <f>_xlfn.XLOOKUP(C128,IndustryFactors_v1.4!A:A,IndustryFactors_v1.4!B:B,,0)</f>
        <v>Other Pipeline Transportation</v>
      </c>
      <c r="E128" s="304" t="s">
        <v>1675</v>
      </c>
    </row>
    <row r="129" spans="2:5" ht="38.25">
      <c r="B129" t="s">
        <v>3893</v>
      </c>
      <c r="C129" s="303" t="s">
        <v>1652</v>
      </c>
      <c r="D129" s="303" t="str">
        <f>_xlfn.XLOOKUP(C129,IndustryFactors_v1.4!A:A,IndustryFactors_v1.4!B:B,,0)</f>
        <v>Other Professional, Scientific, and Technical Services</v>
      </c>
      <c r="E129" s="304" t="s">
        <v>1689</v>
      </c>
    </row>
    <row r="130" spans="2:5" ht="140.25">
      <c r="B130" t="s">
        <v>966</v>
      </c>
      <c r="C130" s="303" t="s">
        <v>966</v>
      </c>
      <c r="D130" s="303" t="s">
        <v>966</v>
      </c>
      <c r="E130" s="304" t="s">
        <v>3396</v>
      </c>
    </row>
    <row r="131" spans="2:5" ht="38.25">
      <c r="B131" t="s">
        <v>884</v>
      </c>
      <c r="C131" s="303" t="s">
        <v>884</v>
      </c>
      <c r="D131" s="303" t="s">
        <v>884</v>
      </c>
      <c r="E131" s="304" t="s">
        <v>3567</v>
      </c>
    </row>
    <row r="132" spans="2:5" ht="38.25">
      <c r="B132" t="s">
        <v>3902</v>
      </c>
      <c r="C132" s="303" t="s">
        <v>1027</v>
      </c>
      <c r="D132" s="303" t="str">
        <f>_xlfn.XLOOKUP(C132,IndustryFactors_v1.4!A:A,IndustryFactors_v1.4!B:B,,0)</f>
        <v>Other Support Services</v>
      </c>
      <c r="E132" s="304" t="s">
        <v>1026</v>
      </c>
    </row>
    <row r="133" spans="2:5" ht="114.75">
      <c r="B133" t="s">
        <v>3871</v>
      </c>
      <c r="C133" s="303" t="s">
        <v>932</v>
      </c>
      <c r="D133" s="303" t="str">
        <f>_xlfn.XLOOKUP(C133,IndustryFactors_v1.4!A:A,IndustryFactors_v1.4!B:B,,0)</f>
        <v>Other Telecommunications</v>
      </c>
      <c r="E133" s="304" t="s">
        <v>1679</v>
      </c>
    </row>
    <row r="134" spans="2:5" ht="25.5">
      <c r="B134" t="s">
        <v>3771</v>
      </c>
      <c r="C134" s="303" t="s">
        <v>508</v>
      </c>
      <c r="D134" s="303" t="str">
        <f>_xlfn.XLOOKUP(C134,IndustryFactors_v1.4!A:A,IndustryFactors_v1.4!B:B,,0)</f>
        <v>Other Textile Product Mills</v>
      </c>
      <c r="E134" s="304" t="s">
        <v>507</v>
      </c>
    </row>
    <row r="135" spans="2:5" ht="102">
      <c r="B135" t="s">
        <v>3858</v>
      </c>
      <c r="C135" s="303" t="s">
        <v>1644</v>
      </c>
      <c r="D135" s="303" t="str">
        <f>_xlfn.XLOOKUP(C135,IndustryFactors_v1.4!A:A,IndustryFactors_v1.4!B:B,,0)</f>
        <v>Other Transit and Ground Passenger Transportation</v>
      </c>
      <c r="E135" s="304" t="s">
        <v>1364</v>
      </c>
    </row>
    <row r="136" spans="2:5" ht="30">
      <c r="B136" t="s">
        <v>3832</v>
      </c>
      <c r="C136" s="303" t="s">
        <v>817</v>
      </c>
      <c r="D136" s="303" t="str">
        <f>_xlfn.XLOOKUP(C136,IndustryFactors_v1.4!A:A,IndustryFactors_v1.4!B:B,,0)</f>
        <v>Other Transportation Equipment Manufacturing</v>
      </c>
      <c r="E136" s="304" t="s">
        <v>816</v>
      </c>
    </row>
    <row r="137" spans="2:5" ht="38.25">
      <c r="B137" t="s">
        <v>3776</v>
      </c>
      <c r="C137" s="303" t="s">
        <v>523</v>
      </c>
      <c r="D137" s="303" t="str">
        <f>_xlfn.XLOOKUP(C137,IndustryFactors_v1.4!A:A,IndustryFactors_v1.4!B:B,,0)</f>
        <v>Other Wood Product Manufacturing</v>
      </c>
      <c r="E137" s="304" t="s">
        <v>522</v>
      </c>
    </row>
    <row r="138" spans="2:5" ht="38.25">
      <c r="B138" t="s">
        <v>3907</v>
      </c>
      <c r="C138" s="303" t="s">
        <v>1048</v>
      </c>
      <c r="D138" s="303" t="str">
        <f>_xlfn.XLOOKUP(C138,IndustryFactors_v1.4!A:A,IndustryFactors_v1.4!B:B,,0)</f>
        <v>Outpatient Care Centers</v>
      </c>
      <c r="E138" s="304" t="s">
        <v>1047</v>
      </c>
    </row>
    <row r="139" spans="2:5" ht="38.25">
      <c r="B139" t="s">
        <v>3785</v>
      </c>
      <c r="C139" s="303" t="s">
        <v>571</v>
      </c>
      <c r="D139" s="303" t="str">
        <f>_xlfn.XLOOKUP(C139,IndustryFactors_v1.4!A:A,IndustryFactors_v1.4!B:B,,0)</f>
        <v>Paint, Coating, and Adhesive Manufacturing</v>
      </c>
      <c r="E139" s="304" t="s">
        <v>570</v>
      </c>
    </row>
    <row r="140" spans="2:5" ht="30">
      <c r="B140" t="s">
        <v>3783</v>
      </c>
      <c r="C140" s="303" t="s">
        <v>561</v>
      </c>
      <c r="D140" s="303" t="str">
        <f>_xlfn.XLOOKUP(C140,IndustryFactors_v1.4!A:A,IndustryFactors_v1.4!B:B,,0)</f>
        <v>Pesticide, Fertilizer, and Other Agricultural Chemical Manufacturing</v>
      </c>
      <c r="E140" s="304" t="s">
        <v>560</v>
      </c>
    </row>
    <row r="141" spans="2:5" ht="30">
      <c r="B141" t="s">
        <v>3780</v>
      </c>
      <c r="C141" s="303" t="s">
        <v>544</v>
      </c>
      <c r="D141" s="303" t="str">
        <f>_xlfn.XLOOKUP(C141,IndustryFactors_v1.4!A:A,IndustryFactors_v1.4!B:B,,0)</f>
        <v>Petroleum and Coal Products Manufacturing</v>
      </c>
      <c r="E141" s="304" t="s">
        <v>543</v>
      </c>
    </row>
    <row r="142" spans="2:5" ht="30">
      <c r="B142" t="s">
        <v>3844</v>
      </c>
      <c r="C142" s="303" t="s">
        <v>876</v>
      </c>
      <c r="D142" s="303" t="str">
        <f>_xlfn.XLOOKUP(C142,IndustryFactors_v1.4!A:A,IndustryFactors_v1.4!B:B,,0)</f>
        <v>Petroleum and Petroleum Products Merchant Wholesalers</v>
      </c>
      <c r="E142" s="304" t="s">
        <v>875</v>
      </c>
    </row>
    <row r="143" spans="2:5" ht="30">
      <c r="B143" t="s">
        <v>3784</v>
      </c>
      <c r="C143" s="303" t="s">
        <v>565</v>
      </c>
      <c r="D143" s="303" t="str">
        <f>_xlfn.XLOOKUP(C143,IndustryFactors_v1.4!A:A,IndustryFactors_v1.4!B:B,,0)</f>
        <v>Pharmaceutical and Medicine Manufacturing</v>
      </c>
      <c r="E143" s="304" t="s">
        <v>564</v>
      </c>
    </row>
    <row r="144" spans="2:5" ht="25.5">
      <c r="B144" t="s">
        <v>3788</v>
      </c>
      <c r="C144" s="303" t="s">
        <v>584</v>
      </c>
      <c r="D144" s="303" t="str">
        <f>_xlfn.XLOOKUP(C144,IndustryFactors_v1.4!A:A,IndustryFactors_v1.4!B:B,,0)</f>
        <v>Plastics Product Manufacturing</v>
      </c>
      <c r="E144" s="304" t="s">
        <v>583</v>
      </c>
    </row>
    <row r="145" spans="2:5" ht="114.75">
      <c r="B145" t="s">
        <v>3860</v>
      </c>
      <c r="C145" s="303" t="s">
        <v>1646</v>
      </c>
      <c r="D145" s="303" t="str">
        <f>_xlfn.XLOOKUP(C145,IndustryFactors_v1.4!A:A,IndustryFactors_v1.4!B:B,,0)</f>
        <v>Postal Service</v>
      </c>
      <c r="E145" s="304" t="s">
        <v>1676</v>
      </c>
    </row>
    <row r="146" spans="2:5" ht="15">
      <c r="B146" t="s">
        <v>3741</v>
      </c>
      <c r="C146" s="303" t="s">
        <v>358</v>
      </c>
      <c r="D146" s="303" t="str">
        <f>_xlfn.XLOOKUP(C146,IndustryFactors_v1.4!A:A,IndustryFactors_v1.4!B:B,,0)</f>
        <v>Poultry and Egg Production</v>
      </c>
      <c r="E146" s="304" t="s">
        <v>357</v>
      </c>
    </row>
    <row r="147" spans="2:5" ht="51">
      <c r="B147" t="s">
        <v>3779</v>
      </c>
      <c r="C147" s="303" t="s">
        <v>540</v>
      </c>
      <c r="D147" s="303" t="str">
        <f>_xlfn.XLOOKUP(C147,IndustryFactors_v1.4!A:A,IndustryFactors_v1.4!B:B,,0)</f>
        <v>Printing and Related Support Activities</v>
      </c>
      <c r="E147" s="304" t="s">
        <v>539</v>
      </c>
    </row>
    <row r="148" spans="2:5" ht="45">
      <c r="B148" t="s">
        <v>3839</v>
      </c>
      <c r="C148" s="303" t="s">
        <v>859</v>
      </c>
      <c r="D148" s="303" t="str">
        <f>_xlfn.XLOOKUP(C148,IndustryFactors_v1.4!A:A,IndustryFactors_v1.4!B:B,,0)</f>
        <v>Professional and Commercial Equipment and Supplies Merchant Wholesalers</v>
      </c>
      <c r="E148" s="304" t="s">
        <v>858</v>
      </c>
    </row>
    <row r="149" spans="2:5" ht="25.5">
      <c r="B149" t="s">
        <v>3777</v>
      </c>
      <c r="C149" s="303" t="s">
        <v>528</v>
      </c>
      <c r="D149" s="303" t="str">
        <f>_xlfn.XLOOKUP(C149,IndustryFactors_v1.4!A:A,IndustryFactors_v1.4!B:B,,0)</f>
        <v>Pulp, Paper, and Paperboard Mills</v>
      </c>
      <c r="E149" s="304" t="s">
        <v>527</v>
      </c>
    </row>
    <row r="150" spans="2:5" ht="25.5">
      <c r="B150" t="s">
        <v>3867</v>
      </c>
      <c r="C150" s="303" t="s">
        <v>921</v>
      </c>
      <c r="D150" s="303" t="str">
        <f>_xlfn.XLOOKUP(C150,IndustryFactors_v1.4!A:A,IndustryFactors_v1.4!B:B,,0)</f>
        <v>Radio and Television Broadcasting</v>
      </c>
      <c r="E150" s="304" t="s">
        <v>920</v>
      </c>
    </row>
    <row r="151" spans="2:5" ht="89.25">
      <c r="B151" t="s">
        <v>3855</v>
      </c>
      <c r="C151" s="303" t="s">
        <v>1641</v>
      </c>
      <c r="D151" s="303" t="str">
        <f>_xlfn.XLOOKUP(C151,IndustryFactors_v1.4!A:A,IndustryFactors_v1.4!B:B,,0)</f>
        <v>Rail Transportation</v>
      </c>
      <c r="E151" s="304" t="s">
        <v>1361</v>
      </c>
    </row>
    <row r="152" spans="2:5" ht="38.25">
      <c r="B152" t="s">
        <v>3830</v>
      </c>
      <c r="C152" s="303" t="s">
        <v>810</v>
      </c>
      <c r="D152" s="303" t="str">
        <f>_xlfn.XLOOKUP(C152,IndustryFactors_v1.4!A:A,IndustryFactors_v1.4!B:B,,0)</f>
        <v>Railroad Rolling Stock Manufacturing</v>
      </c>
      <c r="E152" s="304" t="s">
        <v>809</v>
      </c>
    </row>
    <row r="153" spans="2:5" ht="15">
      <c r="B153" t="s">
        <v>3752</v>
      </c>
      <c r="C153" s="303" t="s">
        <v>398</v>
      </c>
      <c r="D153" s="303" t="str">
        <f>_xlfn.XLOOKUP(C153,IndustryFactors_v1.4!A:A,IndustryFactors_v1.4!B:B,,0)</f>
        <v>Residential Building Construction</v>
      </c>
      <c r="E153" s="304" t="s">
        <v>401</v>
      </c>
    </row>
    <row r="154" spans="2:5" ht="45">
      <c r="B154" t="s">
        <v>3782</v>
      </c>
      <c r="C154" s="303" t="s">
        <v>556</v>
      </c>
      <c r="D154" s="303" t="str">
        <f>_xlfn.XLOOKUP(C154,IndustryFactors_v1.4!A:A,IndustryFactors_v1.4!B:B,,0)</f>
        <v>Resin, Synthetic Rubber, and Artificial and Synthetic Fibers and Filaments Manufacturing</v>
      </c>
      <c r="E154" s="304" t="s">
        <v>555</v>
      </c>
    </row>
    <row r="155" spans="2:5" ht="25.5">
      <c r="B155" t="s">
        <v>3789</v>
      </c>
      <c r="C155" s="303" t="s">
        <v>593</v>
      </c>
      <c r="D155" s="303" t="str">
        <f>_xlfn.XLOOKUP(C155,IndustryFactors_v1.4!A:A,IndustryFactors_v1.4!B:B,,0)</f>
        <v>Rubber Product Manufacturing</v>
      </c>
      <c r="E155" s="304" t="s">
        <v>592</v>
      </c>
    </row>
    <row r="156" spans="2:5" ht="38.25">
      <c r="B156" t="s">
        <v>3774</v>
      </c>
      <c r="C156" s="303" t="s">
        <v>517</v>
      </c>
      <c r="D156" s="303" t="str">
        <f>_xlfn.XLOOKUP(C156,IndustryFactors_v1.4!A:A,IndustryFactors_v1.4!B:B,,0)</f>
        <v>Sawmills and Wood Preservation</v>
      </c>
      <c r="E156" s="304" t="s">
        <v>516</v>
      </c>
    </row>
    <row r="157" spans="2:5" ht="178.5">
      <c r="B157" t="s">
        <v>3734</v>
      </c>
      <c r="C157" s="303" t="s">
        <v>3734</v>
      </c>
      <c r="D157" s="303" t="s">
        <v>3734</v>
      </c>
      <c r="E157" s="304" t="s">
        <v>3915</v>
      </c>
    </row>
    <row r="158" spans="2:5" ht="127.5">
      <c r="B158" t="s">
        <v>3854</v>
      </c>
      <c r="C158" s="303" t="s">
        <v>1640</v>
      </c>
      <c r="D158" s="303" t="str">
        <f>_xlfn.XLOOKUP(C158,IndustryFactors_v1.4!A:A,IndustryFactors_v1.4!B:B,,0)</f>
        <v>Scheduled Air Transportation</v>
      </c>
      <c r="E158" s="304" t="s">
        <v>1360</v>
      </c>
    </row>
    <row r="159" spans="2:5" ht="51">
      <c r="B159" t="s">
        <v>3891</v>
      </c>
      <c r="C159" s="303" t="s">
        <v>1650</v>
      </c>
      <c r="D159" s="303" t="str">
        <f>_xlfn.XLOOKUP(C159,IndustryFactors_v1.4!A:A,IndustryFactors_v1.4!B:B,,0)</f>
        <v>Scientific Research and Development Services</v>
      </c>
      <c r="E159" s="304" t="s">
        <v>1687</v>
      </c>
    </row>
    <row r="160" spans="2:5" ht="51">
      <c r="B160" t="s">
        <v>3762</v>
      </c>
      <c r="C160" s="303" t="s">
        <v>471</v>
      </c>
      <c r="D160" s="303" t="str">
        <f>_xlfn.XLOOKUP(C160,IndustryFactors_v1.4!A:A,IndustryFactors_v1.4!B:B,,0)</f>
        <v>Seafood Product Preparation and Packaging</v>
      </c>
      <c r="E160" s="304" t="s">
        <v>470</v>
      </c>
    </row>
    <row r="161" spans="2:5" ht="51">
      <c r="B161" t="s">
        <v>3876</v>
      </c>
      <c r="C161" s="303" t="s">
        <v>950</v>
      </c>
      <c r="D161" s="303" t="str">
        <f>_xlfn.XLOOKUP(C161,IndustryFactors_v1.4!A:A,IndustryFactors_v1.4!B:B,,0)</f>
        <v>Securities and Commodity Contracts Intermediation and Brokerage</v>
      </c>
      <c r="E161" s="304" t="s">
        <v>1682</v>
      </c>
    </row>
    <row r="162" spans="2:5" ht="38.25">
      <c r="B162" t="s">
        <v>3819</v>
      </c>
      <c r="C162" s="303" t="s">
        <v>739</v>
      </c>
      <c r="D162" s="303" t="str">
        <f>_xlfn.XLOOKUP(C162,IndustryFactors_v1.4!A:A,IndustryFactors_v1.4!B:B,,0)</f>
        <v>Semiconductor and Other Electronic Component Manufacturing</v>
      </c>
      <c r="E162" s="304" t="s">
        <v>741</v>
      </c>
    </row>
    <row r="163" spans="2:5" ht="25.5">
      <c r="B163" t="s">
        <v>3901</v>
      </c>
      <c r="C163" s="303" t="s">
        <v>1024</v>
      </c>
      <c r="D163" s="303" t="str">
        <f>_xlfn.XLOOKUP(C163,IndustryFactors_v1.4!A:A,IndustryFactors_v1.4!B:B,,0)</f>
        <v>Services to Buildings and Dwellings</v>
      </c>
      <c r="E163" s="304" t="s">
        <v>1023</v>
      </c>
    </row>
    <row r="164" spans="2:5" ht="51">
      <c r="B164" t="s">
        <v>3831</v>
      </c>
      <c r="C164" s="303" t="s">
        <v>813</v>
      </c>
      <c r="D164" s="303" t="str">
        <f>_xlfn.XLOOKUP(C164,IndustryFactors_v1.4!A:A,IndustryFactors_v1.4!B:B,,0)</f>
        <v>Ship and Boat Building</v>
      </c>
      <c r="E164" s="304" t="s">
        <v>812</v>
      </c>
    </row>
    <row r="165" spans="2:5" ht="30">
      <c r="B165" t="s">
        <v>3786</v>
      </c>
      <c r="C165" s="303" t="s">
        <v>575</v>
      </c>
      <c r="D165" s="303" t="str">
        <f>_xlfn.XLOOKUP(C165,IndustryFactors_v1.4!A:A,IndustryFactors_v1.4!B:B,,0)</f>
        <v>Soap, Cleaning Compound, and Toilet Preparation Manufacturing</v>
      </c>
      <c r="E165" s="304" t="s">
        <v>574</v>
      </c>
    </row>
    <row r="166" spans="2:5" ht="38.25">
      <c r="B166" t="s">
        <v>3864</v>
      </c>
      <c r="C166" s="303" t="s">
        <v>912</v>
      </c>
      <c r="D166" s="303" t="str">
        <f>_xlfn.XLOOKUP(C166,IndustryFactors_v1.4!A:A,IndustryFactors_v1.4!B:B,,0)</f>
        <v>Software Publishers</v>
      </c>
      <c r="E166" s="304" t="s">
        <v>911</v>
      </c>
    </row>
    <row r="167" spans="2:5" ht="25.5">
      <c r="B167" t="s">
        <v>3866</v>
      </c>
      <c r="C167" s="303" t="s">
        <v>918</v>
      </c>
      <c r="D167" s="303" t="str">
        <f>_xlfn.XLOOKUP(C167,IndustryFactors_v1.4!A:A,IndustryFactors_v1.4!B:B,,0)</f>
        <v>Sound Recording Industries</v>
      </c>
      <c r="E167" s="304" t="s">
        <v>917</v>
      </c>
    </row>
    <row r="168" spans="2:5" ht="51">
      <c r="B168" t="s">
        <v>3908</v>
      </c>
      <c r="C168" s="303" t="s">
        <v>1092</v>
      </c>
      <c r="D168" s="303" t="str">
        <f>_xlfn.XLOOKUP(C168,IndustryFactors_v1.4!A:A,IndustryFactors_v1.4!B:B,,0)</f>
        <v>Special Food Services</v>
      </c>
      <c r="E168" s="304" t="s">
        <v>1691</v>
      </c>
    </row>
    <row r="169" spans="2:5" ht="25.5">
      <c r="B169" t="s">
        <v>3888</v>
      </c>
      <c r="C169" s="303" t="s">
        <v>991</v>
      </c>
      <c r="D169" s="303" t="str">
        <f>_xlfn.XLOOKUP(C169,IndustryFactors_v1.4!A:A,IndustryFactors_v1.4!B:B,,0)</f>
        <v>Specialized Design Services</v>
      </c>
      <c r="E169" s="304" t="s">
        <v>990</v>
      </c>
    </row>
    <row r="170" spans="2:5" ht="38.25">
      <c r="B170" t="s">
        <v>3805</v>
      </c>
      <c r="C170" s="303" t="s">
        <v>661</v>
      </c>
      <c r="D170" s="303" t="str">
        <f>_xlfn.XLOOKUP(C170,IndustryFactors_v1.4!A:A,IndustryFactors_v1.4!B:B,,0)</f>
        <v>Spring and Wire Product Manufacturing</v>
      </c>
      <c r="E170" s="304" t="s">
        <v>660</v>
      </c>
    </row>
    <row r="171" spans="2:5" ht="30">
      <c r="B171" t="s">
        <v>3796</v>
      </c>
      <c r="C171" s="303" t="s">
        <v>623</v>
      </c>
      <c r="D171" s="303" t="str">
        <f>_xlfn.XLOOKUP(C171,IndustryFactors_v1.4!A:A,IndustryFactors_v1.4!B:B,,0)</f>
        <v>Steel Product Manufacturing from Purchased Steel</v>
      </c>
      <c r="E171" s="304" t="s">
        <v>622</v>
      </c>
    </row>
    <row r="172" spans="2:5" ht="30">
      <c r="B172" t="s">
        <v>3758</v>
      </c>
      <c r="C172" s="303" t="s">
        <v>452</v>
      </c>
      <c r="D172" s="303" t="str">
        <f>_xlfn.XLOOKUP(C172,IndustryFactors_v1.4!A:A,IndustryFactors_v1.4!B:B,,0)</f>
        <v>Sugar and Confectionery Product Manufacturing</v>
      </c>
      <c r="E172" s="304" t="s">
        <v>451</v>
      </c>
    </row>
    <row r="173" spans="2:5" ht="51">
      <c r="B173" t="s">
        <v>3744</v>
      </c>
      <c r="C173" s="303" t="s">
        <v>368</v>
      </c>
      <c r="D173" s="303" t="str">
        <f>_xlfn.XLOOKUP(C173,IndustryFactors_v1.4!A:A,IndustryFactors_v1.4!B:B,,0)</f>
        <v>Support Activities for Crop Production</v>
      </c>
      <c r="E173" s="304" t="s">
        <v>367</v>
      </c>
    </row>
    <row r="174" spans="2:5" ht="25.5">
      <c r="B174" t="s">
        <v>3749</v>
      </c>
      <c r="C174" s="303" t="s">
        <v>387</v>
      </c>
      <c r="D174" s="303" t="str">
        <f>_xlfn.XLOOKUP(C174,IndustryFactors_v1.4!A:A,IndustryFactors_v1.4!B:B,,0)</f>
        <v>Support Activities for Mining</v>
      </c>
      <c r="E174" s="304" t="s">
        <v>386</v>
      </c>
    </row>
    <row r="175" spans="2:5" ht="30">
      <c r="B175" t="s">
        <v>3769</v>
      </c>
      <c r="C175" s="303" t="s">
        <v>501</v>
      </c>
      <c r="D175" s="303" t="str">
        <f>_xlfn.XLOOKUP(C175,IndustryFactors_v1.4!A:A,IndustryFactors_v1.4!B:B,,0)</f>
        <v>Textile and Fabric Finishing and Fabric Coating Mills</v>
      </c>
      <c r="E175" s="304" t="s">
        <v>500</v>
      </c>
    </row>
    <row r="176" spans="2:5" ht="38.25">
      <c r="B176" t="s">
        <v>3770</v>
      </c>
      <c r="C176" s="303" t="s">
        <v>504</v>
      </c>
      <c r="D176" s="303" t="str">
        <f>_xlfn.XLOOKUP(C176,IndustryFactors_v1.4!A:A,IndustryFactors_v1.4!B:B,,0)</f>
        <v>Textile Furnishings Mills</v>
      </c>
      <c r="E176" s="304" t="s">
        <v>503</v>
      </c>
    </row>
    <row r="177" spans="2:5" ht="102">
      <c r="B177" t="s">
        <v>3743</v>
      </c>
      <c r="C177" s="303" t="s">
        <v>361</v>
      </c>
      <c r="D177" s="303" t="str">
        <f>_xlfn.XLOOKUP(C177,IndustryFactors_v1.4!A:A,IndustryFactors_v1.4!B:B,,0)</f>
        <v>Timber Tract Operations</v>
      </c>
      <c r="E177" s="304" t="s">
        <v>360</v>
      </c>
    </row>
    <row r="178" spans="2:5" ht="25.5">
      <c r="B178" t="s">
        <v>3766</v>
      </c>
      <c r="C178" s="303" t="s">
        <v>492</v>
      </c>
      <c r="D178" s="303" t="str">
        <f>_xlfn.XLOOKUP(C178,IndustryFactors_v1.4!A:A,IndustryFactors_v1.4!B:B,,0)</f>
        <v>Tobacco Manufacturing</v>
      </c>
      <c r="E178" s="304" t="s">
        <v>491</v>
      </c>
    </row>
    <row r="179" spans="2:5" ht="30">
      <c r="B179" t="s">
        <v>3899</v>
      </c>
      <c r="C179" s="303" t="s">
        <v>1018</v>
      </c>
      <c r="D179" s="303" t="str">
        <f>_xlfn.XLOOKUP(C179,IndustryFactors_v1.4!A:A,IndustryFactors_v1.4!B:B,,0)</f>
        <v>Travel Arrangement and Reservation Services</v>
      </c>
      <c r="E179" s="304" t="s">
        <v>1017</v>
      </c>
    </row>
    <row r="180" spans="2:5" ht="15">
      <c r="B180" t="s">
        <v>3754</v>
      </c>
      <c r="C180" s="303" t="s">
        <v>406</v>
      </c>
      <c r="D180" s="303" t="str">
        <f>_xlfn.XLOOKUP(C180,IndustryFactors_v1.4!A:A,IndustryFactors_v1.4!B:B,,0)</f>
        <v>Utility System Construction</v>
      </c>
      <c r="E180" s="304" t="s">
        <v>405</v>
      </c>
    </row>
    <row r="181" spans="2:5" ht="38.25">
      <c r="B181" t="s">
        <v>3736</v>
      </c>
      <c r="C181" s="303" t="s">
        <v>338</v>
      </c>
      <c r="D181" s="303" t="str">
        <f>_xlfn.XLOOKUP(C181,IndustryFactors_v1.4!A:A,IndustryFactors_v1.4!B:B,,0)</f>
        <v>Vegetable and Melon Farming</v>
      </c>
      <c r="E181" s="304" t="s">
        <v>337</v>
      </c>
    </row>
    <row r="182" spans="2:5" ht="51">
      <c r="B182" t="s">
        <v>3775</v>
      </c>
      <c r="C182" s="303" t="s">
        <v>520</v>
      </c>
      <c r="D182" s="303" t="str">
        <f>_xlfn.XLOOKUP(C182,IndustryFactors_v1.4!A:A,IndustryFactors_v1.4!B:B,,0)</f>
        <v>Veneer, Plywood, and Engineered Wood Product Manufacturing</v>
      </c>
      <c r="E182" s="304" t="s">
        <v>519</v>
      </c>
    </row>
    <row r="183" spans="2:5" ht="51">
      <c r="B183" t="s">
        <v>3812</v>
      </c>
      <c r="C183" s="303" t="s">
        <v>697</v>
      </c>
      <c r="D183" s="303" t="str">
        <f>_xlfn.XLOOKUP(C183,IndustryFactors_v1.4!A:A,IndustryFactors_v1.4!B:B,,0)</f>
        <v>Ventilation, Heating, Air-Conditioning, and Commercial Refrigeration Equipment Manufacturing</v>
      </c>
      <c r="E183" s="304" t="s">
        <v>696</v>
      </c>
    </row>
    <row r="184" spans="2:5" ht="102">
      <c r="B184" t="s">
        <v>3862</v>
      </c>
      <c r="C184" s="303" t="s">
        <v>1648</v>
      </c>
      <c r="D184" s="303" t="str">
        <f>_xlfn.XLOOKUP(C184,IndustryFactors_v1.4!A:A,IndustryFactors_v1.4!B:B,,0)</f>
        <v>Warehousing and Storage</v>
      </c>
      <c r="E184" s="304" t="s">
        <v>1678</v>
      </c>
    </row>
    <row r="185" spans="2:5" ht="25.5">
      <c r="B185" t="s">
        <v>3751</v>
      </c>
      <c r="C185" s="303" t="s">
        <v>395</v>
      </c>
      <c r="D185" s="303" t="str">
        <f>_xlfn.XLOOKUP(C185,IndustryFactors_v1.4!A:A,IndustryFactors_v1.4!B:B,,0)</f>
        <v>Water, Sewage and Other Systems</v>
      </c>
      <c r="E185" s="304" t="s">
        <v>394</v>
      </c>
    </row>
    <row r="186" spans="2:5" ht="38.25">
      <c r="B186" t="s">
        <v>3845</v>
      </c>
      <c r="C186" s="303" t="s">
        <v>879</v>
      </c>
      <c r="D186" s="303" t="str">
        <f>_xlfn.XLOOKUP(C186,IndustryFactors_v1.4!A:A,IndustryFactors_v1.4!B:B,,0)</f>
        <v>Wholesale Electronic Markets and Agents and Brokers</v>
      </c>
      <c r="E186" s="304" t="s">
        <v>878</v>
      </c>
    </row>
    <row r="187" spans="2:5" ht="76.5">
      <c r="B187" t="s">
        <v>3869</v>
      </c>
      <c r="C187" s="303" t="s">
        <v>926</v>
      </c>
      <c r="D187" s="303" t="str">
        <f>_xlfn.XLOOKUP(C187,IndustryFactors_v1.4!A:A,IndustryFactors_v1.4!B:B,,0)</f>
        <v>Wired Telecommunications Carriers</v>
      </c>
      <c r="E187" s="304" t="s">
        <v>925</v>
      </c>
    </row>
    <row r="188" spans="2:5" ht="38.25">
      <c r="B188" t="s">
        <v>3870</v>
      </c>
      <c r="C188" s="303" t="s">
        <v>929</v>
      </c>
      <c r="D188" s="303" t="str">
        <f>_xlfn.XLOOKUP(C188,IndustryFactors_v1.4!A:A,IndustryFactors_v1.4!B:B,,0)</f>
        <v>Wireless Telecommunications Carriers (except Satellite)</v>
      </c>
      <c r="E188" s="304" t="s">
        <v>928</v>
      </c>
    </row>
  </sheetData>
  <sheetProtection algorithmName="SHA-512" hashValue="0ciRRMee4PqOF80zd1DvQjs/49B1MfA1ed2G13nNwp4nQqa6qeGtvtqyJ5DnuzOrvQXEheKJMG+XvKMNRoeuVA==" saltValue="lqUBF/FZ8J6o2FcIfhjK8Q==" spinCount="100000" sheet="1" autoFilter="0"/>
  <autoFilter ref="D3:E3" xr:uid="{C1B9A066-4141-47B7-B714-265820EDAA40}"/>
  <sortState xmlns:xlrd2="http://schemas.microsoft.com/office/spreadsheetml/2017/richdata2" ref="B4:E188">
    <sortCondition ref="B4:B188"/>
  </sortState>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5AA4-3E86-47B6-92AF-942C982E1F08}">
  <sheetPr codeName="Sheet40">
    <tabColor rgb="FF002060"/>
  </sheetPr>
  <dimension ref="A1:Y72"/>
  <sheetViews>
    <sheetView showGridLines="0" topLeftCell="A43" workbookViewId="0">
      <selection activeCell="Q63" sqref="Q63"/>
    </sheetView>
  </sheetViews>
  <sheetFormatPr defaultColWidth="8.875" defaultRowHeight="14.25"/>
  <cols>
    <col min="1" max="2" width="8.875" style="309"/>
    <col min="3" max="3" width="15" style="309" customWidth="1"/>
    <col min="4" max="16384" width="8.875" style="309"/>
  </cols>
  <sheetData>
    <row r="1" spans="1:25" ht="27.6" customHeight="1">
      <c r="A1" s="306" t="s">
        <v>26</v>
      </c>
      <c r="B1" s="307"/>
      <c r="C1" s="307"/>
      <c r="D1" s="307"/>
      <c r="E1" s="307"/>
      <c r="F1" s="307"/>
      <c r="G1" s="307"/>
      <c r="H1" s="308"/>
      <c r="I1" s="308"/>
      <c r="J1" s="308"/>
      <c r="K1" s="308"/>
      <c r="L1" s="308"/>
      <c r="M1" s="308"/>
      <c r="N1" s="308"/>
      <c r="O1" s="308"/>
      <c r="P1" s="308"/>
      <c r="Q1" s="308"/>
      <c r="R1" s="308"/>
      <c r="S1" s="308"/>
      <c r="T1" s="308"/>
      <c r="U1" s="308"/>
      <c r="V1" s="308"/>
      <c r="W1" s="308"/>
      <c r="X1" s="308"/>
      <c r="Y1" s="308"/>
    </row>
    <row r="3" spans="1:25" ht="15">
      <c r="B3" s="310" t="s">
        <v>1153</v>
      </c>
      <c r="D3" s="311"/>
    </row>
    <row r="4" spans="1:25" ht="15">
      <c r="B4" s="310" t="s">
        <v>1158</v>
      </c>
    </row>
    <row r="5" spans="1:25" ht="15">
      <c r="B5" s="310" t="s">
        <v>1165</v>
      </c>
    </row>
    <row r="6" spans="1:25" ht="15">
      <c r="B6" s="310" t="s">
        <v>4353</v>
      </c>
    </row>
    <row r="7" spans="1:25" ht="15">
      <c r="B7" s="310" t="s">
        <v>1171</v>
      </c>
    </row>
    <row r="8" spans="1:25" ht="15">
      <c r="B8" s="310" t="s">
        <v>1198</v>
      </c>
    </row>
    <row r="9" spans="1:25" ht="15">
      <c r="B9" s="310"/>
      <c r="C9" s="309" t="s">
        <v>4350</v>
      </c>
    </row>
    <row r="10" spans="1:25" ht="15">
      <c r="B10" s="310"/>
      <c r="C10" s="950" t="s">
        <v>4351</v>
      </c>
      <c r="E10" s="309" t="s">
        <v>4352</v>
      </c>
    </row>
    <row r="12" spans="1:25" ht="15">
      <c r="B12" s="310" t="s">
        <v>1161</v>
      </c>
    </row>
    <row r="13" spans="1:25" ht="15">
      <c r="B13" s="310"/>
      <c r="C13" s="310" t="s">
        <v>1693</v>
      </c>
    </row>
    <row r="14" spans="1:25" ht="15">
      <c r="B14" s="310"/>
      <c r="C14" s="313" t="s">
        <v>4006</v>
      </c>
    </row>
    <row r="15" spans="1:25" ht="15">
      <c r="B15" s="310"/>
      <c r="C15" s="814" t="s">
        <v>4005</v>
      </c>
    </row>
    <row r="16" spans="1:25" ht="15">
      <c r="B16" s="310"/>
      <c r="C16" s="314" t="s">
        <v>4355</v>
      </c>
    </row>
    <row r="17" spans="2:3" ht="15">
      <c r="B17" s="310"/>
      <c r="C17" s="314" t="s">
        <v>4357</v>
      </c>
    </row>
    <row r="18" spans="2:3" ht="15">
      <c r="B18" s="310"/>
      <c r="C18" s="310" t="s">
        <v>4009</v>
      </c>
    </row>
    <row r="19" spans="2:3">
      <c r="C19" s="313" t="s">
        <v>4356</v>
      </c>
    </row>
    <row r="21" spans="2:3" ht="15">
      <c r="B21" s="310" t="s">
        <v>1168</v>
      </c>
    </row>
    <row r="22" spans="2:3" ht="15">
      <c r="C22" s="309" t="s">
        <v>4354</v>
      </c>
    </row>
    <row r="23" spans="2:3">
      <c r="C23" s="951" t="s">
        <v>4007</v>
      </c>
    </row>
    <row r="24" spans="2:3" ht="15">
      <c r="B24" s="310"/>
      <c r="C24" s="309" t="s">
        <v>4347</v>
      </c>
    </row>
    <row r="25" spans="2:3" ht="15">
      <c r="B25" s="310"/>
      <c r="C25" s="951" t="s">
        <v>4005</v>
      </c>
    </row>
    <row r="26" spans="2:3" ht="15">
      <c r="C26" s="309" t="s">
        <v>4348</v>
      </c>
    </row>
    <row r="27" spans="2:3">
      <c r="C27" s="952" t="s">
        <v>4198</v>
      </c>
    </row>
    <row r="28" spans="2:3" ht="15">
      <c r="C28" s="309" t="s">
        <v>4349</v>
      </c>
    </row>
    <row r="29" spans="2:3">
      <c r="C29" s="8"/>
    </row>
    <row r="30" spans="2:3" ht="15">
      <c r="B30" s="310" t="s">
        <v>1174</v>
      </c>
    </row>
    <row r="31" spans="2:3" ht="15">
      <c r="B31" s="310" t="s">
        <v>1694</v>
      </c>
    </row>
    <row r="32" spans="2:3" ht="15">
      <c r="B32" s="310"/>
      <c r="C32" s="309" t="s">
        <v>4346</v>
      </c>
    </row>
    <row r="33" spans="2:3" ht="15">
      <c r="B33" s="310"/>
      <c r="C33" s="312" t="s">
        <v>1435</v>
      </c>
    </row>
    <row r="34" spans="2:3" ht="15">
      <c r="B34" s="310"/>
      <c r="C34" s="309" t="s">
        <v>4054</v>
      </c>
    </row>
    <row r="35" spans="2:3" ht="15">
      <c r="B35" s="310"/>
      <c r="C35" s="312" t="s">
        <v>4010</v>
      </c>
    </row>
    <row r="36" spans="2:3" ht="15">
      <c r="B36" s="310"/>
      <c r="C36" s="309" t="s">
        <v>3931</v>
      </c>
    </row>
    <row r="37" spans="2:3" ht="15">
      <c r="B37" s="310"/>
      <c r="C37" s="312" t="s">
        <v>1485</v>
      </c>
    </row>
    <row r="38" spans="2:3" ht="15">
      <c r="B38" s="310"/>
      <c r="C38" s="309" t="s">
        <v>4345</v>
      </c>
    </row>
    <row r="39" spans="2:3" ht="15">
      <c r="B39" s="310"/>
      <c r="C39" s="312" t="s">
        <v>4005</v>
      </c>
    </row>
    <row r="40" spans="2:3" ht="15">
      <c r="B40" s="310"/>
      <c r="C40" s="813"/>
    </row>
    <row r="41" spans="2:3" ht="15">
      <c r="B41" s="310" t="s">
        <v>1177</v>
      </c>
    </row>
    <row r="42" spans="2:3" ht="15">
      <c r="B42" s="310" t="s">
        <v>1194</v>
      </c>
    </row>
    <row r="43" spans="2:3" ht="15">
      <c r="B43" s="310"/>
      <c r="C43" s="309" t="s">
        <v>4011</v>
      </c>
    </row>
    <row r="44" spans="2:3" ht="15">
      <c r="B44" s="310"/>
      <c r="C44" s="312" t="s">
        <v>4012</v>
      </c>
    </row>
    <row r="45" spans="2:3">
      <c r="C45" s="309" t="s">
        <v>4008</v>
      </c>
    </row>
    <row r="46" spans="2:3">
      <c r="C46" s="312" t="s">
        <v>4013</v>
      </c>
    </row>
    <row r="47" spans="2:3">
      <c r="C47" s="309" t="s">
        <v>4014</v>
      </c>
    </row>
    <row r="48" spans="2:3">
      <c r="C48" s="312" t="s">
        <v>4015</v>
      </c>
    </row>
    <row r="49" spans="1:13">
      <c r="C49" s="312"/>
    </row>
    <row r="50" spans="1:13" ht="15">
      <c r="B50" s="310" t="s">
        <v>1187</v>
      </c>
    </row>
    <row r="51" spans="1:13">
      <c r="C51" s="309" t="s">
        <v>4087</v>
      </c>
    </row>
    <row r="52" spans="1:13">
      <c r="C52" s="814"/>
    </row>
    <row r="53" spans="1:13" ht="15">
      <c r="B53" s="310" t="s">
        <v>1695</v>
      </c>
    </row>
    <row r="54" spans="1:13">
      <c r="C54" s="309" t="s">
        <v>1696</v>
      </c>
    </row>
    <row r="55" spans="1:13">
      <c r="C55" s="312" t="s">
        <v>1697</v>
      </c>
      <c r="M55" s="315"/>
    </row>
    <row r="56" spans="1:13">
      <c r="C56" s="309" t="s">
        <v>1698</v>
      </c>
    </row>
    <row r="57" spans="1:13">
      <c r="C57" s="312" t="s">
        <v>1699</v>
      </c>
    </row>
    <row r="59" spans="1:13" ht="15">
      <c r="C59" s="836" t="s">
        <v>1203</v>
      </c>
      <c r="D59" s="837"/>
      <c r="E59" s="41"/>
      <c r="F59" s="41"/>
    </row>
    <row r="60" spans="1:13" ht="6" customHeight="1">
      <c r="A60" s="783"/>
      <c r="C60" s="30"/>
      <c r="D60" s="41"/>
      <c r="E60" s="41"/>
      <c r="F60" s="41"/>
    </row>
    <row r="61" spans="1:13">
      <c r="C61" s="30"/>
      <c r="D61" s="41"/>
      <c r="E61" s="41"/>
      <c r="F61" s="41"/>
    </row>
    <row r="62" spans="1:13">
      <c r="C62" s="30"/>
      <c r="D62" s="30"/>
      <c r="E62" s="30"/>
      <c r="F62" s="41"/>
    </row>
    <row r="63" spans="1:13">
      <c r="C63" s="30"/>
      <c r="D63" s="30"/>
      <c r="E63" s="30"/>
      <c r="F63" s="41"/>
    </row>
    <row r="64" spans="1:13">
      <c r="C64" s="30"/>
      <c r="D64" s="30"/>
      <c r="E64" s="30"/>
      <c r="F64" s="41"/>
    </row>
    <row r="65" spans="3:6">
      <c r="C65" s="30"/>
      <c r="D65" s="30"/>
      <c r="E65" s="30"/>
      <c r="F65" s="41"/>
    </row>
    <row r="66" spans="3:6">
      <c r="C66" s="30"/>
      <c r="D66" s="30"/>
      <c r="E66" s="30"/>
      <c r="F66" s="41"/>
    </row>
    <row r="67" spans="3:6">
      <c r="C67" s="30"/>
      <c r="D67" s="30"/>
      <c r="E67" s="30"/>
      <c r="F67" s="41"/>
    </row>
    <row r="68" spans="3:6">
      <c r="C68" s="30"/>
      <c r="D68" s="30"/>
      <c r="E68" s="30"/>
      <c r="F68" s="41"/>
    </row>
    <row r="69" spans="3:6">
      <c r="C69" s="30"/>
      <c r="D69" s="30"/>
      <c r="E69" s="30"/>
      <c r="F69" s="41"/>
    </row>
    <row r="70" spans="3:6">
      <c r="C70" s="838" t="s">
        <v>1208</v>
      </c>
      <c r="D70" s="30"/>
      <c r="E70" s="30"/>
      <c r="F70" s="30"/>
    </row>
    <row r="71" spans="3:6">
      <c r="C71" s="30"/>
      <c r="D71" s="30"/>
      <c r="E71" s="30"/>
      <c r="F71" s="30"/>
    </row>
    <row r="72" spans="3:6">
      <c r="D72" s="839"/>
      <c r="E72" s="839"/>
      <c r="F72" s="839"/>
    </row>
  </sheetData>
  <hyperlinks>
    <hyperlink ref="C55" r:id="rId1" xr:uid="{D26DC7DB-F4E7-4801-891C-7875310BA771}"/>
    <hyperlink ref="C57" r:id="rId2" xr:uid="{0CA91299-FF9A-4919-8E4F-390EC6276DEA}"/>
    <hyperlink ref="C15" r:id="rId3" xr:uid="{EB153A44-E166-4C24-B204-0E6317384F1C}"/>
    <hyperlink ref="C23" r:id="rId4" xr:uid="{9CEE343E-22A9-480F-8491-7469DA8230B1}"/>
    <hyperlink ref="C39" r:id="rId5" xr:uid="{01F89872-E83E-4CCC-8605-1B7DC1024819}"/>
    <hyperlink ref="C33" r:id="rId6" xr:uid="{EE981A3C-53B1-49EE-81A4-14E60B33DF02}"/>
    <hyperlink ref="C44" r:id="rId7" xr:uid="{14551E39-A4E9-4DBA-8C7E-C9CA603823FC}"/>
    <hyperlink ref="C46" r:id="rId8" xr:uid="{F15F301D-FD9B-4351-B99C-F7D444000EFF}"/>
    <hyperlink ref="C48" r:id="rId9" xr:uid="{79EB4874-1EA9-43B5-BB7A-491F22464EF5}"/>
    <hyperlink ref="C70" r:id="rId10" xr:uid="{F5775885-828A-4A50-B93D-E7574D67B293}"/>
    <hyperlink ref="C27" r:id="rId11" xr:uid="{AD492258-B3E0-4062-B46B-EDDCD62E9A03}"/>
    <hyperlink ref="C37" r:id="rId12" xr:uid="{956E29E3-409F-4F3E-9303-EE4F14D470DC}"/>
    <hyperlink ref="C25" r:id="rId13" xr:uid="{EA6511F0-92D5-4231-87A7-ECAE9DA0FABA}"/>
    <hyperlink ref="C10" r:id="rId14" xr:uid="{A4F70AB9-D7F0-4C3E-BC69-6F59D3F62585}"/>
  </hyperlinks>
  <pageMargins left="0.7" right="0.7" top="0.75" bottom="0.75" header="0.3" footer="0.3"/>
  <pageSetup orientation="portrait" horizontalDpi="1200" verticalDpi="1200" r:id="rId15"/>
  <drawing r:id="rId1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906-B105-45EE-B6B2-495C36A4FE09}">
  <sheetPr codeName="Sheet24"/>
  <dimension ref="B1:AA260"/>
  <sheetViews>
    <sheetView topLeftCell="B1" zoomScale="115" zoomScaleNormal="115" workbookViewId="0">
      <selection sqref="A1:XFD1048576"/>
    </sheetView>
  </sheetViews>
  <sheetFormatPr defaultColWidth="56" defaultRowHeight="14.25"/>
  <cols>
    <col min="1" max="1" width="8.875" style="30" customWidth="1"/>
    <col min="2" max="2" width="7.625" style="30" customWidth="1"/>
    <col min="3" max="3" width="18.75" style="30" customWidth="1"/>
    <col min="4" max="4" width="21.375" style="30" customWidth="1"/>
    <col min="5" max="5" width="13.125" style="30" customWidth="1"/>
    <col min="6" max="6" width="17.125" style="30" bestFit="1" customWidth="1"/>
    <col min="7" max="7" width="28.75" style="30" bestFit="1" customWidth="1"/>
    <col min="8" max="8" width="13.5" style="30" customWidth="1"/>
    <col min="9" max="9" width="28.875" style="30" bestFit="1" customWidth="1"/>
    <col min="10" max="10" width="28.125" style="30" customWidth="1"/>
    <col min="11" max="11" width="30.875" style="30" customWidth="1"/>
    <col min="12" max="12" width="12.875" style="30" customWidth="1"/>
    <col min="13" max="13" width="15.125" style="30" bestFit="1" customWidth="1"/>
    <col min="14" max="14" width="23.5" style="30" customWidth="1"/>
    <col min="15" max="15" width="11.125" style="30" customWidth="1"/>
    <col min="16" max="16" width="16.625" style="30" customWidth="1"/>
    <col min="17" max="17" width="23.125" style="30" customWidth="1"/>
    <col min="18" max="18" width="25" style="30" customWidth="1"/>
    <col min="19" max="19" width="89.375" style="30" customWidth="1"/>
    <col min="20" max="20" width="9.125" style="30" customWidth="1"/>
    <col min="21" max="21" width="6.75" style="30" customWidth="1"/>
    <col min="22" max="22" width="22" style="30" customWidth="1"/>
    <col min="23" max="23" width="16.625" style="30" customWidth="1"/>
    <col min="24" max="26" width="15.875" style="30" customWidth="1"/>
    <col min="27" max="16384" width="56" style="30"/>
  </cols>
  <sheetData>
    <row r="1" spans="2:27" ht="27.6" customHeight="1">
      <c r="B1" s="1570" t="s">
        <v>193</v>
      </c>
      <c r="C1" s="30" t="s">
        <v>194</v>
      </c>
    </row>
    <row r="2" spans="2:27" ht="15">
      <c r="B2" s="1570"/>
      <c r="C2" s="955" t="s">
        <v>195</v>
      </c>
      <c r="D2" s="956" t="s">
        <v>196</v>
      </c>
      <c r="E2" s="956" t="s">
        <v>197</v>
      </c>
      <c r="F2" s="956" t="s">
        <v>198</v>
      </c>
      <c r="G2" s="956" t="s">
        <v>199</v>
      </c>
      <c r="H2" s="956" t="s">
        <v>28</v>
      </c>
      <c r="I2" s="957" t="s">
        <v>195</v>
      </c>
      <c r="J2" s="957" t="s">
        <v>200</v>
      </c>
      <c r="M2" s="958"/>
      <c r="N2" s="959" t="s">
        <v>201</v>
      </c>
      <c r="V2" s="959" t="s">
        <v>202</v>
      </c>
      <c r="W2" s="959"/>
    </row>
    <row r="3" spans="2:27" ht="45">
      <c r="B3" s="1570"/>
      <c r="C3" s="960" t="s">
        <v>203</v>
      </c>
      <c r="D3" s="960" t="s">
        <v>4</v>
      </c>
      <c r="E3" s="960" t="s">
        <v>204</v>
      </c>
      <c r="F3" s="961" t="s">
        <v>1719</v>
      </c>
      <c r="G3" s="961" t="s">
        <v>4230</v>
      </c>
      <c r="H3" s="962">
        <v>1.8800000000000001E-2</v>
      </c>
      <c r="I3" s="963" t="s">
        <v>206</v>
      </c>
      <c r="J3" s="964" t="s">
        <v>4261</v>
      </c>
      <c r="N3" s="965" t="s">
        <v>4089</v>
      </c>
      <c r="O3" s="966" t="s">
        <v>3922</v>
      </c>
      <c r="Q3" s="967" t="s">
        <v>3920</v>
      </c>
      <c r="V3" s="968" t="s">
        <v>4235</v>
      </c>
      <c r="Y3" s="969" t="s">
        <v>4236</v>
      </c>
    </row>
    <row r="4" spans="2:27" ht="72" thickBot="1">
      <c r="B4" s="1570"/>
      <c r="N4" s="970"/>
      <c r="O4" s="1571" t="s">
        <v>207</v>
      </c>
      <c r="P4" s="1571"/>
      <c r="Q4" s="1571"/>
      <c r="R4" s="1571"/>
      <c r="V4" s="971" t="s">
        <v>4</v>
      </c>
      <c r="W4" s="972" t="s">
        <v>4263</v>
      </c>
      <c r="Y4" s="973" t="s">
        <v>318</v>
      </c>
      <c r="Z4" s="973" t="s">
        <v>4237</v>
      </c>
      <c r="AA4" s="973" t="s">
        <v>4238</v>
      </c>
    </row>
    <row r="5" spans="2:27" ht="33" customHeight="1" thickBot="1">
      <c r="B5" s="1570"/>
      <c r="C5" s="974" t="s">
        <v>219</v>
      </c>
      <c r="D5" s="975"/>
      <c r="E5" s="976" t="s">
        <v>4231</v>
      </c>
      <c r="N5" s="977" t="s">
        <v>210</v>
      </c>
      <c r="O5" s="977" t="s">
        <v>211</v>
      </c>
      <c r="P5" s="977" t="s">
        <v>212</v>
      </c>
      <c r="Q5" s="977" t="s">
        <v>213</v>
      </c>
      <c r="R5" s="977" t="s">
        <v>214</v>
      </c>
      <c r="V5" s="978" t="s">
        <v>1728</v>
      </c>
      <c r="W5" s="979">
        <f>MEDIAN(W6:W42)</f>
        <v>35</v>
      </c>
      <c r="Y5" s="953" t="s">
        <v>1053</v>
      </c>
      <c r="Z5" s="980">
        <v>0.16426804695000002</v>
      </c>
      <c r="AA5" s="981">
        <v>0.16426804695000002</v>
      </c>
    </row>
    <row r="6" spans="2:27" ht="15">
      <c r="B6" s="1570"/>
      <c r="C6" s="106" t="s">
        <v>4136</v>
      </c>
      <c r="N6" s="982" t="s">
        <v>215</v>
      </c>
      <c r="O6" s="983">
        <v>0.05</v>
      </c>
      <c r="P6" s="983">
        <v>0.02</v>
      </c>
      <c r="Q6" s="983">
        <v>0.01</v>
      </c>
      <c r="R6" s="984" t="s">
        <v>216</v>
      </c>
      <c r="V6" s="985" t="s">
        <v>218</v>
      </c>
      <c r="W6" s="986">
        <v>35</v>
      </c>
      <c r="Y6" s="953" t="s">
        <v>4210</v>
      </c>
      <c r="Z6" s="980">
        <v>0.68448441551500006</v>
      </c>
      <c r="AA6" s="980">
        <v>0.68448441551500006</v>
      </c>
    </row>
    <row r="7" spans="2:27" ht="15.75" thickBot="1">
      <c r="B7" s="1570"/>
      <c r="N7" s="982" t="s">
        <v>217</v>
      </c>
      <c r="O7" s="983">
        <v>7.0000000000000007E-2</v>
      </c>
      <c r="P7" s="987">
        <v>0.89</v>
      </c>
      <c r="Q7" s="983">
        <v>0.05</v>
      </c>
      <c r="R7" s="984" t="s">
        <v>216</v>
      </c>
      <c r="S7" s="988" t="s">
        <v>3919</v>
      </c>
      <c r="V7" s="985" t="s">
        <v>221</v>
      </c>
      <c r="W7" s="989">
        <v>12.2</v>
      </c>
    </row>
    <row r="8" spans="2:27" ht="15">
      <c r="B8" s="1570"/>
      <c r="C8" s="990"/>
      <c r="D8" s="991" t="s">
        <v>4180</v>
      </c>
      <c r="E8" s="991"/>
      <c r="F8" s="992"/>
      <c r="G8" s="993" t="s">
        <v>4181</v>
      </c>
      <c r="H8" s="991"/>
      <c r="I8" s="991"/>
      <c r="J8" s="992"/>
      <c r="N8" s="982" t="s">
        <v>220</v>
      </c>
      <c r="O8" s="983">
        <v>0.23</v>
      </c>
      <c r="P8" s="983">
        <v>0.02</v>
      </c>
      <c r="Q8" s="983">
        <v>0.01</v>
      </c>
      <c r="R8" s="984" t="s">
        <v>216</v>
      </c>
      <c r="S8" s="994"/>
      <c r="V8" s="985" t="s">
        <v>223</v>
      </c>
      <c r="W8" s="989">
        <v>8.6999999999999993</v>
      </c>
    </row>
    <row r="9" spans="2:27" ht="30">
      <c r="B9" s="1570"/>
      <c r="C9" s="995" t="s">
        <v>4112</v>
      </c>
      <c r="D9" s="996" t="s">
        <v>4137</v>
      </c>
      <c r="E9" s="997" t="s">
        <v>4179</v>
      </c>
      <c r="F9" s="998" t="s">
        <v>4113</v>
      </c>
      <c r="G9" s="999" t="s">
        <v>4186</v>
      </c>
      <c r="H9" s="997" t="s">
        <v>4179</v>
      </c>
      <c r="I9" s="996" t="s">
        <v>4114</v>
      </c>
      <c r="J9" s="998" t="s">
        <v>4178</v>
      </c>
      <c r="N9" s="982" t="s">
        <v>222</v>
      </c>
      <c r="O9" s="983">
        <v>0.22</v>
      </c>
      <c r="P9" s="983">
        <v>0.02</v>
      </c>
      <c r="Q9" s="983">
        <v>2.34</v>
      </c>
      <c r="R9" s="984" t="s">
        <v>216</v>
      </c>
      <c r="S9" s="994"/>
      <c r="V9" s="985" t="s">
        <v>227</v>
      </c>
      <c r="W9" s="989">
        <v>7.4</v>
      </c>
    </row>
    <row r="10" spans="2:27" ht="15">
      <c r="B10" s="1570"/>
      <c r="C10" s="1000" t="s">
        <v>236</v>
      </c>
      <c r="D10" s="1001" t="s">
        <v>10</v>
      </c>
      <c r="E10" s="1002" t="s">
        <v>253</v>
      </c>
      <c r="F10" s="1003" cm="1">
        <f t="array" ref="F10">SUMPRODUCT(('DESNZ fuels &amp; biofuels'!$D$3:$D$120=EF!D10)*('DESNZ fuels &amp; biofuels'!$G$3:$G$120=EF!E10)*'DESNZ fuels &amp; biofuels'!$K$3:$K$120)</f>
        <v>0.33660000000000001</v>
      </c>
      <c r="G10" s="1000" t="s">
        <v>10</v>
      </c>
      <c r="H10" s="1002" t="s">
        <v>1982</v>
      </c>
      <c r="I10" s="1002">
        <f>F10</f>
        <v>0.33660000000000001</v>
      </c>
      <c r="J10" s="1004" t="s">
        <v>4185</v>
      </c>
      <c r="N10" s="982" t="s">
        <v>226</v>
      </c>
      <c r="O10" s="983">
        <v>0.09</v>
      </c>
      <c r="P10" s="987">
        <v>0.75</v>
      </c>
      <c r="Q10" s="983">
        <v>0.11</v>
      </c>
      <c r="R10" s="984" t="s">
        <v>216</v>
      </c>
      <c r="S10" s="994"/>
      <c r="V10" s="985" t="s">
        <v>42</v>
      </c>
      <c r="W10" s="989">
        <v>27.6</v>
      </c>
    </row>
    <row r="11" spans="2:27" ht="15">
      <c r="B11" s="1570"/>
      <c r="C11" s="1000" t="s">
        <v>236</v>
      </c>
      <c r="D11" s="1001" t="s">
        <v>247</v>
      </c>
      <c r="E11" s="1002" t="s">
        <v>241</v>
      </c>
      <c r="F11" s="1003" cm="1">
        <f t="array" ref="F11">SUMPRODUCT(('DESNZ fuels &amp; biofuels'!$D$3:$D$120=EF!D11)*('DESNZ fuels &amp; biofuels'!$G$3:$G$120=EF!E11)*'DESNZ fuels &amp; biofuels'!$K$3:$K$120)</f>
        <v>0.18551000000000001</v>
      </c>
      <c r="G11" s="1000" t="s">
        <v>2056</v>
      </c>
      <c r="H11" s="1002" t="s">
        <v>12</v>
      </c>
      <c r="I11" s="1002">
        <f>F11*'Fuel properties'!$G$29/1000</f>
        <v>0.35018444434999996</v>
      </c>
      <c r="J11" s="1004" t="s">
        <v>4184</v>
      </c>
      <c r="N11" s="982" t="s">
        <v>235</v>
      </c>
      <c r="O11" s="983" t="s">
        <v>216</v>
      </c>
      <c r="P11" s="987">
        <v>0.54</v>
      </c>
      <c r="Q11" s="983">
        <v>0.05</v>
      </c>
      <c r="R11" s="1005">
        <v>0.13</v>
      </c>
      <c r="S11" s="994"/>
      <c r="V11" s="985" t="s">
        <v>43</v>
      </c>
      <c r="W11" s="989">
        <v>53.5</v>
      </c>
    </row>
    <row r="12" spans="2:27" ht="28.5">
      <c r="B12" s="1570"/>
      <c r="C12" s="1006" t="s">
        <v>239</v>
      </c>
      <c r="D12" s="1007" t="s">
        <v>251</v>
      </c>
      <c r="E12" s="1008" t="s">
        <v>241</v>
      </c>
      <c r="F12" s="1009" cm="1">
        <f t="array" ref="F12">SUMPRODUCT(('DESNZ fuels &amp; biofuels'!$D$3:$D$120=EF!D12)*('DESNZ fuels &amp; biofuels'!$G$3:$G$120=EF!E12)*'DESNZ fuels &amp; biofuels'!$K$3:$K$120)</f>
        <v>0.61101000000000005</v>
      </c>
      <c r="G12" s="1006" t="s">
        <v>16</v>
      </c>
      <c r="H12" s="1008" t="s">
        <v>1985</v>
      </c>
      <c r="I12" s="1008">
        <f t="shared" ref="I12:I15" si="0">F12</f>
        <v>0.61101000000000005</v>
      </c>
      <c r="J12" s="1010" t="s">
        <v>4183</v>
      </c>
      <c r="N12" s="982" t="s">
        <v>238</v>
      </c>
      <c r="O12" s="983" t="s">
        <v>216</v>
      </c>
      <c r="P12" s="987">
        <v>0.57999999999999996</v>
      </c>
      <c r="Q12" s="983">
        <v>0.43</v>
      </c>
      <c r="R12" s="984" t="s">
        <v>216</v>
      </c>
      <c r="S12" s="1011">
        <f>P12*1000*0.00110231</f>
        <v>0.63933980000000001</v>
      </c>
      <c r="T12" s="30" t="s">
        <v>4292</v>
      </c>
      <c r="V12" s="985" t="s">
        <v>44</v>
      </c>
      <c r="W12" s="989">
        <v>14.7</v>
      </c>
    </row>
    <row r="13" spans="2:27" ht="28.5">
      <c r="B13" s="1570"/>
      <c r="C13" s="1006" t="s">
        <v>239</v>
      </c>
      <c r="D13" s="1007" t="s">
        <v>4039</v>
      </c>
      <c r="E13" s="1008" t="s">
        <v>241</v>
      </c>
      <c r="F13" s="1009" cm="1">
        <f t="array" ref="F13">SUMPRODUCT(('DESNZ fuels &amp; biofuels'!$D$3:$D$120=EF!D13)*('DESNZ fuels &amp; biofuels'!$G$3:$G$120=EF!E13)*'DESNZ fuels &amp; biofuels'!$K$3:$K$120)</f>
        <v>0.58094000000000001</v>
      </c>
      <c r="G13" s="1006" t="s">
        <v>17</v>
      </c>
      <c r="H13" s="1008" t="s">
        <v>1985</v>
      </c>
      <c r="I13" s="1008">
        <f t="shared" si="0"/>
        <v>0.58094000000000001</v>
      </c>
      <c r="J13" s="1010" t="s">
        <v>4183</v>
      </c>
      <c r="N13" s="982" t="s">
        <v>3921</v>
      </c>
      <c r="O13" s="1005">
        <v>0.02</v>
      </c>
      <c r="P13" s="983">
        <v>0.02</v>
      </c>
      <c r="Q13" s="987">
        <v>0.96</v>
      </c>
      <c r="R13" s="1012" t="s">
        <v>216</v>
      </c>
      <c r="S13" s="994"/>
      <c r="V13" s="985" t="s">
        <v>45</v>
      </c>
      <c r="W13" s="989">
        <v>4.7</v>
      </c>
    </row>
    <row r="14" spans="2:27" ht="15">
      <c r="B14" s="1570"/>
      <c r="C14" s="1006" t="s">
        <v>239</v>
      </c>
      <c r="D14" s="1007" t="s">
        <v>246</v>
      </c>
      <c r="E14" s="1008" t="s">
        <v>241</v>
      </c>
      <c r="F14" s="1009" cm="1">
        <f t="array" ref="F14">SUMPRODUCT(('DESNZ fuels &amp; biofuels'!$D$3:$D$120=EF!D14)*('DESNZ fuels &amp; biofuels'!$G$3:$G$120=EF!E14)*'DESNZ fuels &amp; biofuels'!$K$3:$K$120)</f>
        <v>0.69538999999999995</v>
      </c>
      <c r="G14" s="1006" t="s">
        <v>4111</v>
      </c>
      <c r="H14" s="1008" t="s">
        <v>1985</v>
      </c>
      <c r="I14" s="1008">
        <f t="shared" si="0"/>
        <v>0.69538999999999995</v>
      </c>
      <c r="J14" s="1010" t="s">
        <v>4183</v>
      </c>
      <c r="N14" s="1013" t="s">
        <v>217</v>
      </c>
      <c r="V14" s="985" t="s">
        <v>46</v>
      </c>
      <c r="W14" s="989">
        <v>44.2</v>
      </c>
    </row>
    <row r="15" spans="2:27" ht="15">
      <c r="B15" s="1570"/>
      <c r="C15" s="1006" t="s">
        <v>239</v>
      </c>
      <c r="D15" s="1014" t="s">
        <v>4035</v>
      </c>
      <c r="E15" s="1008" t="s">
        <v>241</v>
      </c>
      <c r="F15" s="1009" cm="1">
        <f t="array" ref="F15">SUMPRODUCT(('DESNZ fuels &amp; biofuels'!$D$3:$D$120=EF!D15)*('DESNZ fuels &amp; biofuels'!$G$3:$G$120=EF!E15)*'DESNZ fuels &amp; biofuels'!$K$3:$K$120)</f>
        <v>0.53078000000000003</v>
      </c>
      <c r="G15" s="1006" t="s">
        <v>2069</v>
      </c>
      <c r="H15" s="1008" t="s">
        <v>1985</v>
      </c>
      <c r="I15" s="1008">
        <f t="shared" si="0"/>
        <v>0.53078000000000003</v>
      </c>
      <c r="J15" s="1010" t="s">
        <v>4183</v>
      </c>
      <c r="N15" s="1015" t="s">
        <v>211</v>
      </c>
      <c r="V15" s="985" t="s">
        <v>47</v>
      </c>
      <c r="W15" s="989">
        <v>6.7</v>
      </c>
    </row>
    <row r="16" spans="2:27" ht="15">
      <c r="B16" s="1570"/>
      <c r="C16" s="1016" t="s">
        <v>4059</v>
      </c>
      <c r="D16" s="1017" t="s">
        <v>4060</v>
      </c>
      <c r="E16" s="1018" t="s">
        <v>1719</v>
      </c>
      <c r="F16" s="1019">
        <f>F40+F41</f>
        <v>3.517E-2</v>
      </c>
      <c r="G16" s="1016" t="str">
        <f>D16</f>
        <v>District Heating</v>
      </c>
      <c r="H16" s="1018" t="s">
        <v>1887</v>
      </c>
      <c r="I16" s="1018">
        <f>(I40+I41)</f>
        <v>1.0307737397420868E-2</v>
      </c>
      <c r="J16" s="1020" t="s">
        <v>4182</v>
      </c>
      <c r="K16" s="1021" t="s">
        <v>4066</v>
      </c>
      <c r="N16" s="1022" t="s">
        <v>212</v>
      </c>
      <c r="O16" s="969" t="s">
        <v>4234</v>
      </c>
      <c r="V16" s="985" t="s">
        <v>48</v>
      </c>
      <c r="W16" s="989">
        <v>13.2</v>
      </c>
    </row>
    <row r="17" spans="2:23" ht="36">
      <c r="B17" s="1570"/>
      <c r="C17" s="1016" t="s">
        <v>4069</v>
      </c>
      <c r="D17" s="1017" t="s">
        <v>4061</v>
      </c>
      <c r="E17" s="1018" t="s">
        <v>1719</v>
      </c>
      <c r="F17" s="1019">
        <f>E29+(E33*0.921)</f>
        <v>7.4114799999999995E-2</v>
      </c>
      <c r="G17" s="1016" t="str">
        <f>D17</f>
        <v>Chilled water</v>
      </c>
      <c r="H17" s="1018" t="s">
        <v>1887</v>
      </c>
      <c r="I17" s="1018">
        <f>F17/$C$44</f>
        <v>2.1721805392731535E-2</v>
      </c>
      <c r="J17" s="1020" t="s">
        <v>4182</v>
      </c>
      <c r="K17" s="1023" t="s">
        <v>4068</v>
      </c>
      <c r="N17" s="1024" t="s">
        <v>213</v>
      </c>
      <c r="V17" s="985" t="s">
        <v>250</v>
      </c>
      <c r="W17" s="989">
        <v>51.5</v>
      </c>
    </row>
    <row r="18" spans="2:23" ht="18">
      <c r="B18" s="1570"/>
      <c r="C18" s="1025" t="s">
        <v>4115</v>
      </c>
      <c r="D18" s="1026" t="s">
        <v>4050</v>
      </c>
      <c r="E18" s="1026" t="s">
        <v>1607</v>
      </c>
      <c r="F18" s="1027" cm="1">
        <f t="array" ref="F18">SUMPRODUCT(('DESNZ fuels &amp; biofuels'!$D$3:$D$120=EF!D18)*('DESNZ fuels &amp; biofuels'!$G$3:$G$120=EF!E18)*'DESNZ fuels &amp; biofuels'!$K$3:$K$120)</f>
        <v>470.95724000000001</v>
      </c>
      <c r="G18" s="1025" t="s">
        <v>19</v>
      </c>
      <c r="H18" s="1026" t="s">
        <v>12</v>
      </c>
      <c r="I18" s="1026">
        <f>F18/1000</f>
        <v>0.47095724</v>
      </c>
      <c r="J18" s="1028" t="s">
        <v>4184</v>
      </c>
      <c r="O18" s="1029" t="s">
        <v>248</v>
      </c>
      <c r="P18" s="1029" t="s">
        <v>33</v>
      </c>
      <c r="Q18" s="1029" t="s">
        <v>0</v>
      </c>
      <c r="R18" s="1030" t="s">
        <v>249</v>
      </c>
      <c r="V18" s="985" t="s">
        <v>49</v>
      </c>
      <c r="W18" s="989">
        <v>58.9</v>
      </c>
    </row>
    <row r="19" spans="2:23" ht="15" customHeight="1">
      <c r="B19" s="1570"/>
      <c r="C19" s="1031" t="s">
        <v>4129</v>
      </c>
      <c r="D19" s="1032" t="s">
        <v>4131</v>
      </c>
      <c r="E19" s="1032" t="s">
        <v>1607</v>
      </c>
      <c r="F19" s="1033" cm="1">
        <f t="array" ref="F19">SUMPRODUCT(('DESNZ fuels &amp; biofuels'!$P$3:$P$120=EF!D19)*('DESNZ fuels &amp; biofuels'!$S$3:$S$120=EF!E19)*'DESNZ fuels &amp; biofuels'!$T$3:$T$120)</f>
        <v>30.4</v>
      </c>
      <c r="G19" s="1031" t="s">
        <v>30</v>
      </c>
      <c r="H19" s="1032" t="s">
        <v>12</v>
      </c>
      <c r="I19" s="1032">
        <f>F19/1000</f>
        <v>3.04E-2</v>
      </c>
      <c r="J19" s="1033" t="s">
        <v>4184</v>
      </c>
      <c r="N19" s="1013" t="s">
        <v>220</v>
      </c>
      <c r="O19" s="1572" t="s">
        <v>252</v>
      </c>
      <c r="P19" s="1568" t="s">
        <v>4265</v>
      </c>
      <c r="Q19" s="1030" t="s">
        <v>253</v>
      </c>
      <c r="R19" s="1034">
        <v>0.1913</v>
      </c>
      <c r="V19" s="985" t="s">
        <v>50</v>
      </c>
      <c r="W19" s="989">
        <v>62.7</v>
      </c>
    </row>
    <row r="20" spans="2:23" ht="28.5">
      <c r="B20" s="1570"/>
      <c r="C20" s="1031" t="s">
        <v>4116</v>
      </c>
      <c r="D20" s="1035" t="s">
        <v>4120</v>
      </c>
      <c r="E20" s="1032" t="s">
        <v>241</v>
      </c>
      <c r="F20" s="1033" cm="1">
        <f t="array" ref="F20">SUMPRODUCT(('DESNZ fuels &amp; biofuels'!$P$3:$P$120=EF!D20)*('DESNZ fuels &amp; biofuels'!$S$3:$S$120=EF!E20)*'DESNZ fuels &amp; biofuels'!$T$3:$T$120)</f>
        <v>0.35339999999999999</v>
      </c>
      <c r="G20" s="1031" t="s">
        <v>18</v>
      </c>
      <c r="H20" s="1032" t="s">
        <v>1985</v>
      </c>
      <c r="I20" s="1032">
        <f t="shared" ref="I20" si="1">F20</f>
        <v>0.35339999999999999</v>
      </c>
      <c r="J20" s="1033" t="s">
        <v>4183</v>
      </c>
      <c r="N20" s="1015" t="s">
        <v>211</v>
      </c>
      <c r="O20" s="1573"/>
      <c r="P20" s="1569"/>
      <c r="Q20" s="1030" t="s">
        <v>255</v>
      </c>
      <c r="R20" s="1034">
        <v>191.30155999999999</v>
      </c>
      <c r="V20" s="985" t="s">
        <v>51</v>
      </c>
      <c r="W20" s="989">
        <v>14.3</v>
      </c>
    </row>
    <row r="21" spans="2:23" ht="51.75" customHeight="1">
      <c r="B21" s="1570"/>
      <c r="C21" s="1031" t="s">
        <v>4116</v>
      </c>
      <c r="D21" s="1036" t="s">
        <v>4117</v>
      </c>
      <c r="E21" s="1032" t="s">
        <v>241</v>
      </c>
      <c r="F21" s="1033" cm="1">
        <f t="array" ref="F21">SUMPRODUCT(('DESNZ fuels &amp; biofuels'!$P$3:$P$120=EF!D21)*('DESNZ fuels &amp; biofuels'!$S$3:$S$120=EF!E21)*'DESNZ fuels &amp; biofuels'!$T$3:$T$120)</f>
        <v>0.61516000000000004</v>
      </c>
      <c r="G21" s="1037" t="s">
        <v>2111</v>
      </c>
      <c r="H21" s="1032" t="s">
        <v>1985</v>
      </c>
      <c r="I21" s="1036">
        <f>F21</f>
        <v>0.61516000000000004</v>
      </c>
      <c r="J21" s="1033" t="s">
        <v>4183</v>
      </c>
      <c r="N21" s="1022" t="s">
        <v>212</v>
      </c>
      <c r="O21" s="1029" t="s">
        <v>248</v>
      </c>
      <c r="P21" s="1029" t="s">
        <v>33</v>
      </c>
      <c r="Q21" s="1029" t="s">
        <v>0</v>
      </c>
      <c r="R21" s="1030" t="s">
        <v>249</v>
      </c>
      <c r="V21" s="985" t="s">
        <v>52</v>
      </c>
      <c r="W21" s="989">
        <v>39</v>
      </c>
    </row>
    <row r="22" spans="2:23" ht="15" customHeight="1">
      <c r="B22" s="1570"/>
      <c r="C22" s="1038"/>
      <c r="D22" s="1039"/>
      <c r="E22" s="1040"/>
      <c r="F22" s="1040"/>
      <c r="G22" s="1041" t="s">
        <v>10</v>
      </c>
      <c r="H22" s="1042" t="s">
        <v>1623</v>
      </c>
      <c r="I22" s="1040">
        <f>'DESNZ fuels &amp; biofuels'!K20/$C$44</f>
        <v>8.8540445486518168E-3</v>
      </c>
      <c r="J22" s="1020" t="s">
        <v>4182</v>
      </c>
      <c r="K22" s="1043" t="s">
        <v>4188</v>
      </c>
      <c r="N22" s="1024" t="s">
        <v>213</v>
      </c>
      <c r="O22" s="1568" t="s">
        <v>257</v>
      </c>
      <c r="P22" s="1568" t="s">
        <v>4266</v>
      </c>
      <c r="Q22" s="1030" t="s">
        <v>253</v>
      </c>
      <c r="R22" s="1034">
        <v>0.17088</v>
      </c>
      <c r="V22" s="985" t="s">
        <v>53</v>
      </c>
      <c r="W22" s="989">
        <v>68.900000000000006</v>
      </c>
    </row>
    <row r="23" spans="2:23" ht="15">
      <c r="B23" s="1570"/>
      <c r="C23" s="1025" t="s">
        <v>239</v>
      </c>
      <c r="D23" s="1044" t="s">
        <v>240</v>
      </c>
      <c r="E23" s="1026" t="s">
        <v>241</v>
      </c>
      <c r="F23" s="1027" cm="1">
        <f t="array" ref="F23">SUMPRODUCT(('DESNZ fuels &amp; biofuels'!$D$3:$D$120=EF!D23)*('DESNZ fuels &amp; biofuels'!$G$3:$G$120=EF!E23)*'DESNZ fuels &amp; biofuels'!$K$3:$K$120)</f>
        <v>0.61424999999999996</v>
      </c>
      <c r="G23" s="1025" t="s">
        <v>242</v>
      </c>
      <c r="H23" s="1026" t="s">
        <v>1985</v>
      </c>
      <c r="I23" s="1026">
        <f>F23</f>
        <v>0.61424999999999996</v>
      </c>
      <c r="J23" s="1028" t="s">
        <v>4176</v>
      </c>
      <c r="K23" s="30" t="s">
        <v>4106</v>
      </c>
      <c r="O23" s="1569"/>
      <c r="P23" s="1569"/>
      <c r="Q23" s="1030" t="s">
        <v>255</v>
      </c>
      <c r="R23" s="1045">
        <v>170.87549000000001</v>
      </c>
      <c r="V23" s="985" t="s">
        <v>261</v>
      </c>
      <c r="W23" s="989">
        <v>55.8</v>
      </c>
    </row>
    <row r="24" spans="2:23" ht="15">
      <c r="B24" s="1570"/>
      <c r="C24" s="1025" t="s">
        <v>239</v>
      </c>
      <c r="D24" s="1044" t="s">
        <v>243</v>
      </c>
      <c r="E24" s="1026" t="s">
        <v>241</v>
      </c>
      <c r="F24" s="1027" cm="1">
        <f t="array" ref="F24">SUMPRODUCT(('DESNZ fuels &amp; biofuels'!$D$3:$D$120=EF!D24)*('DESNZ fuels &amp; biofuels'!$G$3:$G$120=EF!E24)*'DESNZ fuels &amp; biofuels'!$K$3:$K$120)</f>
        <v>0.52817000000000003</v>
      </c>
      <c r="G24" s="1025" t="s">
        <v>244</v>
      </c>
      <c r="H24" s="1026" t="s">
        <v>1985</v>
      </c>
      <c r="I24" s="1026">
        <f>F24</f>
        <v>0.52817000000000003</v>
      </c>
      <c r="J24" s="1028" t="s">
        <v>4176</v>
      </c>
      <c r="K24" s="30" t="s">
        <v>4106</v>
      </c>
      <c r="N24" s="1013" t="s">
        <v>222</v>
      </c>
      <c r="V24" s="985" t="s">
        <v>54</v>
      </c>
      <c r="W24" s="989">
        <v>61.5</v>
      </c>
    </row>
    <row r="25" spans="2:23" ht="15.75" thickBot="1">
      <c r="B25" s="1570"/>
      <c r="C25" s="1046" t="s">
        <v>236</v>
      </c>
      <c r="D25" s="1047" t="s">
        <v>254</v>
      </c>
      <c r="E25" s="1048" t="s">
        <v>241</v>
      </c>
      <c r="F25" s="1049" cm="1">
        <f t="array" ref="F25">SUMPRODUCT(('DESNZ fuels &amp; biofuels'!$D$3:$D$120=EF!D25)*('DESNZ fuels &amp; biofuels'!$G$3:$G$120=EF!E25)*'DESNZ fuels &amp; biofuels'!$K$3:$K$120)</f>
        <v>9.289E-2</v>
      </c>
      <c r="G25" s="1046" t="s">
        <v>254</v>
      </c>
      <c r="H25" s="1048" t="s">
        <v>1985</v>
      </c>
      <c r="I25" s="1048">
        <f>F25</f>
        <v>9.289E-2</v>
      </c>
      <c r="J25" s="1050" t="s">
        <v>4176</v>
      </c>
      <c r="K25" s="30" t="s">
        <v>4106</v>
      </c>
      <c r="N25" s="1015" t="s">
        <v>211</v>
      </c>
      <c r="V25" s="985" t="s">
        <v>55</v>
      </c>
      <c r="W25" s="989">
        <v>152.19999999999999</v>
      </c>
    </row>
    <row r="26" spans="2:23" ht="15">
      <c r="B26" s="954"/>
      <c r="N26" s="1022" t="s">
        <v>212</v>
      </c>
      <c r="P26" s="969" t="s">
        <v>4291</v>
      </c>
      <c r="V26" s="985" t="s">
        <v>56</v>
      </c>
      <c r="W26" s="989">
        <v>19.3</v>
      </c>
    </row>
    <row r="27" spans="2:23" ht="42.75">
      <c r="B27" s="954"/>
      <c r="C27" s="30" t="s">
        <v>256</v>
      </c>
      <c r="N27" s="1024" t="s">
        <v>213</v>
      </c>
      <c r="P27" s="1051" t="s">
        <v>318</v>
      </c>
      <c r="Q27" s="1051" t="s">
        <v>4237</v>
      </c>
      <c r="R27" s="1051" t="s">
        <v>4289</v>
      </c>
      <c r="V27" s="985" t="s">
        <v>57</v>
      </c>
      <c r="W27" s="989">
        <v>14.8</v>
      </c>
    </row>
    <row r="28" spans="2:23" ht="28.5" customHeight="1">
      <c r="B28" s="954"/>
      <c r="C28" s="955" t="s">
        <v>4</v>
      </c>
      <c r="D28" s="956" t="s">
        <v>258</v>
      </c>
      <c r="E28" s="956" t="s">
        <v>259</v>
      </c>
      <c r="F28" s="956" t="s">
        <v>209</v>
      </c>
      <c r="G28" s="956" t="s">
        <v>1</v>
      </c>
      <c r="H28" s="957" t="s">
        <v>195</v>
      </c>
      <c r="P28" s="1051" t="s">
        <v>4286</v>
      </c>
      <c r="Q28" s="1052">
        <v>7.4374522492500015</v>
      </c>
      <c r="R28" s="1052">
        <v>7.4374522492500015</v>
      </c>
      <c r="S28" s="1053" t="s">
        <v>4300</v>
      </c>
      <c r="V28" s="985" t="s">
        <v>58</v>
      </c>
      <c r="W28" s="989">
        <v>90.3</v>
      </c>
    </row>
    <row r="29" spans="2:23" ht="28.5" customHeight="1">
      <c r="C29" s="1054" t="s">
        <v>204</v>
      </c>
      <c r="D29" s="1055"/>
      <c r="E29" s="1055">
        <v>5.6799999999999996E-2</v>
      </c>
      <c r="F29" s="1055" t="s">
        <v>260</v>
      </c>
      <c r="G29" s="1055">
        <v>2024</v>
      </c>
      <c r="H29" s="1056" t="s">
        <v>4232</v>
      </c>
      <c r="N29" s="1013" t="s">
        <v>226</v>
      </c>
      <c r="P29" s="1051" t="s">
        <v>4285</v>
      </c>
      <c r="Q29" s="1052">
        <v>1.3519400306</v>
      </c>
      <c r="R29" s="1052">
        <v>1.3519400306</v>
      </c>
      <c r="S29" s="1053" t="s">
        <v>4301</v>
      </c>
      <c r="V29" s="985" t="s">
        <v>59</v>
      </c>
      <c r="W29" s="989">
        <v>54.3</v>
      </c>
    </row>
    <row r="30" spans="2:23" ht="28.5" customHeight="1">
      <c r="C30" s="30" t="s">
        <v>262</v>
      </c>
      <c r="N30" s="1015" t="s">
        <v>211</v>
      </c>
      <c r="P30" s="1051" t="s">
        <v>4287</v>
      </c>
      <c r="Q30" s="1052">
        <v>4.9846150213999998</v>
      </c>
      <c r="R30" s="1052">
        <v>4.9846150213999998</v>
      </c>
      <c r="S30" s="1053" t="s">
        <v>4303</v>
      </c>
      <c r="V30" s="985" t="s">
        <v>60</v>
      </c>
      <c r="W30" s="989">
        <v>19</v>
      </c>
    </row>
    <row r="31" spans="2:23" ht="28.5" customHeight="1">
      <c r="C31" s="955" t="s">
        <v>4</v>
      </c>
      <c r="D31" s="956" t="s">
        <v>258</v>
      </c>
      <c r="E31" s="956" t="s">
        <v>208</v>
      </c>
      <c r="F31" s="956" t="s">
        <v>209</v>
      </c>
      <c r="G31" s="956" t="s">
        <v>1</v>
      </c>
      <c r="H31" s="957" t="s">
        <v>195</v>
      </c>
      <c r="N31" s="1022" t="s">
        <v>212</v>
      </c>
      <c r="P31" s="1051" t="s">
        <v>4288</v>
      </c>
      <c r="Q31" s="1052">
        <v>0.46690642625000001</v>
      </c>
      <c r="R31" s="1052">
        <v>0.46690642625000001</v>
      </c>
      <c r="S31" s="1053" t="s">
        <v>4302</v>
      </c>
      <c r="V31" s="985" t="s">
        <v>61</v>
      </c>
      <c r="W31" s="989">
        <v>86.2</v>
      </c>
    </row>
    <row r="32" spans="2:23" ht="15">
      <c r="C32" s="1054" t="s">
        <v>204</v>
      </c>
      <c r="D32" s="1055" t="s">
        <v>263</v>
      </c>
      <c r="E32" s="1057">
        <v>0.32780000000000004</v>
      </c>
      <c r="F32" s="1055" t="s">
        <v>260</v>
      </c>
      <c r="G32" s="1055">
        <v>2024</v>
      </c>
      <c r="H32" s="1056" t="s">
        <v>4232</v>
      </c>
      <c r="N32" s="1024" t="s">
        <v>213</v>
      </c>
      <c r="S32" s="1058"/>
      <c r="V32" s="985" t="s">
        <v>62</v>
      </c>
      <c r="W32" s="1059">
        <v>24.2</v>
      </c>
    </row>
    <row r="33" spans="2:23" ht="14.25" customHeight="1">
      <c r="C33" s="30" t="s">
        <v>204</v>
      </c>
      <c r="D33" s="30" t="s">
        <v>264</v>
      </c>
      <c r="E33" s="1060">
        <f>H3</f>
        <v>1.8800000000000001E-2</v>
      </c>
      <c r="F33" s="1055" t="s">
        <v>260</v>
      </c>
      <c r="G33" s="1055">
        <v>2024</v>
      </c>
      <c r="H33" s="1056" t="s">
        <v>4232</v>
      </c>
      <c r="P33" s="1061" t="s">
        <v>4290</v>
      </c>
      <c r="S33" s="1058"/>
      <c r="V33" s="985" t="s">
        <v>63</v>
      </c>
      <c r="W33" s="1059">
        <v>106.4</v>
      </c>
    </row>
    <row r="34" spans="2:23" ht="14.25" customHeight="1">
      <c r="C34" s="30" t="s">
        <v>204</v>
      </c>
      <c r="D34" s="30" t="s">
        <v>265</v>
      </c>
      <c r="E34" s="1062">
        <f>E33/E32</f>
        <v>5.7352043929225133E-2</v>
      </c>
      <c r="F34" s="1055"/>
      <c r="G34" s="1055"/>
      <c r="H34" s="1056"/>
      <c r="N34" s="1013" t="s">
        <v>235</v>
      </c>
      <c r="P34" s="1063" t="s">
        <v>4279</v>
      </c>
      <c r="Q34" s="1063" t="s">
        <v>4280</v>
      </c>
      <c r="R34" s="1063" t="s">
        <v>195</v>
      </c>
      <c r="S34" s="1058"/>
      <c r="V34" s="985" t="s">
        <v>64</v>
      </c>
      <c r="W34" s="1059">
        <v>24.5</v>
      </c>
    </row>
    <row r="35" spans="2:23" ht="15">
      <c r="E35" s="1064"/>
      <c r="N35" s="1015" t="s">
        <v>212</v>
      </c>
      <c r="P35" s="56" t="s">
        <v>4195</v>
      </c>
      <c r="Q35" s="56">
        <v>0.54900000000000004</v>
      </c>
      <c r="R35" s="56" t="s">
        <v>4281</v>
      </c>
      <c r="S35" s="1058"/>
      <c r="V35" s="985" t="s">
        <v>65</v>
      </c>
      <c r="W35" s="1059">
        <v>51.4</v>
      </c>
    </row>
    <row r="36" spans="2:23" ht="15">
      <c r="N36" s="1022" t="s">
        <v>213</v>
      </c>
      <c r="P36" s="56" t="s">
        <v>4278</v>
      </c>
      <c r="Q36" s="56">
        <v>1.744</v>
      </c>
      <c r="R36" s="56" t="s">
        <v>4281</v>
      </c>
      <c r="S36" s="1058"/>
      <c r="V36" s="985" t="s">
        <v>66</v>
      </c>
      <c r="W36" s="1059">
        <v>7</v>
      </c>
    </row>
    <row r="37" spans="2:23" ht="15.75">
      <c r="C37" s="1065" t="s">
        <v>4233</v>
      </c>
      <c r="D37" s="1066"/>
      <c r="E37" s="1066"/>
      <c r="F37" s="1066"/>
      <c r="G37" s="1066"/>
      <c r="H37" s="1066"/>
      <c r="I37" s="1066"/>
      <c r="J37" s="1066"/>
      <c r="N37" s="1024" t="s">
        <v>214</v>
      </c>
      <c r="S37" s="1058"/>
      <c r="V37" s="985" t="s">
        <v>67</v>
      </c>
      <c r="W37" s="1059">
        <v>6.6</v>
      </c>
    </row>
    <row r="38" spans="2:23" ht="15">
      <c r="C38" s="1066"/>
      <c r="D38" s="1066"/>
      <c r="E38" s="1067" t="s">
        <v>224</v>
      </c>
      <c r="F38" s="1068"/>
      <c r="G38" s="1069" t="s">
        <v>225</v>
      </c>
      <c r="H38" s="1069"/>
      <c r="I38" s="1069"/>
      <c r="J38" s="1066"/>
      <c r="P38" s="1061" t="s">
        <v>4331</v>
      </c>
      <c r="S38" s="1058"/>
      <c r="V38" s="985" t="s">
        <v>68</v>
      </c>
      <c r="W38" s="1059">
        <v>43.4</v>
      </c>
    </row>
    <row r="39" spans="2:23" ht="30">
      <c r="C39" s="1066" t="s">
        <v>228</v>
      </c>
      <c r="D39" s="1066" t="s">
        <v>229</v>
      </c>
      <c r="E39" s="1066" t="s">
        <v>230</v>
      </c>
      <c r="F39" s="1066" t="s">
        <v>231</v>
      </c>
      <c r="G39" s="1066" t="s">
        <v>232</v>
      </c>
      <c r="H39" s="1066" t="s">
        <v>233</v>
      </c>
      <c r="I39" s="1066" t="s">
        <v>234</v>
      </c>
      <c r="J39" s="1066" t="s">
        <v>209</v>
      </c>
      <c r="N39" s="1013" t="s">
        <v>238</v>
      </c>
      <c r="P39" s="1063" t="s">
        <v>248</v>
      </c>
      <c r="Q39" s="1063" t="s">
        <v>4282</v>
      </c>
      <c r="R39" s="1063" t="s">
        <v>195</v>
      </c>
      <c r="S39" s="1058"/>
      <c r="V39" s="985" t="s">
        <v>69</v>
      </c>
      <c r="W39" s="1059">
        <v>32.1</v>
      </c>
    </row>
    <row r="40" spans="2:23" ht="29.25">
      <c r="C40" s="1066" t="s">
        <v>4063</v>
      </c>
      <c r="D40" s="1066" t="s">
        <v>4059</v>
      </c>
      <c r="E40" s="1066" t="s">
        <v>1719</v>
      </c>
      <c r="F40" s="1070">
        <v>3.3410000000000002E-2</v>
      </c>
      <c r="G40" s="1066" t="s">
        <v>1886</v>
      </c>
      <c r="H40" s="1066" t="s">
        <v>1887</v>
      </c>
      <c r="I40" s="1066">
        <f>F40/$C$44</f>
        <v>9.7919109026963665E-3</v>
      </c>
      <c r="J40" s="1071" t="s">
        <v>4182</v>
      </c>
      <c r="N40" s="1015" t="s">
        <v>212</v>
      </c>
      <c r="P40" s="1072" t="s">
        <v>4283</v>
      </c>
      <c r="Q40" s="56">
        <v>2.4793599999999998</v>
      </c>
      <c r="R40" s="1072" t="s">
        <v>4284</v>
      </c>
      <c r="S40" s="1058"/>
      <c r="V40" s="985" t="s">
        <v>70</v>
      </c>
      <c r="W40" s="1059">
        <v>63.8</v>
      </c>
    </row>
    <row r="41" spans="2:23" ht="15">
      <c r="C41" s="30" t="s">
        <v>4064</v>
      </c>
      <c r="D41" s="1066" t="s">
        <v>4065</v>
      </c>
      <c r="E41" s="30" t="s">
        <v>1719</v>
      </c>
      <c r="F41" s="1073">
        <v>1.7600000000000001E-3</v>
      </c>
      <c r="G41" s="30" t="s">
        <v>1886</v>
      </c>
      <c r="H41" s="1074" t="s">
        <v>1887</v>
      </c>
      <c r="I41" s="1066">
        <f>F41/$C$44</f>
        <v>5.1582649472450175E-4</v>
      </c>
      <c r="J41" s="1071" t="s">
        <v>4182</v>
      </c>
      <c r="N41" s="1022" t="s">
        <v>213</v>
      </c>
      <c r="S41" s="1058"/>
      <c r="V41" s="985" t="s">
        <v>204</v>
      </c>
      <c r="W41" s="1059">
        <v>16.100000000000001</v>
      </c>
    </row>
    <row r="42" spans="2:23" ht="15">
      <c r="H42" s="280"/>
      <c r="S42" s="1058"/>
      <c r="V42" s="985" t="s">
        <v>71</v>
      </c>
      <c r="W42" s="1059">
        <v>38.5</v>
      </c>
    </row>
    <row r="43" spans="2:23" ht="15" thickBot="1">
      <c r="N43" s="1013" t="s">
        <v>3921</v>
      </c>
    </row>
    <row r="44" spans="2:23" ht="15" thickBot="1">
      <c r="B44" s="1075" t="s">
        <v>4187</v>
      </c>
      <c r="C44" s="1076">
        <v>3.4119999999999999</v>
      </c>
      <c r="D44" s="1077" t="s">
        <v>1623</v>
      </c>
      <c r="N44" s="30" t="s">
        <v>211</v>
      </c>
    </row>
    <row r="45" spans="2:23">
      <c r="B45" s="1078" t="s">
        <v>1625</v>
      </c>
      <c r="N45" s="1015" t="s">
        <v>212</v>
      </c>
    </row>
    <row r="46" spans="2:23">
      <c r="N46" s="1022" t="s">
        <v>213</v>
      </c>
    </row>
    <row r="48" spans="2:23">
      <c r="K48" s="1066"/>
      <c r="N48" s="1013" t="s">
        <v>215</v>
      </c>
    </row>
    <row r="49" spans="11:14">
      <c r="K49" s="1066"/>
      <c r="N49" s="1015" t="s">
        <v>211</v>
      </c>
    </row>
    <row r="50" spans="11:14">
      <c r="K50" s="1066"/>
      <c r="N50" s="1022" t="s">
        <v>212</v>
      </c>
    </row>
    <row r="51" spans="11:14">
      <c r="K51" s="1066"/>
      <c r="N51" s="1024" t="s">
        <v>213</v>
      </c>
    </row>
    <row r="52" spans="11:14">
      <c r="K52" s="1066"/>
    </row>
    <row r="53" spans="11:14">
      <c r="K53" s="1066"/>
    </row>
    <row r="95" ht="14.25" customHeight="1"/>
    <row r="100" ht="14.25" customHeight="1"/>
    <row r="102" ht="48" customHeight="1"/>
    <row r="104" ht="39.75" customHeight="1"/>
    <row r="106" ht="39.75" customHeight="1"/>
    <row r="150" ht="24.75" customHeight="1"/>
    <row r="260" ht="21" customHeight="1"/>
  </sheetData>
  <sheetProtection algorithmName="SHA-512" hashValue="qMuO+Pj1G75LVX2OVEACShkQsbxiRsetPZJ/NXl/SR1UezpzrDGrcJ5rIuGhh7kH8DWTHDCcIpgpZZcc3lqW7g==" saltValue="ll+rFrjD+m2fQ/+AqDBxGw==" spinCount="100000" sheet="1" objects="1" scenarios="1" selectLockedCells="1" selectUnlockedCells="1"/>
  <autoFilter ref="V4:W42" xr:uid="{C0848906-B105-45EE-B6B2-495C36A4FE09}"/>
  <sortState xmlns:xlrd2="http://schemas.microsoft.com/office/spreadsheetml/2017/richdata2" ref="V5:W31">
    <sortCondition ref="V5:V31"/>
  </sortState>
  <mergeCells count="6">
    <mergeCell ref="P22:P23"/>
    <mergeCell ref="B1:B25"/>
    <mergeCell ref="O4:R4"/>
    <mergeCell ref="P19:P20"/>
    <mergeCell ref="O22:O23"/>
    <mergeCell ref="O19:O20"/>
  </mergeCells>
  <phoneticPr fontId="196" type="noConversion"/>
  <dataValidations count="1">
    <dataValidation type="decimal" allowBlank="1" showInputMessage="1" showErrorMessage="1" error="Please enter a valid Number." prompt="Enter a Number." sqref="H3" xr:uid="{B70F1782-EA4B-4406-B662-30EEFAA2C10F}">
      <formula1>-99999.99999</formula1>
      <formula2>99999.99999</formula2>
    </dataValidation>
  </dataValidations>
  <hyperlinks>
    <hyperlink ref="O3" r:id="rId1" display="https://www.epa.gov/system/files/other-files/2025-01/ghg-emission-factors-hub-2025.xlsx" xr:uid="{CE78E9F9-5A01-4341-88A3-D03925A56877}"/>
    <hyperlink ref="B45" r:id="rId2" xr:uid="{2D1FEEDE-5967-4198-984D-C059C5D07935}"/>
  </hyperlinks>
  <pageMargins left="0.7" right="0.7" top="0.75" bottom="0.75" header="0.3" footer="0.3"/>
  <pageSetup orientation="portrait" horizontalDpi="1200" verticalDpi="1200" r:id="rId3"/>
  <legacyDrawing r:id="rId4"/>
  <tableParts count="8">
    <tablePart r:id="rId5"/>
    <tablePart r:id="rId6"/>
    <tablePart r:id="rId7"/>
    <tablePart r:id="rId8"/>
    <tablePart r:id="rId9"/>
    <tablePart r:id="rId10"/>
    <tablePart r:id="rId11"/>
    <tablePart r:id="rId1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139D-A533-4831-B767-0FE228F44D8A}">
  <sheetPr codeName="Sheet34"/>
  <dimension ref="A2:AF324"/>
  <sheetViews>
    <sheetView zoomScale="90" zoomScaleNormal="90" workbookViewId="0">
      <selection sqref="A1:XFD1048576"/>
    </sheetView>
  </sheetViews>
  <sheetFormatPr defaultColWidth="8.875" defaultRowHeight="14.25"/>
  <cols>
    <col min="1" max="1" width="3.375" style="30" customWidth="1"/>
    <col min="2" max="2" width="21.125" style="30" customWidth="1"/>
    <col min="3" max="3" width="17.125" style="30" customWidth="1"/>
    <col min="4" max="4" width="46.875" style="30" customWidth="1"/>
    <col min="5" max="5" width="4" style="30" customWidth="1"/>
    <col min="6" max="6" width="23" style="30" customWidth="1"/>
    <col min="7" max="7" width="23.125" style="30" customWidth="1"/>
    <col min="8" max="8" width="15.625" style="30" customWidth="1"/>
    <col min="9" max="9" width="12.125" style="30" customWidth="1"/>
    <col min="10" max="10" width="8.5" style="30" bestFit="1" customWidth="1"/>
    <col min="11" max="11" width="13.625" style="30" customWidth="1"/>
    <col min="12" max="12" width="18.625" style="30" customWidth="1"/>
    <col min="13" max="13" width="11.625" style="30" customWidth="1"/>
    <col min="14" max="14" width="13.375" style="30" customWidth="1"/>
    <col min="15" max="15" width="17.125" style="30" customWidth="1"/>
    <col min="16" max="16" width="14.5" style="30" customWidth="1"/>
    <col min="17" max="17" width="11.5" style="30" customWidth="1"/>
    <col min="18" max="20" width="8.875" style="30"/>
    <col min="21" max="21" width="11.5" style="30" bestFit="1" customWidth="1"/>
    <col min="22" max="22" width="7.125" style="30" bestFit="1" customWidth="1"/>
    <col min="23" max="23" width="8.625" style="30" bestFit="1" customWidth="1"/>
    <col min="24" max="24" width="15.5" style="30" bestFit="1" customWidth="1"/>
    <col min="25" max="25" width="14.5" style="30" bestFit="1" customWidth="1"/>
    <col min="26" max="26" width="13.375" style="30" customWidth="1"/>
    <col min="27" max="28" width="8.875" style="30"/>
    <col min="29" max="29" width="14.625" style="30" bestFit="1" customWidth="1"/>
    <col min="30" max="30" width="31.125" style="30" customWidth="1"/>
    <col min="31" max="31" width="15.625" style="30" bestFit="1" customWidth="1"/>
    <col min="32" max="16384" width="8.875" style="30"/>
  </cols>
  <sheetData>
    <row r="2" spans="1:32" ht="45">
      <c r="B2" s="1079" t="s">
        <v>1444</v>
      </c>
      <c r="C2" s="1080" t="s">
        <v>3942</v>
      </c>
      <c r="D2" s="1081" t="s">
        <v>1445</v>
      </c>
      <c r="F2" s="1574" t="s">
        <v>4277</v>
      </c>
      <c r="G2" s="1574"/>
      <c r="H2" s="1574"/>
      <c r="K2" s="1083" t="s">
        <v>1434</v>
      </c>
    </row>
    <row r="3" spans="1:32" s="1084" customFormat="1" ht="51" customHeight="1">
      <c r="B3" s="1085" t="s">
        <v>1457</v>
      </c>
      <c r="C3" s="1086">
        <f>'DESNZ Cat 6-9'!$R$29+'DESNZ Cat 6-9'!$S$29</f>
        <v>0.36016719058686697</v>
      </c>
      <c r="D3" s="1087" t="s">
        <v>4274</v>
      </c>
      <c r="F3" s="1576" t="s">
        <v>4002</v>
      </c>
      <c r="G3" s="1576"/>
      <c r="H3" s="1576"/>
      <c r="I3" s="1576"/>
      <c r="K3" s="269" t="s">
        <v>195</v>
      </c>
      <c r="L3" s="1083"/>
      <c r="M3" s="1083"/>
      <c r="O3" s="30"/>
      <c r="P3" s="30"/>
      <c r="Q3" s="30"/>
      <c r="R3" s="30"/>
      <c r="S3" s="30"/>
      <c r="T3" s="30"/>
      <c r="U3" s="30"/>
      <c r="V3" s="30"/>
      <c r="W3" s="30"/>
      <c r="X3" s="30"/>
      <c r="Y3" s="30"/>
      <c r="Z3" s="30"/>
      <c r="AA3" s="30"/>
      <c r="AB3" s="30"/>
      <c r="AC3" s="30"/>
      <c r="AD3" s="30"/>
      <c r="AE3" s="30"/>
      <c r="AF3" s="30"/>
    </row>
    <row r="4" spans="1:32" ht="30" customHeight="1">
      <c r="B4" s="1085" t="s">
        <v>1461</v>
      </c>
      <c r="C4" s="1086">
        <f>C3/2.25</f>
        <v>0.16007430692749644</v>
      </c>
      <c r="D4" s="1087" t="s">
        <v>1464</v>
      </c>
      <c r="F4" s="269" t="s">
        <v>195</v>
      </c>
      <c r="G4" s="1084"/>
      <c r="H4" s="1084"/>
      <c r="I4" s="1082"/>
      <c r="K4" s="1088" t="s">
        <v>1436</v>
      </c>
      <c r="M4" s="1088"/>
    </row>
    <row r="5" spans="1:32" ht="30">
      <c r="B5" s="1085" t="s">
        <v>1471</v>
      </c>
      <c r="C5" s="1086">
        <f>AVERAGE(SUM('DESNZ Cat 6-9'!$L$88:$M$88),SUM('DESNZ Cat 6-9'!$L$101:$M$101))*Conversions!$F$55</f>
        <v>0.13394990558542319</v>
      </c>
      <c r="D5" s="1087" t="s">
        <v>4275</v>
      </c>
      <c r="E5" s="42"/>
      <c r="F5" s="1575" t="s">
        <v>1435</v>
      </c>
      <c r="G5" s="1575"/>
      <c r="H5" s="1575"/>
      <c r="I5" s="1575"/>
    </row>
    <row r="6" spans="1:32" ht="57.75" customHeight="1">
      <c r="A6" s="1089"/>
      <c r="B6" s="1085" t="s">
        <v>1473</v>
      </c>
      <c r="C6" s="1086">
        <f>AVERAGE(SUM('DESNZ Cat 6-9'!$L$107:$M$107),SUM('DESNZ Cat 6-9'!$L$92:$M$92))*Conversions!$F$55</f>
        <v>0.26472013893278545</v>
      </c>
      <c r="D6" s="1087" t="s">
        <v>4276</v>
      </c>
      <c r="E6" s="1090"/>
      <c r="F6" s="1091" t="s">
        <v>1437</v>
      </c>
      <c r="G6" s="1091" t="s">
        <v>1438</v>
      </c>
      <c r="H6" s="1063" t="s">
        <v>1439</v>
      </c>
      <c r="I6" s="1092" t="s">
        <v>3925</v>
      </c>
      <c r="K6" s="1093" t="s">
        <v>1440</v>
      </c>
      <c r="L6" s="1094" t="s">
        <v>1441</v>
      </c>
      <c r="M6" s="1095" t="s">
        <v>1442</v>
      </c>
      <c r="N6" s="1096" t="s">
        <v>1443</v>
      </c>
    </row>
    <row r="7" spans="1:32" ht="15">
      <c r="A7" s="1089"/>
      <c r="B7" s="1097" t="s">
        <v>1477</v>
      </c>
      <c r="C7" s="1098">
        <v>0</v>
      </c>
      <c r="D7" s="1097"/>
      <c r="E7" s="1099"/>
      <c r="F7" s="1100" t="s">
        <v>204</v>
      </c>
      <c r="G7" s="1101" t="s">
        <v>1457</v>
      </c>
      <c r="H7" s="1102">
        <v>0.79862058485058529</v>
      </c>
      <c r="I7" s="1103">
        <f>H7*VLOOKUP($G7,$B$3:$C$8,2,FALSE)</f>
        <v>0.28763693239047594</v>
      </c>
      <c r="K7" s="1104" t="s">
        <v>1458</v>
      </c>
      <c r="L7" s="1104">
        <v>7.8</v>
      </c>
      <c r="M7" s="1104">
        <f>$L7*2</f>
        <v>15.6</v>
      </c>
      <c r="N7" s="1105">
        <f>M7*SUMIFS($I$7:$I$324,$F$7:$F$324,K7)</f>
        <v>5.2341136968591799</v>
      </c>
    </row>
    <row r="8" spans="1:32" ht="15">
      <c r="B8" s="1097" t="s">
        <v>1481</v>
      </c>
      <c r="C8" s="1098">
        <v>0</v>
      </c>
      <c r="D8" s="1097"/>
      <c r="E8" s="1106"/>
      <c r="F8" s="1100" t="s">
        <v>204</v>
      </c>
      <c r="G8" s="1101" t="s">
        <v>1461</v>
      </c>
      <c r="H8" s="1102">
        <v>0.10586192834154953</v>
      </c>
      <c r="I8" s="1103">
        <f t="shared" ref="I8:I70" si="0">H8*VLOOKUP($G8,$B$3:$C$8,2,FALSE)</f>
        <v>1.6945774809281833E-2</v>
      </c>
      <c r="K8" s="1104" t="s">
        <v>1462</v>
      </c>
      <c r="L8" s="1107" t="s">
        <v>1463</v>
      </c>
      <c r="M8" s="1108">
        <f>M57</f>
        <v>14.408333333333337</v>
      </c>
      <c r="N8" s="1105">
        <f t="shared" ref="N8:N38" si="1">M8*SUMIFS($I$7:$I$324,$F$7:$F$324,K8)</f>
        <v>4.2911262999170772</v>
      </c>
    </row>
    <row r="9" spans="1:32" ht="15">
      <c r="D9" s="269"/>
      <c r="E9" s="1109"/>
      <c r="F9" s="1100" t="s">
        <v>204</v>
      </c>
      <c r="G9" s="1101" t="s">
        <v>1471</v>
      </c>
      <c r="H9" s="1102">
        <v>4.2539953111918341E-2</v>
      </c>
      <c r="I9" s="1103">
        <f>H9*VLOOKUP($G9,$B$3:$C$8,2,FALSE)</f>
        <v>5.6982227029497914E-3</v>
      </c>
      <c r="K9" s="1104" t="s">
        <v>1468</v>
      </c>
      <c r="L9" s="1104">
        <v>7.6</v>
      </c>
      <c r="M9" s="1104">
        <f t="shared" ref="M9:M16" si="2">$L9*2</f>
        <v>15.2</v>
      </c>
      <c r="N9" s="1105">
        <f t="shared" si="1"/>
        <v>4.8570247682123169</v>
      </c>
    </row>
    <row r="10" spans="1:32" ht="15">
      <c r="E10" s="1106"/>
      <c r="F10" s="1100" t="s">
        <v>204</v>
      </c>
      <c r="G10" s="1101" t="s">
        <v>1473</v>
      </c>
      <c r="H10" s="1102">
        <v>1.9128333046323196E-2</v>
      </c>
      <c r="I10" s="1103">
        <f>H10*VLOOKUP($G10,$B$3:$C$8,2,FALSE)</f>
        <v>5.063654981575268E-3</v>
      </c>
      <c r="K10" s="1104" t="s">
        <v>1472</v>
      </c>
      <c r="L10" s="1104">
        <v>7</v>
      </c>
      <c r="M10" s="1104">
        <f t="shared" si="2"/>
        <v>14</v>
      </c>
      <c r="N10" s="1105">
        <f t="shared" si="1"/>
        <v>4.6301560306397516</v>
      </c>
    </row>
    <row r="11" spans="1:32" ht="15">
      <c r="F11" s="1100" t="s">
        <v>204</v>
      </c>
      <c r="G11" s="1101" t="s">
        <v>1477</v>
      </c>
      <c r="H11" s="1102">
        <v>2.8245620498946376E-2</v>
      </c>
      <c r="I11" s="1103">
        <f t="shared" si="0"/>
        <v>0</v>
      </c>
      <c r="K11" s="1104" t="s">
        <v>1474</v>
      </c>
      <c r="L11" s="1104">
        <v>6.6</v>
      </c>
      <c r="M11" s="1104">
        <f t="shared" si="2"/>
        <v>13.2</v>
      </c>
      <c r="N11" s="1105">
        <f t="shared" si="1"/>
        <v>4.1205090772192881</v>
      </c>
    </row>
    <row r="12" spans="1:32" ht="15">
      <c r="F12" s="1100" t="s">
        <v>204</v>
      </c>
      <c r="G12" s="1101" t="s">
        <v>1481</v>
      </c>
      <c r="H12" s="1102">
        <v>5.6035801506772159E-3</v>
      </c>
      <c r="I12" s="1103">
        <f t="shared" si="0"/>
        <v>0</v>
      </c>
      <c r="K12" s="1104" t="s">
        <v>1478</v>
      </c>
      <c r="L12" s="1104">
        <v>6.9</v>
      </c>
      <c r="M12" s="1104">
        <f t="shared" si="2"/>
        <v>13.8</v>
      </c>
      <c r="N12" s="1105">
        <f t="shared" si="1"/>
        <v>4.3760597719859833</v>
      </c>
    </row>
    <row r="13" spans="1:32" ht="15">
      <c r="E13" s="269"/>
      <c r="F13" s="1100" t="s">
        <v>1458</v>
      </c>
      <c r="G13" s="1101" t="s">
        <v>1457</v>
      </c>
      <c r="H13" s="1102">
        <v>0.88184131744257499</v>
      </c>
      <c r="I13" s="1103">
        <f t="shared" si="0"/>
        <v>0.31761030984671379</v>
      </c>
      <c r="K13" s="1104" t="s">
        <v>1482</v>
      </c>
      <c r="L13" s="1104">
        <v>6.5</v>
      </c>
      <c r="M13" s="1104">
        <f t="shared" si="2"/>
        <v>13</v>
      </c>
      <c r="N13" s="1105">
        <f t="shared" si="1"/>
        <v>4.1332864845472486</v>
      </c>
    </row>
    <row r="14" spans="1:32" ht="15">
      <c r="F14" s="1100" t="s">
        <v>1458</v>
      </c>
      <c r="G14" s="1101" t="s">
        <v>1461</v>
      </c>
      <c r="H14" s="1102">
        <v>8.6160120969313095E-2</v>
      </c>
      <c r="I14" s="1103">
        <f t="shared" si="0"/>
        <v>1.3792021648952046E-2</v>
      </c>
      <c r="K14" s="1104" t="s">
        <v>1483</v>
      </c>
      <c r="L14" s="1104">
        <v>8</v>
      </c>
      <c r="M14" s="1104">
        <f t="shared" si="2"/>
        <v>16</v>
      </c>
      <c r="N14" s="1105">
        <f t="shared" si="1"/>
        <v>5.1531450935627925</v>
      </c>
    </row>
    <row r="15" spans="1:32" ht="15">
      <c r="F15" s="1100" t="s">
        <v>1458</v>
      </c>
      <c r="G15" s="1101" t="s">
        <v>1471</v>
      </c>
      <c r="H15" s="1102">
        <v>4.7738937631418218E-3</v>
      </c>
      <c r="I15" s="1103">
        <f t="shared" si="0"/>
        <v>6.3946261884768765E-4</v>
      </c>
      <c r="K15" s="1104" t="s">
        <v>1401</v>
      </c>
      <c r="L15" s="1104">
        <v>6</v>
      </c>
      <c r="M15" s="1104">
        <f t="shared" si="2"/>
        <v>12</v>
      </c>
      <c r="N15" s="1105">
        <f t="shared" si="1"/>
        <v>3.8679192997451057</v>
      </c>
    </row>
    <row r="16" spans="1:32" ht="15">
      <c r="F16" s="1100" t="s">
        <v>1458</v>
      </c>
      <c r="G16" s="1101" t="s">
        <v>1473</v>
      </c>
      <c r="H16" s="1102">
        <v>1.3139592146383761E-2</v>
      </c>
      <c r="I16" s="1103">
        <f t="shared" si="0"/>
        <v>3.4783146585108458E-3</v>
      </c>
      <c r="K16" s="1104" t="s">
        <v>5</v>
      </c>
      <c r="L16" s="1104">
        <v>7.4</v>
      </c>
      <c r="M16" s="1104">
        <f t="shared" si="2"/>
        <v>14.8</v>
      </c>
      <c r="N16" s="1105">
        <f t="shared" si="1"/>
        <v>4.8426302741296627</v>
      </c>
    </row>
    <row r="17" spans="1:14" ht="15">
      <c r="F17" s="1100" t="s">
        <v>1458</v>
      </c>
      <c r="G17" s="1101" t="s">
        <v>1477</v>
      </c>
      <c r="H17" s="1102">
        <v>1.3304840509509527E-2</v>
      </c>
      <c r="I17" s="1103">
        <f t="shared" si="0"/>
        <v>0</v>
      </c>
      <c r="K17" s="1104" t="s">
        <v>1487</v>
      </c>
      <c r="L17" s="1107" t="s">
        <v>1463</v>
      </c>
      <c r="M17" s="1108">
        <f>M57</f>
        <v>14.408333333333337</v>
      </c>
      <c r="N17" s="1105">
        <f t="shared" si="1"/>
        <v>4.2461968244772237</v>
      </c>
    </row>
    <row r="18" spans="1:14" ht="15">
      <c r="F18" s="1100" t="s">
        <v>1458</v>
      </c>
      <c r="G18" s="1101" t="s">
        <v>1481</v>
      </c>
      <c r="H18" s="1102">
        <v>7.8023516907677331E-4</v>
      </c>
      <c r="I18" s="1103">
        <f t="shared" si="0"/>
        <v>0</v>
      </c>
      <c r="K18" s="1104" t="s">
        <v>1488</v>
      </c>
      <c r="L18" s="1104">
        <v>6.2</v>
      </c>
      <c r="M18" s="1104">
        <f t="shared" ref="M18:M57" si="3">$L18*2</f>
        <v>12.4</v>
      </c>
      <c r="N18" s="1105">
        <f t="shared" si="1"/>
        <v>3.9995552974028086</v>
      </c>
    </row>
    <row r="19" spans="1:14" ht="15">
      <c r="F19" s="1100" t="s">
        <v>1462</v>
      </c>
      <c r="G19" s="1101" t="s">
        <v>1457</v>
      </c>
      <c r="H19" s="1102">
        <v>0.72991740722641518</v>
      </c>
      <c r="I19" s="1103">
        <f t="shared" si="0"/>
        <v>0.26289230192118807</v>
      </c>
      <c r="K19" s="1104" t="s">
        <v>1489</v>
      </c>
      <c r="L19" s="1104">
        <v>6.5</v>
      </c>
      <c r="M19" s="1104">
        <f t="shared" si="3"/>
        <v>13</v>
      </c>
      <c r="N19" s="1105">
        <f t="shared" si="1"/>
        <v>3.971730502425034</v>
      </c>
    </row>
    <row r="20" spans="1:14" ht="15">
      <c r="F20" s="1100" t="s">
        <v>1462</v>
      </c>
      <c r="G20" s="1101" t="s">
        <v>1461</v>
      </c>
      <c r="H20" s="1102">
        <v>0.13534898312549398</v>
      </c>
      <c r="I20" s="1103">
        <f t="shared" si="0"/>
        <v>2.1665894667154861E-2</v>
      </c>
      <c r="K20" s="1104" t="s">
        <v>1490</v>
      </c>
      <c r="L20" s="1104">
        <v>6.9</v>
      </c>
      <c r="M20" s="1104">
        <f t="shared" si="3"/>
        <v>13.8</v>
      </c>
      <c r="N20" s="1105">
        <f t="shared" si="1"/>
        <v>4.5139565507204482</v>
      </c>
    </row>
    <row r="21" spans="1:14" ht="15">
      <c r="F21" s="1100" t="s">
        <v>1462</v>
      </c>
      <c r="G21" s="1101" t="s">
        <v>1471</v>
      </c>
      <c r="H21" s="1102">
        <v>7.4206801686847301E-3</v>
      </c>
      <c r="I21" s="1103">
        <f t="shared" si="0"/>
        <v>9.9399940797494177E-4</v>
      </c>
      <c r="K21" s="1104" t="s">
        <v>1491</v>
      </c>
      <c r="L21" s="1104">
        <v>7</v>
      </c>
      <c r="M21" s="1104">
        <f t="shared" si="3"/>
        <v>14</v>
      </c>
      <c r="N21" s="1105">
        <f t="shared" si="1"/>
        <v>4.5469599890941641</v>
      </c>
    </row>
    <row r="22" spans="1:14" ht="15">
      <c r="F22" s="1100" t="s">
        <v>1462</v>
      </c>
      <c r="G22" s="1101" t="s">
        <v>1473</v>
      </c>
      <c r="H22" s="1102">
        <v>4.6352102224394134E-2</v>
      </c>
      <c r="I22" s="1103">
        <f t="shared" si="0"/>
        <v>1.2270334940668289E-2</v>
      </c>
      <c r="K22" s="1104" t="s">
        <v>1492</v>
      </c>
      <c r="L22" s="1104">
        <v>6.4</v>
      </c>
      <c r="M22" s="1104">
        <f t="shared" si="3"/>
        <v>12.8</v>
      </c>
      <c r="N22" s="1105">
        <f t="shared" si="1"/>
        <v>4.1760884421756206</v>
      </c>
    </row>
    <row r="23" spans="1:14" ht="15">
      <c r="F23" s="1100" t="s">
        <v>1462</v>
      </c>
      <c r="G23" s="1101" t="s">
        <v>1477</v>
      </c>
      <c r="H23" s="1102">
        <v>7.0795098731244691E-2</v>
      </c>
      <c r="I23" s="1103">
        <f t="shared" si="0"/>
        <v>0</v>
      </c>
      <c r="K23" s="1104" t="s">
        <v>1493</v>
      </c>
      <c r="L23" s="1104">
        <v>7</v>
      </c>
      <c r="M23" s="1104">
        <f t="shared" si="3"/>
        <v>14</v>
      </c>
      <c r="N23" s="1105">
        <f t="shared" si="1"/>
        <v>4.5732104560476694</v>
      </c>
    </row>
    <row r="24" spans="1:14" ht="15">
      <c r="F24" s="1100" t="s">
        <v>1462</v>
      </c>
      <c r="G24" s="1101" t="s">
        <v>1481</v>
      </c>
      <c r="H24" s="1102">
        <v>1.0165728523767294E-2</v>
      </c>
      <c r="I24" s="1103">
        <f t="shared" si="0"/>
        <v>0</v>
      </c>
      <c r="K24" s="1104" t="s">
        <v>1494</v>
      </c>
      <c r="L24" s="1104">
        <v>7.2</v>
      </c>
      <c r="M24" s="1104">
        <f t="shared" si="3"/>
        <v>14.4</v>
      </c>
      <c r="N24" s="1105">
        <f t="shared" si="1"/>
        <v>4.7275381397771365</v>
      </c>
    </row>
    <row r="25" spans="1:14" ht="15">
      <c r="A25" s="1110"/>
      <c r="F25" s="1100" t="s">
        <v>1468</v>
      </c>
      <c r="G25" s="1101" t="s">
        <v>1457</v>
      </c>
      <c r="H25" s="1102">
        <v>0.8063711831671676</v>
      </c>
      <c r="I25" s="1103">
        <f t="shared" si="0"/>
        <v>0.29042844361152664</v>
      </c>
      <c r="K25" s="1104" t="s">
        <v>1495</v>
      </c>
      <c r="L25" s="1104">
        <v>9.8000000000000007</v>
      </c>
      <c r="M25" s="1104">
        <f t="shared" si="3"/>
        <v>19.600000000000001</v>
      </c>
      <c r="N25" s="1105">
        <f t="shared" si="1"/>
        <v>6.2821674918404309</v>
      </c>
    </row>
    <row r="26" spans="1:14" ht="15">
      <c r="F26" s="1100" t="s">
        <v>1468</v>
      </c>
      <c r="G26" s="1101" t="s">
        <v>1461</v>
      </c>
      <c r="H26" s="1102">
        <v>0.12854254736274523</v>
      </c>
      <c r="I26" s="1103">
        <f t="shared" si="0"/>
        <v>2.0576359179786327E-2</v>
      </c>
      <c r="K26" s="1104" t="s">
        <v>1496</v>
      </c>
      <c r="L26" s="1104">
        <v>7.9</v>
      </c>
      <c r="M26" s="1104">
        <f t="shared" si="3"/>
        <v>15.8</v>
      </c>
      <c r="N26" s="1105">
        <f t="shared" si="1"/>
        <v>4.9481641919349064</v>
      </c>
    </row>
    <row r="27" spans="1:14" ht="15">
      <c r="F27" s="1100" t="s">
        <v>1468</v>
      </c>
      <c r="G27" s="1101" t="s">
        <v>1471</v>
      </c>
      <c r="H27" s="1102">
        <v>1.3573785801779913E-2</v>
      </c>
      <c r="I27" s="1103">
        <f t="shared" si="0"/>
        <v>1.8182073265851772E-3</v>
      </c>
      <c r="K27" s="1104" t="s">
        <v>1497</v>
      </c>
      <c r="L27" s="1104">
        <v>6.4</v>
      </c>
      <c r="M27" s="1104">
        <f t="shared" si="3"/>
        <v>12.8</v>
      </c>
      <c r="N27" s="1105">
        <f t="shared" si="1"/>
        <v>3.7910406071970111</v>
      </c>
    </row>
    <row r="28" spans="1:14" ht="15">
      <c r="F28" s="1100" t="s">
        <v>1468</v>
      </c>
      <c r="G28" s="1101" t="s">
        <v>1473</v>
      </c>
      <c r="H28" s="1102">
        <v>2.5378095829991176E-2</v>
      </c>
      <c r="I28" s="1103">
        <f t="shared" si="0"/>
        <v>6.7180930539648071E-3</v>
      </c>
      <c r="K28" s="1104" t="s">
        <v>1498</v>
      </c>
      <c r="L28" s="1104">
        <v>8</v>
      </c>
      <c r="M28" s="1104">
        <f t="shared" si="3"/>
        <v>16</v>
      </c>
      <c r="N28" s="1105">
        <f t="shared" si="1"/>
        <v>5.241619638674317</v>
      </c>
    </row>
    <row r="29" spans="1:14" ht="15">
      <c r="F29" s="1100" t="s">
        <v>1468</v>
      </c>
      <c r="G29" s="1101" t="s">
        <v>1477</v>
      </c>
      <c r="H29" s="1102">
        <v>2.0583452023122933E-2</v>
      </c>
      <c r="I29" s="1103">
        <f t="shared" si="0"/>
        <v>0</v>
      </c>
      <c r="K29" s="1104" t="s">
        <v>1499</v>
      </c>
      <c r="L29" s="1104">
        <v>8.6999999999999993</v>
      </c>
      <c r="M29" s="1104">
        <f t="shared" si="3"/>
        <v>17.399999999999999</v>
      </c>
      <c r="N29" s="1105">
        <f t="shared" si="1"/>
        <v>5.5933343814743273</v>
      </c>
    </row>
    <row r="30" spans="1:14" ht="15">
      <c r="F30" s="1100" t="s">
        <v>1468</v>
      </c>
      <c r="G30" s="1101" t="s">
        <v>1481</v>
      </c>
      <c r="H30" s="1102">
        <v>5.5509358151931403E-3</v>
      </c>
      <c r="I30" s="1103">
        <f t="shared" si="0"/>
        <v>0</v>
      </c>
      <c r="K30" s="1104" t="s">
        <v>1500</v>
      </c>
      <c r="L30" s="1104">
        <v>8.5</v>
      </c>
      <c r="M30" s="1104">
        <f t="shared" si="3"/>
        <v>17</v>
      </c>
      <c r="N30" s="1105">
        <f t="shared" si="1"/>
        <v>5.6554078494612225</v>
      </c>
    </row>
    <row r="31" spans="1:14" ht="15">
      <c r="F31" s="1100" t="s">
        <v>1472</v>
      </c>
      <c r="G31" s="1101" t="s">
        <v>1457</v>
      </c>
      <c r="H31" s="1102">
        <v>0.85736104361655796</v>
      </c>
      <c r="I31" s="1103">
        <f t="shared" si="0"/>
        <v>0.30879331839800001</v>
      </c>
      <c r="K31" s="1104" t="s">
        <v>1501</v>
      </c>
      <c r="L31" s="1104">
        <v>7.9</v>
      </c>
      <c r="M31" s="1104">
        <f t="shared" si="3"/>
        <v>15.8</v>
      </c>
      <c r="N31" s="1105">
        <f t="shared" si="1"/>
        <v>5.1743533518661451</v>
      </c>
    </row>
    <row r="32" spans="1:14" ht="15">
      <c r="F32" s="1100" t="s">
        <v>1472</v>
      </c>
      <c r="G32" s="1101" t="s">
        <v>1461</v>
      </c>
      <c r="H32" s="1102">
        <v>0.10964332371930399</v>
      </c>
      <c r="I32" s="1103">
        <f t="shared" si="0"/>
        <v>1.7551079053594716E-2</v>
      </c>
      <c r="K32" s="1104" t="s">
        <v>1502</v>
      </c>
      <c r="L32" s="1104">
        <v>6.5</v>
      </c>
      <c r="M32" s="1104">
        <f t="shared" si="3"/>
        <v>13</v>
      </c>
      <c r="N32" s="1105">
        <f t="shared" si="1"/>
        <v>4.0927748438115037</v>
      </c>
    </row>
    <row r="33" spans="2:14" ht="15">
      <c r="F33" s="1100" t="s">
        <v>1472</v>
      </c>
      <c r="G33" s="1101" t="s">
        <v>1471</v>
      </c>
      <c r="H33" s="1102">
        <v>3.1185113190995207E-3</v>
      </c>
      <c r="I33" s="1103">
        <f t="shared" si="0"/>
        <v>4.1772429676045433E-4</v>
      </c>
      <c r="K33" s="1104" t="s">
        <v>1503</v>
      </c>
      <c r="L33" s="1104">
        <v>6.2</v>
      </c>
      <c r="M33" s="1104">
        <f t="shared" si="3"/>
        <v>12.4</v>
      </c>
      <c r="N33" s="1105">
        <f t="shared" si="1"/>
        <v>4.0192213545315401</v>
      </c>
    </row>
    <row r="34" spans="2:14" ht="15" customHeight="1">
      <c r="F34" s="1100" t="s">
        <v>1472</v>
      </c>
      <c r="G34" s="1101" t="s">
        <v>1473</v>
      </c>
      <c r="H34" s="1102">
        <v>1.4971694362223805E-2</v>
      </c>
      <c r="I34" s="1103">
        <f t="shared" si="0"/>
        <v>3.9633090116270864E-3</v>
      </c>
      <c r="K34" s="1104" t="s">
        <v>1504</v>
      </c>
      <c r="L34" s="1104">
        <v>5.9</v>
      </c>
      <c r="M34" s="1104">
        <f t="shared" si="3"/>
        <v>11.8</v>
      </c>
      <c r="N34" s="1105">
        <f t="shared" si="1"/>
        <v>3.7315807303274213</v>
      </c>
    </row>
    <row r="35" spans="2:14" ht="15">
      <c r="F35" s="1100" t="s">
        <v>1472</v>
      </c>
      <c r="G35" s="1101" t="s">
        <v>1477</v>
      </c>
      <c r="H35" s="1102">
        <v>1.2550568321668169E-2</v>
      </c>
      <c r="I35" s="1103">
        <f t="shared" si="0"/>
        <v>0</v>
      </c>
      <c r="K35" s="1104" t="s">
        <v>1505</v>
      </c>
      <c r="L35" s="1104">
        <v>9.6</v>
      </c>
      <c r="M35" s="1104">
        <f t="shared" si="3"/>
        <v>19.2</v>
      </c>
      <c r="N35" s="1105">
        <f t="shared" si="1"/>
        <v>6.3175863421578864</v>
      </c>
    </row>
    <row r="36" spans="2:14" ht="15">
      <c r="F36" s="1100" t="s">
        <v>1472</v>
      </c>
      <c r="G36" s="1101" t="s">
        <v>1481</v>
      </c>
      <c r="H36" s="1102">
        <v>2.3548586611464887E-3</v>
      </c>
      <c r="I36" s="1103">
        <f t="shared" si="0"/>
        <v>0</v>
      </c>
      <c r="K36" s="1104" t="s">
        <v>1506</v>
      </c>
      <c r="L36" s="1104">
        <v>7</v>
      </c>
      <c r="M36" s="1104">
        <f t="shared" si="3"/>
        <v>14</v>
      </c>
      <c r="N36" s="1105">
        <f t="shared" si="1"/>
        <v>4.2142762496608457</v>
      </c>
    </row>
    <row r="37" spans="2:14" ht="15">
      <c r="B37" s="1111"/>
      <c r="C37" s="1111"/>
      <c r="D37" s="1111"/>
      <c r="E37" s="1111"/>
      <c r="F37" s="1100" t="s">
        <v>1474</v>
      </c>
      <c r="G37" s="1101" t="s">
        <v>1457</v>
      </c>
      <c r="H37" s="1102">
        <v>0.78343084901770865</v>
      </c>
      <c r="I37" s="1103">
        <f t="shared" si="0"/>
        <v>0.28216608790979208</v>
      </c>
      <c r="K37" s="1104" t="s">
        <v>1507</v>
      </c>
      <c r="L37" s="1104">
        <v>7.3</v>
      </c>
      <c r="M37" s="1104">
        <f t="shared" si="3"/>
        <v>14.6</v>
      </c>
      <c r="N37" s="1105">
        <f t="shared" si="1"/>
        <v>4.7041119354055967</v>
      </c>
    </row>
    <row r="38" spans="2:14" ht="15">
      <c r="F38" s="1100" t="s">
        <v>1474</v>
      </c>
      <c r="G38" s="1101" t="s">
        <v>1461</v>
      </c>
      <c r="H38" s="1102">
        <v>0.11834716832995679</v>
      </c>
      <c r="I38" s="1103">
        <f t="shared" si="0"/>
        <v>1.8944340947249588E-2</v>
      </c>
      <c r="K38" s="1104" t="s">
        <v>1508</v>
      </c>
      <c r="L38" s="1104">
        <v>6</v>
      </c>
      <c r="M38" s="1104">
        <f t="shared" si="3"/>
        <v>12</v>
      </c>
      <c r="N38" s="1105">
        <f t="shared" si="1"/>
        <v>3.0434581121264075</v>
      </c>
    </row>
    <row r="39" spans="2:14" ht="15">
      <c r="F39" s="1100" t="s">
        <v>1474</v>
      </c>
      <c r="G39" s="1101" t="s">
        <v>1471</v>
      </c>
      <c r="H39" s="1102">
        <v>3.8410239541393533E-2</v>
      </c>
      <c r="I39" s="1103">
        <f t="shared" si="0"/>
        <v>5.1450479600831526E-3</v>
      </c>
      <c r="K39" s="1104" t="s">
        <v>1509</v>
      </c>
      <c r="L39" s="1104">
        <v>7.5</v>
      </c>
      <c r="M39" s="1104">
        <f t="shared" si="3"/>
        <v>15</v>
      </c>
      <c r="N39" s="1105">
        <f t="shared" ref="N39:N56" si="4">M39*SUMIFS($I$7:$I$324,$F$7:$F$324,K39)</f>
        <v>4.9109236071248858</v>
      </c>
    </row>
    <row r="40" spans="2:14" ht="15">
      <c r="F40" s="1100" t="s">
        <v>1474</v>
      </c>
      <c r="G40" s="1101" t="s">
        <v>1473</v>
      </c>
      <c r="H40" s="1102">
        <v>2.2303938732795844E-2</v>
      </c>
      <c r="I40" s="1103">
        <f t="shared" si="0"/>
        <v>5.9043017600940509E-3</v>
      </c>
      <c r="K40" s="1104" t="s">
        <v>1510</v>
      </c>
      <c r="L40" s="1104">
        <v>6.8</v>
      </c>
      <c r="M40" s="1104">
        <f t="shared" si="3"/>
        <v>13.6</v>
      </c>
      <c r="N40" s="1105">
        <f t="shared" si="4"/>
        <v>4.3509493799727963</v>
      </c>
    </row>
    <row r="41" spans="2:14" ht="15">
      <c r="F41" s="1100" t="s">
        <v>1474</v>
      </c>
      <c r="G41" s="1101" t="s">
        <v>1477</v>
      </c>
      <c r="H41" s="1102">
        <v>2.8666602883649913E-2</v>
      </c>
      <c r="I41" s="1103">
        <f t="shared" si="0"/>
        <v>0</v>
      </c>
      <c r="K41" s="1104" t="s">
        <v>1396</v>
      </c>
      <c r="L41" s="1104">
        <v>6.7</v>
      </c>
      <c r="M41" s="1104">
        <f t="shared" si="3"/>
        <v>13.4</v>
      </c>
      <c r="N41" s="1105">
        <f t="shared" si="4"/>
        <v>4.3959911802004914</v>
      </c>
    </row>
    <row r="42" spans="2:14" ht="15">
      <c r="F42" s="1100" t="s">
        <v>1474</v>
      </c>
      <c r="G42" s="1101" t="s">
        <v>1481</v>
      </c>
      <c r="H42" s="1102">
        <v>8.8412014944952624E-3</v>
      </c>
      <c r="I42" s="1103">
        <f t="shared" si="0"/>
        <v>0</v>
      </c>
      <c r="K42" s="1104" t="s">
        <v>1511</v>
      </c>
      <c r="L42" s="1104">
        <v>7.3</v>
      </c>
      <c r="M42" s="1104">
        <f t="shared" si="3"/>
        <v>14.6</v>
      </c>
      <c r="N42" s="1105">
        <f t="shared" si="4"/>
        <v>4.7721227898489849</v>
      </c>
    </row>
    <row r="43" spans="2:14" ht="15">
      <c r="F43" s="1100" t="s">
        <v>1478</v>
      </c>
      <c r="G43" s="1101" t="s">
        <v>1457</v>
      </c>
      <c r="H43" s="1102">
        <v>0.81583424680311845</v>
      </c>
      <c r="I43" s="1103">
        <f t="shared" si="0"/>
        <v>0.29383672865563182</v>
      </c>
      <c r="K43" s="1104" t="s">
        <v>1512</v>
      </c>
      <c r="L43" s="1104">
        <v>6.3</v>
      </c>
      <c r="M43" s="1104">
        <f t="shared" si="3"/>
        <v>12.6</v>
      </c>
      <c r="N43" s="1105">
        <f t="shared" si="4"/>
        <v>3.8961374543281742</v>
      </c>
    </row>
    <row r="44" spans="2:14" ht="15">
      <c r="F44" s="1100" t="s">
        <v>1478</v>
      </c>
      <c r="G44" s="1101" t="s">
        <v>1461</v>
      </c>
      <c r="H44" s="1102">
        <v>0.10128560857576731</v>
      </c>
      <c r="I44" s="1103">
        <f t="shared" si="0"/>
        <v>1.6213223594495643E-2</v>
      </c>
      <c r="K44" s="1104" t="s">
        <v>1513</v>
      </c>
      <c r="L44" s="1104">
        <v>6.7</v>
      </c>
      <c r="M44" s="1104">
        <f t="shared" si="3"/>
        <v>13.4</v>
      </c>
      <c r="N44" s="1105">
        <f t="shared" si="4"/>
        <v>4.1885801757894523</v>
      </c>
    </row>
    <row r="45" spans="2:14" ht="15">
      <c r="F45" s="1100" t="s">
        <v>1478</v>
      </c>
      <c r="G45" s="1101" t="s">
        <v>1471</v>
      </c>
      <c r="H45" s="1102">
        <v>2.1525314605298308E-2</v>
      </c>
      <c r="I45" s="1103">
        <f t="shared" si="0"/>
        <v>2.8833138590762392E-3</v>
      </c>
      <c r="K45" s="1104" t="s">
        <v>1514</v>
      </c>
      <c r="L45" s="1104">
        <v>5.9</v>
      </c>
      <c r="M45" s="1104">
        <f t="shared" si="3"/>
        <v>11.8</v>
      </c>
      <c r="N45" s="1105">
        <f t="shared" si="4"/>
        <v>3.7304145407309157</v>
      </c>
    </row>
    <row r="46" spans="2:14" ht="15">
      <c r="F46" s="1100" t="s">
        <v>1478</v>
      </c>
      <c r="G46" s="1101" t="s">
        <v>1473</v>
      </c>
      <c r="H46" s="1102">
        <v>1.5761983528386387E-2</v>
      </c>
      <c r="I46" s="1103">
        <f t="shared" si="0"/>
        <v>4.1725144694907202E-3</v>
      </c>
      <c r="K46" s="1104" t="s">
        <v>1515</v>
      </c>
      <c r="L46" s="1104">
        <v>7.6</v>
      </c>
      <c r="M46" s="1104">
        <f t="shared" si="3"/>
        <v>15.2</v>
      </c>
      <c r="N46" s="1105">
        <f t="shared" si="4"/>
        <v>5.0108589696214008</v>
      </c>
    </row>
    <row r="47" spans="2:14" ht="15">
      <c r="F47" s="1100" t="s">
        <v>1478</v>
      </c>
      <c r="G47" s="1101" t="s">
        <v>1477</v>
      </c>
      <c r="H47" s="1102">
        <v>3.3720628761413775E-2</v>
      </c>
      <c r="I47" s="1103">
        <f t="shared" si="0"/>
        <v>0</v>
      </c>
      <c r="K47" s="1104" t="s">
        <v>1516</v>
      </c>
      <c r="L47" s="1104">
        <v>7.3</v>
      </c>
      <c r="M47" s="1104">
        <f t="shared" si="3"/>
        <v>14.6</v>
      </c>
      <c r="N47" s="1105">
        <f t="shared" si="4"/>
        <v>4.7496005444761211</v>
      </c>
    </row>
    <row r="48" spans="2:14" ht="15">
      <c r="F48" s="1100" t="s">
        <v>1478</v>
      </c>
      <c r="G48" s="1101" t="s">
        <v>1481</v>
      </c>
      <c r="H48" s="1102">
        <v>1.1872217726015804E-2</v>
      </c>
      <c r="I48" s="1103">
        <f t="shared" si="0"/>
        <v>0</v>
      </c>
      <c r="K48" s="1104" t="s">
        <v>1517</v>
      </c>
      <c r="L48" s="1104">
        <v>7.4</v>
      </c>
      <c r="M48" s="1104">
        <f t="shared" si="3"/>
        <v>14.8</v>
      </c>
      <c r="N48" s="1105">
        <f t="shared" si="4"/>
        <v>4.8973970963813622</v>
      </c>
    </row>
    <row r="49" spans="6:14" ht="15">
      <c r="F49" s="1100" t="s">
        <v>1482</v>
      </c>
      <c r="G49" s="1101" t="s">
        <v>1457</v>
      </c>
      <c r="H49" s="1102">
        <v>0.8101432335128731</v>
      </c>
      <c r="I49" s="1103">
        <f t="shared" si="0"/>
        <v>0.29178701238729166</v>
      </c>
      <c r="K49" s="1104" t="s">
        <v>1518</v>
      </c>
      <c r="L49" s="1104">
        <v>7.3</v>
      </c>
      <c r="M49" s="1104">
        <f t="shared" si="3"/>
        <v>14.6</v>
      </c>
      <c r="N49" s="1105">
        <f t="shared" si="4"/>
        <v>4.7232052995735936</v>
      </c>
    </row>
    <row r="50" spans="6:14" ht="15">
      <c r="F50" s="1100" t="s">
        <v>1482</v>
      </c>
      <c r="G50" s="1101" t="s">
        <v>1461</v>
      </c>
      <c r="H50" s="1102">
        <v>9.410992362275232E-2</v>
      </c>
      <c r="I50" s="1103">
        <f t="shared" si="0"/>
        <v>1.5064580798911703E-2</v>
      </c>
      <c r="K50" s="1104" t="s">
        <v>1519</v>
      </c>
      <c r="L50" s="1104">
        <v>6.7</v>
      </c>
      <c r="M50" s="1104">
        <f t="shared" si="3"/>
        <v>13.4</v>
      </c>
      <c r="N50" s="1105">
        <f t="shared" si="4"/>
        <v>4.2378064312299539</v>
      </c>
    </row>
    <row r="51" spans="6:14" ht="15">
      <c r="F51" s="1100" t="s">
        <v>1482</v>
      </c>
      <c r="G51" s="1101" t="s">
        <v>1471</v>
      </c>
      <c r="H51" s="1102">
        <v>4.6368293280748277E-2</v>
      </c>
      <c r="I51" s="1103">
        <f t="shared" si="0"/>
        <v>6.2110285071134445E-3</v>
      </c>
      <c r="K51" s="1104" t="s">
        <v>1520</v>
      </c>
      <c r="L51" s="1104">
        <v>9.5</v>
      </c>
      <c r="M51" s="1104">
        <f t="shared" si="3"/>
        <v>19</v>
      </c>
      <c r="N51" s="1105">
        <f t="shared" si="4"/>
        <v>5.9169789135539501</v>
      </c>
    </row>
    <row r="52" spans="6:14" ht="15">
      <c r="F52" s="1100" t="s">
        <v>1482</v>
      </c>
      <c r="G52" s="1101" t="s">
        <v>1473</v>
      </c>
      <c r="H52" s="1102">
        <v>1.8443978317286433E-2</v>
      </c>
      <c r="I52" s="1103">
        <f t="shared" si="0"/>
        <v>4.8824925026253472E-3</v>
      </c>
      <c r="K52" s="1104" t="s">
        <v>1521</v>
      </c>
      <c r="L52" s="1104">
        <v>7.5</v>
      </c>
      <c r="M52" s="1104">
        <f t="shared" si="3"/>
        <v>15</v>
      </c>
      <c r="N52" s="1105">
        <f t="shared" si="4"/>
        <v>4.7897064145016062</v>
      </c>
    </row>
    <row r="53" spans="6:14" ht="15">
      <c r="F53" s="1100" t="s">
        <v>1482</v>
      </c>
      <c r="G53" s="1101" t="s">
        <v>1477</v>
      </c>
      <c r="H53" s="1102">
        <v>2.8271036382962737E-2</v>
      </c>
      <c r="I53" s="1103">
        <f t="shared" si="0"/>
        <v>0</v>
      </c>
      <c r="K53" s="1104" t="s">
        <v>1522</v>
      </c>
      <c r="L53" s="1104">
        <v>7</v>
      </c>
      <c r="M53" s="1104">
        <f t="shared" si="3"/>
        <v>14</v>
      </c>
      <c r="N53" s="1105">
        <f t="shared" si="4"/>
        <v>4.314938020995581</v>
      </c>
    </row>
    <row r="54" spans="6:14" ht="15">
      <c r="F54" s="1100" t="s">
        <v>1482</v>
      </c>
      <c r="G54" s="1101" t="s">
        <v>1481</v>
      </c>
      <c r="H54" s="1102">
        <v>2.6635348833772021E-3</v>
      </c>
      <c r="I54" s="1103">
        <f t="shared" si="0"/>
        <v>0</v>
      </c>
      <c r="K54" s="1104" t="s">
        <v>1523</v>
      </c>
      <c r="L54" s="1104">
        <v>7.8</v>
      </c>
      <c r="M54" s="1104">
        <f t="shared" si="3"/>
        <v>15.6</v>
      </c>
      <c r="N54" s="1105">
        <f t="shared" si="4"/>
        <v>5.0972249213267249</v>
      </c>
    </row>
    <row r="55" spans="6:14" ht="15">
      <c r="F55" s="1100" t="s">
        <v>1483</v>
      </c>
      <c r="G55" s="1101" t="s">
        <v>1457</v>
      </c>
      <c r="H55" s="1102">
        <v>0.82843789578018034</v>
      </c>
      <c r="I55" s="1103">
        <f t="shared" si="0"/>
        <v>0.29837614949884322</v>
      </c>
      <c r="K55" s="1104" t="s">
        <v>1524</v>
      </c>
      <c r="L55" s="1104">
        <v>8.1</v>
      </c>
      <c r="M55" s="1104">
        <f t="shared" si="3"/>
        <v>16.2</v>
      </c>
      <c r="N55" s="1105">
        <f t="shared" si="4"/>
        <v>5.2805830165866334</v>
      </c>
    </row>
    <row r="56" spans="6:14" ht="15">
      <c r="F56" s="1100" t="s">
        <v>1483</v>
      </c>
      <c r="G56" s="1101" t="s">
        <v>1461</v>
      </c>
      <c r="H56" s="1102">
        <v>9.6893871257869718E-2</v>
      </c>
      <c r="I56" s="1103">
        <f t="shared" si="0"/>
        <v>1.5510219287125563E-2</v>
      </c>
      <c r="K56" s="1112" t="s">
        <v>1525</v>
      </c>
      <c r="L56" s="1104">
        <v>5.7</v>
      </c>
      <c r="M56" s="1104">
        <f t="shared" si="3"/>
        <v>11.4</v>
      </c>
      <c r="N56" s="1105">
        <f t="shared" si="4"/>
        <v>3.5860057309503097</v>
      </c>
    </row>
    <row r="57" spans="6:14" ht="15">
      <c r="F57" s="1100" t="s">
        <v>1483</v>
      </c>
      <c r="G57" s="1101" t="s">
        <v>1471</v>
      </c>
      <c r="H57" s="1102">
        <v>2.6935996035315067E-2</v>
      </c>
      <c r="I57" s="1103">
        <f t="shared" si="0"/>
        <v>3.6080741257797865E-3</v>
      </c>
      <c r="K57" s="1113" t="s">
        <v>204</v>
      </c>
      <c r="L57" s="1114">
        <f>AVERAGE(L7:L56)</f>
        <v>7.2041666666666684</v>
      </c>
      <c r="M57" s="1115">
        <f t="shared" si="3"/>
        <v>14.408333333333337</v>
      </c>
      <c r="N57" s="1105">
        <f>M57*SUMIFS($I$7:$I$324,$F$7:$F$324,K57)</f>
        <v>4.5435898938743762</v>
      </c>
    </row>
    <row r="58" spans="6:14" ht="15">
      <c r="F58" s="1100" t="s">
        <v>1483</v>
      </c>
      <c r="G58" s="1101" t="s">
        <v>1473</v>
      </c>
      <c r="H58" s="1102">
        <v>1.7290431526587251E-2</v>
      </c>
      <c r="I58" s="1103">
        <f t="shared" si="0"/>
        <v>4.5771254359259911E-3</v>
      </c>
    </row>
    <row r="59" spans="6:14" ht="15">
      <c r="F59" s="1100" t="s">
        <v>1483</v>
      </c>
      <c r="G59" s="1101" t="s">
        <v>1477</v>
      </c>
      <c r="H59" s="1102">
        <v>2.6027422404140892E-2</v>
      </c>
      <c r="I59" s="1103">
        <f t="shared" si="0"/>
        <v>0</v>
      </c>
    </row>
    <row r="60" spans="6:14" ht="15">
      <c r="F60" s="1100" t="s">
        <v>1483</v>
      </c>
      <c r="G60" s="1101" t="s">
        <v>1481</v>
      </c>
      <c r="H60" s="1102">
        <v>4.4143829959068298E-3</v>
      </c>
      <c r="I60" s="1103">
        <f t="shared" si="0"/>
        <v>0</v>
      </c>
    </row>
    <row r="61" spans="6:14" ht="15">
      <c r="F61" s="1100" t="s">
        <v>1526</v>
      </c>
      <c r="G61" s="1101" t="s">
        <v>1457</v>
      </c>
      <c r="H61" s="1102">
        <v>0.38025450051768483</v>
      </c>
      <c r="I61" s="1103">
        <f t="shared" si="0"/>
        <v>0.13695519515946689</v>
      </c>
    </row>
    <row r="62" spans="6:14" ht="15">
      <c r="F62" s="1100" t="s">
        <v>1526</v>
      </c>
      <c r="G62" s="1101" t="s">
        <v>1461</v>
      </c>
      <c r="H62" s="1102">
        <v>5.2666911592799175E-2</v>
      </c>
      <c r="I62" s="1103">
        <f t="shared" si="0"/>
        <v>8.4306193712290547E-3</v>
      </c>
    </row>
    <row r="63" spans="6:14" ht="15">
      <c r="F63" s="1100" t="s">
        <v>1526</v>
      </c>
      <c r="G63" s="1101" t="s">
        <v>1471</v>
      </c>
      <c r="H63" s="1102">
        <v>0.34506863498213153</v>
      </c>
      <c r="I63" s="1103">
        <f t="shared" si="0"/>
        <v>4.6221911076347377E-2</v>
      </c>
    </row>
    <row r="64" spans="6:14" ht="15">
      <c r="F64" s="1100" t="s">
        <v>1526</v>
      </c>
      <c r="G64" s="1101" t="s">
        <v>1473</v>
      </c>
      <c r="H64" s="1102">
        <v>3.1468554824488161E-2</v>
      </c>
      <c r="I64" s="1103">
        <f t="shared" si="0"/>
        <v>8.330360205152482E-3</v>
      </c>
    </row>
    <row r="65" spans="6:9" ht="15">
      <c r="F65" s="1100" t="s">
        <v>1526</v>
      </c>
      <c r="G65" s="1101" t="s">
        <v>1477</v>
      </c>
      <c r="H65" s="1102">
        <v>0.13832871313583381</v>
      </c>
      <c r="I65" s="1103">
        <f t="shared" si="0"/>
        <v>0</v>
      </c>
    </row>
    <row r="66" spans="6:9" ht="15">
      <c r="F66" s="1100" t="s">
        <v>1526</v>
      </c>
      <c r="G66" s="1101" t="s">
        <v>1481</v>
      </c>
      <c r="H66" s="1102">
        <v>5.2212684947062563E-2</v>
      </c>
      <c r="I66" s="1103">
        <f t="shared" si="0"/>
        <v>0</v>
      </c>
    </row>
    <row r="67" spans="6:9" ht="15">
      <c r="F67" s="1100" t="s">
        <v>1401</v>
      </c>
      <c r="G67" s="1101" t="s">
        <v>1457</v>
      </c>
      <c r="H67" s="1102">
        <v>0.81728163321961866</v>
      </c>
      <c r="I67" s="1103">
        <f t="shared" si="0"/>
        <v>0.29435802975495629</v>
      </c>
    </row>
    <row r="68" spans="6:9" ht="15">
      <c r="F68" s="1100" t="s">
        <v>1401</v>
      </c>
      <c r="G68" s="1101" t="s">
        <v>1461</v>
      </c>
      <c r="H68" s="1102">
        <v>0.11828798095146575</v>
      </c>
      <c r="I68" s="1103">
        <f t="shared" si="0"/>
        <v>1.8934866568658781E-2</v>
      </c>
    </row>
    <row r="69" spans="6:9" ht="15">
      <c r="F69" s="1100" t="s">
        <v>1401</v>
      </c>
      <c r="G69" s="1101" t="s">
        <v>1471</v>
      </c>
      <c r="H69" s="1102">
        <v>1.5285274223083537E-2</v>
      </c>
      <c r="I69" s="1103">
        <f t="shared" si="0"/>
        <v>2.0474610390293427E-3</v>
      </c>
    </row>
    <row r="70" spans="6:9" ht="15">
      <c r="F70" s="1100" t="s">
        <v>1401</v>
      </c>
      <c r="G70" s="1101" t="s">
        <v>1473</v>
      </c>
      <c r="H70" s="1102">
        <v>2.6391082210868555E-2</v>
      </c>
      <c r="I70" s="1103">
        <f t="shared" si="0"/>
        <v>6.9862509494476865E-3</v>
      </c>
    </row>
    <row r="71" spans="6:9" ht="15">
      <c r="F71" s="1100" t="s">
        <v>1401</v>
      </c>
      <c r="G71" s="1101" t="s">
        <v>1477</v>
      </c>
      <c r="H71" s="1102">
        <v>1.6731211728088582E-2</v>
      </c>
      <c r="I71" s="1103">
        <f t="shared" ref="I71:I134" si="5">H71*VLOOKUP($G71,$B$3:$C$8,2,FALSE)</f>
        <v>0</v>
      </c>
    </row>
    <row r="72" spans="6:9" ht="15">
      <c r="F72" s="1100" t="s">
        <v>1401</v>
      </c>
      <c r="G72" s="1101" t="s">
        <v>1481</v>
      </c>
      <c r="H72" s="1102">
        <v>6.0228176668748771E-3</v>
      </c>
      <c r="I72" s="1103">
        <f t="shared" si="5"/>
        <v>0</v>
      </c>
    </row>
    <row r="73" spans="6:9" ht="15">
      <c r="F73" s="1100" t="s">
        <v>5</v>
      </c>
      <c r="G73" s="1101" t="s">
        <v>1457</v>
      </c>
      <c r="H73" s="1102">
        <v>0.83933039471309312</v>
      </c>
      <c r="I73" s="1103">
        <f t="shared" si="5"/>
        <v>0.30229927023798087</v>
      </c>
    </row>
    <row r="74" spans="6:9" ht="15">
      <c r="F74" s="1100" t="s">
        <v>5</v>
      </c>
      <c r="G74" s="1101" t="s">
        <v>1461</v>
      </c>
      <c r="H74" s="1102">
        <v>0.10873322561775177</v>
      </c>
      <c r="I74" s="1103">
        <f t="shared" si="5"/>
        <v>1.7405395730752716E-2</v>
      </c>
    </row>
    <row r="75" spans="6:9" ht="15">
      <c r="F75" s="1100" t="s">
        <v>5</v>
      </c>
      <c r="G75" s="1101" t="s">
        <v>1471</v>
      </c>
      <c r="H75" s="1102">
        <v>1.4124948624886649E-2</v>
      </c>
      <c r="I75" s="1103">
        <f t="shared" si="5"/>
        <v>1.8920355347025197E-3</v>
      </c>
    </row>
    <row r="76" spans="6:9" ht="15">
      <c r="F76" s="1100" t="s">
        <v>5</v>
      </c>
      <c r="G76" s="1101" t="s">
        <v>1473</v>
      </c>
      <c r="H76" s="1102">
        <v>2.1184813407762914E-2</v>
      </c>
      <c r="I76" s="1103">
        <f t="shared" si="5"/>
        <v>5.6080467485681348E-3</v>
      </c>
    </row>
    <row r="77" spans="6:9" ht="15">
      <c r="F77" s="1100" t="s">
        <v>5</v>
      </c>
      <c r="G77" s="1101" t="s">
        <v>1477</v>
      </c>
      <c r="H77" s="1102">
        <v>1.5014798207253188E-2</v>
      </c>
      <c r="I77" s="1103">
        <f t="shared" si="5"/>
        <v>0</v>
      </c>
    </row>
    <row r="78" spans="6:9" ht="15">
      <c r="F78" s="1100" t="s">
        <v>5</v>
      </c>
      <c r="G78" s="1101" t="s">
        <v>1481</v>
      </c>
      <c r="H78" s="1102">
        <v>1.6118194292523915E-3</v>
      </c>
      <c r="I78" s="1103">
        <f t="shared" si="5"/>
        <v>0</v>
      </c>
    </row>
    <row r="79" spans="6:9" ht="15">
      <c r="F79" s="1100" t="s">
        <v>1487</v>
      </c>
      <c r="G79" s="1101" t="s">
        <v>1457</v>
      </c>
      <c r="H79" s="1102">
        <v>0.71445089006775053</v>
      </c>
      <c r="I79" s="1103">
        <f t="shared" si="5"/>
        <v>0.25732176988798827</v>
      </c>
    </row>
    <row r="80" spans="6:9" ht="15">
      <c r="F80" s="1100" t="s">
        <v>1487</v>
      </c>
      <c r="G80" s="1101" t="s">
        <v>1461</v>
      </c>
      <c r="H80" s="1102">
        <v>0.15863482106759128</v>
      </c>
      <c r="I80" s="1103">
        <f t="shared" si="5"/>
        <v>2.5393359036962083E-2</v>
      </c>
    </row>
    <row r="81" spans="6:9" ht="15">
      <c r="F81" s="1100" t="s">
        <v>1487</v>
      </c>
      <c r="G81" s="1101" t="s">
        <v>1471</v>
      </c>
      <c r="H81" s="1102">
        <v>4.7166546194087458E-2</v>
      </c>
      <c r="I81" s="1103">
        <f t="shared" si="5"/>
        <v>6.3179544094885166E-3</v>
      </c>
    </row>
    <row r="82" spans="6:9" ht="15">
      <c r="F82" s="1100" t="s">
        <v>1487</v>
      </c>
      <c r="G82" s="1101" t="s">
        <v>1473</v>
      </c>
      <c r="H82" s="1102">
        <v>2.1423189542163362E-2</v>
      </c>
      <c r="I82" s="1103">
        <f t="shared" si="5"/>
        <v>5.6711497119848811E-3</v>
      </c>
    </row>
    <row r="83" spans="6:9" ht="15">
      <c r="F83" s="1100" t="s">
        <v>1487</v>
      </c>
      <c r="G83" s="1101" t="s">
        <v>1477</v>
      </c>
      <c r="H83" s="1102">
        <v>4.8330433823799673E-2</v>
      </c>
      <c r="I83" s="1103">
        <f t="shared" si="5"/>
        <v>0</v>
      </c>
    </row>
    <row r="84" spans="6:9" ht="15">
      <c r="F84" s="1100" t="s">
        <v>1487</v>
      </c>
      <c r="G84" s="1101" t="s">
        <v>1481</v>
      </c>
      <c r="H84" s="1102">
        <v>9.9941193046077705E-3</v>
      </c>
      <c r="I84" s="1103">
        <f t="shared" si="5"/>
        <v>0</v>
      </c>
    </row>
    <row r="85" spans="6:9" ht="15">
      <c r="F85" s="1100" t="s">
        <v>1488</v>
      </c>
      <c r="G85" s="1101" t="s">
        <v>1457</v>
      </c>
      <c r="H85" s="1102">
        <v>0.83472591893804116</v>
      </c>
      <c r="I85" s="1103">
        <f t="shared" si="5"/>
        <v>0.30064088913395515</v>
      </c>
    </row>
    <row r="86" spans="6:9" ht="15">
      <c r="F86" s="1100" t="s">
        <v>1488</v>
      </c>
      <c r="G86" s="1101" t="s">
        <v>1461</v>
      </c>
      <c r="H86" s="1102">
        <v>0.10801643186839102</v>
      </c>
      <c r="I86" s="1103">
        <f t="shared" si="5"/>
        <v>1.7290655468113831E-2</v>
      </c>
    </row>
    <row r="87" spans="6:9" ht="15">
      <c r="F87" s="1100" t="s">
        <v>1488</v>
      </c>
      <c r="G87" s="1101" t="s">
        <v>1471</v>
      </c>
      <c r="H87" s="1102">
        <v>5.288375921103928E-3</v>
      </c>
      <c r="I87" s="1103">
        <f t="shared" si="5"/>
        <v>7.0837745533209651E-4</v>
      </c>
    </row>
    <row r="88" spans="6:9" ht="15">
      <c r="F88" s="1100" t="s">
        <v>1488</v>
      </c>
      <c r="G88" s="1101" t="s">
        <v>1473</v>
      </c>
      <c r="H88" s="1102">
        <v>1.4750898843415943E-2</v>
      </c>
      <c r="I88" s="1103">
        <f t="shared" si="5"/>
        <v>3.9048599912125327E-3</v>
      </c>
    </row>
    <row r="89" spans="6:9" ht="15">
      <c r="F89" s="1100" t="s">
        <v>1488</v>
      </c>
      <c r="G89" s="1101" t="s">
        <v>1477</v>
      </c>
      <c r="H89" s="1102">
        <v>3.0186458869791641E-2</v>
      </c>
      <c r="I89" s="1103">
        <f t="shared" si="5"/>
        <v>0</v>
      </c>
    </row>
    <row r="90" spans="6:9" ht="15">
      <c r="F90" s="1100" t="s">
        <v>1488</v>
      </c>
      <c r="G90" s="1101" t="s">
        <v>1481</v>
      </c>
      <c r="H90" s="1102">
        <v>7.0319155592562825E-3</v>
      </c>
      <c r="I90" s="1103">
        <f t="shared" si="5"/>
        <v>0</v>
      </c>
    </row>
    <row r="91" spans="6:9" ht="15">
      <c r="F91" s="1100" t="s">
        <v>1489</v>
      </c>
      <c r="G91" s="1101" t="s">
        <v>1457</v>
      </c>
      <c r="H91" s="1102">
        <v>0.76350519272607864</v>
      </c>
      <c r="I91" s="1103">
        <f t="shared" si="5"/>
        <v>0.27498952026263618</v>
      </c>
    </row>
    <row r="92" spans="6:9" ht="15">
      <c r="F92" s="1100" t="s">
        <v>1489</v>
      </c>
      <c r="G92" s="1101" t="s">
        <v>1461</v>
      </c>
      <c r="H92" s="1102">
        <v>9.5813089715998057E-2</v>
      </c>
      <c r="I92" s="1103">
        <f t="shared" si="5"/>
        <v>1.5337213930870426E-2</v>
      </c>
    </row>
    <row r="93" spans="6:9" ht="15">
      <c r="F93" s="1100" t="s">
        <v>1489</v>
      </c>
      <c r="G93" s="1101" t="s">
        <v>1471</v>
      </c>
      <c r="H93" s="1102">
        <v>8.0671242677112717E-2</v>
      </c>
      <c r="I93" s="1103">
        <f t="shared" si="5"/>
        <v>1.0805905340058011E-2</v>
      </c>
    </row>
    <row r="94" spans="6:9" ht="15">
      <c r="F94" s="1100" t="s">
        <v>1489</v>
      </c>
      <c r="G94" s="1101" t="s">
        <v>1473</v>
      </c>
      <c r="H94" s="1102">
        <v>1.6565008766940132E-2</v>
      </c>
      <c r="I94" s="1103">
        <f t="shared" si="5"/>
        <v>4.3850914222072004E-3</v>
      </c>
    </row>
    <row r="95" spans="6:9" ht="15">
      <c r="F95" s="1100" t="s">
        <v>1489</v>
      </c>
      <c r="G95" s="1101" t="s">
        <v>1477</v>
      </c>
      <c r="H95" s="1102">
        <v>3.6022154849378686E-2</v>
      </c>
      <c r="I95" s="1103">
        <f t="shared" si="5"/>
        <v>0</v>
      </c>
    </row>
    <row r="96" spans="6:9" ht="15">
      <c r="F96" s="1100" t="s">
        <v>1489</v>
      </c>
      <c r="G96" s="1101" t="s">
        <v>1481</v>
      </c>
      <c r="H96" s="1102">
        <v>7.42331126449184E-3</v>
      </c>
      <c r="I96" s="1103">
        <f t="shared" si="5"/>
        <v>0</v>
      </c>
    </row>
    <row r="97" spans="6:9" ht="15">
      <c r="F97" s="1100" t="s">
        <v>1490</v>
      </c>
      <c r="G97" s="1101" t="s">
        <v>1457</v>
      </c>
      <c r="H97" s="1102">
        <v>0.85004048342653049</v>
      </c>
      <c r="I97" s="1103">
        <f t="shared" si="5"/>
        <v>0.30615669280083574</v>
      </c>
    </row>
    <row r="98" spans="6:9" ht="15">
      <c r="F98" s="1100" t="s">
        <v>1490</v>
      </c>
      <c r="G98" s="1101" t="s">
        <v>1461</v>
      </c>
      <c r="H98" s="1102">
        <v>0.10343672135364707</v>
      </c>
      <c r="I98" s="1103">
        <f t="shared" si="5"/>
        <v>1.6557561481537624E-2</v>
      </c>
    </row>
    <row r="99" spans="6:9" ht="15">
      <c r="F99" s="1100" t="s">
        <v>1490</v>
      </c>
      <c r="G99" s="1101" t="s">
        <v>1471</v>
      </c>
      <c r="H99" s="1102">
        <v>6.5281380427129011E-3</v>
      </c>
      <c r="I99" s="1103">
        <f t="shared" si="5"/>
        <v>8.7444347447000249E-4</v>
      </c>
    </row>
    <row r="100" spans="6:9" ht="15">
      <c r="F100" s="1100" t="s">
        <v>1490</v>
      </c>
      <c r="G100" s="1101" t="s">
        <v>1473</v>
      </c>
      <c r="H100" s="1102">
        <v>1.3257786257402038E-2</v>
      </c>
      <c r="I100" s="1103">
        <f t="shared" si="5"/>
        <v>3.5096030200006409E-3</v>
      </c>
    </row>
    <row r="101" spans="6:9" ht="15">
      <c r="F101" s="1100" t="s">
        <v>1490</v>
      </c>
      <c r="G101" s="1101" t="s">
        <v>1477</v>
      </c>
      <c r="H101" s="1102">
        <v>2.1935586003782852E-2</v>
      </c>
      <c r="I101" s="1103">
        <f t="shared" si="5"/>
        <v>0</v>
      </c>
    </row>
    <row r="102" spans="6:9" ht="15">
      <c r="F102" s="1100" t="s">
        <v>1490</v>
      </c>
      <c r="G102" s="1101" t="s">
        <v>1481</v>
      </c>
      <c r="H102" s="1102">
        <v>4.8012849159247452E-3</v>
      </c>
      <c r="I102" s="1103">
        <f t="shared" si="5"/>
        <v>0</v>
      </c>
    </row>
    <row r="103" spans="6:9" ht="15">
      <c r="F103" s="1100" t="s">
        <v>1491</v>
      </c>
      <c r="G103" s="1101" t="s">
        <v>1457</v>
      </c>
      <c r="H103" s="1102">
        <v>0.84954783919794008</v>
      </c>
      <c r="I103" s="1103">
        <f t="shared" si="5"/>
        <v>0.30597925851306551</v>
      </c>
    </row>
    <row r="104" spans="6:9" ht="15">
      <c r="F104" s="1100" t="s">
        <v>1491</v>
      </c>
      <c r="G104" s="1101" t="s">
        <v>1461</v>
      </c>
      <c r="H104" s="1102">
        <v>9.1904280581127679E-2</v>
      </c>
      <c r="I104" s="1103">
        <f t="shared" si="5"/>
        <v>1.4711514017694183E-2</v>
      </c>
    </row>
    <row r="105" spans="6:9" ht="15">
      <c r="F105" s="1100" t="s">
        <v>1491</v>
      </c>
      <c r="G105" s="1101" t="s">
        <v>1471</v>
      </c>
      <c r="H105" s="1102">
        <v>9.1622499699052663E-3</v>
      </c>
      <c r="I105" s="1103">
        <f t="shared" si="5"/>
        <v>1.2272825184188568E-3</v>
      </c>
    </row>
    <row r="106" spans="6:9" ht="15">
      <c r="F106" s="1100" t="s">
        <v>1491</v>
      </c>
      <c r="G106" s="1101" t="s">
        <v>1473</v>
      </c>
      <c r="H106" s="1102">
        <v>1.0821999891053693E-2</v>
      </c>
      <c r="I106" s="1103">
        <f t="shared" si="5"/>
        <v>2.8648013146903226E-3</v>
      </c>
    </row>
    <row r="107" spans="6:9" ht="15">
      <c r="F107" s="1100" t="s">
        <v>1491</v>
      </c>
      <c r="G107" s="1101" t="s">
        <v>1477</v>
      </c>
      <c r="H107" s="1102">
        <v>3.4791532585369864E-2</v>
      </c>
      <c r="I107" s="1103">
        <f t="shared" si="5"/>
        <v>0</v>
      </c>
    </row>
    <row r="108" spans="6:9" ht="15">
      <c r="F108" s="1100" t="s">
        <v>1491</v>
      </c>
      <c r="G108" s="1101" t="s">
        <v>1481</v>
      </c>
      <c r="H108" s="1102">
        <v>3.77209777460354E-3</v>
      </c>
      <c r="I108" s="1103">
        <f t="shared" si="5"/>
        <v>0</v>
      </c>
    </row>
    <row r="109" spans="6:9" ht="15">
      <c r="F109" s="1100" t="s">
        <v>1492</v>
      </c>
      <c r="G109" s="1101" t="s">
        <v>1457</v>
      </c>
      <c r="H109" s="1102">
        <v>0.84740904671291617</v>
      </c>
      <c r="I109" s="1103">
        <f t="shared" si="5"/>
        <v>0.30520893563248613</v>
      </c>
    </row>
    <row r="110" spans="6:9" ht="15">
      <c r="F110" s="1100" t="s">
        <v>1492</v>
      </c>
      <c r="G110" s="1101" t="s">
        <v>1461</v>
      </c>
      <c r="H110" s="1102">
        <v>0.10480729654440142</v>
      </c>
      <c r="I110" s="1103">
        <f t="shared" si="5"/>
        <v>1.6776955355289652E-2</v>
      </c>
    </row>
    <row r="111" spans="6:9" ht="15">
      <c r="F111" s="1100" t="s">
        <v>1492</v>
      </c>
      <c r="G111" s="1101" t="s">
        <v>1471</v>
      </c>
      <c r="H111" s="1102">
        <v>3.8959741352055876E-3</v>
      </c>
      <c r="I111" s="1103">
        <f t="shared" si="5"/>
        <v>5.2186536757403918E-4</v>
      </c>
    </row>
    <row r="112" spans="6:9" ht="15">
      <c r="F112" s="1100" t="s">
        <v>1492</v>
      </c>
      <c r="G112" s="1101" t="s">
        <v>1473</v>
      </c>
      <c r="H112" s="1102">
        <v>1.4162704827577978E-2</v>
      </c>
      <c r="I112" s="1103">
        <f t="shared" si="5"/>
        <v>3.7491531896204737E-3</v>
      </c>
    </row>
    <row r="113" spans="6:9" ht="15">
      <c r="F113" s="1100" t="s">
        <v>1492</v>
      </c>
      <c r="G113" s="1101" t="s">
        <v>1477</v>
      </c>
      <c r="H113" s="1102">
        <v>2.5858083643022885E-2</v>
      </c>
      <c r="I113" s="1103">
        <f t="shared" si="5"/>
        <v>0</v>
      </c>
    </row>
    <row r="114" spans="6:9" ht="15">
      <c r="F114" s="1100" t="s">
        <v>1492</v>
      </c>
      <c r="G114" s="1101" t="s">
        <v>1481</v>
      </c>
      <c r="H114" s="1102">
        <v>3.8668941368758237E-3</v>
      </c>
      <c r="I114" s="1103">
        <f t="shared" si="5"/>
        <v>0</v>
      </c>
    </row>
    <row r="115" spans="6:9" ht="15">
      <c r="F115" s="1100" t="s">
        <v>1493</v>
      </c>
      <c r="G115" s="1101" t="s">
        <v>1457</v>
      </c>
      <c r="H115" s="1102">
        <v>0.84439587912905567</v>
      </c>
      <c r="I115" s="1103">
        <f t="shared" si="5"/>
        <v>0.30412369152903967</v>
      </c>
    </row>
    <row r="116" spans="6:9" ht="15">
      <c r="F116" s="1100" t="s">
        <v>1493</v>
      </c>
      <c r="G116" s="1101" t="s">
        <v>1461</v>
      </c>
      <c r="H116" s="1102">
        <v>0.10939473113570558</v>
      </c>
      <c r="I116" s="1103">
        <f t="shared" si="5"/>
        <v>1.7511285768067885E-2</v>
      </c>
    </row>
    <row r="117" spans="6:9" ht="15">
      <c r="F117" s="1100" t="s">
        <v>1493</v>
      </c>
      <c r="G117" s="1101" t="s">
        <v>1471</v>
      </c>
      <c r="H117" s="1102">
        <v>7.0102001335073756E-3</v>
      </c>
      <c r="I117" s="1103">
        <f t="shared" si="5"/>
        <v>9.3901564601823399E-4</v>
      </c>
    </row>
    <row r="118" spans="6:9" ht="15">
      <c r="F118" s="1100" t="s">
        <v>1493</v>
      </c>
      <c r="G118" s="1101" t="s">
        <v>1473</v>
      </c>
      <c r="H118" s="1102">
        <v>1.5427223599341816E-2</v>
      </c>
      <c r="I118" s="1103">
        <f t="shared" si="5"/>
        <v>4.0838967745649123E-3</v>
      </c>
    </row>
    <row r="119" spans="6:9" ht="15">
      <c r="F119" s="1100" t="s">
        <v>1493</v>
      </c>
      <c r="G119" s="1101" t="s">
        <v>1477</v>
      </c>
      <c r="H119" s="1102">
        <v>2.1176756961304121E-2</v>
      </c>
      <c r="I119" s="1103">
        <f t="shared" si="5"/>
        <v>0</v>
      </c>
    </row>
    <row r="120" spans="6:9" ht="15">
      <c r="F120" s="1100" t="s">
        <v>1493</v>
      </c>
      <c r="G120" s="1101" t="s">
        <v>1481</v>
      </c>
      <c r="H120" s="1102">
        <v>2.5952090410854066E-3</v>
      </c>
      <c r="I120" s="1103">
        <f t="shared" si="5"/>
        <v>0</v>
      </c>
    </row>
    <row r="121" spans="6:9" ht="15">
      <c r="F121" s="1100" t="s">
        <v>1494</v>
      </c>
      <c r="G121" s="1101" t="s">
        <v>1457</v>
      </c>
      <c r="H121" s="1102">
        <v>0.85080710578625729</v>
      </c>
      <c r="I121" s="1103">
        <f t="shared" si="5"/>
        <v>0.30643280502237963</v>
      </c>
    </row>
    <row r="122" spans="6:9" ht="15">
      <c r="F122" s="1100" t="s">
        <v>1494</v>
      </c>
      <c r="G122" s="1101" t="s">
        <v>1461</v>
      </c>
      <c r="H122" s="1102">
        <v>0.10061495040662471</v>
      </c>
      <c r="I122" s="1103">
        <f t="shared" si="5"/>
        <v>1.6105868452884878E-2</v>
      </c>
    </row>
    <row r="123" spans="6:9" ht="15">
      <c r="F123" s="1100" t="s">
        <v>1494</v>
      </c>
      <c r="G123" s="1101" t="s">
        <v>1471</v>
      </c>
      <c r="H123" s="1102">
        <v>1.0072399359783487E-2</v>
      </c>
      <c r="I123" s="1103">
        <f t="shared" si="5"/>
        <v>1.3491969432616751E-3</v>
      </c>
    </row>
    <row r="124" spans="6:9" ht="15">
      <c r="F124" s="1100" t="s">
        <v>1494</v>
      </c>
      <c r="G124" s="1101" t="s">
        <v>1473</v>
      </c>
      <c r="H124" s="1102">
        <v>1.6671906059024813E-2</v>
      </c>
      <c r="I124" s="1103">
        <f t="shared" si="5"/>
        <v>4.4133892882193965E-3</v>
      </c>
    </row>
    <row r="125" spans="6:9" ht="15">
      <c r="F125" s="1100" t="s">
        <v>1494</v>
      </c>
      <c r="G125" s="1101" t="s">
        <v>1477</v>
      </c>
      <c r="H125" s="1102">
        <v>1.7984679697593976E-2</v>
      </c>
      <c r="I125" s="1103">
        <f t="shared" si="5"/>
        <v>0</v>
      </c>
    </row>
    <row r="126" spans="6:9" ht="15">
      <c r="F126" s="1100" t="s">
        <v>1494</v>
      </c>
      <c r="G126" s="1101" t="s">
        <v>1481</v>
      </c>
      <c r="H126" s="1102">
        <v>3.8489586907157433E-3</v>
      </c>
      <c r="I126" s="1103">
        <f t="shared" si="5"/>
        <v>0</v>
      </c>
    </row>
    <row r="127" spans="6:9" ht="15">
      <c r="F127" s="1100" t="s">
        <v>1495</v>
      </c>
      <c r="G127" s="1101" t="s">
        <v>1457</v>
      </c>
      <c r="H127" s="1102">
        <v>0.83032787295486044</v>
      </c>
      <c r="I127" s="1103">
        <f t="shared" si="5"/>
        <v>0.29905685726812109</v>
      </c>
    </row>
    <row r="128" spans="6:9" ht="15">
      <c r="F128" s="1100" t="s">
        <v>1495</v>
      </c>
      <c r="G128" s="1101" t="s">
        <v>1461</v>
      </c>
      <c r="H128" s="1102">
        <v>0.10179026340945829</v>
      </c>
      <c r="I128" s="1103">
        <f t="shared" si="5"/>
        <v>1.6294005867236339E-2</v>
      </c>
    </row>
    <row r="129" spans="6:9" ht="15">
      <c r="F129" s="1100" t="s">
        <v>1495</v>
      </c>
      <c r="G129" s="1101" t="s">
        <v>1471</v>
      </c>
      <c r="H129" s="1102">
        <v>6.8634271424019306E-3</v>
      </c>
      <c r="I129" s="1103">
        <f t="shared" si="5"/>
        <v>9.1935541771716951E-4</v>
      </c>
    </row>
    <row r="130" spans="6:9" ht="15">
      <c r="F130" s="1100" t="s">
        <v>1495</v>
      </c>
      <c r="G130" s="1101" t="s">
        <v>1473</v>
      </c>
      <c r="H130" s="1102">
        <v>1.6049141737945208E-2</v>
      </c>
      <c r="I130" s="1103">
        <f t="shared" si="5"/>
        <v>4.2485310306208208E-3</v>
      </c>
    </row>
    <row r="131" spans="6:9" ht="15">
      <c r="F131" s="1100" t="s">
        <v>1495</v>
      </c>
      <c r="G131" s="1101" t="s">
        <v>1477</v>
      </c>
      <c r="H131" s="1102">
        <v>4.1193909334027341E-2</v>
      </c>
      <c r="I131" s="1103">
        <f t="shared" si="5"/>
        <v>0</v>
      </c>
    </row>
    <row r="132" spans="6:9" ht="15">
      <c r="F132" s="1100" t="s">
        <v>1495</v>
      </c>
      <c r="G132" s="1101" t="s">
        <v>1481</v>
      </c>
      <c r="H132" s="1102">
        <v>3.7753854213066528E-3</v>
      </c>
      <c r="I132" s="1103">
        <f t="shared" si="5"/>
        <v>0</v>
      </c>
    </row>
    <row r="133" spans="6:9" ht="15">
      <c r="F133" s="1100" t="s">
        <v>1496</v>
      </c>
      <c r="G133" s="1101" t="s">
        <v>1457</v>
      </c>
      <c r="H133" s="1102">
        <v>0.78693352789312521</v>
      </c>
      <c r="I133" s="1103">
        <f t="shared" si="5"/>
        <v>0.28342763791987879</v>
      </c>
    </row>
    <row r="134" spans="6:9" ht="15">
      <c r="F134" s="1100" t="s">
        <v>1496</v>
      </c>
      <c r="G134" s="1101" t="s">
        <v>1461</v>
      </c>
      <c r="H134" s="1102">
        <v>0.10330823859620264</v>
      </c>
      <c r="I134" s="1103">
        <f t="shared" si="5"/>
        <v>1.6536994693187576E-2</v>
      </c>
    </row>
    <row r="135" spans="6:9" ht="15">
      <c r="F135" s="1100" t="s">
        <v>1496</v>
      </c>
      <c r="G135" s="1101" t="s">
        <v>1471</v>
      </c>
      <c r="H135" s="1102">
        <v>5.8806725237780681E-2</v>
      </c>
      <c r="I135" s="1103">
        <f t="shared" ref="I135:I198" si="6">H135*VLOOKUP($G135,$B$3:$C$8,2,FALSE)</f>
        <v>7.8771552933886452E-3</v>
      </c>
    </row>
    <row r="136" spans="6:9" ht="15">
      <c r="F136" s="1100" t="s">
        <v>1496</v>
      </c>
      <c r="G136" s="1101" t="s">
        <v>1473</v>
      </c>
      <c r="H136" s="1102">
        <v>2.0146411873630626E-2</v>
      </c>
      <c r="I136" s="1103">
        <f t="shared" si="6"/>
        <v>5.3331609501846176E-3</v>
      </c>
    </row>
    <row r="137" spans="6:9" ht="15">
      <c r="F137" s="1100" t="s">
        <v>1496</v>
      </c>
      <c r="G137" s="1101" t="s">
        <v>1477</v>
      </c>
      <c r="H137" s="1102">
        <v>2.692430417274207E-2</v>
      </c>
      <c r="I137" s="1103">
        <f t="shared" si="6"/>
        <v>0</v>
      </c>
    </row>
    <row r="138" spans="6:9" ht="15">
      <c r="F138" s="1100" t="s">
        <v>1496</v>
      </c>
      <c r="G138" s="1101" t="s">
        <v>1481</v>
      </c>
      <c r="H138" s="1102">
        <v>3.8807922265187101E-3</v>
      </c>
      <c r="I138" s="1103">
        <f t="shared" si="6"/>
        <v>0</v>
      </c>
    </row>
    <row r="139" spans="6:9" ht="15">
      <c r="F139" s="1100" t="s">
        <v>1497</v>
      </c>
      <c r="G139" s="1101" t="s">
        <v>1457</v>
      </c>
      <c r="H139" s="1102">
        <v>0.72805296783134854</v>
      </c>
      <c r="I139" s="1103">
        <f t="shared" si="6"/>
        <v>0.26222079202224746</v>
      </c>
    </row>
    <row r="140" spans="6:9" ht="15">
      <c r="F140" s="1100" t="s">
        <v>1497</v>
      </c>
      <c r="G140" s="1101" t="s">
        <v>1461</v>
      </c>
      <c r="H140" s="1102">
        <v>9.3808935677404157E-2</v>
      </c>
      <c r="I140" s="1103">
        <f t="shared" si="6"/>
        <v>1.5016400362166565E-2</v>
      </c>
    </row>
    <row r="141" spans="6:9" ht="15">
      <c r="F141" s="1100" t="s">
        <v>1497</v>
      </c>
      <c r="G141" s="1101" t="s">
        <v>1471</v>
      </c>
      <c r="H141" s="1102">
        <v>9.1301230915675227E-2</v>
      </c>
      <c r="I141" s="1103">
        <f t="shared" si="6"/>
        <v>1.2229791260987617E-2</v>
      </c>
    </row>
    <row r="142" spans="6:9" ht="15">
      <c r="F142" s="1100" t="s">
        <v>1497</v>
      </c>
      <c r="G142" s="1101" t="s">
        <v>1473</v>
      </c>
      <c r="H142" s="1102">
        <v>2.5340209546989113E-2</v>
      </c>
      <c r="I142" s="1103">
        <f t="shared" si="6"/>
        <v>6.7080637918648543E-3</v>
      </c>
    </row>
    <row r="143" spans="6:9" ht="15">
      <c r="F143" s="1100" t="s">
        <v>1497</v>
      </c>
      <c r="G143" s="1101" t="s">
        <v>1477</v>
      </c>
      <c r="H143" s="1102">
        <v>5.0393162671309499E-2</v>
      </c>
      <c r="I143" s="1103">
        <f t="shared" si="6"/>
        <v>0</v>
      </c>
    </row>
    <row r="144" spans="6:9" ht="15">
      <c r="F144" s="1100" t="s">
        <v>1497</v>
      </c>
      <c r="G144" s="1101" t="s">
        <v>1481</v>
      </c>
      <c r="H144" s="1102">
        <v>1.1103493357273455E-2</v>
      </c>
      <c r="I144" s="1103">
        <f t="shared" si="6"/>
        <v>0</v>
      </c>
    </row>
    <row r="145" spans="6:9" ht="15">
      <c r="F145" s="1100" t="s">
        <v>1498</v>
      </c>
      <c r="G145" s="1101" t="s">
        <v>1457</v>
      </c>
      <c r="H145" s="1102">
        <v>0.85185930072785587</v>
      </c>
      <c r="I145" s="1103">
        <f t="shared" si="6"/>
        <v>0.30681177111844488</v>
      </c>
    </row>
    <row r="146" spans="6:9" ht="15">
      <c r="F146" s="1100" t="s">
        <v>1498</v>
      </c>
      <c r="G146" s="1101" t="s">
        <v>1461</v>
      </c>
      <c r="H146" s="1102">
        <v>9.6712268650796906E-2</v>
      </c>
      <c r="I146" s="1103">
        <f t="shared" si="6"/>
        <v>1.5481149375662156E-2</v>
      </c>
    </row>
    <row r="147" spans="6:9" ht="15">
      <c r="F147" s="1100" t="s">
        <v>1498</v>
      </c>
      <c r="G147" s="1101" t="s">
        <v>1471</v>
      </c>
      <c r="H147" s="1102">
        <v>1.0910447778707364E-2</v>
      </c>
      <c r="I147" s="1103">
        <f t="shared" si="6"/>
        <v>1.4614534498525416E-3</v>
      </c>
    </row>
    <row r="148" spans="6:9" ht="15">
      <c r="F148" s="1100" t="s">
        <v>1498</v>
      </c>
      <c r="G148" s="1101" t="s">
        <v>1473</v>
      </c>
      <c r="H148" s="1102">
        <v>1.4531774910264727E-2</v>
      </c>
      <c r="I148" s="1103">
        <f t="shared" si="6"/>
        <v>3.8468534731852444E-3</v>
      </c>
    </row>
    <row r="149" spans="6:9" ht="15">
      <c r="F149" s="1100" t="s">
        <v>1498</v>
      </c>
      <c r="G149" s="1101" t="s">
        <v>1477</v>
      </c>
      <c r="H149" s="1102">
        <v>2.1710596565007761E-2</v>
      </c>
      <c r="I149" s="1103">
        <f t="shared" si="6"/>
        <v>0</v>
      </c>
    </row>
    <row r="150" spans="6:9" ht="15">
      <c r="F150" s="1100" t="s">
        <v>1498</v>
      </c>
      <c r="G150" s="1101" t="s">
        <v>1481</v>
      </c>
      <c r="H150" s="1102">
        <v>4.2756113673672212E-3</v>
      </c>
      <c r="I150" s="1103">
        <f t="shared" si="6"/>
        <v>0</v>
      </c>
    </row>
    <row r="151" spans="6:9" ht="15">
      <c r="F151" s="1100" t="s">
        <v>1499</v>
      </c>
      <c r="G151" s="1101" t="s">
        <v>1457</v>
      </c>
      <c r="H151" s="1102">
        <v>0.82952109456971324</v>
      </c>
      <c r="I151" s="1103">
        <f t="shared" si="6"/>
        <v>0.29876628216371642</v>
      </c>
    </row>
    <row r="152" spans="6:9" ht="15">
      <c r="F152" s="1100" t="s">
        <v>1499</v>
      </c>
      <c r="G152" s="1101" t="s">
        <v>1461</v>
      </c>
      <c r="H152" s="1102">
        <v>9.5724960673255172E-2</v>
      </c>
      <c r="I152" s="1103">
        <f t="shared" si="6"/>
        <v>1.5323106735433174E-2</v>
      </c>
    </row>
    <row r="153" spans="6:9" ht="15">
      <c r="F153" s="1100" t="s">
        <v>1499</v>
      </c>
      <c r="G153" s="1101" t="s">
        <v>1471</v>
      </c>
      <c r="H153" s="1102">
        <v>2.0646735919154505E-2</v>
      </c>
      <c r="I153" s="1103">
        <f t="shared" si="6"/>
        <v>2.7656283270179119E-3</v>
      </c>
    </row>
    <row r="154" spans="6:9" ht="15">
      <c r="F154" s="1100" t="s">
        <v>1499</v>
      </c>
      <c r="G154" s="1101" t="s">
        <v>1473</v>
      </c>
      <c r="H154" s="1102">
        <v>1.738055037175272E-2</v>
      </c>
      <c r="I154" s="1103">
        <f t="shared" si="6"/>
        <v>4.6009817091386563E-3</v>
      </c>
    </row>
    <row r="155" spans="6:9" ht="15">
      <c r="F155" s="1100" t="s">
        <v>1499</v>
      </c>
      <c r="G155" s="1101" t="s">
        <v>1477</v>
      </c>
      <c r="H155" s="1102">
        <v>3.0187661457919214E-2</v>
      </c>
      <c r="I155" s="1103">
        <f t="shared" si="6"/>
        <v>0</v>
      </c>
    </row>
    <row r="156" spans="6:9" ht="15">
      <c r="F156" s="1100" t="s">
        <v>1499</v>
      </c>
      <c r="G156" s="1101" t="s">
        <v>1481</v>
      </c>
      <c r="H156" s="1102">
        <v>6.5389970082052199E-3</v>
      </c>
      <c r="I156" s="1103">
        <f t="shared" si="6"/>
        <v>0</v>
      </c>
    </row>
    <row r="157" spans="6:9" ht="15">
      <c r="F157" s="1100" t="s">
        <v>1500</v>
      </c>
      <c r="G157" s="1101" t="s">
        <v>1457</v>
      </c>
      <c r="H157" s="1102">
        <v>0.86603067533401412</v>
      </c>
      <c r="I157" s="1103">
        <f t="shared" si="6"/>
        <v>0.31191583529709899</v>
      </c>
    </row>
    <row r="158" spans="6:9" ht="15">
      <c r="F158" s="1100" t="s">
        <v>1500</v>
      </c>
      <c r="G158" s="1101" t="s">
        <v>1461</v>
      </c>
      <c r="H158" s="1102">
        <v>0.10120796310507699</v>
      </c>
      <c r="I158" s="1103">
        <f t="shared" si="6"/>
        <v>1.620079454958883E-2</v>
      </c>
    </row>
    <row r="159" spans="6:9" ht="15">
      <c r="F159" s="1100" t="s">
        <v>1500</v>
      </c>
      <c r="G159" s="1101" t="s">
        <v>1471</v>
      </c>
      <c r="H159" s="1102">
        <v>2.8043024420527428E-3</v>
      </c>
      <c r="I159" s="1103">
        <f t="shared" si="6"/>
        <v>3.7563604734593657E-4</v>
      </c>
    </row>
    <row r="160" spans="6:9" ht="15">
      <c r="F160" s="1100" t="s">
        <v>1500</v>
      </c>
      <c r="G160" s="1101" t="s">
        <v>1473</v>
      </c>
      <c r="H160" s="1102">
        <v>1.5785667426438249E-2</v>
      </c>
      <c r="I160" s="1103">
        <f t="shared" si="6"/>
        <v>4.1787840742734794E-3</v>
      </c>
    </row>
    <row r="161" spans="6:9" ht="15">
      <c r="F161" s="1100" t="s">
        <v>1500</v>
      </c>
      <c r="G161" s="1101" t="s">
        <v>1477</v>
      </c>
      <c r="H161" s="1102">
        <v>1.3454754824194641E-2</v>
      </c>
      <c r="I161" s="1103">
        <f t="shared" si="6"/>
        <v>0</v>
      </c>
    </row>
    <row r="162" spans="6:9" ht="15">
      <c r="F162" s="1100" t="s">
        <v>1500</v>
      </c>
      <c r="G162" s="1101" t="s">
        <v>1481</v>
      </c>
      <c r="H162" s="1102">
        <v>7.1663686822317455E-4</v>
      </c>
      <c r="I162" s="1103">
        <f t="shared" si="6"/>
        <v>0</v>
      </c>
    </row>
    <row r="163" spans="6:9" ht="15">
      <c r="F163" s="1100" t="s">
        <v>1501</v>
      </c>
      <c r="G163" s="1101" t="s">
        <v>1457</v>
      </c>
      <c r="H163" s="1102">
        <v>0.84828452507204022</v>
      </c>
      <c r="I163" s="1103">
        <f t="shared" si="6"/>
        <v>0.30552425421351143</v>
      </c>
    </row>
    <row r="164" spans="6:9" ht="15">
      <c r="F164" s="1100" t="s">
        <v>1501</v>
      </c>
      <c r="G164" s="1101" t="s">
        <v>1461</v>
      </c>
      <c r="H164" s="1102">
        <v>0.10151868408676093</v>
      </c>
      <c r="I164" s="1103">
        <f t="shared" si="6"/>
        <v>1.6250532995379718E-2</v>
      </c>
    </row>
    <row r="165" spans="6:9" ht="15">
      <c r="F165" s="1100" t="s">
        <v>1501</v>
      </c>
      <c r="G165" s="1101" t="s">
        <v>1471</v>
      </c>
      <c r="H165" s="1102">
        <v>1.1298908639531815E-2</v>
      </c>
      <c r="I165" s="1103">
        <f t="shared" si="6"/>
        <v>1.5134877454836089E-3</v>
      </c>
    </row>
    <row r="166" spans="6:9" ht="15">
      <c r="F166" s="1100" t="s">
        <v>1501</v>
      </c>
      <c r="G166" s="1101" t="s">
        <v>1473</v>
      </c>
      <c r="H166" s="1102">
        <v>1.5875042734217849E-2</v>
      </c>
      <c r="I166" s="1103">
        <f t="shared" si="6"/>
        <v>4.2024435181660554E-3</v>
      </c>
    </row>
    <row r="167" spans="6:9" ht="15">
      <c r="F167" s="1100" t="s">
        <v>1501</v>
      </c>
      <c r="G167" s="1101" t="s">
        <v>1477</v>
      </c>
      <c r="H167" s="1102">
        <v>2.0541378044430219E-2</v>
      </c>
      <c r="I167" s="1103">
        <f t="shared" si="6"/>
        <v>0</v>
      </c>
    </row>
    <row r="168" spans="6:9" ht="15">
      <c r="F168" s="1100" t="s">
        <v>1501</v>
      </c>
      <c r="G168" s="1101" t="s">
        <v>1481</v>
      </c>
      <c r="H168" s="1102">
        <v>2.4814614230188304E-3</v>
      </c>
      <c r="I168" s="1103">
        <f t="shared" si="6"/>
        <v>0</v>
      </c>
    </row>
    <row r="169" spans="6:9" ht="15">
      <c r="F169" s="1100" t="s">
        <v>1502</v>
      </c>
      <c r="G169" s="1101" t="s">
        <v>1457</v>
      </c>
      <c r="H169" s="1102">
        <v>0.81053422571336953</v>
      </c>
      <c r="I169" s="1103">
        <f t="shared" si="6"/>
        <v>0.29192783494968583</v>
      </c>
    </row>
    <row r="170" spans="6:9" ht="15">
      <c r="F170" s="1100" t="s">
        <v>1502</v>
      </c>
      <c r="G170" s="1101" t="s">
        <v>1461</v>
      </c>
      <c r="H170" s="1102">
        <v>0.11507294004488618</v>
      </c>
      <c r="I170" s="1103">
        <f t="shared" si="6"/>
        <v>1.8420221123794506E-2</v>
      </c>
    </row>
    <row r="171" spans="6:9" ht="15">
      <c r="F171" s="1100" t="s">
        <v>1502</v>
      </c>
      <c r="G171" s="1101" t="s">
        <v>1471</v>
      </c>
      <c r="H171" s="1102">
        <v>9.3379288233408145E-3</v>
      </c>
      <c r="I171" s="1103">
        <f t="shared" si="6"/>
        <v>1.250814684249904E-3</v>
      </c>
    </row>
    <row r="172" spans="6:9" ht="15">
      <c r="F172" s="1100" t="s">
        <v>1502</v>
      </c>
      <c r="G172" s="1101" t="s">
        <v>1473</v>
      </c>
      <c r="H172" s="1102">
        <v>1.2201426739339532E-2</v>
      </c>
      <c r="I172" s="1103">
        <f t="shared" si="6"/>
        <v>3.2299633816161642E-3</v>
      </c>
    </row>
    <row r="173" spans="6:9" ht="15">
      <c r="F173" s="1100" t="s">
        <v>1502</v>
      </c>
      <c r="G173" s="1101" t="s">
        <v>1477</v>
      </c>
      <c r="H173" s="1102">
        <v>4.3042641872394996E-2</v>
      </c>
      <c r="I173" s="1103">
        <f t="shared" si="6"/>
        <v>0</v>
      </c>
    </row>
    <row r="174" spans="6:9" ht="15">
      <c r="F174" s="1100" t="s">
        <v>1502</v>
      </c>
      <c r="G174" s="1101" t="s">
        <v>1481</v>
      </c>
      <c r="H174" s="1102">
        <v>9.8108368066688028E-3</v>
      </c>
      <c r="I174" s="1103">
        <f t="shared" si="6"/>
        <v>0</v>
      </c>
    </row>
    <row r="175" spans="6:9" ht="15">
      <c r="F175" s="1100" t="s">
        <v>1503</v>
      </c>
      <c r="G175" s="1101" t="s">
        <v>1457</v>
      </c>
      <c r="H175" s="1102">
        <v>0.84016030589855561</v>
      </c>
      <c r="I175" s="1103">
        <f t="shared" si="6"/>
        <v>0.30259817701808556</v>
      </c>
    </row>
    <row r="176" spans="6:9" ht="15">
      <c r="F176" s="1100" t="s">
        <v>1503</v>
      </c>
      <c r="G176" s="1101" t="s">
        <v>1461</v>
      </c>
      <c r="H176" s="1102">
        <v>0.10831340915214946</v>
      </c>
      <c r="I176" s="1103">
        <f t="shared" si="6"/>
        <v>1.7338193900984674E-2</v>
      </c>
    </row>
    <row r="177" spans="6:9" ht="15">
      <c r="F177" s="1100" t="s">
        <v>1503</v>
      </c>
      <c r="G177" s="1101" t="s">
        <v>1471</v>
      </c>
      <c r="H177" s="1102">
        <v>5.1731585993336267E-3</v>
      </c>
      <c r="I177" s="1103">
        <f t="shared" si="6"/>
        <v>6.9294410595915933E-4</v>
      </c>
    </row>
    <row r="178" spans="6:9" ht="15">
      <c r="F178" s="1100" t="s">
        <v>1503</v>
      </c>
      <c r="G178" s="1101" t="s">
        <v>1473</v>
      </c>
      <c r="H178" s="1102">
        <v>1.3226947472872461E-2</v>
      </c>
      <c r="I178" s="1103">
        <f t="shared" si="6"/>
        <v>3.5014393726754533E-3</v>
      </c>
    </row>
    <row r="179" spans="6:9" ht="15">
      <c r="F179" s="1100" t="s">
        <v>1503</v>
      </c>
      <c r="G179" s="1101" t="s">
        <v>1477</v>
      </c>
      <c r="H179" s="1102">
        <v>2.8543260779374087E-2</v>
      </c>
      <c r="I179" s="1103">
        <f t="shared" si="6"/>
        <v>0</v>
      </c>
    </row>
    <row r="180" spans="6:9" ht="15">
      <c r="F180" s="1100" t="s">
        <v>1503</v>
      </c>
      <c r="G180" s="1101" t="s">
        <v>1481</v>
      </c>
      <c r="H180" s="1102">
        <v>4.5829180977147426E-3</v>
      </c>
      <c r="I180" s="1103">
        <f t="shared" si="6"/>
        <v>0</v>
      </c>
    </row>
    <row r="181" spans="6:9" ht="15">
      <c r="F181" s="1100" t="s">
        <v>1504</v>
      </c>
      <c r="G181" s="1101" t="s">
        <v>1457</v>
      </c>
      <c r="H181" s="1102">
        <v>0.78906873609445671</v>
      </c>
      <c r="I181" s="1103">
        <f t="shared" si="6"/>
        <v>0.28419666985907044</v>
      </c>
    </row>
    <row r="182" spans="6:9" ht="15">
      <c r="F182" s="1100" t="s">
        <v>1504</v>
      </c>
      <c r="G182" s="1101" t="s">
        <v>1461</v>
      </c>
      <c r="H182" s="1102">
        <v>0.13306450174731019</v>
      </c>
      <c r="I182" s="1103">
        <f t="shared" si="6"/>
        <v>2.1300207893853316E-2</v>
      </c>
    </row>
    <row r="183" spans="6:9" ht="15">
      <c r="F183" s="1100" t="s">
        <v>1504</v>
      </c>
      <c r="G183" s="1101" t="s">
        <v>1471</v>
      </c>
      <c r="H183" s="1102">
        <v>2.8204489863175516E-2</v>
      </c>
      <c r="I183" s="1103">
        <f t="shared" si="6"/>
        <v>3.7779887542573861E-3</v>
      </c>
    </row>
    <row r="184" spans="6:9" ht="15">
      <c r="F184" s="1100" t="s">
        <v>1504</v>
      </c>
      <c r="G184" s="1101" t="s">
        <v>1473</v>
      </c>
      <c r="H184" s="1102">
        <v>2.6294896313421579E-2</v>
      </c>
      <c r="I184" s="1103">
        <f t="shared" si="6"/>
        <v>6.9607886053121484E-3</v>
      </c>
    </row>
    <row r="185" spans="6:9" ht="15">
      <c r="F185" s="1100" t="s">
        <v>1504</v>
      </c>
      <c r="G185" s="1101" t="s">
        <v>1477</v>
      </c>
      <c r="H185" s="1102">
        <v>2.0018988935485409E-2</v>
      </c>
      <c r="I185" s="1103">
        <f t="shared" si="6"/>
        <v>0</v>
      </c>
    </row>
    <row r="186" spans="6:9" ht="15">
      <c r="F186" s="1100" t="s">
        <v>1504</v>
      </c>
      <c r="G186" s="1101" t="s">
        <v>1481</v>
      </c>
      <c r="H186" s="1102">
        <v>3.3483870461505313E-3</v>
      </c>
      <c r="I186" s="1103">
        <f t="shared" si="6"/>
        <v>0</v>
      </c>
    </row>
    <row r="187" spans="6:9" ht="15">
      <c r="F187" s="1100" t="s">
        <v>1505</v>
      </c>
      <c r="G187" s="1101" t="s">
        <v>1457</v>
      </c>
      <c r="H187" s="1102">
        <v>0.86160200270080312</v>
      </c>
      <c r="I187" s="1103">
        <f t="shared" si="6"/>
        <v>0.31032077271676645</v>
      </c>
    </row>
    <row r="188" spans="6:9" ht="15">
      <c r="F188" s="1100" t="s">
        <v>1505</v>
      </c>
      <c r="G188" s="1101" t="s">
        <v>1461</v>
      </c>
      <c r="H188" s="1102">
        <v>8.5392761531718653E-2</v>
      </c>
      <c r="I188" s="1103">
        <f t="shared" si="6"/>
        <v>1.3669187118814843E-2</v>
      </c>
    </row>
    <row r="189" spans="6:9" ht="15">
      <c r="F189" s="1100" t="s">
        <v>1505</v>
      </c>
      <c r="G189" s="1101" t="s">
        <v>1471</v>
      </c>
      <c r="H189" s="1102">
        <v>6.6351309731578082E-3</v>
      </c>
      <c r="I189" s="1103">
        <f t="shared" si="6"/>
        <v>8.8877516740140552E-4</v>
      </c>
    </row>
    <row r="190" spans="6:9" ht="15">
      <c r="F190" s="1100" t="s">
        <v>1505</v>
      </c>
      <c r="G190" s="1101" t="s">
        <v>1473</v>
      </c>
      <c r="H190" s="1102">
        <v>1.5723096605043081E-2</v>
      </c>
      <c r="I190" s="1103">
        <f t="shared" si="6"/>
        <v>4.1622203177406119E-3</v>
      </c>
    </row>
    <row r="191" spans="6:9" ht="15">
      <c r="F191" s="1100" t="s">
        <v>1505</v>
      </c>
      <c r="G191" s="1101" t="s">
        <v>1477</v>
      </c>
      <c r="H191" s="1102">
        <v>2.8776978417266192E-2</v>
      </c>
      <c r="I191" s="1103">
        <f t="shared" si="6"/>
        <v>0</v>
      </c>
    </row>
    <row r="192" spans="6:9" ht="15">
      <c r="F192" s="1100" t="s">
        <v>1505</v>
      </c>
      <c r="G192" s="1101" t="s">
        <v>1481</v>
      </c>
      <c r="H192" s="1102">
        <v>1.8700297720111508E-3</v>
      </c>
      <c r="I192" s="1103">
        <f t="shared" si="6"/>
        <v>0</v>
      </c>
    </row>
    <row r="193" spans="6:9" ht="15">
      <c r="F193" s="1100" t="s">
        <v>1506</v>
      </c>
      <c r="G193" s="1101" t="s">
        <v>1457</v>
      </c>
      <c r="H193" s="1102">
        <v>0.73135348023550673</v>
      </c>
      <c r="I193" s="1103">
        <f t="shared" si="6"/>
        <v>0.2634095283023502</v>
      </c>
    </row>
    <row r="194" spans="6:9" ht="15">
      <c r="F194" s="1100" t="s">
        <v>1506</v>
      </c>
      <c r="G194" s="1101" t="s">
        <v>1461</v>
      </c>
      <c r="H194" s="1102">
        <v>9.5813949431910267E-2</v>
      </c>
      <c r="I194" s="1103">
        <f t="shared" si="6"/>
        <v>1.5337351549299227E-2</v>
      </c>
    </row>
    <row r="195" spans="6:9" ht="15">
      <c r="F195" s="1100" t="s">
        <v>1506</v>
      </c>
      <c r="G195" s="1101" t="s">
        <v>1471</v>
      </c>
      <c r="H195" s="1102">
        <v>0.11252680314193025</v>
      </c>
      <c r="I195" s="1103">
        <f t="shared" si="6"/>
        <v>1.5072954656691059E-2</v>
      </c>
    </row>
    <row r="196" spans="6:9" ht="15">
      <c r="F196" s="1100" t="s">
        <v>1506</v>
      </c>
      <c r="G196" s="1101" t="s">
        <v>1473</v>
      </c>
      <c r="H196" s="1102">
        <v>2.7198148351378137E-2</v>
      </c>
      <c r="I196" s="1103">
        <f t="shared" si="6"/>
        <v>7.1998976102913299E-3</v>
      </c>
    </row>
    <row r="197" spans="6:9" ht="15">
      <c r="F197" s="1100" t="s">
        <v>1506</v>
      </c>
      <c r="G197" s="1101" t="s">
        <v>1477</v>
      </c>
      <c r="H197" s="1102">
        <v>2.9360327013472857E-2</v>
      </c>
      <c r="I197" s="1103">
        <f t="shared" si="6"/>
        <v>0</v>
      </c>
    </row>
    <row r="198" spans="6:9" ht="15">
      <c r="F198" s="1100" t="s">
        <v>1506</v>
      </c>
      <c r="G198" s="1101" t="s">
        <v>1481</v>
      </c>
      <c r="H198" s="1102">
        <v>3.7472918258018052E-3</v>
      </c>
      <c r="I198" s="1103">
        <f t="shared" si="6"/>
        <v>0</v>
      </c>
    </row>
    <row r="199" spans="6:9" ht="15">
      <c r="F199" s="1100" t="s">
        <v>1507</v>
      </c>
      <c r="G199" s="1101" t="s">
        <v>1457</v>
      </c>
      <c r="H199" s="1102">
        <v>0.82211125128492668</v>
      </c>
      <c r="I199" s="1103">
        <f t="shared" ref="I199:I262" si="7">H199*VLOOKUP($G199,$B$3:$C$8,2,FALSE)</f>
        <v>0.29609749972514587</v>
      </c>
    </row>
    <row r="200" spans="6:9" ht="15">
      <c r="F200" s="1100" t="s">
        <v>1507</v>
      </c>
      <c r="G200" s="1101" t="s">
        <v>1461</v>
      </c>
      <c r="H200" s="1102">
        <v>0.12622068031025138</v>
      </c>
      <c r="I200" s="1103">
        <f t="shared" si="7"/>
        <v>2.0204687920580586E-2</v>
      </c>
    </row>
    <row r="201" spans="6:9" ht="15">
      <c r="F201" s="1100" t="s">
        <v>1507</v>
      </c>
      <c r="G201" s="1101" t="s">
        <v>1471</v>
      </c>
      <c r="H201" s="1102">
        <v>5.1899355200448558E-3</v>
      </c>
      <c r="I201" s="1103">
        <f t="shared" si="7"/>
        <v>6.9519137290444263E-4</v>
      </c>
    </row>
    <row r="202" spans="6:9" ht="15">
      <c r="F202" s="1100" t="s">
        <v>1507</v>
      </c>
      <c r="G202" s="1101" t="s">
        <v>1473</v>
      </c>
      <c r="H202" s="1102">
        <v>1.9651200822353051E-2</v>
      </c>
      <c r="I202" s="1103">
        <f t="shared" si="7"/>
        <v>5.2020686118893671E-3</v>
      </c>
    </row>
    <row r="203" spans="6:9" ht="15">
      <c r="F203" s="1100" t="s">
        <v>1507</v>
      </c>
      <c r="G203" s="1101" t="s">
        <v>1477</v>
      </c>
      <c r="H203" s="1102">
        <v>2.1809877581534437E-2</v>
      </c>
      <c r="I203" s="1103">
        <f t="shared" si="7"/>
        <v>0</v>
      </c>
    </row>
    <row r="204" spans="6:9" ht="15">
      <c r="F204" s="1100" t="s">
        <v>1507</v>
      </c>
      <c r="G204" s="1101" t="s">
        <v>1481</v>
      </c>
      <c r="H204" s="1102">
        <v>5.0170544808896362E-3</v>
      </c>
      <c r="I204" s="1103">
        <f t="shared" si="7"/>
        <v>0</v>
      </c>
    </row>
    <row r="205" spans="6:9" ht="15">
      <c r="F205" s="1100" t="s">
        <v>1508</v>
      </c>
      <c r="G205" s="1101" t="s">
        <v>1457</v>
      </c>
      <c r="H205" s="1102">
        <v>0.55183337560747592</v>
      </c>
      <c r="I205" s="1103">
        <f t="shared" si="7"/>
        <v>0.19875227656461192</v>
      </c>
    </row>
    <row r="206" spans="6:9" ht="15">
      <c r="F206" s="1100" t="s">
        <v>1508</v>
      </c>
      <c r="G206" s="1101" t="s">
        <v>1461</v>
      </c>
      <c r="H206" s="1102">
        <v>7.561367765948529E-2</v>
      </c>
      <c r="I206" s="1103">
        <f t="shared" si="7"/>
        <v>1.2103807045581229E-2</v>
      </c>
    </row>
    <row r="207" spans="6:9" ht="15">
      <c r="F207" s="1100" t="s">
        <v>1508</v>
      </c>
      <c r="G207" s="1101" t="s">
        <v>1471</v>
      </c>
      <c r="H207" s="1102">
        <v>0.27424949760175771</v>
      </c>
      <c r="I207" s="1103">
        <f t="shared" si="7"/>
        <v>3.6735694310605187E-2</v>
      </c>
    </row>
    <row r="208" spans="6:9" ht="15">
      <c r="F208" s="1100" t="s">
        <v>1508</v>
      </c>
      <c r="G208" s="1101" t="s">
        <v>1473</v>
      </c>
      <c r="H208" s="1102">
        <v>2.2777758607175506E-2</v>
      </c>
      <c r="I208" s="1103">
        <f t="shared" si="7"/>
        <v>6.0297314230689496E-3</v>
      </c>
    </row>
    <row r="209" spans="6:9" ht="15">
      <c r="F209" s="1100" t="s">
        <v>1508</v>
      </c>
      <c r="G209" s="1101" t="s">
        <v>1477</v>
      </c>
      <c r="H209" s="1102">
        <v>6.5281711209857513E-2</v>
      </c>
      <c r="I209" s="1103">
        <f t="shared" si="7"/>
        <v>0</v>
      </c>
    </row>
    <row r="210" spans="6:9" ht="15">
      <c r="F210" s="1100" t="s">
        <v>1508</v>
      </c>
      <c r="G210" s="1101" t="s">
        <v>1481</v>
      </c>
      <c r="H210" s="1102">
        <v>1.024397931424819E-2</v>
      </c>
      <c r="I210" s="1103">
        <f t="shared" si="7"/>
        <v>0</v>
      </c>
    </row>
    <row r="211" spans="6:9" ht="15">
      <c r="F211" s="1100" t="s">
        <v>1509</v>
      </c>
      <c r="G211" s="1101" t="s">
        <v>1457</v>
      </c>
      <c r="H211" s="1102">
        <v>0.84630496074319017</v>
      </c>
      <c r="I211" s="1103">
        <f t="shared" si="7"/>
        <v>0.30481128009060354</v>
      </c>
    </row>
    <row r="212" spans="6:9" ht="15">
      <c r="F212" s="1100" t="s">
        <v>1509</v>
      </c>
      <c r="G212" s="1101" t="s">
        <v>1461</v>
      </c>
      <c r="H212" s="1102">
        <v>0.10720717471908063</v>
      </c>
      <c r="I212" s="1103">
        <f t="shared" si="7"/>
        <v>1.7161114190811851E-2</v>
      </c>
    </row>
    <row r="213" spans="6:9" ht="15">
      <c r="F213" s="1100" t="s">
        <v>1509</v>
      </c>
      <c r="G213" s="1101" t="s">
        <v>1471</v>
      </c>
      <c r="H213" s="1102">
        <v>9.5480266488058036E-3</v>
      </c>
      <c r="I213" s="1103">
        <f t="shared" si="7"/>
        <v>1.2789572681346419E-3</v>
      </c>
    </row>
    <row r="214" spans="6:9" ht="15">
      <c r="F214" s="1100" t="s">
        <v>1509</v>
      </c>
      <c r="G214" s="1101" t="s">
        <v>1473</v>
      </c>
      <c r="H214" s="1102">
        <v>1.5652589216724067E-2</v>
      </c>
      <c r="I214" s="1103">
        <f t="shared" si="7"/>
        <v>4.1435555921090148E-3</v>
      </c>
    </row>
    <row r="215" spans="6:9" ht="15">
      <c r="F215" s="1100" t="s">
        <v>1509</v>
      </c>
      <c r="G215" s="1101" t="s">
        <v>1477</v>
      </c>
      <c r="H215" s="1102">
        <v>1.9052075467715215E-2</v>
      </c>
      <c r="I215" s="1103">
        <f t="shared" si="7"/>
        <v>0</v>
      </c>
    </row>
    <row r="216" spans="6:9" ht="15">
      <c r="F216" s="1100" t="s">
        <v>1509</v>
      </c>
      <c r="G216" s="1101" t="s">
        <v>1481</v>
      </c>
      <c r="H216" s="1102">
        <v>2.2351732044841558E-3</v>
      </c>
      <c r="I216" s="1103">
        <f t="shared" si="7"/>
        <v>0</v>
      </c>
    </row>
    <row r="217" spans="6:9" ht="15">
      <c r="F217" s="1100" t="s">
        <v>1510</v>
      </c>
      <c r="G217" s="1101" t="s">
        <v>1457</v>
      </c>
      <c r="H217" s="1102">
        <v>0.82590495893035498</v>
      </c>
      <c r="I217" s="1103">
        <f t="shared" si="7"/>
        <v>0.2974638687497077</v>
      </c>
    </row>
    <row r="218" spans="6:9" ht="15">
      <c r="F218" s="1100" t="s">
        <v>1510</v>
      </c>
      <c r="G218" s="1101" t="s">
        <v>1461</v>
      </c>
      <c r="H218" s="1102">
        <v>0.10980270264761634</v>
      </c>
      <c r="I218" s="1103">
        <f t="shared" si="7"/>
        <v>1.7576591525083163E-2</v>
      </c>
    </row>
    <row r="219" spans="6:9" ht="15">
      <c r="F219" s="1100" t="s">
        <v>1510</v>
      </c>
      <c r="G219" s="1101" t="s">
        <v>1471</v>
      </c>
      <c r="H219" s="1102">
        <v>5.528606077899843E-3</v>
      </c>
      <c r="I219" s="1103">
        <f t="shared" si="7"/>
        <v>7.4055626215368078E-4</v>
      </c>
    </row>
    <row r="220" spans="6:9" ht="15">
      <c r="F220" s="1100" t="s">
        <v>1510</v>
      </c>
      <c r="G220" s="1101" t="s">
        <v>1473</v>
      </c>
      <c r="H220" s="1102">
        <v>1.5645700425982921E-2</v>
      </c>
      <c r="I220" s="1103">
        <f t="shared" si="7"/>
        <v>4.1417319904669394E-3</v>
      </c>
    </row>
    <row r="221" spans="6:9" ht="15">
      <c r="F221" s="1100" t="s">
        <v>1510</v>
      </c>
      <c r="G221" s="1101" t="s">
        <v>1477</v>
      </c>
      <c r="H221" s="1102">
        <v>4.0279844281841712E-2</v>
      </c>
      <c r="I221" s="1103">
        <f t="shared" si="7"/>
        <v>0</v>
      </c>
    </row>
    <row r="222" spans="6:9" ht="15">
      <c r="F222" s="1100" t="s">
        <v>1510</v>
      </c>
      <c r="G222" s="1101" t="s">
        <v>1481</v>
      </c>
      <c r="H222" s="1102">
        <v>2.8381876363043437E-3</v>
      </c>
      <c r="I222" s="1103">
        <f t="shared" si="7"/>
        <v>0</v>
      </c>
    </row>
    <row r="223" spans="6:9" ht="15">
      <c r="F223" s="1100" t="s">
        <v>1396</v>
      </c>
      <c r="G223" s="1101" t="s">
        <v>1457</v>
      </c>
      <c r="H223" s="1102">
        <v>0.85408427918948449</v>
      </c>
      <c r="I223" s="1103">
        <f t="shared" si="7"/>
        <v>0.30761313536008594</v>
      </c>
    </row>
    <row r="224" spans="6:9" ht="15">
      <c r="F224" s="1100" t="s">
        <v>1396</v>
      </c>
      <c r="G224" s="1101" t="s">
        <v>1461</v>
      </c>
      <c r="H224" s="1102">
        <v>9.1734919793551209E-2</v>
      </c>
      <c r="I224" s="1103">
        <f t="shared" si="7"/>
        <v>1.4684403707002185E-2</v>
      </c>
    </row>
    <row r="225" spans="6:9" ht="15">
      <c r="F225" s="1100" t="s">
        <v>1396</v>
      </c>
      <c r="G225" s="1101" t="s">
        <v>1471</v>
      </c>
      <c r="H225" s="1102">
        <v>1.1022627299728038E-2</v>
      </c>
      <c r="I225" s="1103">
        <f t="shared" si="7"/>
        <v>1.4764798861018789E-3</v>
      </c>
    </row>
    <row r="226" spans="6:9" ht="15">
      <c r="F226" s="1100" t="s">
        <v>1396</v>
      </c>
      <c r="G226" s="1101" t="s">
        <v>1473</v>
      </c>
      <c r="H226" s="1102">
        <v>1.6186997946696008E-2</v>
      </c>
      <c r="I226" s="1103">
        <f t="shared" si="7"/>
        <v>4.2850243453540797E-3</v>
      </c>
    </row>
    <row r="227" spans="6:9" ht="15">
      <c r="F227" s="1100" t="s">
        <v>1396</v>
      </c>
      <c r="G227" s="1101" t="s">
        <v>1477</v>
      </c>
      <c r="H227" s="1102">
        <v>2.2733233516663114E-2</v>
      </c>
      <c r="I227" s="1103">
        <f t="shared" si="7"/>
        <v>0</v>
      </c>
    </row>
    <row r="228" spans="6:9" ht="15">
      <c r="F228" s="1100" t="s">
        <v>1396</v>
      </c>
      <c r="G228" s="1101" t="s">
        <v>1481</v>
      </c>
      <c r="H228" s="1102">
        <v>4.2379422538772167E-3</v>
      </c>
      <c r="I228" s="1103">
        <f t="shared" si="7"/>
        <v>0</v>
      </c>
    </row>
    <row r="229" spans="6:9" ht="15">
      <c r="F229" s="1100" t="s">
        <v>1511</v>
      </c>
      <c r="G229" s="1101" t="s">
        <v>1457</v>
      </c>
      <c r="H229" s="1102">
        <v>0.8431791978556421</v>
      </c>
      <c r="I229" s="1103">
        <f t="shared" si="7"/>
        <v>0.30368548285295466</v>
      </c>
    </row>
    <row r="230" spans="6:9" ht="15">
      <c r="F230" s="1100" t="s">
        <v>1511</v>
      </c>
      <c r="G230" s="1101" t="s">
        <v>1461</v>
      </c>
      <c r="H230" s="1102">
        <v>0.11625942984894684</v>
      </c>
      <c r="I230" s="1103">
        <f t="shared" si="7"/>
        <v>1.8610147656856056E-2</v>
      </c>
    </row>
    <row r="231" spans="6:9" ht="15">
      <c r="F231" s="1100" t="s">
        <v>1511</v>
      </c>
      <c r="G231" s="1101" t="s">
        <v>1471</v>
      </c>
      <c r="H231" s="1102">
        <v>3.1305050126706735E-3</v>
      </c>
      <c r="I231" s="1103">
        <f t="shared" si="7"/>
        <v>4.1933085088193076E-4</v>
      </c>
    </row>
    <row r="232" spans="6:9" ht="15">
      <c r="F232" s="1100" t="s">
        <v>1511</v>
      </c>
      <c r="G232" s="1101" t="s">
        <v>1473</v>
      </c>
      <c r="H232" s="1102">
        <v>1.5649598810770951E-2</v>
      </c>
      <c r="I232" s="1103">
        <f t="shared" si="7"/>
        <v>4.1427639714296405E-3</v>
      </c>
    </row>
    <row r="233" spans="6:9" ht="15">
      <c r="F233" s="1100" t="s">
        <v>1511</v>
      </c>
      <c r="G233" s="1101" t="s">
        <v>1477</v>
      </c>
      <c r="H233" s="1102">
        <v>1.934018856771641E-2</v>
      </c>
      <c r="I233" s="1103">
        <f t="shared" si="7"/>
        <v>0</v>
      </c>
    </row>
    <row r="234" spans="6:9" ht="15">
      <c r="F234" s="1100" t="s">
        <v>1511</v>
      </c>
      <c r="G234" s="1101" t="s">
        <v>1481</v>
      </c>
      <c r="H234" s="1102">
        <v>2.4410799042530159E-3</v>
      </c>
      <c r="I234" s="1103">
        <f t="shared" si="7"/>
        <v>0</v>
      </c>
    </row>
    <row r="235" spans="6:9" ht="15">
      <c r="F235" s="1100" t="s">
        <v>1512</v>
      </c>
      <c r="G235" s="1101" t="s">
        <v>1457</v>
      </c>
      <c r="H235" s="1102">
        <v>0.7865229954180154</v>
      </c>
      <c r="I235" s="1103">
        <f t="shared" si="7"/>
        <v>0.28327977759167383</v>
      </c>
    </row>
    <row r="236" spans="6:9" ht="15">
      <c r="F236" s="1100" t="s">
        <v>1512</v>
      </c>
      <c r="G236" s="1101" t="s">
        <v>1461</v>
      </c>
      <c r="H236" s="1102">
        <v>0.11133207939787913</v>
      </c>
      <c r="I236" s="1103">
        <f t="shared" si="7"/>
        <v>1.7821405448412507E-2</v>
      </c>
    </row>
    <row r="237" spans="6:9" ht="15">
      <c r="F237" s="1100" t="s">
        <v>1512</v>
      </c>
      <c r="G237" s="1101" t="s">
        <v>1471</v>
      </c>
      <c r="H237" s="1102">
        <v>2.9109657524916892E-2</v>
      </c>
      <c r="I237" s="1103">
        <f t="shared" si="7"/>
        <v>3.8992358770866212E-3</v>
      </c>
    </row>
    <row r="238" spans="6:9" ht="15">
      <c r="F238" s="1100" t="s">
        <v>1512</v>
      </c>
      <c r="G238" s="1101" t="s">
        <v>1473</v>
      </c>
      <c r="H238" s="1102">
        <v>1.5929424107440436E-2</v>
      </c>
      <c r="I238" s="1103">
        <f t="shared" si="7"/>
        <v>4.2168393628408945E-3</v>
      </c>
    </row>
    <row r="239" spans="6:9" ht="15">
      <c r="F239" s="1100" t="s">
        <v>1512</v>
      </c>
      <c r="G239" s="1101" t="s">
        <v>1477</v>
      </c>
      <c r="H239" s="1102">
        <v>4.0920222462447142E-2</v>
      </c>
      <c r="I239" s="1103">
        <f t="shared" si="7"/>
        <v>0</v>
      </c>
    </row>
    <row r="240" spans="6:9" ht="15">
      <c r="F240" s="1100" t="s">
        <v>1512</v>
      </c>
      <c r="G240" s="1101" t="s">
        <v>1481</v>
      </c>
      <c r="H240" s="1102">
        <v>1.6185621089300876E-2</v>
      </c>
      <c r="I240" s="1103">
        <f t="shared" si="7"/>
        <v>0</v>
      </c>
    </row>
    <row r="241" spans="6:9" ht="15">
      <c r="F241" s="1100" t="s">
        <v>1513</v>
      </c>
      <c r="G241" s="1101" t="s">
        <v>1457</v>
      </c>
      <c r="H241" s="1102">
        <v>0.79466265523840585</v>
      </c>
      <c r="I241" s="1103">
        <f t="shared" si="7"/>
        <v>0.28621141600151667</v>
      </c>
    </row>
    <row r="242" spans="6:9" ht="15">
      <c r="F242" s="1100" t="s">
        <v>1513</v>
      </c>
      <c r="G242" s="1101" t="s">
        <v>1461</v>
      </c>
      <c r="H242" s="1102">
        <v>9.4659223201008627E-2</v>
      </c>
      <c r="I242" s="1103">
        <f t="shared" si="7"/>
        <v>1.5152509548196648E-2</v>
      </c>
    </row>
    <row r="243" spans="6:9" ht="15">
      <c r="F243" s="1100" t="s">
        <v>1513</v>
      </c>
      <c r="G243" s="1101" t="s">
        <v>1471</v>
      </c>
      <c r="H243" s="1102">
        <v>4.8422779067767846E-2</v>
      </c>
      <c r="I243" s="1103">
        <f t="shared" si="7"/>
        <v>6.4862266843113093E-3</v>
      </c>
    </row>
    <row r="244" spans="6:9" ht="15">
      <c r="F244" s="1100" t="s">
        <v>1513</v>
      </c>
      <c r="G244" s="1101" t="s">
        <v>1473</v>
      </c>
      <c r="H244" s="1102">
        <v>1.7869656304153329E-2</v>
      </c>
      <c r="I244" s="1103">
        <f t="shared" si="7"/>
        <v>4.7304578995165944E-3</v>
      </c>
    </row>
    <row r="245" spans="6:9" ht="15">
      <c r="F245" s="1100" t="s">
        <v>1513</v>
      </c>
      <c r="G245" s="1101" t="s">
        <v>1477</v>
      </c>
      <c r="H245" s="1102">
        <v>3.8986310528927808E-2</v>
      </c>
      <c r="I245" s="1103">
        <f t="shared" si="7"/>
        <v>0</v>
      </c>
    </row>
    <row r="246" spans="6:9" ht="15">
      <c r="F246" s="1100" t="s">
        <v>1513</v>
      </c>
      <c r="G246" s="1101" t="s">
        <v>1481</v>
      </c>
      <c r="H246" s="1102">
        <v>5.3993756597365532E-3</v>
      </c>
      <c r="I246" s="1103">
        <f t="shared" si="7"/>
        <v>0</v>
      </c>
    </row>
    <row r="247" spans="6:9" ht="15">
      <c r="F247" s="1100" t="s">
        <v>1514</v>
      </c>
      <c r="G247" s="1101" t="s">
        <v>1457</v>
      </c>
      <c r="H247" s="1102">
        <v>0.80650364255948526</v>
      </c>
      <c r="I247" s="1103">
        <f t="shared" si="7"/>
        <v>0.29047615113872455</v>
      </c>
    </row>
    <row r="248" spans="6:9" ht="15">
      <c r="F248" s="1100" t="s">
        <v>1514</v>
      </c>
      <c r="G248" s="1101" t="s">
        <v>1461</v>
      </c>
      <c r="H248" s="1102">
        <v>9.7794477699941054E-2</v>
      </c>
      <c r="I248" s="1103">
        <f t="shared" si="7"/>
        <v>1.5654383239154572E-2</v>
      </c>
    </row>
    <row r="249" spans="6:9" ht="15">
      <c r="F249" s="1100" t="s">
        <v>1514</v>
      </c>
      <c r="G249" s="1101" t="s">
        <v>1471</v>
      </c>
      <c r="H249" s="1102">
        <v>2.4099853098424062E-2</v>
      </c>
      <c r="I249" s="1103">
        <f t="shared" si="7"/>
        <v>3.2281730471564714E-3</v>
      </c>
    </row>
    <row r="250" spans="6:9" ht="15">
      <c r="F250" s="1100" t="s">
        <v>1514</v>
      </c>
      <c r="G250" s="1101" t="s">
        <v>1473</v>
      </c>
      <c r="H250" s="1102">
        <v>2.5604844754014814E-2</v>
      </c>
      <c r="I250" s="1103">
        <f t="shared" si="7"/>
        <v>6.778118060635204E-3</v>
      </c>
    </row>
    <row r="251" spans="6:9" ht="15">
      <c r="F251" s="1100" t="s">
        <v>1514</v>
      </c>
      <c r="G251" s="1101" t="s">
        <v>1477</v>
      </c>
      <c r="H251" s="1102">
        <v>3.8016528925619839E-2</v>
      </c>
      <c r="I251" s="1103">
        <f t="shared" si="7"/>
        <v>0</v>
      </c>
    </row>
    <row r="252" spans="6:9" ht="15">
      <c r="F252" s="1100" t="s">
        <v>1514</v>
      </c>
      <c r="G252" s="1101" t="s">
        <v>1481</v>
      </c>
      <c r="H252" s="1102">
        <v>7.9806529625151158E-3</v>
      </c>
      <c r="I252" s="1103">
        <f t="shared" si="7"/>
        <v>0</v>
      </c>
    </row>
    <row r="253" spans="6:9" ht="15">
      <c r="F253" s="1100" t="s">
        <v>1515</v>
      </c>
      <c r="G253" s="1101" t="s">
        <v>1457</v>
      </c>
      <c r="H253" s="1102">
        <v>0.85421161229428499</v>
      </c>
      <c r="I253" s="1103">
        <f t="shared" si="7"/>
        <v>0.30765899656671064</v>
      </c>
    </row>
    <row r="254" spans="6:9" ht="15">
      <c r="F254" s="1100" t="s">
        <v>1515</v>
      </c>
      <c r="G254" s="1101" t="s">
        <v>1461</v>
      </c>
      <c r="H254" s="1102">
        <v>0.10227111439135342</v>
      </c>
      <c r="I254" s="1103">
        <f t="shared" si="7"/>
        <v>1.6370977754898604E-2</v>
      </c>
    </row>
    <row r="255" spans="6:9" ht="15">
      <c r="F255" s="1100" t="s">
        <v>1515</v>
      </c>
      <c r="G255" s="1101" t="s">
        <v>1471</v>
      </c>
      <c r="H255" s="1102">
        <v>3.7350703635628162E-3</v>
      </c>
      <c r="I255" s="1103">
        <f t="shared" si="7"/>
        <v>5.0031232255415151E-4</v>
      </c>
    </row>
    <row r="256" spans="6:9" ht="15">
      <c r="F256" s="1100" t="s">
        <v>1515</v>
      </c>
      <c r="G256" s="1101" t="s">
        <v>1473</v>
      </c>
      <c r="H256" s="1102">
        <v>1.9384576079936981E-2</v>
      </c>
      <c r="I256" s="1103">
        <f t="shared" si="7"/>
        <v>5.1314876730340674E-3</v>
      </c>
    </row>
    <row r="257" spans="6:9" ht="15">
      <c r="F257" s="1100" t="s">
        <v>1515</v>
      </c>
      <c r="G257" s="1101" t="s">
        <v>1477</v>
      </c>
      <c r="H257" s="1102">
        <v>1.7700889213759039E-2</v>
      </c>
      <c r="I257" s="1103">
        <f t="shared" si="7"/>
        <v>0</v>
      </c>
    </row>
    <row r="258" spans="6:9" ht="15">
      <c r="F258" s="1100" t="s">
        <v>1515</v>
      </c>
      <c r="G258" s="1101" t="s">
        <v>1481</v>
      </c>
      <c r="H258" s="1102">
        <v>2.6967376571027102E-3</v>
      </c>
      <c r="I258" s="1103">
        <f t="shared" si="7"/>
        <v>0</v>
      </c>
    </row>
    <row r="259" spans="6:9" ht="15">
      <c r="F259" s="1100" t="s">
        <v>1516</v>
      </c>
      <c r="G259" s="1101" t="s">
        <v>1457</v>
      </c>
      <c r="H259" s="1102">
        <v>0.84908923903705191</v>
      </c>
      <c r="I259" s="1103">
        <f t="shared" si="7"/>
        <v>0.3058140857815157</v>
      </c>
    </row>
    <row r="260" spans="6:9" ht="15">
      <c r="F260" s="1100" t="s">
        <v>1516</v>
      </c>
      <c r="G260" s="1101" t="s">
        <v>1461</v>
      </c>
      <c r="H260" s="1102">
        <v>0.10223326082585409</v>
      </c>
      <c r="I260" s="1103">
        <f t="shared" si="7"/>
        <v>1.6364918371636564E-2</v>
      </c>
    </row>
    <row r="261" spans="6:9" ht="15">
      <c r="F261" s="1100" t="s">
        <v>1516</v>
      </c>
      <c r="G261" s="1101" t="s">
        <v>1471</v>
      </c>
      <c r="H261" s="1102">
        <v>2.4151388304970113E-3</v>
      </c>
      <c r="I261" s="1103">
        <f t="shared" si="7"/>
        <v>3.2350761832076406E-4</v>
      </c>
    </row>
    <row r="262" spans="6:9" ht="15">
      <c r="F262" s="1100" t="s">
        <v>1516</v>
      </c>
      <c r="G262" s="1101" t="s">
        <v>1473</v>
      </c>
      <c r="H262" s="1102">
        <v>1.0624782934542198E-2</v>
      </c>
      <c r="I262" s="1103">
        <f t="shared" si="7"/>
        <v>2.8125940145626986E-3</v>
      </c>
    </row>
    <row r="263" spans="6:9" ht="15">
      <c r="F263" s="1100" t="s">
        <v>1516</v>
      </c>
      <c r="G263" s="1101" t="s">
        <v>1477</v>
      </c>
      <c r="H263" s="1102">
        <v>3.2399875701464166E-2</v>
      </c>
      <c r="I263" s="1103">
        <f t="shared" ref="I263:I324" si="8">H263*VLOOKUP($G263,$B$3:$C$8,2,FALSE)</f>
        <v>0</v>
      </c>
    </row>
    <row r="264" spans="6:9" ht="15">
      <c r="F264" s="1100" t="s">
        <v>1516</v>
      </c>
      <c r="G264" s="1101" t="s">
        <v>1481</v>
      </c>
      <c r="H264" s="1102">
        <v>3.2377026705906011E-3</v>
      </c>
      <c r="I264" s="1103">
        <f t="shared" si="8"/>
        <v>0</v>
      </c>
    </row>
    <row r="265" spans="6:9" ht="15">
      <c r="F265" s="1100" t="s">
        <v>1517</v>
      </c>
      <c r="G265" s="1101" t="s">
        <v>1457</v>
      </c>
      <c r="H265" s="1102">
        <v>0.85877962453783008</v>
      </c>
      <c r="I265" s="1103">
        <f t="shared" si="8"/>
        <v>0.30930424470303469</v>
      </c>
    </row>
    <row r="266" spans="6:9" ht="15">
      <c r="F266" s="1100" t="s">
        <v>1517</v>
      </c>
      <c r="G266" s="1101" t="s">
        <v>1461</v>
      </c>
      <c r="H266" s="1102">
        <v>0.10646453776424109</v>
      </c>
      <c r="I266" s="1103">
        <f t="shared" si="8"/>
        <v>1.7042237094967164E-2</v>
      </c>
    </row>
    <row r="267" spans="6:9" ht="15">
      <c r="F267" s="1100" t="s">
        <v>1517</v>
      </c>
      <c r="G267" s="1101" t="s">
        <v>1471</v>
      </c>
      <c r="H267" s="1102">
        <v>5.1766324245430964E-3</v>
      </c>
      <c r="I267" s="1103">
        <f t="shared" si="8"/>
        <v>6.9340942451798812E-4</v>
      </c>
    </row>
    <row r="268" spans="6:9" ht="15">
      <c r="F268" s="1100" t="s">
        <v>1517</v>
      </c>
      <c r="G268" s="1101" t="s">
        <v>1473</v>
      </c>
      <c r="H268" s="1102">
        <v>1.460152600410379E-2</v>
      </c>
      <c r="I268" s="1103">
        <f t="shared" si="8"/>
        <v>3.865317992437035E-3</v>
      </c>
    </row>
    <row r="269" spans="6:9" ht="15">
      <c r="F269" s="1100" t="s">
        <v>1517</v>
      </c>
      <c r="G269" s="1101" t="s">
        <v>1477</v>
      </c>
      <c r="H269" s="1102">
        <v>1.3777806299168548E-2</v>
      </c>
      <c r="I269" s="1103">
        <f t="shared" si="8"/>
        <v>0</v>
      </c>
    </row>
    <row r="270" spans="6:9" ht="15">
      <c r="F270" s="1100" t="s">
        <v>1517</v>
      </c>
      <c r="G270" s="1101" t="s">
        <v>1481</v>
      </c>
      <c r="H270" s="1102">
        <v>1.1998729701134219E-3</v>
      </c>
      <c r="I270" s="1103">
        <f t="shared" si="8"/>
        <v>0</v>
      </c>
    </row>
    <row r="271" spans="6:9" ht="15">
      <c r="F271" s="1100" t="s">
        <v>1518</v>
      </c>
      <c r="G271" s="1101" t="s">
        <v>1457</v>
      </c>
      <c r="H271" s="1102">
        <v>0.82435703759772661</v>
      </c>
      <c r="I271" s="1103">
        <f t="shared" si="8"/>
        <v>0.29690635827208545</v>
      </c>
    </row>
    <row r="272" spans="6:9" ht="15">
      <c r="F272" s="1100" t="s">
        <v>1518</v>
      </c>
      <c r="G272" s="1101" t="s">
        <v>1461</v>
      </c>
      <c r="H272" s="1102">
        <v>0.12395715157761493</v>
      </c>
      <c r="I272" s="1103">
        <f t="shared" si="8"/>
        <v>1.9842355127493331E-2</v>
      </c>
    </row>
    <row r="273" spans="6:9" ht="15">
      <c r="F273" s="1100" t="s">
        <v>1518</v>
      </c>
      <c r="G273" s="1101" t="s">
        <v>1471</v>
      </c>
      <c r="H273" s="1102">
        <v>1.1259309255765069E-2</v>
      </c>
      <c r="I273" s="1103">
        <f t="shared" si="8"/>
        <v>1.5081834117668125E-3</v>
      </c>
    </row>
    <row r="274" spans="6:9" ht="15">
      <c r="F274" s="1100" t="s">
        <v>1518</v>
      </c>
      <c r="G274" s="1101" t="s">
        <v>1473</v>
      </c>
      <c r="H274" s="1102">
        <v>1.9833456983598462E-2</v>
      </c>
      <c r="I274" s="1103">
        <f t="shared" si="8"/>
        <v>5.2503154882156088E-3</v>
      </c>
    </row>
    <row r="275" spans="6:9" ht="15">
      <c r="F275" s="1100" t="s">
        <v>1518</v>
      </c>
      <c r="G275" s="1101" t="s">
        <v>1477</v>
      </c>
      <c r="H275" s="1102">
        <v>1.8164519979651222E-2</v>
      </c>
      <c r="I275" s="1103">
        <f t="shared" si="8"/>
        <v>0</v>
      </c>
    </row>
    <row r="276" spans="6:9" ht="15">
      <c r="F276" s="1100" t="s">
        <v>1518</v>
      </c>
      <c r="G276" s="1101" t="s">
        <v>1481</v>
      </c>
      <c r="H276" s="1102">
        <v>2.4285246056437045E-3</v>
      </c>
      <c r="I276" s="1103">
        <f t="shared" si="8"/>
        <v>0</v>
      </c>
    </row>
    <row r="277" spans="6:9" ht="15">
      <c r="F277" s="1100" t="s">
        <v>1519</v>
      </c>
      <c r="G277" s="1101" t="s">
        <v>1457</v>
      </c>
      <c r="H277" s="1102">
        <v>0.80287351126200801</v>
      </c>
      <c r="I277" s="1103">
        <f t="shared" si="8"/>
        <v>0.28916869694785075</v>
      </c>
    </row>
    <row r="278" spans="6:9" ht="15">
      <c r="F278" s="1100" t="s">
        <v>1519</v>
      </c>
      <c r="G278" s="1101" t="s">
        <v>1461</v>
      </c>
      <c r="H278" s="1102">
        <v>0.12804569760161255</v>
      </c>
      <c r="I278" s="1103">
        <f t="shared" si="8"/>
        <v>2.0496826298625922E-2</v>
      </c>
    </row>
    <row r="279" spans="6:9" ht="15">
      <c r="F279" s="1100" t="s">
        <v>1519</v>
      </c>
      <c r="G279" s="1101" t="s">
        <v>1471</v>
      </c>
      <c r="H279" s="1102">
        <v>2.2189855319946831E-2</v>
      </c>
      <c r="I279" s="1103">
        <f t="shared" si="8"/>
        <v>2.9723290250610783E-3</v>
      </c>
    </row>
    <row r="280" spans="6:9" ht="15">
      <c r="F280" s="1100" t="s">
        <v>1519</v>
      </c>
      <c r="G280" s="1101" t="s">
        <v>1473</v>
      </c>
      <c r="H280" s="1102">
        <v>1.3661064960372869E-2</v>
      </c>
      <c r="I280" s="1103">
        <f t="shared" si="8"/>
        <v>3.6163590142797128E-3</v>
      </c>
    </row>
    <row r="281" spans="6:9" ht="15">
      <c r="F281" s="1100" t="s">
        <v>1519</v>
      </c>
      <c r="G281" s="1101" t="s">
        <v>1477</v>
      </c>
      <c r="H281" s="1102">
        <v>2.6055802771722938E-2</v>
      </c>
      <c r="I281" s="1103">
        <f t="shared" si="8"/>
        <v>0</v>
      </c>
    </row>
    <row r="282" spans="6:9" ht="15">
      <c r="F282" s="1100" t="s">
        <v>1519</v>
      </c>
      <c r="G282" s="1101" t="s">
        <v>1481</v>
      </c>
      <c r="H282" s="1102">
        <v>7.1740680843369866E-3</v>
      </c>
      <c r="I282" s="1103">
        <f t="shared" si="8"/>
        <v>0</v>
      </c>
    </row>
    <row r="283" spans="6:9" ht="15">
      <c r="F283" s="1100" t="s">
        <v>1520</v>
      </c>
      <c r="G283" s="1101" t="s">
        <v>1457</v>
      </c>
      <c r="H283" s="1102">
        <v>0.80853435263864049</v>
      </c>
      <c r="I283" s="1103">
        <f t="shared" si="8"/>
        <v>0.29120754628283035</v>
      </c>
    </row>
    <row r="284" spans="6:9" ht="15">
      <c r="F284" s="1100" t="s">
        <v>1520</v>
      </c>
      <c r="G284" s="1101" t="s">
        <v>1461</v>
      </c>
      <c r="H284" s="1102">
        <v>9.6028063506261183E-2</v>
      </c>
      <c r="I284" s="1103">
        <f t="shared" si="8"/>
        <v>1.5371625711354373E-2</v>
      </c>
    </row>
    <row r="285" spans="6:9" ht="15">
      <c r="F285" s="1100" t="s">
        <v>1520</v>
      </c>
      <c r="G285" s="1101" t="s">
        <v>1471</v>
      </c>
      <c r="H285" s="1102">
        <v>1.6991139311270123E-2</v>
      </c>
      <c r="I285" s="1103">
        <f t="shared" si="8"/>
        <v>2.2759615065334055E-3</v>
      </c>
    </row>
    <row r="286" spans="6:9" ht="15">
      <c r="F286" s="1100" t="s">
        <v>1520</v>
      </c>
      <c r="G286" s="1101" t="s">
        <v>1473</v>
      </c>
      <c r="H286" s="1102">
        <v>9.6887578264758488E-3</v>
      </c>
      <c r="I286" s="1103">
        <f t="shared" si="8"/>
        <v>2.5648093179107992E-3</v>
      </c>
    </row>
    <row r="287" spans="6:9" ht="15">
      <c r="F287" s="1100" t="s">
        <v>1520</v>
      </c>
      <c r="G287" s="1101" t="s">
        <v>1477</v>
      </c>
      <c r="H287" s="1102">
        <v>6.2789998881932027E-2</v>
      </c>
      <c r="I287" s="1103">
        <f t="shared" si="8"/>
        <v>0</v>
      </c>
    </row>
    <row r="288" spans="6:9" ht="15">
      <c r="F288" s="1100" t="s">
        <v>1520</v>
      </c>
      <c r="G288" s="1101" t="s">
        <v>1481</v>
      </c>
      <c r="H288" s="1102">
        <v>5.9676878354203945E-3</v>
      </c>
      <c r="I288" s="1103">
        <f t="shared" si="8"/>
        <v>0</v>
      </c>
    </row>
    <row r="289" spans="6:9" ht="15">
      <c r="F289" s="1100" t="s">
        <v>1521</v>
      </c>
      <c r="G289" s="1101" t="s">
        <v>1457</v>
      </c>
      <c r="H289" s="1102">
        <v>0.81466562198031489</v>
      </c>
      <c r="I289" s="1103">
        <f t="shared" si="8"/>
        <v>0.2934158283363526</v>
      </c>
    </row>
    <row r="290" spans="6:9" ht="15">
      <c r="F290" s="1100" t="s">
        <v>1521</v>
      </c>
      <c r="G290" s="1101" t="s">
        <v>1461</v>
      </c>
      <c r="H290" s="1102">
        <v>0.10365136051513156</v>
      </c>
      <c r="I290" s="1103">
        <f t="shared" si="8"/>
        <v>1.6591919696551754E-2</v>
      </c>
    </row>
    <row r="291" spans="6:9" ht="15">
      <c r="F291" s="1100" t="s">
        <v>1521</v>
      </c>
      <c r="G291" s="1101" t="s">
        <v>1471</v>
      </c>
      <c r="H291" s="1102">
        <v>3.5164367073994576E-2</v>
      </c>
      <c r="I291" s="1103">
        <f t="shared" si="8"/>
        <v>4.7102636495327376E-3</v>
      </c>
    </row>
    <row r="292" spans="6:9" ht="15">
      <c r="F292" s="1100" t="s">
        <v>1521</v>
      </c>
      <c r="G292" s="1101" t="s">
        <v>1473</v>
      </c>
      <c r="H292" s="1102">
        <v>1.7360784498165742E-2</v>
      </c>
      <c r="I292" s="1103">
        <f t="shared" si="8"/>
        <v>4.5957492843365835E-3</v>
      </c>
    </row>
    <row r="293" spans="6:9" ht="15">
      <c r="F293" s="1100" t="s">
        <v>1521</v>
      </c>
      <c r="G293" s="1101" t="s">
        <v>1477</v>
      </c>
      <c r="H293" s="1102">
        <v>2.5345580249869593E-2</v>
      </c>
      <c r="I293" s="1103">
        <f t="shared" si="8"/>
        <v>0</v>
      </c>
    </row>
    <row r="294" spans="6:9" ht="15">
      <c r="F294" s="1100" t="s">
        <v>1521</v>
      </c>
      <c r="G294" s="1101" t="s">
        <v>1481</v>
      </c>
      <c r="H294" s="1102">
        <v>3.8122856825236655E-3</v>
      </c>
      <c r="I294" s="1103">
        <f t="shared" si="8"/>
        <v>0</v>
      </c>
    </row>
    <row r="295" spans="6:9" ht="15">
      <c r="F295" s="1100" t="s">
        <v>1522</v>
      </c>
      <c r="G295" s="1101" t="s">
        <v>1457</v>
      </c>
      <c r="H295" s="1102">
        <v>0.77871390541967389</v>
      </c>
      <c r="I295" s="1103">
        <f t="shared" si="8"/>
        <v>0.28046719958593119</v>
      </c>
    </row>
    <row r="296" spans="6:9" ht="15">
      <c r="F296" s="1100" t="s">
        <v>1522</v>
      </c>
      <c r="G296" s="1101" t="s">
        <v>1461</v>
      </c>
      <c r="H296" s="1102">
        <v>0.10893708851121328</v>
      </c>
      <c r="I296" s="1103">
        <f t="shared" si="8"/>
        <v>1.7438028942131801E-2</v>
      </c>
    </row>
    <row r="297" spans="6:9" ht="15">
      <c r="F297" s="1100" t="s">
        <v>1522</v>
      </c>
      <c r="G297" s="1101" t="s">
        <v>1471</v>
      </c>
      <c r="H297" s="1102">
        <v>5.0304489914370476E-2</v>
      </c>
      <c r="I297" s="1103">
        <f t="shared" si="8"/>
        <v>6.7382816745527986E-3</v>
      </c>
    </row>
    <row r="298" spans="6:9" ht="15">
      <c r="F298" s="1100" t="s">
        <v>1522</v>
      </c>
      <c r="G298" s="1101" t="s">
        <v>1473</v>
      </c>
      <c r="H298" s="1102">
        <v>1.347214629874173E-2</v>
      </c>
      <c r="I298" s="1103">
        <f t="shared" si="8"/>
        <v>3.5663484399257222E-3</v>
      </c>
    </row>
    <row r="299" spans="6:9" ht="15">
      <c r="F299" s="1100" t="s">
        <v>1522</v>
      </c>
      <c r="G299" s="1101" t="s">
        <v>1477</v>
      </c>
      <c r="H299" s="1102">
        <v>3.9446646352128988E-2</v>
      </c>
      <c r="I299" s="1103">
        <f t="shared" si="8"/>
        <v>0</v>
      </c>
    </row>
    <row r="300" spans="6:9" ht="15">
      <c r="F300" s="1100" t="s">
        <v>1522</v>
      </c>
      <c r="G300" s="1101" t="s">
        <v>1481</v>
      </c>
      <c r="H300" s="1102">
        <v>9.1257235038714121E-3</v>
      </c>
      <c r="I300" s="1103">
        <f t="shared" si="8"/>
        <v>0</v>
      </c>
    </row>
    <row r="301" spans="6:9" ht="15">
      <c r="F301" s="1100" t="s">
        <v>1523</v>
      </c>
      <c r="G301" s="1101" t="s">
        <v>1457</v>
      </c>
      <c r="H301" s="1102">
        <v>0.85062760720871089</v>
      </c>
      <c r="I301" s="1103">
        <f t="shared" si="8"/>
        <v>0.30636815552399038</v>
      </c>
    </row>
    <row r="302" spans="6:9" ht="15">
      <c r="F302" s="1100" t="s">
        <v>1523</v>
      </c>
      <c r="G302" s="1101" t="s">
        <v>1461</v>
      </c>
      <c r="H302" s="1102">
        <v>9.9286550737779602E-2</v>
      </c>
      <c r="I302" s="1103">
        <f t="shared" si="8"/>
        <v>1.5893225796571781E-2</v>
      </c>
    </row>
    <row r="303" spans="6:9" ht="15">
      <c r="F303" s="1100" t="s">
        <v>1523</v>
      </c>
      <c r="G303" s="1101" t="s">
        <v>1471</v>
      </c>
      <c r="H303" s="1102">
        <v>6.2190365763676609E-3</v>
      </c>
      <c r="I303" s="1103">
        <f t="shared" si="8"/>
        <v>8.3303936223674162E-4</v>
      </c>
    </row>
    <row r="304" spans="6:9" ht="15">
      <c r="F304" s="1100" t="s">
        <v>1523</v>
      </c>
      <c r="G304" s="1101" t="s">
        <v>1473</v>
      </c>
      <c r="H304" s="1102">
        <v>1.3791042103758424E-2</v>
      </c>
      <c r="I304" s="1103">
        <f t="shared" si="8"/>
        <v>3.6507665817348237E-3</v>
      </c>
    </row>
    <row r="305" spans="6:9" ht="15">
      <c r="F305" s="1100" t="s">
        <v>1523</v>
      </c>
      <c r="G305" s="1101" t="s">
        <v>1477</v>
      </c>
      <c r="H305" s="1102">
        <v>2.8159658999842612E-2</v>
      </c>
      <c r="I305" s="1103">
        <f t="shared" si="8"/>
        <v>0</v>
      </c>
    </row>
    <row r="306" spans="6:9" ht="15">
      <c r="F306" s="1100" t="s">
        <v>1523</v>
      </c>
      <c r="G306" s="1101" t="s">
        <v>1481</v>
      </c>
      <c r="H306" s="1102">
        <v>1.9161043735407212E-3</v>
      </c>
      <c r="I306" s="1103">
        <f t="shared" si="8"/>
        <v>0</v>
      </c>
    </row>
    <row r="307" spans="6:9" ht="15">
      <c r="F307" s="1100" t="s">
        <v>1524</v>
      </c>
      <c r="G307" s="1101" t="s">
        <v>1457</v>
      </c>
      <c r="H307" s="1102">
        <v>0.85205998286522444</v>
      </c>
      <c r="I307" s="1103">
        <f t="shared" si="8"/>
        <v>0.30688405024006188</v>
      </c>
    </row>
    <row r="308" spans="6:9" ht="15">
      <c r="F308" s="1100" t="s">
        <v>1524</v>
      </c>
      <c r="G308" s="1101" t="s">
        <v>1461</v>
      </c>
      <c r="H308" s="1102">
        <v>8.5930713806503398E-2</v>
      </c>
      <c r="I308" s="1103">
        <f t="shared" si="8"/>
        <v>1.3755299456361081E-2</v>
      </c>
    </row>
    <row r="309" spans="6:9" ht="15">
      <c r="F309" s="1100" t="s">
        <v>1524</v>
      </c>
      <c r="G309" s="1101" t="s">
        <v>1471</v>
      </c>
      <c r="H309" s="1102">
        <v>1.5498237273898086E-2</v>
      </c>
      <c r="I309" s="1103">
        <f t="shared" si="8"/>
        <v>2.0759874195791349E-3</v>
      </c>
    </row>
    <row r="310" spans="6:9" ht="15">
      <c r="F310" s="1100" t="s">
        <v>1524</v>
      </c>
      <c r="G310" s="1101" t="s">
        <v>1473</v>
      </c>
      <c r="H310" s="1102">
        <v>1.2264187761458647E-2</v>
      </c>
      <c r="I310" s="1103">
        <f t="shared" si="8"/>
        <v>3.2465774881111002E-3</v>
      </c>
    </row>
    <row r="311" spans="6:9" ht="15">
      <c r="F311" s="1100" t="s">
        <v>1524</v>
      </c>
      <c r="G311" s="1101" t="s">
        <v>1477</v>
      </c>
      <c r="H311" s="1102">
        <v>2.8537392652117591E-2</v>
      </c>
      <c r="I311" s="1103">
        <f t="shared" si="8"/>
        <v>0</v>
      </c>
    </row>
    <row r="312" spans="6:9" ht="15">
      <c r="F312" s="1100" t="s">
        <v>1524</v>
      </c>
      <c r="G312" s="1101" t="s">
        <v>1481</v>
      </c>
      <c r="H312" s="1102">
        <v>5.7094856407978629E-3</v>
      </c>
      <c r="I312" s="1103">
        <f t="shared" si="8"/>
        <v>0</v>
      </c>
    </row>
    <row r="313" spans="6:9" ht="15">
      <c r="F313" s="1100" t="s">
        <v>1525</v>
      </c>
      <c r="G313" s="1101" t="s">
        <v>1457</v>
      </c>
      <c r="H313" s="1102">
        <v>0.80409103030712781</v>
      </c>
      <c r="I313" s="1103">
        <f t="shared" si="8"/>
        <v>0.28960720736181755</v>
      </c>
    </row>
    <row r="314" spans="6:9" ht="15">
      <c r="F314" s="1100" t="s">
        <v>1525</v>
      </c>
      <c r="G314" s="1101" t="s">
        <v>1461</v>
      </c>
      <c r="H314" s="1102">
        <v>0.12388024383922837</v>
      </c>
      <c r="I314" s="1103">
        <f t="shared" si="8"/>
        <v>1.9830044174573742E-2</v>
      </c>
    </row>
    <row r="315" spans="6:9" ht="15">
      <c r="F315" s="1100" t="s">
        <v>1525</v>
      </c>
      <c r="G315" s="1101" t="s">
        <v>1471</v>
      </c>
      <c r="H315" s="1102">
        <v>1.2255813342047242E-2</v>
      </c>
      <c r="I315" s="1103">
        <f t="shared" si="8"/>
        <v>1.6416650400397979E-3</v>
      </c>
    </row>
    <row r="316" spans="6:9" ht="15">
      <c r="F316" s="1100" t="s">
        <v>1525</v>
      </c>
      <c r="G316" s="1101" t="s">
        <v>1473</v>
      </c>
      <c r="H316" s="1102">
        <v>1.3157252263926294E-2</v>
      </c>
      <c r="I316" s="1103">
        <f t="shared" si="8"/>
        <v>3.4829896472802742E-3</v>
      </c>
    </row>
    <row r="317" spans="6:9" ht="15">
      <c r="F317" s="1100" t="s">
        <v>1525</v>
      </c>
      <c r="G317" s="1101" t="s">
        <v>1477</v>
      </c>
      <c r="H317" s="1102">
        <v>4.0031400122445451E-2</v>
      </c>
      <c r="I317" s="1103">
        <f t="shared" si="8"/>
        <v>0</v>
      </c>
    </row>
    <row r="318" spans="6:9" ht="15">
      <c r="F318" s="1100" t="s">
        <v>1525</v>
      </c>
      <c r="G318" s="1101" t="s">
        <v>1481</v>
      </c>
      <c r="H318" s="1102">
        <v>6.5842601252248901E-3</v>
      </c>
      <c r="I318" s="1103">
        <f t="shared" si="8"/>
        <v>0</v>
      </c>
    </row>
    <row r="319" spans="6:9" ht="15">
      <c r="F319" s="1100" t="s">
        <v>3924</v>
      </c>
      <c r="G319" s="1101" t="s">
        <v>1457</v>
      </c>
      <c r="H319" s="1102">
        <v>0.88191137530590802</v>
      </c>
      <c r="I319" s="1103">
        <f t="shared" si="8"/>
        <v>0.31763554239052894</v>
      </c>
    </row>
    <row r="320" spans="6:9" ht="15">
      <c r="F320" s="1100" t="s">
        <v>3924</v>
      </c>
      <c r="G320" s="1101" t="s">
        <v>1461</v>
      </c>
      <c r="H320" s="1102">
        <v>6.5441958959034263E-2</v>
      </c>
      <c r="I320" s="1103">
        <f t="shared" si="8"/>
        <v>1.0475576224345076E-2</v>
      </c>
    </row>
    <row r="321" spans="6:9" ht="15">
      <c r="F321" s="1100" t="s">
        <v>3924</v>
      </c>
      <c r="G321" s="1101" t="s">
        <v>1471</v>
      </c>
      <c r="H321" s="1102">
        <v>1.0863995814925094E-2</v>
      </c>
      <c r="I321" s="1103">
        <f t="shared" si="8"/>
        <v>1.4552312136896491E-3</v>
      </c>
    </row>
    <row r="322" spans="6:9" ht="15">
      <c r="F322" s="1100" t="s">
        <v>3924</v>
      </c>
      <c r="G322" s="1101" t="s">
        <v>1473</v>
      </c>
      <c r="H322" s="1102">
        <v>1.8464672306485071E-2</v>
      </c>
      <c r="I322" s="1103">
        <f t="shared" si="8"/>
        <v>4.8879706183210837E-3</v>
      </c>
    </row>
    <row r="323" spans="6:9" ht="15">
      <c r="F323" s="1100" t="s">
        <v>3924</v>
      </c>
      <c r="G323" s="1101" t="s">
        <v>1477</v>
      </c>
      <c r="H323" s="1102">
        <v>2.2461633827444486E-2</v>
      </c>
      <c r="I323" s="1103">
        <f t="shared" si="8"/>
        <v>0</v>
      </c>
    </row>
    <row r="324" spans="6:9" ht="15">
      <c r="F324" s="1100" t="s">
        <v>3924</v>
      </c>
      <c r="G324" s="1101" t="s">
        <v>1481</v>
      </c>
      <c r="H324" s="1102">
        <v>8.563637862028685E-4</v>
      </c>
      <c r="I324" s="1103">
        <f t="shared" si="8"/>
        <v>0</v>
      </c>
    </row>
  </sheetData>
  <sheetProtection algorithmName="SHA-512" hashValue="DbrWOj2EAc9Oi+Qx8g8ftFyzkXNMEmgnPHmFNT3EKs9/D74rHVjZCyQHfQaTznoy2wEltjd2pwb89cRHjkU32g==" saltValue="89TcvGYWD7+Uxw69eVkDRw==" spinCount="100000" sheet="1" objects="1" scenarios="1" selectLockedCells="1" selectUnlockedCells="1"/>
  <mergeCells count="3">
    <mergeCell ref="F2:H2"/>
    <mergeCell ref="F5:I5"/>
    <mergeCell ref="F3:I3"/>
  </mergeCells>
  <hyperlinks>
    <hyperlink ref="K4" r:id="rId1" xr:uid="{FA2C3AB0-AE41-4DE6-8473-47F7B1EC2FE9}"/>
    <hyperlink ref="F5" r:id="rId2" xr:uid="{1A6FF869-8733-4BEF-A0F6-A1CB5E15BF7B}"/>
  </hyperlinks>
  <pageMargins left="0.7" right="0.7" top="0.75" bottom="0.75" header="0.3" footer="0.3"/>
  <pageSetup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CBC7-8269-4BDD-9BD4-31FF9B2BD532}">
  <sheetPr codeName="Sheet35"/>
  <dimension ref="A1:P54"/>
  <sheetViews>
    <sheetView zoomScale="85" zoomScaleNormal="85" workbookViewId="0">
      <selection sqref="A1:XFD1048576"/>
    </sheetView>
  </sheetViews>
  <sheetFormatPr defaultColWidth="9" defaultRowHeight="15"/>
  <cols>
    <col min="1" max="1" width="9" style="1118"/>
    <col min="2" max="2" width="34.5" style="1118" customWidth="1"/>
    <col min="3" max="5" width="9" style="1118"/>
    <col min="6" max="11" width="12.125" style="30" customWidth="1"/>
    <col min="12" max="12" width="12.25" style="1126" customWidth="1"/>
    <col min="13" max="13" width="10.625" style="30" customWidth="1"/>
    <col min="14" max="14" width="9" style="30"/>
    <col min="15" max="15" width="3.875" style="30" bestFit="1" customWidth="1"/>
    <col min="16" max="16" width="21.375" style="30" bestFit="1" customWidth="1"/>
    <col min="17" max="16384" width="9" style="1118"/>
  </cols>
  <sheetData>
    <row r="1" spans="1:16" ht="75">
      <c r="A1" s="1116" t="s">
        <v>1467</v>
      </c>
      <c r="B1" s="1117" t="s">
        <v>1469</v>
      </c>
      <c r="E1" s="1119" t="s">
        <v>4242</v>
      </c>
      <c r="F1" s="1120" t="s">
        <v>4243</v>
      </c>
      <c r="G1" s="1120" t="s">
        <v>4244</v>
      </c>
      <c r="H1" s="1121" t="s">
        <v>4252</v>
      </c>
      <c r="I1" s="1121" t="s">
        <v>4254</v>
      </c>
      <c r="J1" s="1121" t="s">
        <v>4256</v>
      </c>
      <c r="K1" s="1121" t="s">
        <v>4258</v>
      </c>
      <c r="L1" s="1122" t="s">
        <v>4272</v>
      </c>
      <c r="M1" s="1122" t="s">
        <v>4273</v>
      </c>
      <c r="N1" s="1122"/>
    </row>
    <row r="2" spans="1:16" ht="14.25" customHeight="1" thickBot="1">
      <c r="A2" s="1118" t="s">
        <v>1528</v>
      </c>
      <c r="E2" s="1123" t="s">
        <v>4260</v>
      </c>
      <c r="F2" s="1124" t="s">
        <v>4245</v>
      </c>
      <c r="G2" s="1124" t="s">
        <v>4246</v>
      </c>
      <c r="H2" s="1125" t="s">
        <v>4253</v>
      </c>
      <c r="I2" s="1125" t="s">
        <v>4255</v>
      </c>
      <c r="J2" s="1125" t="s">
        <v>4257</v>
      </c>
      <c r="K2" s="1125" t="s">
        <v>4259</v>
      </c>
    </row>
    <row r="3" spans="1:16" ht="15.75" thickBot="1">
      <c r="A3" s="1127">
        <v>150</v>
      </c>
      <c r="B3" s="1128" t="s">
        <v>1532</v>
      </c>
      <c r="E3" s="1118" t="s">
        <v>1462</v>
      </c>
      <c r="F3" s="1129">
        <v>2024</v>
      </c>
      <c r="G3" s="1129" t="s">
        <v>1527</v>
      </c>
      <c r="H3" s="1130">
        <v>368.62166880000001</v>
      </c>
      <c r="I3" s="1130">
        <v>3.44736E-2</v>
      </c>
      <c r="J3" s="1130">
        <v>4.9896000000000003E-3</v>
      </c>
      <c r="K3" s="1130">
        <v>370.95090479999999</v>
      </c>
      <c r="L3" s="1131">
        <f>H3+(I3*GWPs!$C$4)+(J3*GWPs!$C$5)</f>
        <v>371.01114288000002</v>
      </c>
      <c r="M3" s="1132">
        <f>L3/1000000</f>
        <v>3.7101114288000002E-4</v>
      </c>
    </row>
    <row r="4" spans="1:16">
      <c r="E4" s="1118" t="s">
        <v>1458</v>
      </c>
      <c r="F4" s="1129">
        <v>2024</v>
      </c>
      <c r="G4" s="1129" t="s">
        <v>1531</v>
      </c>
      <c r="H4" s="1130">
        <v>329.17434479999997</v>
      </c>
      <c r="I4" s="1130">
        <v>2.13192E-2</v>
      </c>
      <c r="J4" s="1130">
        <v>3.1752E-3</v>
      </c>
      <c r="K4" s="1130">
        <v>330.65353440000001</v>
      </c>
      <c r="L4" s="1131">
        <f>H4+(I4*GWPs!$C$4)+(J4*GWPs!$C$5)</f>
        <v>330.67648656</v>
      </c>
      <c r="M4" s="1132">
        <f t="shared" ref="M4:M54" si="0">L4/1000000</f>
        <v>3.3067648655999999E-4</v>
      </c>
      <c r="P4" s="1133" t="s">
        <v>4343</v>
      </c>
    </row>
    <row r="5" spans="1:16">
      <c r="E5" s="1118" t="s">
        <v>1472</v>
      </c>
      <c r="F5" s="1129">
        <v>2024</v>
      </c>
      <c r="G5" s="1129" t="s">
        <v>1533</v>
      </c>
      <c r="H5" s="1130">
        <v>437.2563384</v>
      </c>
      <c r="I5" s="1130">
        <v>3.3566400000000003E-2</v>
      </c>
      <c r="J5" s="1130">
        <v>4.9896000000000003E-3</v>
      </c>
      <c r="K5" s="1130">
        <v>439.55609040000002</v>
      </c>
      <c r="L5" s="1131">
        <f>H5+(I5*GWPs!$C$4)+(J5*GWPs!$C$5)</f>
        <v>439.61877792000001</v>
      </c>
      <c r="M5" s="1132">
        <f t="shared" si="0"/>
        <v>4.3961877792000003E-4</v>
      </c>
      <c r="P5" s="1078" t="s">
        <v>4251</v>
      </c>
    </row>
    <row r="6" spans="1:16">
      <c r="E6" s="1118" t="s">
        <v>1468</v>
      </c>
      <c r="F6" s="1129">
        <v>2024</v>
      </c>
      <c r="G6" s="1129" t="s">
        <v>1534</v>
      </c>
      <c r="H6" s="1130">
        <v>288.81846000000002</v>
      </c>
      <c r="I6" s="1130">
        <v>1.4515200000000001E-2</v>
      </c>
      <c r="J6" s="1130">
        <v>1.8144000000000001E-3</v>
      </c>
      <c r="K6" s="1130">
        <v>289.76965919999998</v>
      </c>
      <c r="L6" s="1131">
        <f>H6+(I6*GWPs!$C$4)+(J6*GWPs!$C$5)</f>
        <v>289.74634416000004</v>
      </c>
      <c r="M6" s="1132">
        <f t="shared" si="0"/>
        <v>2.8974634416000005E-4</v>
      </c>
      <c r="P6" s="1134" t="s">
        <v>4247</v>
      </c>
    </row>
    <row r="7" spans="1:16">
      <c r="A7" s="1118" t="s">
        <v>1529</v>
      </c>
      <c r="B7" s="1118">
        <v>2.2046199999999998</v>
      </c>
      <c r="C7" s="1118" t="s">
        <v>1530</v>
      </c>
      <c r="E7" s="1118" t="s">
        <v>1474</v>
      </c>
      <c r="F7" s="1129">
        <v>2024</v>
      </c>
      <c r="G7" s="1129" t="s">
        <v>1535</v>
      </c>
      <c r="H7" s="1130">
        <v>164.6001</v>
      </c>
      <c r="I7" s="1130">
        <v>9.0720000000000002E-3</v>
      </c>
      <c r="J7" s="1130">
        <v>9.0720000000000004E-4</v>
      </c>
      <c r="K7" s="1130">
        <v>165.15666719999999</v>
      </c>
      <c r="L7" s="1131">
        <f>H7+(I7*GWPs!$C$4)+(J7*GWPs!$C$5)</f>
        <v>165.11811120000002</v>
      </c>
      <c r="M7" s="1132">
        <f t="shared" si="0"/>
        <v>1.6511811120000001E-4</v>
      </c>
      <c r="P7" s="1078" t="s">
        <v>4248</v>
      </c>
    </row>
    <row r="8" spans="1:16">
      <c r="E8" s="1118" t="s">
        <v>1478</v>
      </c>
      <c r="F8" s="1129">
        <v>2024</v>
      </c>
      <c r="G8" s="1129" t="s">
        <v>1536</v>
      </c>
      <c r="H8" s="1130">
        <v>454.96760399999999</v>
      </c>
      <c r="I8" s="1130">
        <v>3.6288000000000001E-2</v>
      </c>
      <c r="J8" s="1130">
        <v>4.9896000000000003E-3</v>
      </c>
      <c r="K8" s="1130">
        <v>457.45650719999998</v>
      </c>
      <c r="L8" s="1131">
        <f>H8+(I8*GWPs!$C$4)+(J8*GWPs!$C$5)</f>
        <v>457.41114720000002</v>
      </c>
      <c r="M8" s="1132">
        <f t="shared" si="0"/>
        <v>4.5741114720000003E-4</v>
      </c>
      <c r="P8" s="1123" t="s">
        <v>4249</v>
      </c>
    </row>
    <row r="9" spans="1:16">
      <c r="E9" s="1118" t="s">
        <v>1482</v>
      </c>
      <c r="F9" s="1129">
        <v>2024</v>
      </c>
      <c r="G9" s="1129" t="s">
        <v>1537</v>
      </c>
      <c r="H9" s="1130">
        <v>227.9403504</v>
      </c>
      <c r="I9" s="1130">
        <v>1.5876000000000001E-2</v>
      </c>
      <c r="J9" s="1130">
        <v>1.8144000000000001E-3</v>
      </c>
      <c r="K9" s="1130">
        <v>228.9564144</v>
      </c>
      <c r="L9" s="1131">
        <f>H9+(I9*GWPs!$C$4)+(J9*GWPs!$C$5)</f>
        <v>228.9087864</v>
      </c>
      <c r="M9" s="1132">
        <f t="shared" si="0"/>
        <v>2.2890878639999999E-4</v>
      </c>
      <c r="P9" s="1123" t="s">
        <v>4250</v>
      </c>
    </row>
    <row r="10" spans="1:16">
      <c r="E10" s="1118" t="s">
        <v>1526</v>
      </c>
      <c r="F10" s="1129">
        <v>2024</v>
      </c>
      <c r="G10" s="1129" t="s">
        <v>1538</v>
      </c>
      <c r="H10" s="1130">
        <v>157.49536320000001</v>
      </c>
      <c r="I10" s="1130">
        <v>7.7111999999999997E-3</v>
      </c>
      <c r="J10" s="1130">
        <v>9.0720000000000004E-4</v>
      </c>
      <c r="K10" s="1130">
        <v>157.92855119999999</v>
      </c>
      <c r="L10" s="1131">
        <f>H10+(I10*GWPs!$C$4)+(J10*GWPs!$C$5)</f>
        <v>157.97282256000003</v>
      </c>
      <c r="M10" s="1132">
        <f t="shared" si="0"/>
        <v>1.5797282256000002E-4</v>
      </c>
    </row>
    <row r="11" spans="1:16">
      <c r="E11" s="1118" t="s">
        <v>1483</v>
      </c>
      <c r="F11" s="1129">
        <v>2024</v>
      </c>
      <c r="G11" s="1129" t="s">
        <v>1539</v>
      </c>
      <c r="H11" s="1130">
        <v>359.93931120000002</v>
      </c>
      <c r="I11" s="1130">
        <v>1.27008E-2</v>
      </c>
      <c r="J11" s="1130">
        <v>1.3607999999999999E-3</v>
      </c>
      <c r="K11" s="1130">
        <v>360.754884</v>
      </c>
      <c r="L11" s="1131">
        <f>H11+(I11*GWPs!$C$4)+(J11*GWPs!$C$5)</f>
        <v>360.68929344000003</v>
      </c>
      <c r="M11" s="1132">
        <f t="shared" si="0"/>
        <v>3.6068929344000003E-4</v>
      </c>
    </row>
    <row r="12" spans="1:16">
      <c r="E12" s="1118" t="s">
        <v>1401</v>
      </c>
      <c r="F12" s="1129">
        <v>2024</v>
      </c>
      <c r="G12" s="1129" t="s">
        <v>1540</v>
      </c>
      <c r="H12" s="1130">
        <v>345.67903439999998</v>
      </c>
      <c r="I12" s="1130">
        <v>1.5876000000000001E-2</v>
      </c>
      <c r="J12" s="1130">
        <v>1.8144000000000001E-3</v>
      </c>
      <c r="K12" s="1130">
        <v>346.70144879999998</v>
      </c>
      <c r="L12" s="1131">
        <f>H12+(I12*GWPs!$C$4)+(J12*GWPs!$C$5)</f>
        <v>346.64747039999997</v>
      </c>
      <c r="M12" s="1132">
        <f t="shared" si="0"/>
        <v>3.4664747039999999E-4</v>
      </c>
    </row>
    <row r="13" spans="1:16">
      <c r="E13" s="1118" t="s">
        <v>5</v>
      </c>
      <c r="F13" s="1129">
        <v>2024</v>
      </c>
      <c r="G13" s="1129" t="s">
        <v>1541</v>
      </c>
      <c r="H13" s="1130">
        <v>299.21860079999999</v>
      </c>
      <c r="I13" s="1130">
        <v>2.4040800000000001E-2</v>
      </c>
      <c r="J13" s="1130">
        <v>3.6288000000000002E-3</v>
      </c>
      <c r="K13" s="1130">
        <v>300.88920960000002</v>
      </c>
      <c r="L13" s="1131">
        <f>H13+(I13*GWPs!$C$4)+(J13*GWPs!$C$5)</f>
        <v>300.92567904000003</v>
      </c>
      <c r="M13" s="1132">
        <f t="shared" si="0"/>
        <v>3.0092567904000002E-4</v>
      </c>
    </row>
    <row r="14" spans="1:16">
      <c r="E14" s="1118" t="s">
        <v>1487</v>
      </c>
      <c r="F14" s="1129">
        <v>2024</v>
      </c>
      <c r="G14" s="1129" t="s">
        <v>1542</v>
      </c>
      <c r="H14" s="1130">
        <v>619.75957679999999</v>
      </c>
      <c r="I14" s="1130">
        <v>5.3071199999999999E-2</v>
      </c>
      <c r="J14" s="1130">
        <v>8.6184E-3</v>
      </c>
      <c r="K14" s="1130">
        <v>623.69228880000003</v>
      </c>
      <c r="L14" s="1131">
        <f>H14+(I14*GWPs!$C$4)+(J14*GWPs!$C$5)</f>
        <v>623.69392175999997</v>
      </c>
      <c r="M14" s="1132">
        <f t="shared" si="0"/>
        <v>6.2369392175999996E-4</v>
      </c>
    </row>
    <row r="15" spans="1:16">
      <c r="E15" s="1118" t="s">
        <v>1491</v>
      </c>
      <c r="F15" s="1129">
        <v>2024</v>
      </c>
      <c r="G15" s="1129" t="s">
        <v>1543</v>
      </c>
      <c r="H15" s="1130">
        <v>254.4351264</v>
      </c>
      <c r="I15" s="1130">
        <v>2.4040800000000001E-2</v>
      </c>
      <c r="J15" s="1130">
        <v>3.6288000000000002E-3</v>
      </c>
      <c r="K15" s="1130">
        <v>256.08985919999998</v>
      </c>
      <c r="L15" s="1131">
        <f>H15+(I15*GWPs!$C$4)+(J15*GWPs!$C$5)</f>
        <v>256.14220463999999</v>
      </c>
      <c r="M15" s="1132">
        <f t="shared" si="0"/>
        <v>2.5614220463999999E-4</v>
      </c>
    </row>
    <row r="16" spans="1:16">
      <c r="E16" s="1118" t="s">
        <v>1488</v>
      </c>
      <c r="F16" s="1129">
        <v>2024</v>
      </c>
      <c r="G16" s="1129" t="s">
        <v>27</v>
      </c>
      <c r="H16" s="1130">
        <v>145.1175264</v>
      </c>
      <c r="I16" s="1130">
        <v>4.0823999999999999E-3</v>
      </c>
      <c r="J16" s="1130">
        <v>4.5360000000000002E-4</v>
      </c>
      <c r="K16" s="1130">
        <v>145.376532</v>
      </c>
      <c r="L16" s="1131">
        <f>H16+(I16*GWPs!$C$4)+(J16*GWPs!$C$5)</f>
        <v>145.36301472</v>
      </c>
      <c r="M16" s="1132">
        <f t="shared" si="0"/>
        <v>1.4536301471999998E-4</v>
      </c>
    </row>
    <row r="17" spans="5:13">
      <c r="E17" s="1118" t="s">
        <v>1489</v>
      </c>
      <c r="F17" s="1129">
        <v>2024</v>
      </c>
      <c r="G17" s="1129" t="s">
        <v>1544</v>
      </c>
      <c r="H17" s="1130">
        <v>204.12317519999999</v>
      </c>
      <c r="I17" s="1130">
        <v>1.8144E-2</v>
      </c>
      <c r="J17" s="1130">
        <v>2.7215999999999998E-3</v>
      </c>
      <c r="K17" s="1130">
        <v>205.38372960000001</v>
      </c>
      <c r="L17" s="1131">
        <f>H17+(I17*GWPs!$C$4)+(J17*GWPs!$C$5)</f>
        <v>205.40686319999998</v>
      </c>
      <c r="M17" s="1132">
        <f t="shared" si="0"/>
        <v>2.0540686319999997E-4</v>
      </c>
    </row>
    <row r="18" spans="5:13">
      <c r="E18" s="1118" t="s">
        <v>1490</v>
      </c>
      <c r="F18" s="1129">
        <v>2024</v>
      </c>
      <c r="G18" s="1129" t="s">
        <v>1545</v>
      </c>
      <c r="H18" s="1130">
        <v>622.23940800000003</v>
      </c>
      <c r="I18" s="1130">
        <v>5.26176E-2</v>
      </c>
      <c r="J18" s="1130">
        <v>7.7111999999999997E-3</v>
      </c>
      <c r="K18" s="1130">
        <v>625.8509712</v>
      </c>
      <c r="L18" s="1131">
        <f>H18+(I18*GWPs!$C$4)+(J18*GWPs!$C$5)</f>
        <v>625.91257008000002</v>
      </c>
      <c r="M18" s="1132">
        <f t="shared" si="0"/>
        <v>6.2591257007999998E-4</v>
      </c>
    </row>
    <row r="19" spans="5:13">
      <c r="E19" s="1118" t="s">
        <v>1492</v>
      </c>
      <c r="F19" s="1129">
        <v>2024</v>
      </c>
      <c r="G19" s="1129" t="s">
        <v>1546</v>
      </c>
      <c r="H19" s="1130">
        <v>290.08218959999999</v>
      </c>
      <c r="I19" s="1130">
        <v>2.9484E-2</v>
      </c>
      <c r="J19" s="1130">
        <v>4.0823999999999999E-3</v>
      </c>
      <c r="K19" s="1130">
        <v>292.13291520000001</v>
      </c>
      <c r="L19" s="1131">
        <f>H19+(I19*GWPs!$C$4)+(J19*GWPs!$C$5)</f>
        <v>292.07530800000001</v>
      </c>
      <c r="M19" s="1132">
        <f t="shared" si="0"/>
        <v>2.92075308E-4</v>
      </c>
    </row>
    <row r="20" spans="5:13">
      <c r="E20" s="1118" t="s">
        <v>1493</v>
      </c>
      <c r="F20" s="1129">
        <v>2024</v>
      </c>
      <c r="G20" s="1129" t="s">
        <v>1547</v>
      </c>
      <c r="H20" s="1130">
        <v>783.0328968</v>
      </c>
      <c r="I20" s="1130">
        <v>8.0287200000000003E-2</v>
      </c>
      <c r="J20" s="1130">
        <v>1.17936E-2</v>
      </c>
      <c r="K20" s="1130">
        <v>788.59630079999999</v>
      </c>
      <c r="L20" s="1131">
        <f>H20+(I20*GWPs!$C$4)+(J20*GWPs!$C$5)</f>
        <v>788.64510815999995</v>
      </c>
      <c r="M20" s="1132">
        <f t="shared" si="0"/>
        <v>7.8864510815999998E-4</v>
      </c>
    </row>
    <row r="21" spans="5:13">
      <c r="E21" s="1118" t="s">
        <v>1494</v>
      </c>
      <c r="F21" s="1129">
        <v>2024</v>
      </c>
      <c r="G21" s="1129" t="s">
        <v>1548</v>
      </c>
      <c r="H21" s="1130">
        <v>329.50456559999998</v>
      </c>
      <c r="I21" s="1130">
        <v>9.9792000000000006E-3</v>
      </c>
      <c r="J21" s="1130">
        <v>1.3607999999999999E-3</v>
      </c>
      <c r="K21" s="1130">
        <v>330.16455359999998</v>
      </c>
      <c r="L21" s="1131">
        <f>H21+(I21*GWPs!$C$4)+(J21*GWPs!$C$5)</f>
        <v>330.17344415999997</v>
      </c>
      <c r="M21" s="1132">
        <f t="shared" si="0"/>
        <v>3.3017344415999997E-4</v>
      </c>
    </row>
    <row r="22" spans="5:13">
      <c r="E22" s="1118" t="s">
        <v>1497</v>
      </c>
      <c r="F22" s="1129">
        <v>2024</v>
      </c>
      <c r="G22" s="1129" t="s">
        <v>1549</v>
      </c>
      <c r="H22" s="1130">
        <v>385.48424879999999</v>
      </c>
      <c r="I22" s="1130">
        <v>5.3978400000000003E-2</v>
      </c>
      <c r="J22" s="1130">
        <v>6.8040000000000002E-3</v>
      </c>
      <c r="K22" s="1130">
        <v>388.9928448</v>
      </c>
      <c r="L22" s="1131">
        <f>H22+(I22*GWPs!$C$4)+(J22*GWPs!$C$5)</f>
        <v>388.95029711999996</v>
      </c>
      <c r="M22" s="1132">
        <f t="shared" si="0"/>
        <v>3.8895029711999998E-4</v>
      </c>
    </row>
    <row r="23" spans="5:13">
      <c r="E23" s="1118" t="s">
        <v>1496</v>
      </c>
      <c r="F23" s="1129">
        <v>2024</v>
      </c>
      <c r="G23" s="1129" t="s">
        <v>1550</v>
      </c>
      <c r="H23" s="1130">
        <v>254.69186400000001</v>
      </c>
      <c r="I23" s="1130">
        <v>1.9504799999999999E-2</v>
      </c>
      <c r="J23" s="1130">
        <v>2.7215999999999998E-3</v>
      </c>
      <c r="K23" s="1130">
        <v>255.99505679999999</v>
      </c>
      <c r="L23" s="1131">
        <f>H23+(I23*GWPs!$C$4)+(J23*GWPs!$C$5)</f>
        <v>256.01610384000003</v>
      </c>
      <c r="M23" s="1132">
        <f t="shared" si="0"/>
        <v>2.5601610384000004E-4</v>
      </c>
    </row>
    <row r="24" spans="5:13">
      <c r="E24" s="1118" t="s">
        <v>1495</v>
      </c>
      <c r="F24" s="1129">
        <v>2024</v>
      </c>
      <c r="G24" s="1129" t="s">
        <v>1551</v>
      </c>
      <c r="H24" s="1130">
        <v>180.44253359999999</v>
      </c>
      <c r="I24" s="1130">
        <v>3.3112799999999998E-2</v>
      </c>
      <c r="J24" s="1130">
        <v>4.5360000000000001E-3</v>
      </c>
      <c r="K24" s="1130">
        <v>182.70418319999999</v>
      </c>
      <c r="L24" s="1131">
        <f>H24+(I24*GWPs!$C$4)+(J24*GWPs!$C$5)</f>
        <v>182.66762304</v>
      </c>
      <c r="M24" s="1132">
        <f t="shared" si="0"/>
        <v>1.8266762304000001E-4</v>
      </c>
    </row>
    <row r="25" spans="5:13">
      <c r="E25" s="1118" t="s">
        <v>1498</v>
      </c>
      <c r="F25" s="1129">
        <v>2024</v>
      </c>
      <c r="G25" s="1129" t="s">
        <v>1552</v>
      </c>
      <c r="H25" s="1130">
        <v>368.96821920000002</v>
      </c>
      <c r="I25" s="1130">
        <v>3.1752000000000002E-2</v>
      </c>
      <c r="J25" s="1130">
        <v>4.5360000000000001E-3</v>
      </c>
      <c r="K25" s="1130">
        <v>371.12145839999999</v>
      </c>
      <c r="L25" s="1131">
        <f>H25+(I25*GWPs!$C$4)+(J25*GWPs!$C$5)</f>
        <v>371.15275680000002</v>
      </c>
      <c r="M25" s="1132">
        <f t="shared" si="0"/>
        <v>3.7115275680000003E-4</v>
      </c>
    </row>
    <row r="26" spans="5:13">
      <c r="E26" s="1118" t="s">
        <v>1499</v>
      </c>
      <c r="F26" s="1129">
        <v>2024</v>
      </c>
      <c r="G26" s="1129" t="s">
        <v>1553</v>
      </c>
      <c r="H26" s="1130">
        <v>317.093616</v>
      </c>
      <c r="I26" s="1130">
        <v>2.9937600000000002E-2</v>
      </c>
      <c r="J26" s="1130">
        <v>4.0823999999999999E-3</v>
      </c>
      <c r="K26" s="1130">
        <v>319.15205279999998</v>
      </c>
      <c r="L26" s="1131">
        <f>H26+(I26*GWPs!$C$4)+(J26*GWPs!$C$5)</f>
        <v>319.10025168000004</v>
      </c>
      <c r="M26" s="1132">
        <f t="shared" si="0"/>
        <v>3.1910025168000003E-4</v>
      </c>
    </row>
    <row r="27" spans="5:13">
      <c r="E27" s="1118" t="s">
        <v>1501</v>
      </c>
      <c r="F27" s="1129">
        <v>2024</v>
      </c>
      <c r="G27" s="1129" t="s">
        <v>1554</v>
      </c>
      <c r="H27" s="1130">
        <v>631.15673040000001</v>
      </c>
      <c r="I27" s="1130">
        <v>6.8040000000000003E-2</v>
      </c>
      <c r="J27" s="1130">
        <v>9.9792000000000006E-3</v>
      </c>
      <c r="K27" s="1130">
        <v>635.8732632</v>
      </c>
      <c r="L27" s="1131">
        <f>H27+(I27*GWPs!$C$4)+(J27*GWPs!$C$5)</f>
        <v>635.90864400000009</v>
      </c>
      <c r="M27" s="1132">
        <f t="shared" si="0"/>
        <v>6.3590864400000005E-4</v>
      </c>
    </row>
    <row r="28" spans="5:13">
      <c r="E28" s="1118" t="s">
        <v>1500</v>
      </c>
      <c r="F28" s="1129">
        <v>2024</v>
      </c>
      <c r="G28" s="1129" t="s">
        <v>1555</v>
      </c>
      <c r="H28" s="1130">
        <v>361.05199199999998</v>
      </c>
      <c r="I28" s="1130">
        <v>1.17936E-2</v>
      </c>
      <c r="J28" s="1130">
        <v>1.3607999999999999E-3</v>
      </c>
      <c r="K28" s="1130">
        <v>361.82583360000001</v>
      </c>
      <c r="L28" s="1131">
        <f>H28+(I28*GWPs!$C$4)+(J28*GWPs!$C$5)</f>
        <v>361.77493967999999</v>
      </c>
      <c r="M28" s="1132">
        <f t="shared" si="0"/>
        <v>3.6177493967999997E-4</v>
      </c>
    </row>
    <row r="29" spans="5:13">
      <c r="E29" s="1118" t="s">
        <v>1502</v>
      </c>
      <c r="F29" s="1129">
        <v>2024</v>
      </c>
      <c r="G29" s="1129" t="s">
        <v>1556</v>
      </c>
      <c r="H29" s="1130">
        <v>410.09386319999999</v>
      </c>
      <c r="I29" s="1130">
        <v>4.5359999999999998E-2</v>
      </c>
      <c r="J29" s="1130">
        <v>6.8040000000000002E-3</v>
      </c>
      <c r="K29" s="1130">
        <v>413.24230080000001</v>
      </c>
      <c r="L29" s="1131">
        <f>H29+(I29*GWPs!$C$4)+(J29*GWPs!$C$5)</f>
        <v>413.30308319999995</v>
      </c>
      <c r="M29" s="1132">
        <f t="shared" si="0"/>
        <v>4.1330308319999996E-4</v>
      </c>
    </row>
    <row r="30" spans="5:13">
      <c r="E30" s="1118" t="s">
        <v>1509</v>
      </c>
      <c r="F30" s="1129">
        <v>2024</v>
      </c>
      <c r="G30" s="1129" t="s">
        <v>1557</v>
      </c>
      <c r="H30" s="1130">
        <v>305.1952344</v>
      </c>
      <c r="I30" s="1130">
        <v>1.8597599999999999E-2</v>
      </c>
      <c r="J30" s="1130">
        <v>2.7215999999999998E-3</v>
      </c>
      <c r="K30" s="1130">
        <v>306.4630464</v>
      </c>
      <c r="L30" s="1131">
        <f>H30+(I30*GWPs!$C$4)+(J30*GWPs!$C$5)</f>
        <v>306.49243968000002</v>
      </c>
      <c r="M30" s="1132">
        <f t="shared" si="0"/>
        <v>3.0649243968000004E-4</v>
      </c>
    </row>
    <row r="31" spans="5:13">
      <c r="E31" s="1118" t="s">
        <v>1510</v>
      </c>
      <c r="F31" s="1129">
        <v>2024</v>
      </c>
      <c r="G31" s="1129" t="s">
        <v>1558</v>
      </c>
      <c r="H31" s="1130">
        <v>601.84464479999997</v>
      </c>
      <c r="I31" s="1130">
        <v>6.5771999999999997E-2</v>
      </c>
      <c r="J31" s="1130">
        <v>9.5256000000000004E-3</v>
      </c>
      <c r="K31" s="1130">
        <v>606.40060319999998</v>
      </c>
      <c r="L31" s="1131">
        <f>H31+(I31*GWPs!$C$4)+(J31*GWPs!$C$5)</f>
        <v>606.40513920000001</v>
      </c>
      <c r="M31" s="1132">
        <f t="shared" si="0"/>
        <v>6.0640513920000002E-4</v>
      </c>
    </row>
    <row r="32" spans="5:13">
      <c r="E32" s="1118" t="s">
        <v>1503</v>
      </c>
      <c r="F32" s="1129">
        <v>2024</v>
      </c>
      <c r="G32" s="1129" t="s">
        <v>1559</v>
      </c>
      <c r="H32" s="1130">
        <v>448.6902336</v>
      </c>
      <c r="I32" s="1130">
        <v>5.08032E-2</v>
      </c>
      <c r="J32" s="1130">
        <v>7.2576000000000003E-3</v>
      </c>
      <c r="K32" s="1130">
        <v>452.22740640000001</v>
      </c>
      <c r="L32" s="1131">
        <f>H32+(I32*GWPs!$C$4)+(J32*GWPs!$C$5)</f>
        <v>452.18549375999999</v>
      </c>
      <c r="M32" s="1132">
        <f t="shared" si="0"/>
        <v>4.5218549375999998E-4</v>
      </c>
    </row>
    <row r="33" spans="5:13">
      <c r="E33" s="1118" t="s">
        <v>1505</v>
      </c>
      <c r="F33" s="1129">
        <v>2024</v>
      </c>
      <c r="G33" s="1129" t="s">
        <v>1560</v>
      </c>
      <c r="H33" s="1130">
        <v>132.53330159999999</v>
      </c>
      <c r="I33" s="1130">
        <v>2.22264E-2</v>
      </c>
      <c r="J33" s="1130">
        <v>2.7215999999999998E-3</v>
      </c>
      <c r="K33" s="1130">
        <v>133.9712136</v>
      </c>
      <c r="L33" s="1131">
        <f>H33+(I33*GWPs!$C$4)+(J33*GWPs!$C$5)</f>
        <v>133.93864511999996</v>
      </c>
      <c r="M33" s="1132">
        <f t="shared" si="0"/>
        <v>1.3393864511999996E-4</v>
      </c>
    </row>
    <row r="34" spans="5:13">
      <c r="E34" s="1118" t="s">
        <v>1506</v>
      </c>
      <c r="F34" s="1129">
        <v>2024</v>
      </c>
      <c r="G34" s="1129" t="s">
        <v>1561</v>
      </c>
      <c r="H34" s="1130">
        <v>206.27913599999999</v>
      </c>
      <c r="I34" s="1130">
        <v>1.4515200000000001E-2</v>
      </c>
      <c r="J34" s="1130">
        <v>1.8144000000000001E-3</v>
      </c>
      <c r="K34" s="1130">
        <v>207.2049336</v>
      </c>
      <c r="L34" s="1131">
        <f>H34+(I34*GWPs!$C$4)+(J34*GWPs!$C$5)</f>
        <v>207.20702016000001</v>
      </c>
      <c r="M34" s="1132">
        <f t="shared" si="0"/>
        <v>2.0720702016000002E-4</v>
      </c>
    </row>
    <row r="35" spans="5:13">
      <c r="E35" s="1118" t="s">
        <v>1507</v>
      </c>
      <c r="F35" s="1129">
        <v>2024</v>
      </c>
      <c r="G35" s="1129" t="s">
        <v>1562</v>
      </c>
      <c r="H35" s="1130">
        <v>346.1584896</v>
      </c>
      <c r="I35" s="1130">
        <v>2.5855199999999998E-2</v>
      </c>
      <c r="J35" s="1130">
        <v>3.6288000000000002E-3</v>
      </c>
      <c r="K35" s="1130">
        <v>347.9343336</v>
      </c>
      <c r="L35" s="1131">
        <f>H35+(I35*GWPs!$C$4)+(J35*GWPs!$C$5)</f>
        <v>347.91963695999999</v>
      </c>
      <c r="M35" s="1132">
        <f t="shared" si="0"/>
        <v>3.4791963696000002E-4</v>
      </c>
    </row>
    <row r="36" spans="5:13">
      <c r="E36" s="1118" t="s">
        <v>1504</v>
      </c>
      <c r="F36" s="1129">
        <v>2024</v>
      </c>
      <c r="G36" s="1129" t="s">
        <v>1563</v>
      </c>
      <c r="H36" s="1130">
        <v>277.11694080000001</v>
      </c>
      <c r="I36" s="1130">
        <v>1.0886399999999999E-2</v>
      </c>
      <c r="J36" s="1130">
        <v>1.3607999999999999E-3</v>
      </c>
      <c r="K36" s="1130">
        <v>277.83136080000003</v>
      </c>
      <c r="L36" s="1131">
        <f>H36+(I36*GWPs!$C$4)+(J36*GWPs!$C$5)</f>
        <v>277.81285392000001</v>
      </c>
      <c r="M36" s="1132">
        <f t="shared" si="0"/>
        <v>2.7781285392000003E-4</v>
      </c>
    </row>
    <row r="37" spans="5:13">
      <c r="E37" s="1118" t="s">
        <v>1508</v>
      </c>
      <c r="F37" s="1129">
        <v>2024</v>
      </c>
      <c r="G37" s="1129" t="s">
        <v>1564</v>
      </c>
      <c r="H37" s="1130">
        <v>218.42064719999999</v>
      </c>
      <c r="I37" s="1130">
        <v>1.0886399999999999E-2</v>
      </c>
      <c r="J37" s="1130">
        <v>1.3607999999999999E-3</v>
      </c>
      <c r="K37" s="1130">
        <v>219.1033152</v>
      </c>
      <c r="L37" s="1131">
        <f>H37+(I37*GWPs!$C$4)+(J37*GWPs!$C$5)</f>
        <v>219.11656031999999</v>
      </c>
      <c r="M37" s="1132">
        <f t="shared" si="0"/>
        <v>2.1911656032E-4</v>
      </c>
    </row>
    <row r="38" spans="5:13">
      <c r="E38" s="1118" t="s">
        <v>1396</v>
      </c>
      <c r="F38" s="1129">
        <v>2024</v>
      </c>
      <c r="G38" s="1129" t="s">
        <v>1565</v>
      </c>
      <c r="H38" s="1130">
        <v>468.36014399999999</v>
      </c>
      <c r="I38" s="1130">
        <v>2.8576799999999999E-2</v>
      </c>
      <c r="J38" s="1130">
        <v>4.0823999999999999E-3</v>
      </c>
      <c r="K38" s="1130">
        <v>470.29701599999999</v>
      </c>
      <c r="L38" s="1131">
        <f>H38+(I38*GWPs!$C$4)+(J38*GWPs!$C$5)</f>
        <v>470.32622784</v>
      </c>
      <c r="M38" s="1132">
        <f t="shared" si="0"/>
        <v>4.7032622783999998E-4</v>
      </c>
    </row>
    <row r="39" spans="5:13">
      <c r="E39" s="1118" t="s">
        <v>1511</v>
      </c>
      <c r="F39" s="1129">
        <v>2024</v>
      </c>
      <c r="G39" s="1129" t="s">
        <v>1566</v>
      </c>
      <c r="H39" s="1130">
        <v>298.69560000000001</v>
      </c>
      <c r="I39" s="1130">
        <v>1.31544E-2</v>
      </c>
      <c r="J39" s="1130">
        <v>1.8144000000000001E-3</v>
      </c>
      <c r="K39" s="1130">
        <v>299.54927520000001</v>
      </c>
      <c r="L39" s="1131">
        <f>H39+(I39*GWPs!$C$4)+(J39*GWPs!$C$5)</f>
        <v>299.58293232</v>
      </c>
      <c r="M39" s="1132">
        <f t="shared" si="0"/>
        <v>2.9958293232000002E-4</v>
      </c>
    </row>
    <row r="40" spans="5:13">
      <c r="E40" s="1118" t="s">
        <v>1512</v>
      </c>
      <c r="F40" s="1129">
        <v>2024</v>
      </c>
      <c r="G40" s="1129" t="s">
        <v>1567</v>
      </c>
      <c r="H40" s="1130">
        <v>168.1703856</v>
      </c>
      <c r="I40" s="1130">
        <v>6.8040000000000002E-3</v>
      </c>
      <c r="J40" s="1130">
        <v>9.0720000000000004E-4</v>
      </c>
      <c r="K40" s="1130">
        <v>168.5972232</v>
      </c>
      <c r="L40" s="1131">
        <f>H40+(I40*GWPs!$C$4)+(J40*GWPs!$C$5)</f>
        <v>168.62081040000001</v>
      </c>
      <c r="M40" s="1132">
        <f t="shared" si="0"/>
        <v>1.686208104E-4</v>
      </c>
    </row>
    <row r="41" spans="5:13">
      <c r="E41" s="1118" t="s">
        <v>1513</v>
      </c>
      <c r="F41" s="1129">
        <v>2024</v>
      </c>
      <c r="G41" s="1129" t="s">
        <v>1568</v>
      </c>
      <c r="H41" s="1130">
        <v>297.12614400000001</v>
      </c>
      <c r="I41" s="1130">
        <v>1.4968800000000001E-2</v>
      </c>
      <c r="J41" s="1130">
        <v>1.8144000000000001E-3</v>
      </c>
      <c r="K41" s="1130">
        <v>298.10047680000002</v>
      </c>
      <c r="L41" s="1131">
        <f>H41+(I41*GWPs!$C$4)+(J41*GWPs!$C$5)</f>
        <v>298.06754544</v>
      </c>
      <c r="M41" s="1132">
        <f t="shared" si="0"/>
        <v>2.9806754544000003E-4</v>
      </c>
    </row>
    <row r="42" spans="5:13">
      <c r="E42" s="1118" t="s">
        <v>3924</v>
      </c>
      <c r="F42" s="1129">
        <v>2024</v>
      </c>
      <c r="G42" s="1129" t="s">
        <v>3923</v>
      </c>
      <c r="H42" s="1130">
        <v>723.25431360000005</v>
      </c>
      <c r="I42" s="1130">
        <v>3.8556E-2</v>
      </c>
      <c r="J42" s="1130">
        <v>6.3504E-3</v>
      </c>
      <c r="K42" s="1130">
        <v>726.09203520000005</v>
      </c>
      <c r="L42" s="1131">
        <f>H42+(I42*GWPs!$C$4)+(J42*GWPs!$C$5)</f>
        <v>726.13694160000011</v>
      </c>
      <c r="M42" s="1132">
        <f t="shared" si="0"/>
        <v>7.2613694160000007E-4</v>
      </c>
    </row>
    <row r="43" spans="5:13">
      <c r="E43" s="1118" t="s">
        <v>1514</v>
      </c>
      <c r="F43" s="1129">
        <v>2024</v>
      </c>
      <c r="G43" s="1129" t="s">
        <v>1569</v>
      </c>
      <c r="H43" s="1130">
        <v>372.41058959999998</v>
      </c>
      <c r="I43" s="1130">
        <v>7.2576000000000003E-3</v>
      </c>
      <c r="J43" s="1130">
        <v>9.0720000000000004E-4</v>
      </c>
      <c r="K43" s="1130">
        <v>372.8238192</v>
      </c>
      <c r="L43" s="1131">
        <f>H43+(I43*GWPs!$C$4)+(J43*GWPs!$C$5)</f>
        <v>372.87453167999996</v>
      </c>
      <c r="M43" s="1132">
        <f t="shared" si="0"/>
        <v>3.7287453167999998E-4</v>
      </c>
    </row>
    <row r="44" spans="5:13">
      <c r="E44" s="1118" t="s">
        <v>1515</v>
      </c>
      <c r="F44" s="1129">
        <v>2024</v>
      </c>
      <c r="G44" s="1129" t="s">
        <v>1570</v>
      </c>
      <c r="H44" s="1130">
        <v>269.7541056</v>
      </c>
      <c r="I44" s="1130">
        <v>2.4040800000000001E-2</v>
      </c>
      <c r="J44" s="1130">
        <v>3.6288000000000002E-3</v>
      </c>
      <c r="K44" s="1130">
        <v>271.42290000000003</v>
      </c>
      <c r="L44" s="1131">
        <f>H44+(I44*GWPs!$C$4)+(J44*GWPs!$C$5)</f>
        <v>271.46118384000005</v>
      </c>
      <c r="M44" s="1132">
        <f t="shared" si="0"/>
        <v>2.7146118384000005E-4</v>
      </c>
    </row>
    <row r="45" spans="5:13">
      <c r="E45" s="1118" t="s">
        <v>1516</v>
      </c>
      <c r="F45" s="1129">
        <v>2024</v>
      </c>
      <c r="G45" s="1129" t="s">
        <v>1571</v>
      </c>
      <c r="H45" s="1130">
        <v>138.98031839999999</v>
      </c>
      <c r="I45" s="1130">
        <v>9.5256000000000004E-3</v>
      </c>
      <c r="J45" s="1130">
        <v>1.3607999999999999E-3</v>
      </c>
      <c r="K45" s="1130">
        <v>139.62034800000001</v>
      </c>
      <c r="L45" s="1131">
        <f>H45+(I45*GWPs!$C$4)+(J45*GWPs!$C$5)</f>
        <v>139.63567967999998</v>
      </c>
      <c r="M45" s="1132">
        <f t="shared" si="0"/>
        <v>1.3963567967999999E-4</v>
      </c>
    </row>
    <row r="46" spans="5:13">
      <c r="E46" s="1118" t="s">
        <v>1517</v>
      </c>
      <c r="F46" s="1129">
        <v>2024</v>
      </c>
      <c r="G46" s="1129" t="s">
        <v>1572</v>
      </c>
      <c r="H46" s="1130">
        <v>328.09160159999999</v>
      </c>
      <c r="I46" s="1130">
        <v>2.9030400000000001E-2</v>
      </c>
      <c r="J46" s="1130">
        <v>4.0823999999999999E-3</v>
      </c>
      <c r="K46" s="1130">
        <v>330.08472</v>
      </c>
      <c r="L46" s="1131">
        <f>H46+(I46*GWPs!$C$4)+(J46*GWPs!$C$5)</f>
        <v>330.07120272000003</v>
      </c>
      <c r="M46" s="1132">
        <f t="shared" si="0"/>
        <v>3.3007120272000005E-4</v>
      </c>
    </row>
    <row r="47" spans="5:13">
      <c r="E47" s="1118" t="s">
        <v>1518</v>
      </c>
      <c r="F47" s="1129">
        <v>2024</v>
      </c>
      <c r="G47" s="1129" t="s">
        <v>1573</v>
      </c>
      <c r="H47" s="1130">
        <v>334.96091999999999</v>
      </c>
      <c r="I47" s="1130">
        <v>1.8597599999999999E-2</v>
      </c>
      <c r="J47" s="1130">
        <v>2.7215999999999998E-3</v>
      </c>
      <c r="K47" s="1130">
        <v>336.206052</v>
      </c>
      <c r="L47" s="1131">
        <f>H47+(I47*GWPs!$C$4)+(J47*GWPs!$C$5)</f>
        <v>336.25812528</v>
      </c>
      <c r="M47" s="1132">
        <f t="shared" si="0"/>
        <v>3.3625812528E-4</v>
      </c>
    </row>
    <row r="48" spans="5:13">
      <c r="E48" s="1118" t="s">
        <v>1519</v>
      </c>
      <c r="F48" s="1129">
        <v>2024</v>
      </c>
      <c r="G48" s="1129" t="s">
        <v>1574</v>
      </c>
      <c r="H48" s="1130">
        <v>603.32564879999995</v>
      </c>
      <c r="I48" s="1130">
        <v>5.67E-2</v>
      </c>
      <c r="J48" s="1130">
        <v>8.1647999999999998E-3</v>
      </c>
      <c r="K48" s="1130">
        <v>607.22343360000002</v>
      </c>
      <c r="L48" s="1131">
        <f>H48+(I48*GWPs!$C$4)+(J48*GWPs!$C$5)</f>
        <v>607.2442992</v>
      </c>
      <c r="M48" s="1132">
        <f t="shared" si="0"/>
        <v>6.0724429920000001E-4</v>
      </c>
    </row>
    <row r="49" spans="5:13">
      <c r="E49" s="1118" t="s">
        <v>1521</v>
      </c>
      <c r="F49" s="1129">
        <v>2024</v>
      </c>
      <c r="G49" s="1129" t="s">
        <v>1575</v>
      </c>
      <c r="H49" s="1130">
        <v>264.42657359999998</v>
      </c>
      <c r="I49" s="1130">
        <v>1.9051200000000001E-2</v>
      </c>
      <c r="J49" s="1130">
        <v>2.2680000000000001E-3</v>
      </c>
      <c r="K49" s="1130">
        <v>265.66853040000001</v>
      </c>
      <c r="L49" s="1131">
        <f>H49+(I49*GWPs!$C$4)+(J49*GWPs!$C$5)</f>
        <v>265.61346335999997</v>
      </c>
      <c r="M49" s="1132">
        <f t="shared" si="0"/>
        <v>2.6561346335999999E-4</v>
      </c>
    </row>
    <row r="50" spans="5:13">
      <c r="E50" s="1118" t="s">
        <v>1520</v>
      </c>
      <c r="F50" s="1129">
        <v>2024</v>
      </c>
      <c r="G50" s="1129" t="s">
        <v>1576</v>
      </c>
      <c r="H50" s="1130">
        <v>21.1767696</v>
      </c>
      <c r="I50" s="1130">
        <v>7.5751200000000005E-2</v>
      </c>
      <c r="J50" s="1130">
        <v>9.9792000000000006E-3</v>
      </c>
      <c r="K50" s="1130">
        <v>26.162287200000002</v>
      </c>
      <c r="L50" s="1131">
        <f>H50+(I50*GWPs!$C$4)+(J50*GWPs!$C$5)</f>
        <v>26.158476959999998</v>
      </c>
      <c r="M50" s="1132">
        <f t="shared" si="0"/>
        <v>2.6158476959999998E-5</v>
      </c>
    </row>
    <row r="51" spans="5:13">
      <c r="E51" s="1118" t="s">
        <v>1522</v>
      </c>
      <c r="F51" s="1129">
        <v>2024</v>
      </c>
      <c r="G51" s="1129" t="s">
        <v>1577</v>
      </c>
      <c r="H51" s="1130">
        <v>103.1363928</v>
      </c>
      <c r="I51" s="1130">
        <v>8.1647999999999998E-3</v>
      </c>
      <c r="J51" s="1130">
        <v>9.0720000000000004E-4</v>
      </c>
      <c r="K51" s="1130">
        <v>103.6847952</v>
      </c>
      <c r="L51" s="1131">
        <f>H51+(I51*GWPs!$C$4)+(J51*GWPs!$C$5)</f>
        <v>103.62736944</v>
      </c>
      <c r="M51" s="1132">
        <f t="shared" si="0"/>
        <v>1.0362736944E-4</v>
      </c>
    </row>
    <row r="52" spans="5:13">
      <c r="E52" s="1118" t="s">
        <v>1524</v>
      </c>
      <c r="F52" s="1129">
        <v>2024</v>
      </c>
      <c r="G52" s="1129" t="s">
        <v>1578</v>
      </c>
      <c r="H52" s="1130">
        <v>506.39586480000003</v>
      </c>
      <c r="I52" s="1130">
        <v>4.1731200000000003E-2</v>
      </c>
      <c r="J52" s="1130">
        <v>5.8967999999999998E-3</v>
      </c>
      <c r="K52" s="1130">
        <v>509.25898799999999</v>
      </c>
      <c r="L52" s="1131">
        <f>H52+(I52*GWPs!$C$4)+(J52*GWPs!$C$5)</f>
        <v>509.24928096000002</v>
      </c>
      <c r="M52" s="1132">
        <f t="shared" si="0"/>
        <v>5.0924928095999998E-4</v>
      </c>
    </row>
    <row r="53" spans="5:13">
      <c r="E53" s="1118" t="s">
        <v>1523</v>
      </c>
      <c r="F53" s="1129">
        <v>2024</v>
      </c>
      <c r="G53" s="1129" t="s">
        <v>1579</v>
      </c>
      <c r="H53" s="1130">
        <v>876.12749280000003</v>
      </c>
      <c r="I53" s="1130">
        <v>9.7977599999999998E-2</v>
      </c>
      <c r="J53" s="1130">
        <v>1.40616E-2</v>
      </c>
      <c r="K53" s="1130">
        <v>882.92967839999994</v>
      </c>
      <c r="L53" s="1131">
        <f>H53+(I53*GWPs!$C$4)+(J53*GWPs!$C$5)</f>
        <v>882.88604208000004</v>
      </c>
      <c r="M53" s="1132">
        <f t="shared" si="0"/>
        <v>8.8288604208000001E-4</v>
      </c>
    </row>
    <row r="54" spans="5:13">
      <c r="E54" s="1118" t="s">
        <v>1525</v>
      </c>
      <c r="F54" s="1129">
        <v>2024</v>
      </c>
      <c r="G54" s="1129" t="s">
        <v>1580</v>
      </c>
      <c r="H54" s="1130">
        <v>753.32481840000003</v>
      </c>
      <c r="I54" s="1130">
        <v>7.6204800000000003E-2</v>
      </c>
      <c r="J54" s="1130">
        <v>1.0886399999999999E-2</v>
      </c>
      <c r="K54" s="1130">
        <v>758.6115264</v>
      </c>
      <c r="L54" s="1131">
        <f>H54+(I54*GWPs!$C$4)+(J54*GWPs!$C$5)</f>
        <v>758.56770863999998</v>
      </c>
      <c r="M54" s="1132">
        <f t="shared" si="0"/>
        <v>7.5856770864000001E-4</v>
      </c>
    </row>
  </sheetData>
  <sheetProtection sheet="1" objects="1" scenarios="1" selectLockedCells="1" selectUnlockedCells="1"/>
  <hyperlinks>
    <hyperlink ref="P5" r:id="rId1" xr:uid="{770F2A76-7F4D-4258-B627-0C6E148CF05A}"/>
    <hyperlink ref="P7" r:id="rId2" xr:uid="{A9099D19-91AB-4E9B-91CA-835E92F2136B}"/>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B101-26DE-40FF-85B2-96DCEDA8CEB4}">
  <sheetPr codeName="Sheet29"/>
  <dimension ref="A1:Q46"/>
  <sheetViews>
    <sheetView zoomScale="90" zoomScaleNormal="90" workbookViewId="0">
      <selection sqref="A1:XFD1048576"/>
    </sheetView>
  </sheetViews>
  <sheetFormatPr defaultColWidth="8.875" defaultRowHeight="14.25"/>
  <cols>
    <col min="1" max="1" width="8.875" style="30"/>
    <col min="2" max="2" width="23" style="30" customWidth="1"/>
    <col min="3" max="3" width="10.875" style="30" bestFit="1" customWidth="1"/>
    <col min="4" max="4" width="8.5" style="30" customWidth="1"/>
    <col min="5" max="5" width="12" style="30" customWidth="1"/>
    <col min="6" max="10" width="8.875" style="30"/>
    <col min="11" max="11" width="20.375" style="30" customWidth="1"/>
    <col min="12" max="12" width="14.5" style="30" bestFit="1" customWidth="1"/>
    <col min="13" max="13" width="13.75" style="30" customWidth="1"/>
    <col min="14" max="14" width="13.5" style="30" customWidth="1"/>
    <col min="15" max="15" width="15.125" style="30" customWidth="1"/>
    <col min="16" max="16" width="12.25" style="30" customWidth="1"/>
    <col min="17" max="16384" width="8.875" style="30"/>
  </cols>
  <sheetData>
    <row r="1" spans="1:17" ht="15.75">
      <c r="A1" s="1135" t="s">
        <v>1593</v>
      </c>
      <c r="B1" s="71"/>
      <c r="C1" s="71"/>
      <c r="D1" s="71"/>
      <c r="E1" s="71"/>
      <c r="F1" s="71"/>
      <c r="G1" s="71"/>
      <c r="H1" s="71"/>
      <c r="I1" s="71"/>
    </row>
    <row r="2" spans="1:17" ht="15">
      <c r="A2" s="71"/>
      <c r="B2" s="71"/>
      <c r="C2" s="71"/>
      <c r="D2" s="71"/>
      <c r="E2" s="71"/>
      <c r="F2" s="71"/>
      <c r="G2" s="71"/>
      <c r="H2" s="71"/>
      <c r="I2" s="71"/>
    </row>
    <row r="3" spans="1:17" ht="16.5" customHeight="1">
      <c r="A3" s="1136" t="s">
        <v>1594</v>
      </c>
      <c r="B3" s="71"/>
      <c r="C3" s="71"/>
      <c r="D3" s="71"/>
      <c r="E3" s="71"/>
      <c r="F3" s="71"/>
      <c r="G3" s="71"/>
      <c r="H3" s="71"/>
      <c r="I3" s="71"/>
    </row>
    <row r="4" spans="1:17" ht="15" customHeight="1">
      <c r="A4" s="1137" t="s">
        <v>1593</v>
      </c>
      <c r="B4" s="71"/>
      <c r="C4" s="71"/>
      <c r="D4" s="71"/>
      <c r="E4" s="71"/>
      <c r="F4" s="71"/>
      <c r="G4" s="71"/>
      <c r="H4" s="71"/>
      <c r="I4" s="71"/>
      <c r="J4" s="1138"/>
      <c r="K4" s="1139" t="s">
        <v>1601</v>
      </c>
    </row>
    <row r="5" spans="1:17" ht="16.5" thickBot="1">
      <c r="A5" s="71"/>
      <c r="B5" s="1140"/>
      <c r="C5" s="1140"/>
      <c r="D5" s="1141"/>
      <c r="E5" s="1141"/>
      <c r="F5" s="1141"/>
      <c r="G5" s="1141"/>
      <c r="H5" s="1141"/>
      <c r="I5" s="1141"/>
      <c r="J5" s="1142"/>
      <c r="P5" s="855"/>
    </row>
    <row r="6" spans="1:17" ht="38.25" customHeight="1" thickBot="1">
      <c r="A6" s="71"/>
      <c r="B6" s="1143"/>
      <c r="C6" s="1144" t="s">
        <v>4108</v>
      </c>
      <c r="D6" s="1143"/>
      <c r="E6" s="1143"/>
      <c r="F6" s="1143"/>
      <c r="G6" s="1143"/>
      <c r="H6" s="1143"/>
      <c r="I6" s="1145"/>
      <c r="K6" s="1146" t="s">
        <v>229</v>
      </c>
      <c r="L6" s="1146" t="s">
        <v>0</v>
      </c>
      <c r="M6" s="1147" t="s">
        <v>249</v>
      </c>
      <c r="N6" s="1148" t="s">
        <v>1603</v>
      </c>
      <c r="O6" s="1149" t="s">
        <v>1604</v>
      </c>
      <c r="P6" s="1149" t="s">
        <v>1605</v>
      </c>
    </row>
    <row r="7" spans="1:17" ht="16.5" thickBot="1">
      <c r="A7" s="71"/>
      <c r="B7" s="1150" t="s">
        <v>1595</v>
      </c>
      <c r="C7" s="1151">
        <v>23.8</v>
      </c>
      <c r="D7" s="71"/>
      <c r="E7" s="71"/>
      <c r="F7" s="71"/>
      <c r="G7" s="71"/>
      <c r="H7" s="71"/>
      <c r="I7" s="71"/>
      <c r="K7" s="1577" t="s">
        <v>10</v>
      </c>
      <c r="L7" s="1147" t="s">
        <v>1607</v>
      </c>
      <c r="M7" s="1152">
        <v>2562.5744107382552</v>
      </c>
      <c r="N7" s="1152">
        <v>2557.5300000000002</v>
      </c>
      <c r="O7" s="1152">
        <v>3.8528000000000002</v>
      </c>
      <c r="P7" s="1152">
        <v>1.1916107382550336</v>
      </c>
    </row>
    <row r="8" spans="1:17" ht="16.5" thickBot="1">
      <c r="A8" s="71"/>
      <c r="B8" s="1153" t="s">
        <v>1596</v>
      </c>
      <c r="C8" s="1151">
        <v>28.8</v>
      </c>
      <c r="D8" s="71"/>
      <c r="E8" s="71"/>
      <c r="F8" s="71"/>
      <c r="G8" s="71"/>
      <c r="H8" s="71"/>
      <c r="I8" s="71"/>
      <c r="K8" s="1578"/>
      <c r="L8" s="1147" t="s">
        <v>253</v>
      </c>
      <c r="M8" s="1152">
        <v>2.0383903100671139</v>
      </c>
      <c r="N8" s="1154">
        <v>2.03437</v>
      </c>
      <c r="O8" s="1154">
        <v>3.0688E-3</v>
      </c>
      <c r="P8" s="1154">
        <v>9.5151006711409393E-4</v>
      </c>
    </row>
    <row r="9" spans="1:17" ht="16.5" thickBot="1">
      <c r="A9" s="71"/>
      <c r="B9" s="1153" t="s">
        <v>1597</v>
      </c>
      <c r="C9" s="1151">
        <v>17.399999999999999</v>
      </c>
      <c r="D9" s="71"/>
      <c r="E9" s="71"/>
      <c r="F9" s="71"/>
      <c r="G9" s="71"/>
      <c r="H9" s="71"/>
      <c r="I9" s="71"/>
      <c r="K9" s="1578"/>
      <c r="L9" s="1147" t="s">
        <v>1609</v>
      </c>
      <c r="M9" s="1152">
        <v>0.20267141879194631</v>
      </c>
      <c r="N9" s="1155">
        <v>0.20226</v>
      </c>
      <c r="O9" s="1155">
        <v>3.1359999999999998E-4</v>
      </c>
      <c r="P9" s="1155">
        <v>9.7818791946308734E-5</v>
      </c>
    </row>
    <row r="10" spans="1:17" ht="16.5" thickBot="1">
      <c r="A10" s="71"/>
      <c r="B10" s="1156" t="s">
        <v>1420</v>
      </c>
      <c r="C10" s="1151">
        <v>14.9</v>
      </c>
      <c r="D10" s="71"/>
      <c r="E10" s="71"/>
      <c r="F10" s="71"/>
      <c r="G10" s="71"/>
      <c r="H10" s="71"/>
      <c r="I10" s="71"/>
      <c r="K10" s="1579"/>
      <c r="L10" s="1147" t="s">
        <v>237</v>
      </c>
      <c r="M10" s="1152">
        <v>0.18292892617449666</v>
      </c>
      <c r="N10" s="1154">
        <v>0.18256</v>
      </c>
      <c r="O10" s="1154">
        <v>2.8000000000000003E-4</v>
      </c>
      <c r="P10" s="1154">
        <v>8.8926174496644302E-5</v>
      </c>
      <c r="Q10" s="853" t="s">
        <v>4107</v>
      </c>
    </row>
    <row r="11" spans="1:17" ht="15" customHeight="1" thickBot="1">
      <c r="A11" s="71"/>
      <c r="B11" s="1156" t="s">
        <v>1416</v>
      </c>
      <c r="C11" s="1151">
        <v>18.899999999999999</v>
      </c>
      <c r="D11" s="71"/>
      <c r="E11" s="71"/>
      <c r="F11" s="71"/>
      <c r="G11" s="71"/>
      <c r="H11" s="71"/>
      <c r="I11" s="71"/>
      <c r="K11" s="1580" t="s">
        <v>1614</v>
      </c>
      <c r="L11" s="1147" t="s">
        <v>1607</v>
      </c>
      <c r="M11" s="1152">
        <v>2581.9844107382551</v>
      </c>
      <c r="N11" s="1152">
        <v>2576.94</v>
      </c>
      <c r="O11" s="1152">
        <v>3.8528000000000002</v>
      </c>
      <c r="P11" s="1152">
        <v>1.1916107382550336</v>
      </c>
    </row>
    <row r="12" spans="1:17" ht="15.75" thickBot="1">
      <c r="A12" s="71"/>
      <c r="B12" s="1137"/>
      <c r="C12" s="71"/>
      <c r="D12" s="71"/>
      <c r="E12" s="71"/>
      <c r="F12" s="71"/>
      <c r="G12" s="71"/>
      <c r="H12" s="71"/>
      <c r="I12" s="71"/>
      <c r="K12" s="1581"/>
      <c r="L12" s="1147" t="s">
        <v>253</v>
      </c>
      <c r="M12" s="1152">
        <v>2.0538303100671138</v>
      </c>
      <c r="N12" s="1155">
        <v>2.0498099999999999</v>
      </c>
      <c r="O12" s="1155">
        <v>3.0688E-3</v>
      </c>
      <c r="P12" s="1155">
        <v>9.5151006711409393E-4</v>
      </c>
    </row>
    <row r="13" spans="1:17" ht="16.5" thickBot="1">
      <c r="A13" s="1136" t="s">
        <v>1598</v>
      </c>
      <c r="B13" s="71"/>
      <c r="C13" s="71"/>
      <c r="D13" s="71"/>
      <c r="E13" s="71"/>
      <c r="F13" s="71"/>
      <c r="G13" s="71"/>
      <c r="H13" s="71"/>
      <c r="I13" s="71"/>
      <c r="K13" s="1581"/>
      <c r="L13" s="1147" t="s">
        <v>1609</v>
      </c>
      <c r="M13" s="1152">
        <v>0.20420141879194631</v>
      </c>
      <c r="N13" s="1155">
        <v>0.20379</v>
      </c>
      <c r="O13" s="1155">
        <v>3.1359999999999998E-4</v>
      </c>
      <c r="P13" s="1155">
        <v>9.7818791946308734E-5</v>
      </c>
    </row>
    <row r="14" spans="1:17" ht="15.75" thickBot="1">
      <c r="A14" s="1137" t="s">
        <v>1593</v>
      </c>
      <c r="B14" s="71"/>
      <c r="C14" s="71"/>
      <c r="D14" s="71"/>
      <c r="E14" s="71"/>
      <c r="F14" s="71"/>
      <c r="G14" s="71"/>
      <c r="H14" s="71"/>
      <c r="I14" s="71"/>
      <c r="K14" s="1582"/>
      <c r="L14" s="1147" t="s">
        <v>237</v>
      </c>
      <c r="M14" s="1152">
        <v>0.18431892617449666</v>
      </c>
      <c r="N14" s="1155">
        <v>0.18395</v>
      </c>
      <c r="O14" s="1155">
        <v>2.8000000000000003E-4</v>
      </c>
      <c r="P14" s="1155">
        <v>8.8926174496644302E-5</v>
      </c>
    </row>
    <row r="15" spans="1:17" ht="16.5" thickBot="1">
      <c r="A15" s="71"/>
      <c r="B15" s="1157"/>
      <c r="C15" s="1141"/>
      <c r="D15" s="1141"/>
      <c r="E15" s="1141"/>
      <c r="F15" s="1141"/>
      <c r="G15" s="71"/>
      <c r="H15" s="71"/>
      <c r="I15" s="71"/>
      <c r="K15" s="1158"/>
      <c r="M15" s="1159"/>
      <c r="N15" s="1160"/>
      <c r="O15" s="1160"/>
      <c r="P15" s="1161"/>
    </row>
    <row r="16" spans="1:17" ht="36" thickBot="1">
      <c r="A16" s="71"/>
      <c r="B16" s="71"/>
      <c r="C16" s="1162" t="s">
        <v>1599</v>
      </c>
      <c r="D16" s="1144" t="s">
        <v>1600</v>
      </c>
      <c r="E16" s="71"/>
      <c r="F16" s="71"/>
      <c r="G16" s="71"/>
      <c r="H16" s="71"/>
      <c r="I16" s="71"/>
      <c r="M16" s="1148" t="s">
        <v>1615</v>
      </c>
      <c r="N16" s="1148" t="s">
        <v>1616</v>
      </c>
      <c r="O16" s="1149" t="s">
        <v>1617</v>
      </c>
      <c r="P16" s="1149" t="s">
        <v>1618</v>
      </c>
    </row>
    <row r="17" spans="1:17" ht="16.5" thickBot="1">
      <c r="A17" s="71"/>
      <c r="B17" s="1150" t="s">
        <v>1595</v>
      </c>
      <c r="C17" s="1163">
        <v>59.1</v>
      </c>
      <c r="D17" s="1164">
        <f>C17/$G$18</f>
        <v>0.61116856256463292</v>
      </c>
      <c r="E17" s="1165"/>
      <c r="F17" s="71"/>
      <c r="G17" s="71"/>
      <c r="H17" s="71"/>
      <c r="I17" s="71"/>
      <c r="K17" s="1147" t="s">
        <v>10</v>
      </c>
      <c r="L17" s="1147" t="s">
        <v>11</v>
      </c>
      <c r="M17" s="1166">
        <f>N17+(O17*GWPs!$C$4)+(P17*GWPs!$C$5)</f>
        <v>5.6155588102893121</v>
      </c>
      <c r="N17" s="1154">
        <f>N8/$L$32*$L$31</f>
        <v>5.6038619397845917</v>
      </c>
      <c r="O17" s="1154">
        <f>(O8/$L$32*$L$31)/GWPs!$O$5</f>
        <v>3.0190342395945241E-4</v>
      </c>
      <c r="P17" s="1154">
        <f>(P8/$L$32*$L$31)/GWPs!$O$6</f>
        <v>9.8906537389351766E-6</v>
      </c>
      <c r="Q17" s="30" t="s">
        <v>1619</v>
      </c>
    </row>
    <row r="18" spans="1:17" ht="16.5" thickBot="1">
      <c r="A18" s="71"/>
      <c r="B18" s="1153" t="s">
        <v>1596</v>
      </c>
      <c r="C18" s="1163">
        <v>77.900000000000006</v>
      </c>
      <c r="D18" s="1164">
        <f t="shared" ref="D18:D21" si="0">C18/$G$18</f>
        <v>0.80558428128231652</v>
      </c>
      <c r="E18" s="1165"/>
      <c r="F18" s="71" t="s">
        <v>4103</v>
      </c>
      <c r="G18" s="71">
        <v>96.7</v>
      </c>
      <c r="H18" s="1167" t="s">
        <v>4104</v>
      </c>
      <c r="I18" s="71"/>
      <c r="K18" s="1147" t="s">
        <v>10</v>
      </c>
      <c r="L18" s="1147" t="s">
        <v>11</v>
      </c>
      <c r="M18" s="1168">
        <f>N18+(O18*GWPs!$C$4)+(P18*GWPs!$C$5)</f>
        <v>5.3611178569786055</v>
      </c>
      <c r="N18" s="1154">
        <f>N10*Conversions!$D$30</f>
        <v>5.3503056976150605</v>
      </c>
      <c r="O18" s="1154">
        <f>O10*Conversions!$D$30/GWPs!$C$4</f>
        <v>2.75368803146491E-4</v>
      </c>
      <c r="P18" s="1154">
        <f>P10*Conversions!$D$30/GWPs!$C$5</f>
        <v>9.5464067024882422E-6</v>
      </c>
      <c r="Q18" s="30" t="s">
        <v>1620</v>
      </c>
    </row>
    <row r="19" spans="1:17" ht="16.5" thickBot="1">
      <c r="A19" s="71"/>
      <c r="B19" s="1153" t="s">
        <v>1597</v>
      </c>
      <c r="C19" s="1163">
        <v>27.8</v>
      </c>
      <c r="D19" s="1164">
        <f t="shared" si="0"/>
        <v>0.2874870734229576</v>
      </c>
      <c r="E19" s="1165"/>
      <c r="F19" s="71"/>
      <c r="G19" s="71"/>
      <c r="H19" s="71"/>
      <c r="I19" s="71"/>
      <c r="P19" s="1158"/>
    </row>
    <row r="20" spans="1:17" ht="33.75" thickBot="1">
      <c r="A20" s="71"/>
      <c r="B20" s="1156" t="s">
        <v>1420</v>
      </c>
      <c r="C20" s="1163">
        <v>19.2</v>
      </c>
      <c r="D20" s="1164">
        <f t="shared" si="0"/>
        <v>0.19855222337125128</v>
      </c>
      <c r="E20" s="1165"/>
      <c r="F20" s="71"/>
      <c r="G20" s="71"/>
      <c r="H20" s="71"/>
      <c r="I20" s="71"/>
      <c r="K20" s="855"/>
      <c r="M20" s="1148" t="s">
        <v>1621</v>
      </c>
      <c r="O20" s="1148" t="s">
        <v>4099</v>
      </c>
    </row>
    <row r="21" spans="1:17" ht="32.25" thickBot="1">
      <c r="A21" s="71"/>
      <c r="B21" s="1156" t="s">
        <v>1416</v>
      </c>
      <c r="C21" s="1163">
        <v>31.4</v>
      </c>
      <c r="D21" s="1164">
        <f t="shared" si="0"/>
        <v>0.32471561530506721</v>
      </c>
      <c r="E21" s="71"/>
      <c r="F21" s="71"/>
      <c r="G21" s="71"/>
      <c r="H21" s="71"/>
      <c r="I21" s="71"/>
      <c r="K21" s="1580" t="s">
        <v>10</v>
      </c>
      <c r="L21" s="1147" t="s">
        <v>1607</v>
      </c>
      <c r="M21" s="1169">
        <v>423.16368</v>
      </c>
    </row>
    <row r="22" spans="1:17" ht="15.75" thickBot="1">
      <c r="A22" s="71"/>
      <c r="B22" s="71"/>
      <c r="C22" s="71"/>
      <c r="D22" s="71"/>
      <c r="E22" s="71"/>
      <c r="F22" s="71"/>
      <c r="G22" s="71"/>
      <c r="H22" s="71"/>
      <c r="I22" s="71"/>
      <c r="K22" s="1581"/>
      <c r="L22" s="1147" t="s">
        <v>253</v>
      </c>
      <c r="M22" s="1170">
        <v>0.33660000000000001</v>
      </c>
      <c r="N22" s="1147" t="s">
        <v>11</v>
      </c>
      <c r="O22" s="1154">
        <f>M22/$L$32*$L$31</f>
        <v>0.92719609949590953</v>
      </c>
      <c r="Q22" s="30" t="s">
        <v>1619</v>
      </c>
    </row>
    <row r="23" spans="1:17" ht="15.75" thickBot="1">
      <c r="A23" s="71"/>
      <c r="B23" s="71"/>
      <c r="C23" s="71"/>
      <c r="D23" s="71"/>
      <c r="E23" s="71"/>
      <c r="F23" s="71"/>
      <c r="G23" s="71"/>
      <c r="H23" s="71"/>
      <c r="I23" s="71"/>
      <c r="K23" s="1581"/>
      <c r="L23" s="1147" t="s">
        <v>1609</v>
      </c>
      <c r="M23" s="1169">
        <v>3.347E-2</v>
      </c>
    </row>
    <row r="24" spans="1:17" ht="15.75" thickBot="1">
      <c r="A24" s="71"/>
      <c r="B24" s="71"/>
      <c r="C24" s="71"/>
      <c r="D24" s="71"/>
      <c r="E24" s="71"/>
      <c r="F24" s="71"/>
      <c r="G24" s="71"/>
      <c r="H24" s="71"/>
      <c r="I24" s="71"/>
      <c r="K24" s="1582"/>
      <c r="L24" s="1147" t="s">
        <v>237</v>
      </c>
      <c r="M24" s="1169">
        <v>3.0210000000000001E-2</v>
      </c>
      <c r="N24" s="1147" t="s">
        <v>11</v>
      </c>
      <c r="O24" s="1171">
        <f>M24*Conversions!$D$30</f>
        <v>0.88536774279662023</v>
      </c>
      <c r="Q24" s="30" t="s">
        <v>1620</v>
      </c>
    </row>
    <row r="25" spans="1:17" ht="29.25" customHeight="1" thickBot="1">
      <c r="I25" s="71"/>
      <c r="K25" s="1580" t="s">
        <v>1614</v>
      </c>
      <c r="L25" s="1147" t="s">
        <v>1607</v>
      </c>
      <c r="M25" s="1169">
        <v>423.16368</v>
      </c>
    </row>
    <row r="26" spans="1:17" ht="15.75" thickBot="1">
      <c r="I26" s="71"/>
      <c r="K26" s="1581"/>
      <c r="L26" s="1147" t="s">
        <v>253</v>
      </c>
      <c r="M26" s="1169">
        <v>0.33660000000000001</v>
      </c>
    </row>
    <row r="27" spans="1:17" ht="15.75" thickBot="1">
      <c r="I27" s="71"/>
      <c r="K27" s="1581"/>
      <c r="L27" s="1147" t="s">
        <v>1609</v>
      </c>
      <c r="M27" s="1169">
        <v>3.347E-2</v>
      </c>
    </row>
    <row r="28" spans="1:17" ht="15.75" thickBot="1">
      <c r="I28" s="71"/>
      <c r="K28" s="1582"/>
      <c r="L28" s="1147" t="s">
        <v>237</v>
      </c>
      <c r="M28" s="1169">
        <v>3.0210000000000001E-2</v>
      </c>
    </row>
    <row r="29" spans="1:17" ht="15">
      <c r="I29" s="71"/>
    </row>
    <row r="30" spans="1:17" ht="15">
      <c r="I30" s="71"/>
    </row>
    <row r="31" spans="1:17" ht="15" customHeight="1">
      <c r="I31" s="71"/>
      <c r="K31" s="280" t="s">
        <v>1622</v>
      </c>
      <c r="L31" s="51">
        <v>100</v>
      </c>
      <c r="M31" s="30" t="s">
        <v>1623</v>
      </c>
    </row>
    <row r="32" spans="1:17" ht="15">
      <c r="I32" s="71"/>
      <c r="K32" s="280" t="s">
        <v>1624</v>
      </c>
      <c r="L32" s="51">
        <v>36.302999999999997</v>
      </c>
      <c r="M32" s="30" t="s">
        <v>1623</v>
      </c>
    </row>
    <row r="33" spans="1:11" ht="15">
      <c r="I33" s="71"/>
      <c r="K33" s="1139" t="s">
        <v>1625</v>
      </c>
    </row>
    <row r="36" spans="1:11" ht="23.25">
      <c r="A36" s="1172" t="s">
        <v>4106</v>
      </c>
    </row>
    <row r="38" spans="1:11" ht="15">
      <c r="A38" s="71" t="s">
        <v>1602</v>
      </c>
      <c r="B38" s="71"/>
      <c r="C38" s="71"/>
      <c r="D38" s="71"/>
      <c r="E38" s="71"/>
      <c r="F38" s="71"/>
      <c r="G38" s="71"/>
      <c r="H38" s="71"/>
    </row>
    <row r="39" spans="1:11" ht="45.75">
      <c r="A39" s="71" t="s">
        <v>4071</v>
      </c>
      <c r="B39" s="71"/>
      <c r="C39" s="1173" t="s">
        <v>4100</v>
      </c>
      <c r="D39" s="1173" t="s">
        <v>4101</v>
      </c>
      <c r="E39" s="1173" t="s">
        <v>4102</v>
      </c>
      <c r="F39" s="71"/>
      <c r="G39" s="71"/>
      <c r="H39" s="71"/>
    </row>
    <row r="40" spans="1:11" ht="15">
      <c r="A40" s="1174" t="s">
        <v>1606</v>
      </c>
      <c r="B40" s="71"/>
      <c r="C40" s="1175">
        <v>53.06</v>
      </c>
      <c r="D40" s="1175">
        <v>1</v>
      </c>
      <c r="E40" s="1175">
        <v>0.1</v>
      </c>
      <c r="F40" s="71"/>
      <c r="G40" s="71"/>
      <c r="H40" s="71"/>
    </row>
    <row r="41" spans="1:11" ht="15">
      <c r="A41" s="1137" t="s">
        <v>1608</v>
      </c>
      <c r="B41" s="71"/>
      <c r="C41" s="71"/>
      <c r="D41" s="71"/>
      <c r="E41" s="71"/>
      <c r="F41" s="71"/>
      <c r="G41" s="71"/>
      <c r="H41" s="71"/>
    </row>
    <row r="42" spans="1:11" ht="15">
      <c r="A42" s="71"/>
      <c r="B42" s="71"/>
      <c r="C42" s="71"/>
      <c r="D42" s="71"/>
      <c r="E42" s="71"/>
      <c r="F42" s="71"/>
      <c r="G42" s="71"/>
      <c r="H42" s="71"/>
    </row>
    <row r="43" spans="1:11" ht="63">
      <c r="A43" s="71"/>
      <c r="B43" s="71"/>
      <c r="C43" s="1173" t="s">
        <v>1610</v>
      </c>
      <c r="D43" s="1173" t="s">
        <v>1611</v>
      </c>
      <c r="E43" s="1173" t="s">
        <v>1612</v>
      </c>
      <c r="F43" s="71"/>
      <c r="G43" s="1176" t="s">
        <v>1613</v>
      </c>
      <c r="H43" s="71"/>
    </row>
    <row r="44" spans="1:11" ht="15.75">
      <c r="A44" s="71"/>
      <c r="B44" s="71"/>
      <c r="C44" s="1175">
        <f>C40/$G$46</f>
        <v>5.306</v>
      </c>
      <c r="D44" s="1175">
        <f>D40/$G$46</f>
        <v>0.1</v>
      </c>
      <c r="E44" s="1175">
        <f>E40/$G$46</f>
        <v>0.01</v>
      </c>
      <c r="F44" s="71"/>
      <c r="G44" s="1177">
        <f>C44+(D44/1000*GWPs!$C$4)+(E44/1000*GWPs!$C$5)</f>
        <v>5.3117099999999997</v>
      </c>
      <c r="H44" s="71"/>
    </row>
    <row r="45" spans="1:11" ht="15" customHeight="1">
      <c r="A45" s="71"/>
      <c r="B45" s="71"/>
      <c r="C45" s="71"/>
      <c r="D45" s="71"/>
      <c r="E45" s="71"/>
      <c r="F45" s="71"/>
      <c r="G45" s="71"/>
      <c r="H45" s="71"/>
    </row>
    <row r="46" spans="1:11" ht="15">
      <c r="A46" s="71"/>
      <c r="B46" s="71"/>
      <c r="C46" s="71"/>
      <c r="D46" s="71"/>
      <c r="E46" s="71"/>
      <c r="F46" s="1178" t="s">
        <v>4105</v>
      </c>
      <c r="G46" s="71">
        <v>10</v>
      </c>
      <c r="H46" s="71" t="s">
        <v>11</v>
      </c>
    </row>
  </sheetData>
  <sheetProtection algorithmName="SHA-512" hashValue="RrNqCFb59O1Y2Np2OVOQWk6jPsOLiIUhVOczouNc76pOZNcBz59r94hocdLpYJliEzJ/0USfahHp+vm4iBfHLQ==" saltValue="sUL0Qzt6Zqdi0HFux3x61A==" spinCount="100000" sheet="1" objects="1" scenarios="1" selectLockedCells="1" selectUnlockedCells="1"/>
  <mergeCells count="4">
    <mergeCell ref="K7:K10"/>
    <mergeCell ref="K11:K14"/>
    <mergeCell ref="K21:K24"/>
    <mergeCell ref="K25:K28"/>
  </mergeCells>
  <hyperlinks>
    <hyperlink ref="A41" r:id="rId1" xr:uid="{6903C0CB-882C-48FA-BA26-1B9B4412AC36}"/>
    <hyperlink ref="A4" r:id="rId2" display="https://www.eia.gov/consumption/commercial/data/2018/index.php?view=consumption" xr:uid="{E835CEAD-FBB4-49E3-B027-895CE15D9AC9}"/>
    <hyperlink ref="A14" r:id="rId3" display="https://www.eia.gov/consumption/commercial/data/2018/index.php?view=consumption" xr:uid="{0568FB2D-C431-4B51-8718-2DF8033458EE}"/>
    <hyperlink ref="A1" r:id="rId4" display="https://www.eia.gov/consumption/commercial/data/2018/index.php?view=consumption" xr:uid="{C729FF3F-DB7B-47B4-95CB-19BD5609777E}"/>
    <hyperlink ref="K4" r:id="rId5" xr:uid="{A088D760-16ED-429E-9654-2EF3CF83E664}"/>
    <hyperlink ref="K33" r:id="rId6" xr:uid="{8FFBD8A5-3D8E-4A9E-84CD-4CCC6B90B1A8}"/>
  </hyperlinks>
  <pageMargins left="0.7" right="0.7" top="0.75" bottom="0.75" header="0.3" footer="0.3"/>
  <pageSetup orientation="portrait" horizontalDpi="1200" verticalDpi="1200" r:id="rId7"/>
  <legacy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7AE9-79A1-4243-B41E-698116F043BA}">
  <sheetPr codeName="Sheet46"/>
  <dimension ref="A1:AF284"/>
  <sheetViews>
    <sheetView zoomScale="85" zoomScaleNormal="85" workbookViewId="0">
      <selection sqref="A1:XFD1048576"/>
    </sheetView>
  </sheetViews>
  <sheetFormatPr defaultColWidth="28.5" defaultRowHeight="14.25"/>
  <cols>
    <col min="1" max="1" width="14.5" style="42" bestFit="1" customWidth="1"/>
    <col min="2" max="2" width="56.875" style="30" bestFit="1" customWidth="1"/>
    <col min="3" max="4" width="28.5" style="30"/>
    <col min="5" max="5" width="28.25" style="30" customWidth="1"/>
    <col min="6" max="7" width="28.5" style="30"/>
    <col min="8" max="8" width="12.75" style="30" bestFit="1" customWidth="1"/>
    <col min="9" max="9" width="14.125" style="42" bestFit="1" customWidth="1"/>
    <col min="10" max="10" width="14" style="42" bestFit="1" customWidth="1"/>
    <col min="11" max="11" width="14.125" style="42" bestFit="1" customWidth="1"/>
    <col min="12" max="12" width="13.75" style="42" bestFit="1" customWidth="1"/>
    <col min="13" max="13" width="14.625" style="30" customWidth="1"/>
    <col min="14" max="16" width="7.375" style="30" customWidth="1"/>
    <col min="17" max="17" width="20.25" style="30" bestFit="1" customWidth="1"/>
    <col min="18" max="18" width="20" style="30" customWidth="1"/>
    <col min="19" max="19" width="23.25" style="30" bestFit="1" customWidth="1"/>
    <col min="20" max="20" width="12.625" style="30" customWidth="1"/>
    <col min="21" max="22" width="9.75" style="30" customWidth="1"/>
    <col min="23" max="23" width="8" style="30" customWidth="1"/>
    <col min="24" max="24" width="4.125" style="30" customWidth="1"/>
    <col min="25" max="25" width="28.5" style="30"/>
    <col min="26" max="26" width="13.625" style="30" customWidth="1"/>
    <col min="27" max="28" width="15.125" style="30" customWidth="1"/>
    <col min="29" max="29" width="4.25" style="30" customWidth="1"/>
    <col min="30" max="30" width="28.5" style="30"/>
    <col min="31" max="31" width="3.375" style="30" customWidth="1"/>
    <col min="32" max="16384" width="28.5" style="30"/>
  </cols>
  <sheetData>
    <row r="1" spans="1:32" ht="15">
      <c r="Y1" s="1179" t="s">
        <v>1456</v>
      </c>
    </row>
    <row r="2" spans="1:32" ht="15.75" thickBot="1">
      <c r="C2" s="1061" t="s">
        <v>4241</v>
      </c>
      <c r="Y2" s="1179" t="s">
        <v>3931</v>
      </c>
      <c r="Z2" s="1180"/>
      <c r="AA2" s="1180"/>
      <c r="AB2" s="1180"/>
    </row>
    <row r="3" spans="1:32" ht="15.75" thickBot="1">
      <c r="R3" s="1181" t="s">
        <v>3929</v>
      </c>
      <c r="S3" s="1182" t="s">
        <v>1582</v>
      </c>
      <c r="Y3" s="1078" t="s">
        <v>1485</v>
      </c>
      <c r="Z3" s="1183"/>
      <c r="AA3" s="1183"/>
      <c r="AB3" s="1183"/>
    </row>
    <row r="4" spans="1:32" ht="77.25" thickBot="1">
      <c r="A4" s="1184" t="s">
        <v>1452</v>
      </c>
      <c r="B4" s="30" t="s">
        <v>266</v>
      </c>
      <c r="C4" s="1184" t="s">
        <v>1446</v>
      </c>
      <c r="D4" s="1184" t="s">
        <v>1447</v>
      </c>
      <c r="E4" s="1184" t="s">
        <v>1448</v>
      </c>
      <c r="F4" s="1184" t="s">
        <v>1449</v>
      </c>
      <c r="G4" s="1184" t="s">
        <v>1450</v>
      </c>
      <c r="H4" s="1184" t="s">
        <v>1451</v>
      </c>
      <c r="I4" s="1184" t="s">
        <v>1453</v>
      </c>
      <c r="J4" s="1184" t="s">
        <v>1454</v>
      </c>
      <c r="K4" s="1184" t="s">
        <v>1455</v>
      </c>
      <c r="L4" s="1184" t="s">
        <v>3926</v>
      </c>
      <c r="M4" s="1185" t="s">
        <v>3930</v>
      </c>
      <c r="R4" s="1186" t="s">
        <v>1465</v>
      </c>
      <c r="S4" s="1186" t="s">
        <v>1466</v>
      </c>
      <c r="T4" s="1187">
        <v>2022</v>
      </c>
      <c r="U4" s="1187">
        <v>2023</v>
      </c>
      <c r="V4" s="1187">
        <v>2024</v>
      </c>
      <c r="Y4" s="1188" t="s">
        <v>3932</v>
      </c>
      <c r="Z4" s="1189" t="s">
        <v>3933</v>
      </c>
      <c r="AA4" s="1189" t="s">
        <v>3934</v>
      </c>
      <c r="AB4" s="1189" t="s">
        <v>4240</v>
      </c>
    </row>
    <row r="5" spans="1:32" ht="15.75" thickBot="1">
      <c r="A5" s="30">
        <v>0</v>
      </c>
      <c r="B5" s="30" t="str">
        <f>"Short"&amp;F5</f>
        <v>ShortAverage passenger</v>
      </c>
      <c r="C5" s="30" t="s">
        <v>2821</v>
      </c>
      <c r="D5" s="30" t="s">
        <v>298</v>
      </c>
      <c r="E5" s="30" t="s">
        <v>4016</v>
      </c>
      <c r="F5" s="30" t="s">
        <v>299</v>
      </c>
      <c r="G5" s="30" t="s">
        <v>4017</v>
      </c>
      <c r="H5" s="30" t="s">
        <v>3928</v>
      </c>
      <c r="I5" s="30">
        <v>0.22771</v>
      </c>
      <c r="J5" s="30">
        <v>7.8571428571428577E-6</v>
      </c>
      <c r="K5" s="30">
        <v>5.0566037735849059E-6</v>
      </c>
      <c r="L5" s="30">
        <v>3.3500000000000002E-2</v>
      </c>
      <c r="M5" s="1190">
        <f>I5+(J5*GWPs!$C$4)+(K5*GWPs!$C$5)</f>
        <v>0.22932459568733152</v>
      </c>
      <c r="R5" s="1179" t="s">
        <v>4003</v>
      </c>
      <c r="S5" s="1191" t="s">
        <v>16</v>
      </c>
      <c r="T5" s="1192">
        <f>(Z8+Z14)/SUM($Z$5:$Z$15)</f>
        <v>3.4154118564137297E-2</v>
      </c>
      <c r="U5" s="1192">
        <f>(AA8+AA14)/SUM($AA$5:$AA$15)</f>
        <v>3.4789347832523208E-2</v>
      </c>
      <c r="V5" s="1192">
        <f>(AB8+AB14)/SUM($AB$5:$AB$15)</f>
        <v>3.5234621839803144E-2</v>
      </c>
      <c r="Y5" s="1193" t="s">
        <v>3935</v>
      </c>
      <c r="Z5" s="1194">
        <v>2442300</v>
      </c>
      <c r="AA5" s="1195">
        <v>3555900</v>
      </c>
      <c r="AB5" s="1195">
        <v>4503700</v>
      </c>
      <c r="AD5" s="1196" t="s">
        <v>297</v>
      </c>
      <c r="AF5" s="996" t="s">
        <v>267</v>
      </c>
    </row>
    <row r="6" spans="1:32" ht="15.75" thickBot="1">
      <c r="A6" s="30">
        <v>0</v>
      </c>
      <c r="B6" s="30" t="str">
        <f>"Long"&amp;F6</f>
        <v>LongAverage passenger</v>
      </c>
      <c r="C6" s="30" t="s">
        <v>2821</v>
      </c>
      <c r="D6" s="30" t="s">
        <v>298</v>
      </c>
      <c r="E6" s="30" t="s">
        <v>4018</v>
      </c>
      <c r="F6" s="30" t="s">
        <v>299</v>
      </c>
      <c r="G6" s="30" t="s">
        <v>4017</v>
      </c>
      <c r="H6" s="30" t="s">
        <v>3928</v>
      </c>
      <c r="I6" s="30">
        <v>0.15151999999999999</v>
      </c>
      <c r="J6" s="30">
        <v>3.5714285714285716E-7</v>
      </c>
      <c r="K6" s="30">
        <v>4.8679245283018864E-6</v>
      </c>
      <c r="L6" s="30">
        <v>3.2129999999999999E-2</v>
      </c>
      <c r="M6" s="1190">
        <f>I6+(J6*GWPs!$C$4)+(K6*GWPs!$C$5)</f>
        <v>0.15285958625336926</v>
      </c>
      <c r="R6" s="1179" t="s">
        <v>4004</v>
      </c>
      <c r="S6" s="1191" t="s">
        <v>1470</v>
      </c>
      <c r="T6" s="1192">
        <f>(Z9+Z13)/SUM($Z$5:$Z$15)</f>
        <v>0.92511913202050022</v>
      </c>
      <c r="U6" s="1192">
        <f>(AA9+AA13)/SUM($AA$5:$AA$15)</f>
        <v>0.91645666178445229</v>
      </c>
      <c r="V6" s="1192">
        <f>(AB9+AB13)/SUM($AB$5:$AB$15)</f>
        <v>0.90886092906844218</v>
      </c>
      <c r="Y6" s="1193" t="s">
        <v>3936</v>
      </c>
      <c r="Z6" s="1194">
        <v>1012400</v>
      </c>
      <c r="AA6" s="1195">
        <v>1307200</v>
      </c>
      <c r="AB6" s="1195">
        <v>1520800</v>
      </c>
      <c r="AD6" s="56" t="s">
        <v>38</v>
      </c>
      <c r="AF6" s="56" t="s">
        <v>9</v>
      </c>
    </row>
    <row r="7" spans="1:32" ht="15.75" thickBot="1">
      <c r="A7" s="30">
        <v>0</v>
      </c>
      <c r="B7" s="30" t="str">
        <f>"Long"&amp;F7</f>
        <v>LongBusiness class</v>
      </c>
      <c r="C7" s="30" t="s">
        <v>2821</v>
      </c>
      <c r="D7" s="30" t="s">
        <v>298</v>
      </c>
      <c r="E7" s="30" t="s">
        <v>4018</v>
      </c>
      <c r="F7" s="30" t="s">
        <v>301</v>
      </c>
      <c r="G7" s="30" t="s">
        <v>4017</v>
      </c>
      <c r="H7" s="30" t="s">
        <v>3928</v>
      </c>
      <c r="I7" s="30">
        <v>0.33651999999999999</v>
      </c>
      <c r="J7" s="30">
        <v>7.1428571428571431E-7</v>
      </c>
      <c r="K7" s="30">
        <v>1.0754716981132076E-5</v>
      </c>
      <c r="L7" s="30">
        <v>7.1370000000000003E-2</v>
      </c>
      <c r="M7" s="1190">
        <f>I7+(J7*GWPs!$C$4)+(K7*GWPs!$C$5)</f>
        <v>0.33947732345013476</v>
      </c>
      <c r="R7" s="1179" t="s">
        <v>1475</v>
      </c>
      <c r="S7" s="1191" t="s">
        <v>1476</v>
      </c>
      <c r="T7" s="1192">
        <f>Z7/SUM($Z$5:$Z$15)</f>
        <v>2.2192593533185895E-2</v>
      </c>
      <c r="U7" s="1192">
        <f>AA7/SUM($AA$5:$AA$15)</f>
        <v>2.5748485265407278E-2</v>
      </c>
      <c r="V7" s="1192">
        <f>AB7/SUM($AB$5:$AB$15)</f>
        <v>2.9356775664391002E-2</v>
      </c>
      <c r="Y7" s="1193" t="s">
        <v>3937</v>
      </c>
      <c r="Z7" s="1194">
        <v>6291800</v>
      </c>
      <c r="AA7" s="1195">
        <v>7392300</v>
      </c>
      <c r="AB7" s="1195">
        <v>8502600</v>
      </c>
      <c r="AD7" s="56" t="s">
        <v>39</v>
      </c>
      <c r="AF7" s="56" t="s">
        <v>270</v>
      </c>
    </row>
    <row r="8" spans="1:32" ht="15.75" thickBot="1">
      <c r="A8" s="30">
        <v>0</v>
      </c>
      <c r="B8" s="30" t="str">
        <f>"Long"&amp;F8</f>
        <v>LongEconomy class</v>
      </c>
      <c r="C8" s="30" t="s">
        <v>2821</v>
      </c>
      <c r="D8" s="30" t="s">
        <v>298</v>
      </c>
      <c r="E8" s="30" t="s">
        <v>4018</v>
      </c>
      <c r="F8" s="30" t="s">
        <v>300</v>
      </c>
      <c r="G8" s="30" t="s">
        <v>4017</v>
      </c>
      <c r="H8" s="30" t="s">
        <v>3928</v>
      </c>
      <c r="I8" s="30">
        <v>0.11604</v>
      </c>
      <c r="J8" s="30">
        <v>3.5714285714285716E-7</v>
      </c>
      <c r="K8" s="30">
        <v>3.7358490566037735E-6</v>
      </c>
      <c r="L8" s="30">
        <v>2.461E-2</v>
      </c>
      <c r="M8" s="1190">
        <f>I8+(J8*GWPs!$C$4)+(K8*GWPs!$C$5)</f>
        <v>0.11707052964959569</v>
      </c>
      <c r="R8" s="1179" t="s">
        <v>276</v>
      </c>
      <c r="S8" s="1191" t="s">
        <v>276</v>
      </c>
      <c r="T8" s="1192">
        <f>Z15/SUM($Z$5:$Z$15)</f>
        <v>6.1825197789135439E-3</v>
      </c>
      <c r="U8" s="1192">
        <f>AA15/SUM($AA$5:$AA$15)</f>
        <v>5.9008033884077309E-3</v>
      </c>
      <c r="V8" s="1192">
        <f>AB15/SUM($AB$5:$AB$15)</f>
        <v>5.746989520073722E-3</v>
      </c>
      <c r="X8" s="1183"/>
      <c r="Y8" s="1193" t="s">
        <v>18</v>
      </c>
      <c r="Z8" s="1194">
        <v>2526100</v>
      </c>
      <c r="AA8" s="1195">
        <v>2803600</v>
      </c>
      <c r="AB8" s="1195">
        <v>3030600</v>
      </c>
      <c r="AD8" s="56" t="s">
        <v>40</v>
      </c>
      <c r="AF8" s="56" t="s">
        <v>36</v>
      </c>
    </row>
    <row r="9" spans="1:32" ht="15.75" thickBot="1">
      <c r="A9" s="30">
        <v>0</v>
      </c>
      <c r="B9" s="30" t="str">
        <f>"Long"&amp;F9</f>
        <v>LongFirst class</v>
      </c>
      <c r="C9" s="30" t="s">
        <v>2821</v>
      </c>
      <c r="D9" s="30" t="s">
        <v>298</v>
      </c>
      <c r="E9" s="30" t="s">
        <v>4018</v>
      </c>
      <c r="F9" s="30" t="s">
        <v>303</v>
      </c>
      <c r="G9" s="30" t="s">
        <v>4017</v>
      </c>
      <c r="H9" s="30" t="s">
        <v>3928</v>
      </c>
      <c r="I9" s="30">
        <v>0.46417000000000003</v>
      </c>
      <c r="J9" s="30">
        <v>1.0714285714285714E-6</v>
      </c>
      <c r="K9" s="30">
        <v>1.4867924528301887E-5</v>
      </c>
      <c r="L9" s="30">
        <v>9.844E-2</v>
      </c>
      <c r="M9" s="1190">
        <f>I9+(J9*GWPs!$C$4)+(K9*GWPs!$C$5)</f>
        <v>0.46826087196765503</v>
      </c>
      <c r="R9" s="1179" t="s">
        <v>1484</v>
      </c>
      <c r="S9" s="1191" t="s">
        <v>277</v>
      </c>
      <c r="T9" s="1192">
        <f>Z6/SUM($Z$5:$Z$15)</f>
        <v>3.5709624738544457E-3</v>
      </c>
      <c r="U9" s="1192">
        <f>AA6/SUM($AA$5:$AA$15)</f>
        <v>4.5531728878617471E-3</v>
      </c>
      <c r="V9" s="1192">
        <f>AB6/SUM($AB$5:$AB$15)</f>
        <v>5.2508390880913886E-3</v>
      </c>
      <c r="X9" s="1183"/>
      <c r="Y9" s="1193" t="s">
        <v>3938</v>
      </c>
      <c r="Z9" s="1194">
        <v>20906700</v>
      </c>
      <c r="AA9" s="1195">
        <v>20240600</v>
      </c>
      <c r="AB9" s="1195">
        <v>19912800</v>
      </c>
      <c r="AD9" s="56"/>
      <c r="AF9" s="56" t="s">
        <v>273</v>
      </c>
    </row>
    <row r="10" spans="1:32" ht="15.75" thickBot="1">
      <c r="A10" s="30">
        <v>0</v>
      </c>
      <c r="B10" s="30" t="str">
        <f>"Long"&amp;F10</f>
        <v>LongPremium economy class</v>
      </c>
      <c r="C10" s="30" t="s">
        <v>2821</v>
      </c>
      <c r="D10" s="30" t="s">
        <v>298</v>
      </c>
      <c r="E10" s="30" t="s">
        <v>4018</v>
      </c>
      <c r="F10" s="30" t="s">
        <v>302</v>
      </c>
      <c r="G10" s="30" t="s">
        <v>4017</v>
      </c>
      <c r="H10" s="30" t="s">
        <v>3928</v>
      </c>
      <c r="I10" s="30">
        <v>0.18567</v>
      </c>
      <c r="J10" s="30">
        <v>3.5714285714285716E-7</v>
      </c>
      <c r="K10" s="30">
        <v>5.9245283018867925E-6</v>
      </c>
      <c r="L10" s="30">
        <v>3.9370000000000002E-2</v>
      </c>
      <c r="M10" s="1190">
        <f>I10+(J10*GWPs!$C$4)+(K10*GWPs!$C$5)</f>
        <v>0.18729803908355797</v>
      </c>
      <c r="R10" s="1179" t="s">
        <v>1486</v>
      </c>
      <c r="S10" s="1191" t="s">
        <v>278</v>
      </c>
      <c r="T10" s="1192">
        <f>Z5/SUM($Z$5:$Z$15)</f>
        <v>8.6145413373120427E-3</v>
      </c>
      <c r="U10" s="1192">
        <f>AA5/SUM($AA$5:$AA$15)</f>
        <v>1.2385730930192461E-2</v>
      </c>
      <c r="V10" s="1192">
        <f>AB5/SUM($AB$5:$AB$15)</f>
        <v>1.554984481919857E-2</v>
      </c>
      <c r="X10" s="1183"/>
      <c r="Y10" s="1197" t="s">
        <v>3939</v>
      </c>
      <c r="Z10" s="1198">
        <v>25600</v>
      </c>
      <c r="AA10" s="1199">
        <v>24700</v>
      </c>
      <c r="AB10" s="1199"/>
      <c r="AF10" s="56" t="s">
        <v>275</v>
      </c>
    </row>
    <row r="11" spans="1:32" ht="15.75" thickBot="1">
      <c r="A11" s="30">
        <v>0</v>
      </c>
      <c r="B11" s="30" t="str">
        <f>"Medium"&amp;F11</f>
        <v>MediumAverage passenger</v>
      </c>
      <c r="C11" s="30" t="s">
        <v>2821</v>
      </c>
      <c r="D11" s="30" t="s">
        <v>298</v>
      </c>
      <c r="E11" s="30" t="s">
        <v>4019</v>
      </c>
      <c r="F11" s="30" t="s">
        <v>299</v>
      </c>
      <c r="G11" s="30" t="s">
        <v>4017</v>
      </c>
      <c r="H11" s="30" t="s">
        <v>3928</v>
      </c>
      <c r="I11" s="30">
        <v>0.12692999999999999</v>
      </c>
      <c r="J11" s="30">
        <v>3.5714285714285716E-7</v>
      </c>
      <c r="K11" s="30">
        <v>3.4716981132075472E-6</v>
      </c>
      <c r="L11" s="30">
        <v>2.2859999999999998E-2</v>
      </c>
      <c r="M11" s="1190">
        <f>I11+(J11*GWPs!$C$4)+(K11*GWPs!$C$5)</f>
        <v>0.12788841644204851</v>
      </c>
      <c r="X11" s="1183"/>
      <c r="Y11" s="1197" t="s">
        <v>41</v>
      </c>
      <c r="Z11" s="1198">
        <v>6600</v>
      </c>
      <c r="AA11" s="1199">
        <v>6000</v>
      </c>
      <c r="AB11" s="1199"/>
      <c r="AD11" s="30" t="s">
        <v>38</v>
      </c>
    </row>
    <row r="12" spans="1:32" ht="15.75" thickBot="1">
      <c r="A12" s="30">
        <v>0</v>
      </c>
      <c r="B12" s="30" t="str">
        <f>"Medium"&amp;F12</f>
        <v>MediumBusiness class</v>
      </c>
      <c r="C12" s="30" t="s">
        <v>2821</v>
      </c>
      <c r="D12" s="30" t="s">
        <v>298</v>
      </c>
      <c r="E12" s="30" t="s">
        <v>4019</v>
      </c>
      <c r="F12" s="30" t="s">
        <v>301</v>
      </c>
      <c r="G12" s="30" t="s">
        <v>4017</v>
      </c>
      <c r="H12" s="30" t="s">
        <v>3928</v>
      </c>
      <c r="I12" s="30">
        <v>0.18726999999999999</v>
      </c>
      <c r="J12" s="30">
        <v>3.5714285714285716E-7</v>
      </c>
      <c r="K12" s="30">
        <v>5.0943396226415093E-6</v>
      </c>
      <c r="L12" s="30">
        <v>3.3730000000000003E-2</v>
      </c>
      <c r="M12" s="1190">
        <f>I12+(J12*GWPs!$C$4)+(K12*GWPs!$C$5)</f>
        <v>0.18867139757412399</v>
      </c>
      <c r="X12" s="1200"/>
      <c r="Y12" s="1197" t="s">
        <v>3940</v>
      </c>
      <c r="Z12" s="1198">
        <v>14900</v>
      </c>
      <c r="AA12" s="1199">
        <v>16900</v>
      </c>
      <c r="AB12" s="1199"/>
      <c r="AD12" s="1201" t="s">
        <v>299</v>
      </c>
      <c r="AF12" s="1202" t="s">
        <v>9</v>
      </c>
    </row>
    <row r="13" spans="1:32" ht="15.75" thickBot="1">
      <c r="A13" s="30">
        <v>0</v>
      </c>
      <c r="B13" s="30" t="str">
        <f>"Medium"&amp;F13</f>
        <v>MediumEconomy class</v>
      </c>
      <c r="C13" s="30" t="s">
        <v>2821</v>
      </c>
      <c r="D13" s="30" t="s">
        <v>298</v>
      </c>
      <c r="E13" s="30" t="s">
        <v>4019</v>
      </c>
      <c r="F13" s="30" t="s">
        <v>300</v>
      </c>
      <c r="G13" s="30" t="s">
        <v>4017</v>
      </c>
      <c r="H13" s="30" t="s">
        <v>3928</v>
      </c>
      <c r="I13" s="30">
        <v>0.12485</v>
      </c>
      <c r="J13" s="30">
        <v>3.5714285714285716E-7</v>
      </c>
      <c r="K13" s="30">
        <v>3.3962264150943395E-6</v>
      </c>
      <c r="L13" s="30">
        <v>2.249E-2</v>
      </c>
      <c r="M13" s="1190">
        <f>I13+(J13*GWPs!$C$4)+(K13*GWPs!$C$5)</f>
        <v>0.12578781266846362</v>
      </c>
      <c r="W13" s="1183"/>
      <c r="X13" s="1200"/>
      <c r="Y13" s="1193" t="s">
        <v>17</v>
      </c>
      <c r="Z13" s="1194">
        <v>241372900</v>
      </c>
      <c r="AA13" s="1195">
        <v>242870900</v>
      </c>
      <c r="AB13" s="1195">
        <v>243320500</v>
      </c>
      <c r="AF13" s="1203" t="s">
        <v>268</v>
      </c>
    </row>
    <row r="14" spans="1:32" ht="15.75" thickBot="1">
      <c r="A14" s="30">
        <v>0</v>
      </c>
      <c r="B14" s="30" t="str">
        <f t="shared" ref="B14:B20" si="0">"Cars_by_market_segment"&amp;E14&amp;G14</f>
        <v>Cars_by_market_segmentDual purpose 4X4Diesel</v>
      </c>
      <c r="C14" s="30" t="s">
        <v>3927</v>
      </c>
      <c r="D14" s="30" t="s">
        <v>4000</v>
      </c>
      <c r="E14" s="1204" t="s">
        <v>274</v>
      </c>
      <c r="F14" s="1204" t="s">
        <v>1459</v>
      </c>
      <c r="G14" s="1204" t="s">
        <v>16</v>
      </c>
      <c r="H14" s="1204" t="s">
        <v>1460</v>
      </c>
      <c r="I14" s="1204">
        <v>0.31874000000000002</v>
      </c>
      <c r="J14" s="1204">
        <v>3.5714285714285716E-7</v>
      </c>
      <c r="K14" s="1204">
        <v>1.0150943396226416E-5</v>
      </c>
      <c r="L14" s="1204">
        <v>7.7729999999999994E-2</v>
      </c>
      <c r="M14" s="1205">
        <f>I14+(J14*GWPs!$C$4)+(K14*GWPs!$C$5)</f>
        <v>0.32152185040431269</v>
      </c>
      <c r="P14" s="1206"/>
      <c r="W14" s="1183"/>
      <c r="X14" s="1183"/>
      <c r="Y14" s="1193" t="s">
        <v>16</v>
      </c>
      <c r="Z14" s="1194">
        <v>7156900</v>
      </c>
      <c r="AA14" s="1195">
        <v>7184300</v>
      </c>
      <c r="AB14" s="1195">
        <v>7174400</v>
      </c>
      <c r="AD14" s="30" t="s">
        <v>39</v>
      </c>
      <c r="AF14" s="1203" t="s">
        <v>269</v>
      </c>
    </row>
    <row r="15" spans="1:32" ht="39.75" customHeight="1" thickBot="1">
      <c r="A15" s="30">
        <v>0</v>
      </c>
      <c r="B15" s="30" t="str">
        <f t="shared" si="0"/>
        <v>Cars_by_market_segmentDual purpose 4X4Gasoline</v>
      </c>
      <c r="C15" s="30" t="s">
        <v>3927</v>
      </c>
      <c r="D15" s="30" t="s">
        <v>4000</v>
      </c>
      <c r="E15" s="1204" t="s">
        <v>274</v>
      </c>
      <c r="F15" s="1204" t="s">
        <v>1459</v>
      </c>
      <c r="G15" s="1204" t="s">
        <v>17</v>
      </c>
      <c r="H15" s="1204" t="s">
        <v>1460</v>
      </c>
      <c r="I15" s="1204">
        <v>0.30820999999999998</v>
      </c>
      <c r="J15" s="1204">
        <v>2.0357142857142855E-5</v>
      </c>
      <c r="K15" s="1204">
        <v>1.9622641509433961E-6</v>
      </c>
      <c r="L15" s="1204">
        <v>8.8359999999999994E-2</v>
      </c>
      <c r="M15" s="1205">
        <f>I15+(J15*GWPs!$C$4)+(K15*GWPs!$C$5)</f>
        <v>0.30935234097035036</v>
      </c>
      <c r="P15" s="1206"/>
      <c r="R15" s="1179" t="s">
        <v>4026</v>
      </c>
      <c r="W15" s="1183"/>
      <c r="X15" s="1183"/>
      <c r="Y15" s="1193" t="s">
        <v>3941</v>
      </c>
      <c r="Z15" s="1194">
        <v>1752800</v>
      </c>
      <c r="AA15" s="1195">
        <v>1694100</v>
      </c>
      <c r="AB15" s="1195">
        <v>1664500</v>
      </c>
      <c r="AD15" s="1072" t="s">
        <v>299</v>
      </c>
      <c r="AF15" s="1203" t="s">
        <v>271</v>
      </c>
    </row>
    <row r="16" spans="1:32">
      <c r="A16" s="30">
        <v>0</v>
      </c>
      <c r="B16" s="30" t="str">
        <f t="shared" si="0"/>
        <v>Cars_by_market_segmentDual purpose 4X4Battery Electric Vehicle</v>
      </c>
      <c r="C16" s="30" t="s">
        <v>3927</v>
      </c>
      <c r="D16" s="30" t="s">
        <v>4000</v>
      </c>
      <c r="E16" s="1204" t="s">
        <v>274</v>
      </c>
      <c r="F16" s="1204" t="s">
        <v>1459</v>
      </c>
      <c r="G16" s="1204" t="s">
        <v>278</v>
      </c>
      <c r="H16" s="1204" t="s">
        <v>1460</v>
      </c>
      <c r="I16" s="1204">
        <v>6.6949999999999996E-2</v>
      </c>
      <c r="J16" s="1204">
        <v>1.6428571428571429E-5</v>
      </c>
      <c r="K16" s="1204">
        <v>2.3773584905660377E-6</v>
      </c>
      <c r="L16" s="1204">
        <v>1.78E-2</v>
      </c>
      <c r="M16" s="1205">
        <f>I16+(J16*GWPs!$C$4)+(K16*GWPs!$C$5)</f>
        <v>6.8088590296495943E-2</v>
      </c>
      <c r="P16" s="1206"/>
      <c r="R16" s="30" t="s">
        <v>16</v>
      </c>
      <c r="S16" s="1206">
        <f t="shared" ref="S16:S21" si="1">_xlfn.XLOOKUP(R16,$S$5:$S$10,$V$5:$V$10,,0)</f>
        <v>3.5234621839803144E-2</v>
      </c>
      <c r="W16" s="1183"/>
      <c r="X16" s="1183"/>
      <c r="AD16" s="1072" t="s">
        <v>300</v>
      </c>
      <c r="AF16" s="1207" t="s">
        <v>272</v>
      </c>
    </row>
    <row r="17" spans="1:32" ht="39.75" customHeight="1">
      <c r="A17" s="30">
        <v>0</v>
      </c>
      <c r="B17" s="30" t="str">
        <f t="shared" si="0"/>
        <v>Cars_by_market_segmentDual purpose 4X4Plug-in Hybrid Electric Vehicle</v>
      </c>
      <c r="C17" s="30" t="s">
        <v>3927</v>
      </c>
      <c r="D17" s="30" t="s">
        <v>4000</v>
      </c>
      <c r="E17" s="1204" t="s">
        <v>274</v>
      </c>
      <c r="F17" s="1204" t="s">
        <v>1459</v>
      </c>
      <c r="G17" s="1204" t="s">
        <v>277</v>
      </c>
      <c r="H17" s="1204" t="s">
        <v>1460</v>
      </c>
      <c r="I17" s="1204">
        <v>0.18642</v>
      </c>
      <c r="J17" s="1204">
        <v>2.3214285714285715E-5</v>
      </c>
      <c r="K17" s="1204">
        <v>2.3396226415094339E-6</v>
      </c>
      <c r="L17" s="1204">
        <v>5.323E-2</v>
      </c>
      <c r="M17" s="1205">
        <f>I17+(J17*GWPs!$C$4)+(K17*GWPs!$C$5)</f>
        <v>0.18775050269541779</v>
      </c>
      <c r="P17" s="1206"/>
      <c r="R17" s="30" t="s">
        <v>1470</v>
      </c>
      <c r="S17" s="1206">
        <f t="shared" si="1"/>
        <v>0.90886092906844218</v>
      </c>
      <c r="T17" s="1583" t="s">
        <v>4262</v>
      </c>
      <c r="U17" s="1583"/>
      <c r="V17" s="1583"/>
      <c r="W17" s="1183"/>
      <c r="X17" s="1183"/>
      <c r="AD17" s="1201" t="s">
        <v>301</v>
      </c>
    </row>
    <row r="18" spans="1:32" ht="15">
      <c r="A18" s="30">
        <v>0</v>
      </c>
      <c r="B18" s="30" t="str">
        <f t="shared" si="0"/>
        <v>Cars_by_market_segmentDual purpose 4X4Unknown</v>
      </c>
      <c r="C18" s="30" t="s">
        <v>3927</v>
      </c>
      <c r="D18" s="30" t="s">
        <v>4000</v>
      </c>
      <c r="E18" s="1204" t="s">
        <v>274</v>
      </c>
      <c r="F18" s="1204" t="s">
        <v>1459</v>
      </c>
      <c r="G18" s="1204" t="s">
        <v>276</v>
      </c>
      <c r="H18" s="1204" t="s">
        <v>1460</v>
      </c>
      <c r="I18" s="1204">
        <v>0.31459999999999999</v>
      </c>
      <c r="J18" s="1204">
        <v>5.7142857142857145E-6</v>
      </c>
      <c r="K18" s="1204">
        <v>7.9999999999999996E-6</v>
      </c>
      <c r="L18" s="1204">
        <v>8.1449999999999995E-2</v>
      </c>
      <c r="M18" s="1205">
        <f>I18+(J18*GWPs!$C$4)+(K18*GWPs!$C$5)</f>
        <v>0.31695428571428574</v>
      </c>
      <c r="N18" s="1206"/>
      <c r="P18" s="1206"/>
      <c r="R18" s="30" t="s">
        <v>278</v>
      </c>
      <c r="S18" s="1206">
        <f t="shared" si="1"/>
        <v>1.554984481919857E-2</v>
      </c>
      <c r="W18" s="1183"/>
      <c r="X18" s="1183"/>
      <c r="AF18" s="996" t="s">
        <v>270</v>
      </c>
    </row>
    <row r="19" spans="1:32">
      <c r="A19" s="30">
        <v>0</v>
      </c>
      <c r="B19" s="30" t="str">
        <f t="shared" si="0"/>
        <v>Cars_by_market_segmentExecutiveDiesel</v>
      </c>
      <c r="C19" s="30" t="s">
        <v>3927</v>
      </c>
      <c r="D19" s="30" t="s">
        <v>4000</v>
      </c>
      <c r="E19" s="1208" t="s">
        <v>279</v>
      </c>
      <c r="F19" s="1208" t="s">
        <v>1459</v>
      </c>
      <c r="G19" s="1208" t="s">
        <v>16</v>
      </c>
      <c r="H19" s="1208" t="s">
        <v>1460</v>
      </c>
      <c r="I19" s="1208">
        <v>0.27229999999999999</v>
      </c>
      <c r="J19" s="1208">
        <v>3.5714285714285716E-7</v>
      </c>
      <c r="K19" s="1208">
        <v>1.0150943396226416E-5</v>
      </c>
      <c r="L19" s="1208">
        <v>6.6790000000000002E-2</v>
      </c>
      <c r="M19" s="1209">
        <f>I19+(J19*GWPs!$C$4)+(K19*GWPs!$C$5)</f>
        <v>0.27508185040431266</v>
      </c>
      <c r="N19" s="1206"/>
      <c r="P19" s="1206"/>
      <c r="R19" s="30" t="s">
        <v>277</v>
      </c>
      <c r="S19" s="1206">
        <f t="shared" si="1"/>
        <v>5.2508390880913886E-3</v>
      </c>
      <c r="W19" s="1183"/>
      <c r="X19" s="1183"/>
      <c r="AD19" s="30" t="s">
        <v>40</v>
      </c>
      <c r="AF19" s="1210" t="s">
        <v>281</v>
      </c>
    </row>
    <row r="20" spans="1:32">
      <c r="A20" s="30">
        <v>0</v>
      </c>
      <c r="B20" s="30" t="str">
        <f t="shared" si="0"/>
        <v>Cars_by_market_segmentExecutiveGasoline</v>
      </c>
      <c r="C20" s="30" t="s">
        <v>3927</v>
      </c>
      <c r="D20" s="30" t="s">
        <v>4000</v>
      </c>
      <c r="E20" s="1208" t="s">
        <v>279</v>
      </c>
      <c r="F20" s="1208" t="s">
        <v>1459</v>
      </c>
      <c r="G20" s="1208" t="s">
        <v>17</v>
      </c>
      <c r="H20" s="1208" t="s">
        <v>1460</v>
      </c>
      <c r="I20" s="1208">
        <v>0.32195000000000001</v>
      </c>
      <c r="J20" s="1208">
        <v>2.0357142857142855E-5</v>
      </c>
      <c r="K20" s="1208">
        <v>1.9622641509433961E-6</v>
      </c>
      <c r="L20" s="1208">
        <v>9.3729999999999994E-2</v>
      </c>
      <c r="M20" s="1209">
        <f>I20+(J20*GWPs!$C$4)+(K20*GWPs!$C$5)</f>
        <v>0.32309234097035039</v>
      </c>
      <c r="N20" s="1206"/>
      <c r="O20" s="1206"/>
      <c r="R20" s="30" t="s">
        <v>276</v>
      </c>
      <c r="S20" s="1206">
        <f t="shared" si="1"/>
        <v>5.746989520073722E-3</v>
      </c>
      <c r="W20" s="1183"/>
      <c r="X20" s="1183"/>
      <c r="AD20" s="1072" t="s">
        <v>299</v>
      </c>
      <c r="AF20" s="1055" t="s">
        <v>283</v>
      </c>
    </row>
    <row r="21" spans="1:32">
      <c r="A21" s="30">
        <v>0</v>
      </c>
      <c r="B21" s="30" t="str">
        <f t="shared" ref="B21:B80" si="2">"Cars_by_market_segment"&amp;E21&amp;G21</f>
        <v>Cars_by_market_segmentExecutiveBattery Electric Vehicle</v>
      </c>
      <c r="C21" s="30" t="s">
        <v>3927</v>
      </c>
      <c r="D21" s="30" t="s">
        <v>4000</v>
      </c>
      <c r="E21" s="1208" t="s">
        <v>279</v>
      </c>
      <c r="F21" s="1208" t="s">
        <v>1459</v>
      </c>
      <c r="G21" s="1208" t="s">
        <v>278</v>
      </c>
      <c r="H21" s="1208" t="s">
        <v>1460</v>
      </c>
      <c r="I21" s="1208">
        <v>5.8749999999999997E-2</v>
      </c>
      <c r="J21" s="1208">
        <v>1.2500000000000001E-5</v>
      </c>
      <c r="K21" s="1208">
        <v>1.7735849056603772E-6</v>
      </c>
      <c r="L21" s="1208">
        <v>1.519E-2</v>
      </c>
      <c r="M21" s="1209">
        <f>I21+(J21*GWPs!$C$4)+(K21*GWPs!$C$5)</f>
        <v>5.9606688679245276E-2</v>
      </c>
      <c r="N21" s="1206"/>
      <c r="O21" s="1206"/>
      <c r="R21" s="30" t="s">
        <v>1476</v>
      </c>
      <c r="S21" s="1206">
        <f t="shared" si="1"/>
        <v>2.9356775664391002E-2</v>
      </c>
      <c r="AD21" s="1072" t="s">
        <v>300</v>
      </c>
      <c r="AF21" s="1211" t="s">
        <v>274</v>
      </c>
    </row>
    <row r="22" spans="1:32">
      <c r="A22" s="30">
        <v>0</v>
      </c>
      <c r="B22" s="30" t="str">
        <f t="shared" si="2"/>
        <v>Cars_by_market_segmentExecutivePlug-in Hybrid Electric Vehicle</v>
      </c>
      <c r="C22" s="30" t="s">
        <v>3927</v>
      </c>
      <c r="D22" s="30" t="s">
        <v>4000</v>
      </c>
      <c r="E22" s="1208" t="s">
        <v>279</v>
      </c>
      <c r="F22" s="1208" t="s">
        <v>1459</v>
      </c>
      <c r="G22" s="1208" t="s">
        <v>277</v>
      </c>
      <c r="H22" s="1208" t="s">
        <v>1460</v>
      </c>
      <c r="I22" s="1208">
        <v>0.14584</v>
      </c>
      <c r="J22" s="1208">
        <v>1.9642857142857145E-5</v>
      </c>
      <c r="K22" s="1208">
        <v>2.2264150943396228E-6</v>
      </c>
      <c r="L22" s="1208">
        <v>4.165E-2</v>
      </c>
      <c r="M22" s="1209">
        <f>I22+(J22*GWPs!$C$4)+(K22*GWPs!$C$5)</f>
        <v>0.14703316846361186</v>
      </c>
      <c r="N22" s="1206"/>
      <c r="O22" s="1206"/>
      <c r="AD22" s="1072" t="s">
        <v>302</v>
      </c>
      <c r="AF22" s="1055" t="s">
        <v>284</v>
      </c>
    </row>
    <row r="23" spans="1:32">
      <c r="A23" s="30">
        <v>0</v>
      </c>
      <c r="B23" s="30" t="str">
        <f t="shared" si="2"/>
        <v>Cars_by_market_segmentExecutiveUnknown</v>
      </c>
      <c r="C23" s="30" t="s">
        <v>3927</v>
      </c>
      <c r="D23" s="30" t="s">
        <v>4000</v>
      </c>
      <c r="E23" s="1208" t="s">
        <v>279</v>
      </c>
      <c r="F23" s="1208" t="s">
        <v>1459</v>
      </c>
      <c r="G23" s="1208" t="s">
        <v>276</v>
      </c>
      <c r="H23" s="1208" t="s">
        <v>1460</v>
      </c>
      <c r="I23" s="1208">
        <v>0.28488000000000002</v>
      </c>
      <c r="J23" s="1208">
        <v>5.357142857142857E-6</v>
      </c>
      <c r="K23" s="1208">
        <v>8.2264150943396234E-6</v>
      </c>
      <c r="L23" s="1208">
        <v>7.3340000000000002E-2</v>
      </c>
      <c r="M23" s="1209">
        <f>I23+(J23*GWPs!$C$4)+(K23*GWPs!$C$5)</f>
        <v>0.28728545417789764</v>
      </c>
      <c r="N23" s="1206"/>
      <c r="O23" s="1206"/>
      <c r="AD23" s="1072" t="s">
        <v>301</v>
      </c>
      <c r="AF23" s="1211" t="s">
        <v>279</v>
      </c>
    </row>
    <row r="24" spans="1:32">
      <c r="A24" s="30">
        <v>0</v>
      </c>
      <c r="B24" s="30" t="str">
        <f t="shared" si="2"/>
        <v>Cars_by_market_segmentLower mediumDiesel</v>
      </c>
      <c r="C24" s="30" t="s">
        <v>3927</v>
      </c>
      <c r="D24" s="30" t="s">
        <v>4000</v>
      </c>
      <c r="E24" s="1204" t="s">
        <v>280</v>
      </c>
      <c r="F24" s="1204" t="s">
        <v>1459</v>
      </c>
      <c r="G24" s="1204" t="s">
        <v>16</v>
      </c>
      <c r="H24" s="1204" t="s">
        <v>1460</v>
      </c>
      <c r="I24" s="1204">
        <v>0.23091999999999999</v>
      </c>
      <c r="J24" s="1204">
        <v>3.5714285714285716E-7</v>
      </c>
      <c r="K24" s="1204">
        <v>1.0150943396226416E-5</v>
      </c>
      <c r="L24" s="1204">
        <v>5.6030000000000003E-2</v>
      </c>
      <c r="M24" s="1205">
        <f>I24+(J24*GWPs!$C$4)+(K24*GWPs!$C$5)</f>
        <v>0.23370185040431266</v>
      </c>
      <c r="N24" s="1206"/>
      <c r="O24" s="1206"/>
      <c r="AD24" s="1201" t="s">
        <v>303</v>
      </c>
      <c r="AF24" s="1055" t="s">
        <v>285</v>
      </c>
    </row>
    <row r="25" spans="1:32">
      <c r="A25" s="30">
        <v>0</v>
      </c>
      <c r="B25" s="30" t="str">
        <f t="shared" si="2"/>
        <v>Cars_by_market_segmentLower mediumGasoline</v>
      </c>
      <c r="C25" s="30" t="s">
        <v>3927</v>
      </c>
      <c r="D25" s="30" t="s">
        <v>4000</v>
      </c>
      <c r="E25" s="1204" t="s">
        <v>280</v>
      </c>
      <c r="F25" s="1204" t="s">
        <v>1459</v>
      </c>
      <c r="G25" s="1204" t="s">
        <v>17</v>
      </c>
      <c r="H25" s="1204" t="s">
        <v>1460</v>
      </c>
      <c r="I25" s="1204">
        <v>0.25839000000000001</v>
      </c>
      <c r="J25" s="1204">
        <v>2.0357142857142855E-5</v>
      </c>
      <c r="K25" s="1204">
        <v>1.9622641509433961E-6</v>
      </c>
      <c r="L25" s="1204">
        <v>7.3749999999999996E-2</v>
      </c>
      <c r="M25" s="1205">
        <f>I25+(J25*GWPs!$C$4)+(K25*GWPs!$C$5)</f>
        <v>0.25953234097035038</v>
      </c>
      <c r="N25" s="1206"/>
      <c r="O25" s="1206"/>
      <c r="AF25" s="1211" t="s">
        <v>280</v>
      </c>
    </row>
    <row r="26" spans="1:32" ht="15">
      <c r="A26" s="30">
        <v>0</v>
      </c>
      <c r="B26" s="30" t="str">
        <f t="shared" si="2"/>
        <v>Cars_by_market_segmentLower mediumBattery Electric Vehicle</v>
      </c>
      <c r="C26" s="30" t="s">
        <v>3927</v>
      </c>
      <c r="D26" s="30" t="s">
        <v>4000</v>
      </c>
      <c r="E26" s="1204" t="s">
        <v>280</v>
      </c>
      <c r="F26" s="1204" t="s">
        <v>1459</v>
      </c>
      <c r="G26" s="1204" t="s">
        <v>278</v>
      </c>
      <c r="H26" s="1204" t="s">
        <v>1460</v>
      </c>
      <c r="I26" s="1204">
        <v>6.1080000000000002E-2</v>
      </c>
      <c r="J26" s="1204">
        <v>1.2857142857142857E-5</v>
      </c>
      <c r="K26" s="1204">
        <v>1.8113207547169812E-6</v>
      </c>
      <c r="L26" s="1204">
        <v>1.6420000000000001E-2</v>
      </c>
      <c r="M26" s="1205">
        <f>I26+(J26*GWPs!$C$4)+(K26*GWPs!$C$5)</f>
        <v>6.19576334231806E-2</v>
      </c>
      <c r="Q26" s="56"/>
      <c r="R26" s="1212" t="s">
        <v>4028</v>
      </c>
      <c r="S26" s="1212" t="s">
        <v>4029</v>
      </c>
      <c r="AF26" s="1055" t="s">
        <v>286</v>
      </c>
    </row>
    <row r="27" spans="1:32" ht="15">
      <c r="A27" s="30">
        <v>0</v>
      </c>
      <c r="B27" s="30" t="str">
        <f t="shared" si="2"/>
        <v>Cars_by_market_segmentLower mediumPlug-in Hybrid Electric Vehicle</v>
      </c>
      <c r="C27" s="30" t="s">
        <v>3927</v>
      </c>
      <c r="D27" s="30" t="s">
        <v>4000</v>
      </c>
      <c r="E27" s="1204" t="s">
        <v>280</v>
      </c>
      <c r="F27" s="1204" t="s">
        <v>1459</v>
      </c>
      <c r="G27" s="1204" t="s">
        <v>277</v>
      </c>
      <c r="H27" s="1204" t="s">
        <v>1460</v>
      </c>
      <c r="I27" s="1204">
        <v>0.13539999999999999</v>
      </c>
      <c r="J27" s="1204">
        <v>1.9285714285714285E-5</v>
      </c>
      <c r="K27" s="1204">
        <v>1.8490566037735848E-6</v>
      </c>
      <c r="L27" s="1204">
        <v>3.8940000000000002E-2</v>
      </c>
      <c r="M27" s="1205">
        <f>I27+(J27*GWPs!$C$4)+(K27*GWPs!$C$5)</f>
        <v>0.13647950673854448</v>
      </c>
      <c r="Q27" s="1213" t="s">
        <v>274</v>
      </c>
      <c r="R27" s="1214">
        <f>SUMPRODUCT(L14:L18,S16:S20)/SUM($S$16:$S$20)</f>
        <v>8.6612792877105854E-2</v>
      </c>
      <c r="S27" s="1214">
        <f>SUMPRODUCT(M14:M18,$S$16:$S$20)/SUM($S$16:$S$20)</f>
        <v>0.3053162037870939</v>
      </c>
      <c r="U27" s="1215"/>
      <c r="Y27" s="1216"/>
      <c r="AF27" s="1211" t="s">
        <v>287</v>
      </c>
    </row>
    <row r="28" spans="1:32" ht="15">
      <c r="A28" s="30">
        <v>0</v>
      </c>
      <c r="B28" s="30" t="str">
        <f t="shared" si="2"/>
        <v>Cars_by_market_segmentLower mediumUnknown</v>
      </c>
      <c r="C28" s="30" t="s">
        <v>3927</v>
      </c>
      <c r="D28" s="30" t="s">
        <v>4000</v>
      </c>
      <c r="E28" s="1204" t="s">
        <v>280</v>
      </c>
      <c r="F28" s="1204" t="s">
        <v>1459</v>
      </c>
      <c r="G28" s="1204" t="s">
        <v>276</v>
      </c>
      <c r="H28" s="1204" t="s">
        <v>1460</v>
      </c>
      <c r="I28" s="1204">
        <v>0.24711</v>
      </c>
      <c r="J28" s="1204">
        <v>1.0357142857142857E-5</v>
      </c>
      <c r="K28" s="1204">
        <v>6.0377358490566044E-6</v>
      </c>
      <c r="L28" s="1204">
        <v>6.6199999999999995E-2</v>
      </c>
      <c r="M28" s="1205">
        <f>I28+(J28*GWPs!$C$4)+(K28*GWPs!$C$5)</f>
        <v>0.24906694474393531</v>
      </c>
      <c r="Q28" s="1213" t="s">
        <v>1480</v>
      </c>
      <c r="R28" s="1214">
        <f>SUMPRODUCT($L$59:$L$64,$S$16:$S$21)/SUM($S$16:$S$21)</f>
        <v>7.1951380088865133E-2</v>
      </c>
      <c r="S28" s="1214">
        <f>SUMPRODUCT($M$59:$M$64,$S$16:$S$21)/SUM($S$16:$S$21)</f>
        <v>0.25645400442066907</v>
      </c>
    </row>
    <row r="29" spans="1:32" ht="15">
      <c r="A29" s="30">
        <v>0</v>
      </c>
      <c r="B29" s="30" t="str">
        <f t="shared" si="2"/>
        <v>Cars_by_market_segmentLuxuryDiesel</v>
      </c>
      <c r="C29" s="30" t="s">
        <v>3927</v>
      </c>
      <c r="D29" s="30" t="s">
        <v>4000</v>
      </c>
      <c r="E29" s="1208" t="s">
        <v>281</v>
      </c>
      <c r="F29" s="1208" t="s">
        <v>1459</v>
      </c>
      <c r="G29" s="1208" t="s">
        <v>16</v>
      </c>
      <c r="H29" s="1208" t="s">
        <v>1460</v>
      </c>
      <c r="I29" s="1208">
        <v>0.32934000000000002</v>
      </c>
      <c r="J29" s="1208">
        <v>3.5714285714285716E-7</v>
      </c>
      <c r="K29" s="1208">
        <v>1.0150943396226416E-5</v>
      </c>
      <c r="L29" s="1208">
        <v>8.1449999999999995E-2</v>
      </c>
      <c r="M29" s="1209">
        <f>I29+(J29*GWPs!$C$4)+(K29*GWPs!$C$5)</f>
        <v>0.33212185040431269</v>
      </c>
      <c r="Q29" s="1217" t="s">
        <v>4001</v>
      </c>
      <c r="R29" s="1214">
        <f>AVERAGE(R27:R28)</f>
        <v>7.9282086482985487E-2</v>
      </c>
      <c r="S29" s="1214">
        <f>AVERAGE(S27:S28)</f>
        <v>0.28088510410388146</v>
      </c>
      <c r="AF29" s="1202" t="s">
        <v>36</v>
      </c>
    </row>
    <row r="30" spans="1:32">
      <c r="A30" s="30">
        <v>0</v>
      </c>
      <c r="B30" s="30" t="str">
        <f t="shared" si="2"/>
        <v>Cars_by_market_segmentLuxuryGasoline</v>
      </c>
      <c r="C30" s="30" t="s">
        <v>3927</v>
      </c>
      <c r="D30" s="30" t="s">
        <v>4000</v>
      </c>
      <c r="E30" s="1208" t="s">
        <v>281</v>
      </c>
      <c r="F30" s="1208" t="s">
        <v>1459</v>
      </c>
      <c r="G30" s="1208" t="s">
        <v>17</v>
      </c>
      <c r="H30" s="1208" t="s">
        <v>1460</v>
      </c>
      <c r="I30" s="1208">
        <v>0.49381000000000003</v>
      </c>
      <c r="J30" s="1208">
        <v>2.0357142857142855E-5</v>
      </c>
      <c r="K30" s="1208">
        <v>1.9622641509433961E-6</v>
      </c>
      <c r="L30" s="1208">
        <v>0.14402999999999999</v>
      </c>
      <c r="M30" s="1209">
        <f>I30+(J30*GWPs!$C$4)+(K30*GWPs!$C$5)</f>
        <v>0.4949523409703504</v>
      </c>
      <c r="AF30" s="1203" t="s">
        <v>288</v>
      </c>
    </row>
    <row r="31" spans="1:32">
      <c r="A31" s="30">
        <v>0</v>
      </c>
      <c r="B31" s="30" t="str">
        <f t="shared" si="2"/>
        <v>Cars_by_market_segmentLuxuryBattery Electric Vehicle</v>
      </c>
      <c r="C31" s="30" t="s">
        <v>3927</v>
      </c>
      <c r="D31" s="30" t="s">
        <v>4000</v>
      </c>
      <c r="E31" s="1208" t="s">
        <v>281</v>
      </c>
      <c r="F31" s="1208" t="s">
        <v>1459</v>
      </c>
      <c r="G31" s="1208" t="s">
        <v>278</v>
      </c>
      <c r="H31" s="1208" t="s">
        <v>1460</v>
      </c>
      <c r="I31" s="1208">
        <v>7.7929999999999999E-2</v>
      </c>
      <c r="J31" s="1208">
        <v>1.4285714285714287E-5</v>
      </c>
      <c r="K31" s="1208">
        <v>2.0754716981132075E-6</v>
      </c>
      <c r="L31" s="1208">
        <v>2.0469999999999999E-2</v>
      </c>
      <c r="M31" s="1209">
        <f>I31+(J31*GWPs!$C$4)+(K31*GWPs!$C$5)</f>
        <v>7.8922318059299182E-2</v>
      </c>
      <c r="Q31" s="56" t="s">
        <v>281</v>
      </c>
      <c r="R31" s="1214">
        <f>SUMPRODUCT(L29:L33,$S$16:$S$20)/SUM($S$16:$S$20)</f>
        <v>0.13911410178235981</v>
      </c>
      <c r="S31" s="1214">
        <f>SUMPRODUCT(M29:M33,$S$16:$S$20)/SUM($S$16:$S$20)</f>
        <v>0.48025936605663272</v>
      </c>
      <c r="AF31" s="1203" t="s">
        <v>289</v>
      </c>
    </row>
    <row r="32" spans="1:32">
      <c r="A32" s="30">
        <v>0</v>
      </c>
      <c r="B32" s="30" t="str">
        <f t="shared" si="2"/>
        <v>Cars_by_market_segmentLuxuryPlug-in Hybrid Electric Vehicle</v>
      </c>
      <c r="C32" s="30" t="s">
        <v>3927</v>
      </c>
      <c r="D32" s="30" t="s">
        <v>4000</v>
      </c>
      <c r="E32" s="1208" t="s">
        <v>281</v>
      </c>
      <c r="F32" s="1208" t="s">
        <v>1459</v>
      </c>
      <c r="G32" s="1208" t="s">
        <v>277</v>
      </c>
      <c r="H32" s="1208" t="s">
        <v>1460</v>
      </c>
      <c r="I32" s="1208">
        <v>0.19997000000000001</v>
      </c>
      <c r="J32" s="1208">
        <v>2.5714285714285714E-5</v>
      </c>
      <c r="K32" s="1208">
        <v>2.3773584905660377E-6</v>
      </c>
      <c r="L32" s="1208">
        <v>5.8409999999999997E-2</v>
      </c>
      <c r="M32" s="1209">
        <f>I32+(J32*GWPs!$C$4)+(K32*GWPs!$C$5)</f>
        <v>0.20138530458221027</v>
      </c>
      <c r="Q32" s="56" t="s">
        <v>283</v>
      </c>
      <c r="R32" s="1214">
        <f>SUMPRODUCT(L44:L48,$S$16:$S$20)/SUM($S$16:$S$20)</f>
        <v>0.10301520153681268</v>
      </c>
      <c r="S32" s="1214">
        <f>SUMPRODUCT(M44:M48,$S$16:$S$20)/SUM($S$16:$S$20)</f>
        <v>0.36777305522678611</v>
      </c>
      <c r="AF32" s="1203" t="s">
        <v>39</v>
      </c>
    </row>
    <row r="33" spans="1:32">
      <c r="A33" s="30">
        <v>0</v>
      </c>
      <c r="B33" s="30" t="str">
        <f t="shared" si="2"/>
        <v>Cars_by_market_segmentLuxuryUnknown</v>
      </c>
      <c r="C33" s="30" t="s">
        <v>3927</v>
      </c>
      <c r="D33" s="30" t="s">
        <v>4000</v>
      </c>
      <c r="E33" s="1208" t="s">
        <v>281</v>
      </c>
      <c r="F33" s="1208" t="s">
        <v>1459</v>
      </c>
      <c r="G33" s="1208" t="s">
        <v>276</v>
      </c>
      <c r="H33" s="1208" t="s">
        <v>1460</v>
      </c>
      <c r="I33" s="1208">
        <v>0.40355999999999997</v>
      </c>
      <c r="J33" s="1208">
        <v>9.9999999999999991E-6</v>
      </c>
      <c r="K33" s="1208">
        <v>6.2641509433962265E-6</v>
      </c>
      <c r="L33" s="1208">
        <v>0.10997999999999999</v>
      </c>
      <c r="M33" s="1209">
        <f>I33+(J33*GWPs!$C$4)+(K33*GWPs!$C$5)</f>
        <v>0.40556811320754715</v>
      </c>
      <c r="Q33" s="56" t="s">
        <v>274</v>
      </c>
      <c r="R33" s="1214">
        <f>SUMPRODUCT(L14:L18,$S$16:$S$20)/SUM($S$16:$S$20)</f>
        <v>8.6612792877105854E-2</v>
      </c>
      <c r="S33" s="1214">
        <f>SUMPRODUCT(M14:M18,$S$16:$S$20)/SUM($S$16:$S$20)</f>
        <v>0.3053162037870939</v>
      </c>
      <c r="AF33" s="1207" t="s">
        <v>290</v>
      </c>
    </row>
    <row r="34" spans="1:32">
      <c r="A34" s="30">
        <v>0</v>
      </c>
      <c r="B34" s="30" t="str">
        <f t="shared" si="2"/>
        <v>Cars_by_market_segmentMiniDiesel</v>
      </c>
      <c r="C34" s="30" t="s">
        <v>3927</v>
      </c>
      <c r="D34" s="30" t="s">
        <v>4000</v>
      </c>
      <c r="E34" s="1204" t="s">
        <v>287</v>
      </c>
      <c r="F34" s="1204" t="s">
        <v>1459</v>
      </c>
      <c r="G34" s="1204" t="s">
        <v>16</v>
      </c>
      <c r="H34" s="1204" t="s">
        <v>1460</v>
      </c>
      <c r="I34" s="1204">
        <v>0.17424999999999999</v>
      </c>
      <c r="J34" s="1204">
        <v>3.5714285714285716E-7</v>
      </c>
      <c r="K34" s="1204">
        <v>1.0150943396226416E-5</v>
      </c>
      <c r="L34" s="1204">
        <v>4.2049999999999997E-2</v>
      </c>
      <c r="M34" s="1205">
        <f>I34+(J34*GWPs!$C$4)+(K34*GWPs!$C$5)</f>
        <v>0.17703185040431266</v>
      </c>
      <c r="Q34" s="56" t="s">
        <v>284</v>
      </c>
      <c r="R34" s="1214">
        <f>SUMPRODUCT(L39:L43,$S$16:$S$20)/SUM($S$16:$S$20)</f>
        <v>8.0647342243175935E-2</v>
      </c>
      <c r="S34" s="1214">
        <f>SUMPRODUCT(M39:M43,$S$16:$S$20)/SUM($S$16:$S$20)</f>
        <v>0.28433892851351233</v>
      </c>
    </row>
    <row r="35" spans="1:32">
      <c r="A35" s="30">
        <v>0</v>
      </c>
      <c r="B35" s="30" t="str">
        <f t="shared" si="2"/>
        <v>Cars_by_market_segmentMiniGasoline</v>
      </c>
      <c r="C35" s="30" t="s">
        <v>3927</v>
      </c>
      <c r="D35" s="30" t="s">
        <v>4000</v>
      </c>
      <c r="E35" s="1204" t="s">
        <v>287</v>
      </c>
      <c r="F35" s="1204" t="s">
        <v>1459</v>
      </c>
      <c r="G35" s="1204" t="s">
        <v>17</v>
      </c>
      <c r="H35" s="1204" t="s">
        <v>1460</v>
      </c>
      <c r="I35" s="1204">
        <v>0.20913000000000001</v>
      </c>
      <c r="J35" s="1204">
        <v>2.0357142857142855E-5</v>
      </c>
      <c r="K35" s="1204">
        <v>1.9622641509433961E-6</v>
      </c>
      <c r="L35" s="1204">
        <v>5.8810000000000001E-2</v>
      </c>
      <c r="M35" s="1205">
        <f>I35+(J35*GWPs!$C$4)+(K35*GWPs!$C$5)</f>
        <v>0.21027234097035041</v>
      </c>
      <c r="Q35" s="56" t="s">
        <v>279</v>
      </c>
      <c r="R35" s="1214">
        <f>SUMPRODUCT(L19:L23,$S$16:$S$20)/SUM($S$16:$S$20)</f>
        <v>9.1091388534660242E-2</v>
      </c>
      <c r="S35" s="1214">
        <f>SUMPRODUCT(M19:M23,$S$16:$S$20)/SUM($S$16:$S$20)</f>
        <v>0.31596404449731436</v>
      </c>
      <c r="AF35" s="1202" t="s">
        <v>273</v>
      </c>
    </row>
    <row r="36" spans="1:32">
      <c r="A36" s="30">
        <v>0</v>
      </c>
      <c r="B36" s="30" t="str">
        <f t="shared" si="2"/>
        <v>Cars_by_market_segmentMiniBattery Electric Vehicle</v>
      </c>
      <c r="C36" s="30" t="s">
        <v>3927</v>
      </c>
      <c r="D36" s="30" t="s">
        <v>4000</v>
      </c>
      <c r="E36" s="1204" t="s">
        <v>287</v>
      </c>
      <c r="F36" s="1204" t="s">
        <v>1459</v>
      </c>
      <c r="G36" s="1204" t="s">
        <v>278</v>
      </c>
      <c r="H36" s="1204" t="s">
        <v>1460</v>
      </c>
      <c r="I36" s="1204">
        <v>5.2729999999999999E-2</v>
      </c>
      <c r="J36" s="1204">
        <v>1.0357142857142857E-5</v>
      </c>
      <c r="K36" s="1204">
        <v>1.5471698113207547E-6</v>
      </c>
      <c r="L36" s="1204">
        <v>1.37E-2</v>
      </c>
      <c r="M36" s="1205">
        <f>I36+(J36*GWPs!$C$4)+(K36*GWPs!$C$5)</f>
        <v>5.3461020215633419E-2</v>
      </c>
      <c r="Q36" s="56" t="s">
        <v>285</v>
      </c>
      <c r="R36" s="1214">
        <f>SUMPRODUCT(L54:L58,$S$16:$S$20)/SUM($S$16:$S$20)</f>
        <v>8.3070642360240352E-2</v>
      </c>
      <c r="S36" s="1214">
        <f>SUMPRODUCT(M54:M58,$S$16:$S$20)/SUM($S$16:$S$20)</f>
        <v>0.2922796243540241</v>
      </c>
      <c r="AF36" s="1203" t="s">
        <v>291</v>
      </c>
    </row>
    <row r="37" spans="1:32">
      <c r="A37" s="30">
        <v>0</v>
      </c>
      <c r="B37" s="30" t="str">
        <f t="shared" si="2"/>
        <v>Cars_by_market_segmentMiniPlug-in Hybrid Electric Vehicle</v>
      </c>
      <c r="C37" s="30" t="s">
        <v>3927</v>
      </c>
      <c r="D37" s="30" t="s">
        <v>4000</v>
      </c>
      <c r="E37" s="1204" t="s">
        <v>287</v>
      </c>
      <c r="F37" s="1204" t="s">
        <v>1459</v>
      </c>
      <c r="G37" s="1204" t="s">
        <v>277</v>
      </c>
      <c r="H37" s="1204" t="s">
        <v>1460</v>
      </c>
      <c r="I37" s="1204">
        <v>0</v>
      </c>
      <c r="J37" s="1204">
        <v>0</v>
      </c>
      <c r="K37" s="1204">
        <v>0</v>
      </c>
      <c r="L37" s="1204">
        <v>0</v>
      </c>
      <c r="M37" s="1205">
        <f>I37+(J37*GWPs!$C$4)+(K37*GWPs!$C$5)</f>
        <v>0</v>
      </c>
      <c r="Q37" s="56" t="s">
        <v>280</v>
      </c>
      <c r="R37" s="1214">
        <f>SUMPRODUCT(L24:L28,$S$16:$S$20)/SUM($S$16:$S$20)</f>
        <v>7.1955312169967131E-2</v>
      </c>
      <c r="S37" s="1214">
        <f>SUMPRODUCT(M24:M28,$S$16:$S$20)/SUM($S$16:$S$20)</f>
        <v>0.2547018753096863</v>
      </c>
      <c r="AF37" s="1203" t="s">
        <v>292</v>
      </c>
    </row>
    <row r="38" spans="1:32">
      <c r="A38" s="30">
        <v>0</v>
      </c>
      <c r="B38" s="30" t="str">
        <f t="shared" si="2"/>
        <v>Cars_by_market_segmentMiniUnknown</v>
      </c>
      <c r="C38" s="30" t="s">
        <v>3927</v>
      </c>
      <c r="D38" s="30" t="s">
        <v>4000</v>
      </c>
      <c r="E38" s="1204" t="s">
        <v>287</v>
      </c>
      <c r="F38" s="1204" t="s">
        <v>1459</v>
      </c>
      <c r="G38" s="1204" t="s">
        <v>276</v>
      </c>
      <c r="H38" s="1204" t="s">
        <v>1460</v>
      </c>
      <c r="I38" s="1204">
        <v>0.20891999999999999</v>
      </c>
      <c r="J38" s="1204">
        <v>1.9999999999999998E-5</v>
      </c>
      <c r="K38" s="1204">
        <v>2.0377358490566037E-6</v>
      </c>
      <c r="L38" s="1204">
        <v>5.8709999999999998E-2</v>
      </c>
      <c r="M38" s="1205">
        <f>I38+(J38*GWPs!$C$4)+(K38*GWPs!$C$5)</f>
        <v>0.21007230188679246</v>
      </c>
      <c r="Q38" s="56" t="s">
        <v>286</v>
      </c>
      <c r="R38" s="1214">
        <f>SUMPRODUCT(L49:L53,$S$16:$S$20)/SUM($S$16:$S$20)</f>
        <v>6.3203391687680271E-2</v>
      </c>
      <c r="S38" s="1214">
        <f>SUMPRODUCT(M49:M53,$S$16:$S$20)/SUM($S$16:$S$20)</f>
        <v>0.22584781989552261</v>
      </c>
      <c r="AF38" s="1203" t="s">
        <v>293</v>
      </c>
    </row>
    <row r="39" spans="1:32">
      <c r="A39" s="30">
        <v>0</v>
      </c>
      <c r="B39" s="30" t="str">
        <f t="shared" si="2"/>
        <v>Cars_by_market_segmentMPVDiesel</v>
      </c>
      <c r="C39" s="30" t="s">
        <v>3927</v>
      </c>
      <c r="D39" s="30" t="s">
        <v>4000</v>
      </c>
      <c r="E39" s="1208" t="s">
        <v>284</v>
      </c>
      <c r="F39" s="1208" t="s">
        <v>1459</v>
      </c>
      <c r="G39" s="1208" t="s">
        <v>16</v>
      </c>
      <c r="H39" s="1208" t="s">
        <v>1460</v>
      </c>
      <c r="I39" s="1208">
        <v>0.28814000000000001</v>
      </c>
      <c r="J39" s="1208">
        <v>3.5714285714285716E-7</v>
      </c>
      <c r="K39" s="1208">
        <v>1.0150943396226416E-5</v>
      </c>
      <c r="L39" s="1208">
        <v>6.9769999999999999E-2</v>
      </c>
      <c r="M39" s="1209">
        <f>I39+(J39*GWPs!$C$4)+(K39*GWPs!$C$5)</f>
        <v>0.29092185040431268</v>
      </c>
      <c r="Q39" s="56" t="s">
        <v>287</v>
      </c>
      <c r="R39" s="1214">
        <f>SUMPRODUCT(L34:L38,$S$16:$S$20)/SUM($S$16:$S$20)</f>
        <v>5.7160205031670706E-2</v>
      </c>
      <c r="S39" s="1214">
        <f>SUMPRODUCT(M34:M38,$S$16:$S$20)/SUM($S$16:$S$20)</f>
        <v>0.20541487784701901</v>
      </c>
      <c r="AF39" s="1207" t="s">
        <v>294</v>
      </c>
    </row>
    <row r="40" spans="1:32">
      <c r="A40" s="30">
        <v>0</v>
      </c>
      <c r="B40" s="30" t="str">
        <f t="shared" si="2"/>
        <v>Cars_by_market_segmentMPVGasoline</v>
      </c>
      <c r="C40" s="30" t="s">
        <v>3927</v>
      </c>
      <c r="D40" s="30" t="s">
        <v>4000</v>
      </c>
      <c r="E40" s="1208" t="s">
        <v>284</v>
      </c>
      <c r="F40" s="1208" t="s">
        <v>1459</v>
      </c>
      <c r="G40" s="1208" t="s">
        <v>17</v>
      </c>
      <c r="H40" s="1208" t="s">
        <v>1460</v>
      </c>
      <c r="I40" s="1208">
        <v>0.28703000000000001</v>
      </c>
      <c r="J40" s="1208">
        <v>2.0357142857142855E-5</v>
      </c>
      <c r="K40" s="1208">
        <v>1.9622641509433961E-6</v>
      </c>
      <c r="L40" s="1208">
        <v>8.2309999999999994E-2</v>
      </c>
      <c r="M40" s="1209">
        <f>I40+(J40*GWPs!$C$4)+(K40*GWPs!$C$5)</f>
        <v>0.28817234097035038</v>
      </c>
    </row>
    <row r="41" spans="1:32">
      <c r="A41" s="30">
        <v>0</v>
      </c>
      <c r="B41" s="30" t="str">
        <f t="shared" si="2"/>
        <v>Cars_by_market_segmentMPVBattery Electric Vehicle</v>
      </c>
      <c r="C41" s="30" t="s">
        <v>3927</v>
      </c>
      <c r="D41" s="30" t="s">
        <v>4000</v>
      </c>
      <c r="E41" s="1208" t="s">
        <v>284</v>
      </c>
      <c r="F41" s="1208" t="s">
        <v>1459</v>
      </c>
      <c r="G41" s="1208" t="s">
        <v>278</v>
      </c>
      <c r="H41" s="1208" t="s">
        <v>1460</v>
      </c>
      <c r="I41" s="1208">
        <v>8.2619999999999999E-2</v>
      </c>
      <c r="J41" s="1208">
        <v>1.6785714285714285E-5</v>
      </c>
      <c r="K41" s="1208">
        <v>2.4150943396226415E-6</v>
      </c>
      <c r="L41" s="1208">
        <v>2.341E-2</v>
      </c>
      <c r="M41" s="1209">
        <f>I41+(J41*GWPs!$C$4)+(K41*GWPs!$C$5)</f>
        <v>8.3779535040431258E-2</v>
      </c>
      <c r="Q41" s="56" t="s">
        <v>9</v>
      </c>
      <c r="R41" s="1214">
        <f>$L$88*Conversions!$F$55</f>
        <v>4.2631522560000003E-2</v>
      </c>
      <c r="S41" s="1214">
        <f>$M$88*Conversions!$F$55</f>
        <v>0.16716687527624799</v>
      </c>
      <c r="AF41" s="1202" t="s">
        <v>275</v>
      </c>
    </row>
    <row r="42" spans="1:32">
      <c r="A42" s="30">
        <v>0</v>
      </c>
      <c r="B42" s="30" t="str">
        <f t="shared" si="2"/>
        <v>Cars_by_market_segmentMPVPlug-in Hybrid Electric Vehicle</v>
      </c>
      <c r="C42" s="30" t="s">
        <v>3927</v>
      </c>
      <c r="D42" s="30" t="s">
        <v>4000</v>
      </c>
      <c r="E42" s="1208" t="s">
        <v>284</v>
      </c>
      <c r="F42" s="1208" t="s">
        <v>1459</v>
      </c>
      <c r="G42" s="1208" t="s">
        <v>277</v>
      </c>
      <c r="H42" s="1208" t="s">
        <v>1460</v>
      </c>
      <c r="I42" s="1208">
        <v>0.16281000000000001</v>
      </c>
      <c r="J42" s="1208">
        <v>2.2142857142857141E-5</v>
      </c>
      <c r="K42" s="1208">
        <v>2.3773584905660377E-6</v>
      </c>
      <c r="L42" s="1208">
        <v>4.369E-2</v>
      </c>
      <c r="M42" s="1209">
        <f>I42+(J42*GWPs!$C$4)+(K42*GWPs!$C$5)</f>
        <v>0.16411887601078171</v>
      </c>
      <c r="Q42" s="56" t="s">
        <v>36</v>
      </c>
      <c r="R42" s="1214">
        <f>$L$93</f>
        <v>4.7570000000000001E-2</v>
      </c>
      <c r="S42" s="1214">
        <f>$M$93</f>
        <v>0.18313792991913747</v>
      </c>
      <c r="AF42" s="1203" t="s">
        <v>295</v>
      </c>
    </row>
    <row r="43" spans="1:32">
      <c r="A43" s="30">
        <v>0</v>
      </c>
      <c r="B43" s="30" t="str">
        <f t="shared" si="2"/>
        <v>Cars_by_market_segmentMPVUnknown</v>
      </c>
      <c r="C43" s="30" t="s">
        <v>3927</v>
      </c>
      <c r="D43" s="30" t="s">
        <v>4000</v>
      </c>
      <c r="E43" s="1208" t="s">
        <v>284</v>
      </c>
      <c r="F43" s="1208" t="s">
        <v>1459</v>
      </c>
      <c r="G43" s="1208" t="s">
        <v>276</v>
      </c>
      <c r="H43" s="1208" t="s">
        <v>1460</v>
      </c>
      <c r="I43" s="1208">
        <v>0.28788999999999998</v>
      </c>
      <c r="J43" s="1208">
        <v>5.7142857142857145E-6</v>
      </c>
      <c r="K43" s="1208">
        <v>7.9999999999999996E-6</v>
      </c>
      <c r="L43" s="1208">
        <v>7.3029999999999998E-2</v>
      </c>
      <c r="M43" s="1209">
        <f>I43+(J43*GWPs!$C$4)+(K43*GWPs!$C$5)</f>
        <v>0.29024428571428573</v>
      </c>
      <c r="Q43" s="56" t="s">
        <v>273</v>
      </c>
      <c r="R43" s="1214">
        <f>$L$103*Conversions!$F$55</f>
        <v>1.4435815680000002E-2</v>
      </c>
      <c r="S43" s="1214">
        <f>$M$103*Conversions!$F$55</f>
        <v>5.7089218377832887E-2</v>
      </c>
      <c r="T43" s="269" t="s">
        <v>294</v>
      </c>
      <c r="V43" s="269"/>
      <c r="AF43" s="1207" t="s">
        <v>296</v>
      </c>
    </row>
    <row r="44" spans="1:32">
      <c r="A44" s="30">
        <v>0</v>
      </c>
      <c r="B44" s="30" t="str">
        <f t="shared" si="2"/>
        <v>Cars_by_market_segmentSportsDiesel</v>
      </c>
      <c r="C44" s="30" t="s">
        <v>3927</v>
      </c>
      <c r="D44" s="30" t="s">
        <v>4000</v>
      </c>
      <c r="E44" s="1204" t="s">
        <v>283</v>
      </c>
      <c r="F44" s="1204" t="s">
        <v>1459</v>
      </c>
      <c r="G44" s="1204" t="s">
        <v>16</v>
      </c>
      <c r="H44" s="1204" t="s">
        <v>1460</v>
      </c>
      <c r="I44" s="1204">
        <v>0.27607999999999999</v>
      </c>
      <c r="J44" s="1204">
        <v>3.5714285714285716E-7</v>
      </c>
      <c r="K44" s="1204">
        <v>1.0150943396226416E-5</v>
      </c>
      <c r="L44" s="1204">
        <v>6.6860000000000003E-2</v>
      </c>
      <c r="M44" s="1205">
        <f>I44+(J44*GWPs!$C$4)+(K44*GWPs!$C$5)</f>
        <v>0.27886185040431266</v>
      </c>
      <c r="Q44" s="56" t="s">
        <v>275</v>
      </c>
      <c r="R44" s="1214">
        <f>$L$107*Conversions!$F$55</f>
        <v>5.949744768000001E-2</v>
      </c>
      <c r="S44" s="1214">
        <f>$M$107*Conversions!$F$55</f>
        <v>0.23922810504469758</v>
      </c>
    </row>
    <row r="45" spans="1:32">
      <c r="A45" s="30">
        <v>0</v>
      </c>
      <c r="B45" s="30" t="str">
        <f t="shared" si="2"/>
        <v>Cars_by_market_segmentSportsGasoline</v>
      </c>
      <c r="C45" s="30" t="s">
        <v>3927</v>
      </c>
      <c r="D45" s="30" t="s">
        <v>4000</v>
      </c>
      <c r="E45" s="1204" t="s">
        <v>283</v>
      </c>
      <c r="F45" s="1204" t="s">
        <v>1459</v>
      </c>
      <c r="G45" s="1204" t="s">
        <v>17</v>
      </c>
      <c r="H45" s="1204" t="s">
        <v>1460</v>
      </c>
      <c r="I45" s="1204">
        <v>0.37542999999999999</v>
      </c>
      <c r="J45" s="1204">
        <v>2.0357142857142855E-5</v>
      </c>
      <c r="K45" s="1204">
        <v>1.9622641509433961E-6</v>
      </c>
      <c r="L45" s="1204">
        <v>0.10600999999999999</v>
      </c>
      <c r="M45" s="1205">
        <f>I45+(J45*GWPs!$C$4)+(K45*GWPs!$C$5)</f>
        <v>0.37657234097035036</v>
      </c>
      <c r="Q45" s="1218" t="s">
        <v>4073</v>
      </c>
      <c r="R45" s="1219">
        <f>L60</f>
        <v>7.4010000000000006E-2</v>
      </c>
      <c r="S45" s="1219">
        <f>M60</f>
        <v>0.26192234097035039</v>
      </c>
      <c r="AF45" s="30" t="s">
        <v>282</v>
      </c>
    </row>
    <row r="46" spans="1:32">
      <c r="A46" s="30">
        <v>0</v>
      </c>
      <c r="B46" s="30" t="str">
        <f t="shared" si="2"/>
        <v>Cars_by_market_segmentSportsBattery Electric Vehicle</v>
      </c>
      <c r="C46" s="30" t="s">
        <v>3927</v>
      </c>
      <c r="D46" s="30" t="s">
        <v>4000</v>
      </c>
      <c r="E46" s="1204" t="s">
        <v>283</v>
      </c>
      <c r="F46" s="1204" t="s">
        <v>1459</v>
      </c>
      <c r="G46" s="1204" t="s">
        <v>278</v>
      </c>
      <c r="H46" s="1204" t="s">
        <v>1460</v>
      </c>
      <c r="I46" s="1204">
        <v>9.9559999999999996E-2</v>
      </c>
      <c r="J46" s="1204">
        <v>1.7857142857142858E-5</v>
      </c>
      <c r="K46" s="1204">
        <v>2.5660377358490568E-6</v>
      </c>
      <c r="L46" s="1204">
        <v>2.6190000000000001E-2</v>
      </c>
      <c r="M46" s="1205">
        <f>I46+(J46*GWPs!$C$4)+(K46*GWPs!$C$5)</f>
        <v>0.10079267115902965</v>
      </c>
      <c r="Q46" s="1043" t="s">
        <v>4074</v>
      </c>
      <c r="R46" s="1220">
        <f>L63</f>
        <v>7.0790000000000006E-2</v>
      </c>
      <c r="S46" s="1220">
        <f>M63</f>
        <v>0.26921668194070081</v>
      </c>
      <c r="AF46" s="56" t="s">
        <v>278</v>
      </c>
    </row>
    <row r="47" spans="1:32">
      <c r="A47" s="30">
        <v>0</v>
      </c>
      <c r="B47" s="30" t="str">
        <f t="shared" si="2"/>
        <v>Cars_by_market_segmentSportsPlug-in Hybrid Electric Vehicle</v>
      </c>
      <c r="C47" s="30" t="s">
        <v>3927</v>
      </c>
      <c r="D47" s="30" t="s">
        <v>4000</v>
      </c>
      <c r="E47" s="1204" t="s">
        <v>283</v>
      </c>
      <c r="F47" s="1204" t="s">
        <v>1459</v>
      </c>
      <c r="G47" s="1204" t="s">
        <v>277</v>
      </c>
      <c r="H47" s="1204" t="s">
        <v>1460</v>
      </c>
      <c r="I47" s="1204">
        <v>0.23877000000000001</v>
      </c>
      <c r="J47" s="1204">
        <v>2.0357142857142855E-5</v>
      </c>
      <c r="K47" s="1204">
        <v>1.8867924528301887E-6</v>
      </c>
      <c r="L47" s="1204">
        <v>5.8169999999999999E-2</v>
      </c>
      <c r="M47" s="1205">
        <f>I47+(J47*GWPs!$C$4)+(K47*GWPs!$C$5)</f>
        <v>0.23989173719676549</v>
      </c>
      <c r="AF47" s="56" t="s">
        <v>16</v>
      </c>
    </row>
    <row r="48" spans="1:32">
      <c r="A48" s="30">
        <v>0</v>
      </c>
      <c r="B48" s="30" t="str">
        <f t="shared" si="2"/>
        <v>Cars_by_market_segmentSportsUnknown</v>
      </c>
      <c r="C48" s="30" t="s">
        <v>3927</v>
      </c>
      <c r="D48" s="30" t="s">
        <v>4000</v>
      </c>
      <c r="E48" s="1204" t="s">
        <v>283</v>
      </c>
      <c r="F48" s="1204" t="s">
        <v>1459</v>
      </c>
      <c r="G48" s="1204" t="s">
        <v>276</v>
      </c>
      <c r="H48" s="1204" t="s">
        <v>1460</v>
      </c>
      <c r="I48" s="1204">
        <v>0.35914000000000001</v>
      </c>
      <c r="J48" s="1204">
        <v>1.7142857142857142E-5</v>
      </c>
      <c r="K48" s="1204">
        <v>3.2452830188679243E-6</v>
      </c>
      <c r="L48" s="1204">
        <v>9.9909999999999999E-2</v>
      </c>
      <c r="M48" s="1205">
        <f>I48+(J48*GWPs!$C$4)+(K48*GWPs!$C$5)</f>
        <v>0.3605368194070081</v>
      </c>
      <c r="AF48" s="56" t="s">
        <v>17</v>
      </c>
    </row>
    <row r="49" spans="1:32">
      <c r="A49" s="30">
        <v>0</v>
      </c>
      <c r="B49" s="30" t="str">
        <f t="shared" si="2"/>
        <v>Cars_by_market_segmentSuperminiDiesel</v>
      </c>
      <c r="C49" s="30" t="s">
        <v>3927</v>
      </c>
      <c r="D49" s="30" t="s">
        <v>4000</v>
      </c>
      <c r="E49" s="1208" t="s">
        <v>286</v>
      </c>
      <c r="F49" s="1208" t="s">
        <v>1459</v>
      </c>
      <c r="G49" s="1208" t="s">
        <v>16</v>
      </c>
      <c r="H49" s="1208" t="s">
        <v>1460</v>
      </c>
      <c r="I49" s="1208">
        <v>0.21378</v>
      </c>
      <c r="J49" s="1208">
        <v>3.5714285714285716E-7</v>
      </c>
      <c r="K49" s="1208">
        <v>1.0150943396226416E-5</v>
      </c>
      <c r="L49" s="1208">
        <v>5.1619999999999999E-2</v>
      </c>
      <c r="M49" s="1209">
        <f>I49+(J49*GWPs!$C$4)+(K49*GWPs!$C$5)</f>
        <v>0.21656185040431267</v>
      </c>
      <c r="AF49" s="56" t="s">
        <v>277</v>
      </c>
    </row>
    <row r="50" spans="1:32">
      <c r="A50" s="30">
        <v>0</v>
      </c>
      <c r="B50" s="30" t="str">
        <f t="shared" si="2"/>
        <v>Cars_by_market_segmentSuperminiGasoline</v>
      </c>
      <c r="C50" s="30" t="s">
        <v>3927</v>
      </c>
      <c r="D50" s="30" t="s">
        <v>4000</v>
      </c>
      <c r="E50" s="1208" t="s">
        <v>286</v>
      </c>
      <c r="F50" s="1208" t="s">
        <v>1459</v>
      </c>
      <c r="G50" s="1208" t="s">
        <v>17</v>
      </c>
      <c r="H50" s="1208" t="s">
        <v>1460</v>
      </c>
      <c r="I50" s="1208">
        <v>0.22864999999999999</v>
      </c>
      <c r="J50" s="1208">
        <v>2.0357142857142855E-5</v>
      </c>
      <c r="K50" s="1208">
        <v>1.9622641509433961E-6</v>
      </c>
      <c r="L50" s="1208">
        <v>6.4689999999999998E-2</v>
      </c>
      <c r="M50" s="1209">
        <f>I50+(J50*GWPs!$C$4)+(K50*GWPs!$C$5)</f>
        <v>0.22979234097035039</v>
      </c>
      <c r="AF50" s="56" t="s">
        <v>276</v>
      </c>
    </row>
    <row r="51" spans="1:32">
      <c r="A51" s="30">
        <v>0</v>
      </c>
      <c r="B51" s="30" t="str">
        <f t="shared" si="2"/>
        <v>Cars_by_market_segmentSuperminiBattery Electric Vehicle</v>
      </c>
      <c r="C51" s="30" t="s">
        <v>3927</v>
      </c>
      <c r="D51" s="30" t="s">
        <v>4000</v>
      </c>
      <c r="E51" s="1208" t="s">
        <v>286</v>
      </c>
      <c r="F51" s="1208" t="s">
        <v>1459</v>
      </c>
      <c r="G51" s="1208" t="s">
        <v>278</v>
      </c>
      <c r="H51" s="1208" t="s">
        <v>1460</v>
      </c>
      <c r="I51" s="1208">
        <v>6.0040000000000003E-2</v>
      </c>
      <c r="J51" s="1208">
        <v>1.1071428571428571E-5</v>
      </c>
      <c r="K51" s="1208">
        <v>1.6226415094339621E-6</v>
      </c>
      <c r="L51" s="1208">
        <v>1.5630000000000002E-2</v>
      </c>
      <c r="M51" s="1209">
        <f>I51+(J51*GWPs!$C$4)+(K51*GWPs!$C$5)</f>
        <v>6.0812909703504045E-2</v>
      </c>
    </row>
    <row r="52" spans="1:32">
      <c r="A52" s="30">
        <v>0</v>
      </c>
      <c r="B52" s="30" t="str">
        <f t="shared" si="2"/>
        <v>Cars_by_market_segmentSuperminiPlug-in Hybrid Electric Vehicle</v>
      </c>
      <c r="C52" s="30" t="s">
        <v>3927</v>
      </c>
      <c r="D52" s="30" t="s">
        <v>4000</v>
      </c>
      <c r="E52" s="1208" t="s">
        <v>286</v>
      </c>
      <c r="F52" s="1208" t="s">
        <v>1459</v>
      </c>
      <c r="G52" s="1208" t="s">
        <v>277</v>
      </c>
      <c r="H52" s="1208" t="s">
        <v>1460</v>
      </c>
      <c r="I52" s="1208">
        <v>9.0469999999999995E-2</v>
      </c>
      <c r="J52" s="1208">
        <v>1.2857142857142857E-5</v>
      </c>
      <c r="K52" s="1208">
        <v>1.5094339622641511E-6</v>
      </c>
      <c r="L52" s="1208">
        <v>2.4459999999999999E-2</v>
      </c>
      <c r="M52" s="1209">
        <f>I52+(J52*GWPs!$C$4)+(K52*GWPs!$C$5)</f>
        <v>9.1265218328840964E-2</v>
      </c>
    </row>
    <row r="53" spans="1:32">
      <c r="A53" s="30">
        <v>0</v>
      </c>
      <c r="B53" s="30" t="str">
        <f t="shared" si="2"/>
        <v>Cars_by_market_segmentSuperminiUnknown</v>
      </c>
      <c r="C53" s="30" t="s">
        <v>3927</v>
      </c>
      <c r="D53" s="30" t="s">
        <v>4000</v>
      </c>
      <c r="E53" s="1208" t="s">
        <v>286</v>
      </c>
      <c r="F53" s="1208" t="s">
        <v>1459</v>
      </c>
      <c r="G53" s="1208" t="s">
        <v>276</v>
      </c>
      <c r="H53" s="1208" t="s">
        <v>1460</v>
      </c>
      <c r="I53" s="1208">
        <v>0.2271</v>
      </c>
      <c r="J53" s="1208">
        <v>1.7142857142857142E-5</v>
      </c>
      <c r="K53" s="1208">
        <v>3.1698113207547171E-6</v>
      </c>
      <c r="L53" s="1208">
        <v>6.3240000000000005E-2</v>
      </c>
      <c r="M53" s="1209">
        <f>I53+(J53*GWPs!$C$4)+(K53*GWPs!$C$5)</f>
        <v>0.22847621563342319</v>
      </c>
    </row>
    <row r="54" spans="1:32">
      <c r="A54" s="30">
        <v>0</v>
      </c>
      <c r="B54" s="30" t="str">
        <f t="shared" si="2"/>
        <v>Cars_by_market_segmentUpper mediumDiesel</v>
      </c>
      <c r="C54" s="30" t="s">
        <v>3927</v>
      </c>
      <c r="D54" s="30" t="s">
        <v>4000</v>
      </c>
      <c r="E54" s="1204" t="s">
        <v>285</v>
      </c>
      <c r="F54" s="1204" t="s">
        <v>1459</v>
      </c>
      <c r="G54" s="1204" t="s">
        <v>16</v>
      </c>
      <c r="H54" s="1204" t="s">
        <v>1460</v>
      </c>
      <c r="I54" s="1204">
        <v>0.25791999999999998</v>
      </c>
      <c r="J54" s="1204">
        <v>3.5714285714285716E-7</v>
      </c>
      <c r="K54" s="1204">
        <v>1.0150943396226416E-5</v>
      </c>
      <c r="L54" s="1204">
        <v>6.3009999999999997E-2</v>
      </c>
      <c r="M54" s="1205">
        <f>I54+(J54*GWPs!$C$4)+(K54*GWPs!$C$5)</f>
        <v>0.26070185040431265</v>
      </c>
    </row>
    <row r="55" spans="1:32">
      <c r="A55" s="30">
        <v>0</v>
      </c>
      <c r="B55" s="30" t="str">
        <f t="shared" si="2"/>
        <v>Cars_by_market_segmentUpper mediumGasoline</v>
      </c>
      <c r="C55" s="30" t="s">
        <v>3927</v>
      </c>
      <c r="D55" s="30" t="s">
        <v>4000</v>
      </c>
      <c r="E55" s="1204" t="s">
        <v>285</v>
      </c>
      <c r="F55" s="1204" t="s">
        <v>1459</v>
      </c>
      <c r="G55" s="1204" t="s">
        <v>17</v>
      </c>
      <c r="H55" s="1204" t="s">
        <v>1460</v>
      </c>
      <c r="I55" s="1204">
        <v>0.29719000000000001</v>
      </c>
      <c r="J55" s="1204">
        <v>2.0357142857142855E-5</v>
      </c>
      <c r="K55" s="1204">
        <v>1.9622641509433961E-6</v>
      </c>
      <c r="L55" s="1204">
        <v>8.5309999999999997E-2</v>
      </c>
      <c r="M55" s="1205">
        <f>I55+(J55*GWPs!$C$4)+(K55*GWPs!$C$5)</f>
        <v>0.29833234097035038</v>
      </c>
    </row>
    <row r="56" spans="1:32">
      <c r="A56" s="30">
        <v>0</v>
      </c>
      <c r="B56" s="30" t="str">
        <f t="shared" si="2"/>
        <v>Cars_by_market_segmentUpper mediumBattery Electric Vehicle</v>
      </c>
      <c r="C56" s="30" t="s">
        <v>3927</v>
      </c>
      <c r="D56" s="30" t="s">
        <v>4000</v>
      </c>
      <c r="E56" s="1204" t="s">
        <v>285</v>
      </c>
      <c r="F56" s="1204" t="s">
        <v>1459</v>
      </c>
      <c r="G56" s="1204" t="s">
        <v>278</v>
      </c>
      <c r="H56" s="1204" t="s">
        <v>1460</v>
      </c>
      <c r="I56" s="1204">
        <v>6.6610000000000003E-2</v>
      </c>
      <c r="J56" s="1204">
        <v>9.2857142857142842E-6</v>
      </c>
      <c r="K56" s="1204">
        <v>1.358490566037736E-6</v>
      </c>
      <c r="L56" s="1204">
        <v>1.6799999999999999E-2</v>
      </c>
      <c r="M56" s="1205">
        <f>I56+(J56*GWPs!$C$4)+(K56*GWPs!$C$5)</f>
        <v>6.7257582210242584E-2</v>
      </c>
    </row>
    <row r="57" spans="1:32">
      <c r="A57" s="30">
        <v>0</v>
      </c>
      <c r="B57" s="30" t="str">
        <f t="shared" si="2"/>
        <v>Cars_by_market_segmentUpper mediumPlug-in Hybrid Electric Vehicle</v>
      </c>
      <c r="C57" s="30" t="s">
        <v>3927</v>
      </c>
      <c r="D57" s="30" t="s">
        <v>4000</v>
      </c>
      <c r="E57" s="1204" t="s">
        <v>285</v>
      </c>
      <c r="F57" s="1204" t="s">
        <v>1459</v>
      </c>
      <c r="G57" s="1204" t="s">
        <v>277</v>
      </c>
      <c r="H57" s="1204" t="s">
        <v>1460</v>
      </c>
      <c r="I57" s="1204">
        <v>0.14652000000000001</v>
      </c>
      <c r="J57" s="1204">
        <v>1.9999999999999998E-5</v>
      </c>
      <c r="K57" s="1204">
        <v>1.9999999999999999E-6</v>
      </c>
      <c r="L57" s="1204">
        <v>4.231E-2</v>
      </c>
      <c r="M57" s="1205">
        <f>I57+(J57*GWPs!$C$4)+(K57*GWPs!$C$5)</f>
        <v>0.14766200000000002</v>
      </c>
    </row>
    <row r="58" spans="1:32">
      <c r="A58" s="30">
        <v>0</v>
      </c>
      <c r="B58" s="30" t="str">
        <f t="shared" si="2"/>
        <v>Cars_by_market_segmentUpper mediumUnknown</v>
      </c>
      <c r="C58" s="30" t="s">
        <v>3927</v>
      </c>
      <c r="D58" s="30" t="s">
        <v>4000</v>
      </c>
      <c r="E58" s="1204" t="s">
        <v>285</v>
      </c>
      <c r="F58" s="1204" t="s">
        <v>1459</v>
      </c>
      <c r="G58" s="1204" t="s">
        <v>276</v>
      </c>
      <c r="H58" s="1204" t="s">
        <v>1460</v>
      </c>
      <c r="I58" s="1204">
        <v>0.26723999999999998</v>
      </c>
      <c r="J58" s="1204">
        <v>4.2857142857142855E-6</v>
      </c>
      <c r="K58" s="1204">
        <v>8.3773584905660387E-6</v>
      </c>
      <c r="L58" s="1204">
        <v>6.8470000000000003E-2</v>
      </c>
      <c r="M58" s="1205">
        <f>I58+(J58*GWPs!$C$4)+(K58*GWPs!$C$5)</f>
        <v>0.2696547331536388</v>
      </c>
    </row>
    <row r="59" spans="1:32">
      <c r="A59" s="30">
        <v>0</v>
      </c>
      <c r="B59" s="30" t="str">
        <f t="shared" si="2"/>
        <v>Cars_by_market_segmentAverage carDiesel</v>
      </c>
      <c r="C59" s="30" t="s">
        <v>3927</v>
      </c>
      <c r="D59" s="30" t="s">
        <v>1479</v>
      </c>
      <c r="E59" s="1208" t="s">
        <v>1480</v>
      </c>
      <c r="F59" s="1208" t="s">
        <v>1459</v>
      </c>
      <c r="G59" s="1208" t="s">
        <v>16</v>
      </c>
      <c r="H59" s="1208" t="s">
        <v>1460</v>
      </c>
      <c r="I59" s="1208">
        <v>0.27578000000000003</v>
      </c>
      <c r="J59" s="1208">
        <v>3.5714285714285716E-7</v>
      </c>
      <c r="K59" s="1208">
        <v>1.0150943396226416E-5</v>
      </c>
      <c r="L59" s="1208">
        <v>6.6729999999999998E-2</v>
      </c>
      <c r="M59" s="1209">
        <f>I59+(J59*GWPs!$C$4)+(K59*GWPs!$C$5)</f>
        <v>0.27856185040431269</v>
      </c>
    </row>
    <row r="60" spans="1:32">
      <c r="A60" s="30">
        <v>0</v>
      </c>
      <c r="B60" s="30" t="str">
        <f t="shared" si="2"/>
        <v>Cars_by_market_segmentAverage carGasoline</v>
      </c>
      <c r="C60" s="30" t="s">
        <v>3927</v>
      </c>
      <c r="D60" s="30" t="s">
        <v>1479</v>
      </c>
      <c r="E60" s="1208" t="s">
        <v>1480</v>
      </c>
      <c r="F60" s="1208" t="s">
        <v>1459</v>
      </c>
      <c r="G60" s="1208" t="s">
        <v>17</v>
      </c>
      <c r="H60" s="1208" t="s">
        <v>1460</v>
      </c>
      <c r="I60" s="1208">
        <v>0.26078000000000001</v>
      </c>
      <c r="J60" s="1208">
        <v>2.0357142857142855E-5</v>
      </c>
      <c r="K60" s="1208">
        <v>1.9622641509433961E-6</v>
      </c>
      <c r="L60" s="1208">
        <v>7.4010000000000006E-2</v>
      </c>
      <c r="M60" s="1209">
        <f>I60+(J60*GWPs!$C$4)+(K60*GWPs!$C$5)</f>
        <v>0.26192234097035039</v>
      </c>
    </row>
    <row r="61" spans="1:32">
      <c r="A61" s="30">
        <v>0</v>
      </c>
      <c r="B61" s="30" t="str">
        <f t="shared" si="2"/>
        <v>Cars_by_market_segmentAverage carBattery Electric Vehicle</v>
      </c>
      <c r="C61" s="30" t="s">
        <v>3927</v>
      </c>
      <c r="D61" s="30" t="s">
        <v>1479</v>
      </c>
      <c r="E61" s="1208" t="s">
        <v>1480</v>
      </c>
      <c r="F61" s="1208" t="s">
        <v>1459</v>
      </c>
      <c r="G61" s="1208" t="s">
        <v>278</v>
      </c>
      <c r="H61" s="1208" t="s">
        <v>1460</v>
      </c>
      <c r="I61" s="1208">
        <v>6.4240000000000005E-2</v>
      </c>
      <c r="J61" s="1208">
        <v>1.3214285714285714E-5</v>
      </c>
      <c r="K61" s="1208">
        <v>1.9245283018867927E-6</v>
      </c>
      <c r="L61" s="1208">
        <v>1.6879999999999999E-2</v>
      </c>
      <c r="M61" s="1209">
        <f>I61+(J61*GWPs!$C$4)+(K61*GWPs!$C$5)</f>
        <v>6.5159181940700805E-2</v>
      </c>
    </row>
    <row r="62" spans="1:32">
      <c r="A62" s="30">
        <v>0</v>
      </c>
      <c r="B62" s="30" t="str">
        <f t="shared" si="2"/>
        <v>Cars_by_market_segmentAverage carHybrid</v>
      </c>
      <c r="C62" s="30" t="s">
        <v>3927</v>
      </c>
      <c r="D62" s="30" t="s">
        <v>1479</v>
      </c>
      <c r="E62" s="1208" t="s">
        <v>1480</v>
      </c>
      <c r="F62" s="1208" t="s">
        <v>1459</v>
      </c>
      <c r="G62" s="1208" t="s">
        <v>1476</v>
      </c>
      <c r="H62" s="1208" t="s">
        <v>1460</v>
      </c>
      <c r="I62" s="1208">
        <v>0.20452000000000001</v>
      </c>
      <c r="J62" s="1208">
        <v>1.0714285714285714E-5</v>
      </c>
      <c r="K62" s="1208">
        <v>5.9245283018867925E-6</v>
      </c>
      <c r="L62" s="1208">
        <v>5.3350000000000002E-2</v>
      </c>
      <c r="M62" s="1209">
        <f>I62+(J62*GWPs!$C$4)+(K62*GWPs!$C$5)</f>
        <v>0.20645668194070083</v>
      </c>
    </row>
    <row r="63" spans="1:32">
      <c r="A63" s="30">
        <v>0</v>
      </c>
      <c r="B63" s="30" t="str">
        <f>"Cars_by_market_segment"&amp;E63&amp;G63</f>
        <v>Cars_by_market_segmentAverage carUnknown</v>
      </c>
      <c r="C63" s="30" t="s">
        <v>3927</v>
      </c>
      <c r="D63" s="30" t="s">
        <v>1479</v>
      </c>
      <c r="E63" s="1208" t="s">
        <v>1480</v>
      </c>
      <c r="F63" s="1208" t="s">
        <v>1459</v>
      </c>
      <c r="G63" s="1208" t="s">
        <v>276</v>
      </c>
      <c r="H63" s="1208" t="s">
        <v>1460</v>
      </c>
      <c r="I63" s="1208">
        <v>0.26728000000000002</v>
      </c>
      <c r="J63" s="1208">
        <v>1.0714285714285714E-5</v>
      </c>
      <c r="K63" s="1208">
        <v>5.9245283018867925E-6</v>
      </c>
      <c r="L63" s="1208">
        <v>7.0790000000000006E-2</v>
      </c>
      <c r="M63" s="1209">
        <f>I63+(J63*GWPs!$C$4)+(K63*GWPs!$C$5)</f>
        <v>0.26921668194070081</v>
      </c>
    </row>
    <row r="64" spans="1:32" ht="13.5" customHeight="1">
      <c r="A64" s="30">
        <v>0</v>
      </c>
      <c r="B64" s="30" t="str">
        <f t="shared" si="2"/>
        <v>Cars_by_market_segmentAverage carPlug-in Hybrid Electric Vehicle</v>
      </c>
      <c r="C64" s="30" t="s">
        <v>3927</v>
      </c>
      <c r="D64" s="30" t="s">
        <v>1479</v>
      </c>
      <c r="E64" s="1208" t="s">
        <v>1480</v>
      </c>
      <c r="F64" s="1208" t="s">
        <v>1459</v>
      </c>
      <c r="G64" s="1208" t="s">
        <v>277</v>
      </c>
      <c r="H64" s="1208" t="s">
        <v>1460</v>
      </c>
      <c r="I64" s="1208">
        <v>0.16719000000000001</v>
      </c>
      <c r="J64" s="1208">
        <v>2.1071428571428572E-5</v>
      </c>
      <c r="K64" s="1208">
        <v>2.1132075471698109E-6</v>
      </c>
      <c r="L64" s="1208">
        <v>4.7210000000000002E-2</v>
      </c>
      <c r="M64" s="1209">
        <f>I64+(J64*GWPs!$C$4)+(K64*GWPs!$C$5)</f>
        <v>0.16839483423180593</v>
      </c>
    </row>
    <row r="65" spans="1:13">
      <c r="A65" s="30">
        <v>0</v>
      </c>
      <c r="B65" s="30" t="str">
        <f t="shared" si="2"/>
        <v>Cars_by_market_segmentLarge carDiesel</v>
      </c>
      <c r="C65" s="30" t="s">
        <v>3927</v>
      </c>
      <c r="D65" s="30" t="s">
        <v>1479</v>
      </c>
      <c r="E65" s="1204" t="s">
        <v>4023</v>
      </c>
      <c r="F65" s="1204" t="s">
        <v>1459</v>
      </c>
      <c r="G65" s="1204" t="s">
        <v>16</v>
      </c>
      <c r="H65" s="1204" t="s">
        <v>1460</v>
      </c>
      <c r="I65" s="1204">
        <v>0.33537</v>
      </c>
      <c r="J65" s="1204">
        <v>3.5714285714285716E-7</v>
      </c>
      <c r="K65" s="1204">
        <v>1.0150943396226416E-5</v>
      </c>
      <c r="L65" s="1204">
        <v>8.1589999999999996E-2</v>
      </c>
      <c r="M65" s="1205">
        <f>I65+(J65*GWPs!$C$4)+(K65*GWPs!$C$5)</f>
        <v>0.33815185040431267</v>
      </c>
    </row>
    <row r="66" spans="1:13">
      <c r="A66" s="30">
        <v>0</v>
      </c>
      <c r="B66" s="30" t="str">
        <f t="shared" si="2"/>
        <v>Cars_by_market_segmentLarge carGasoline</v>
      </c>
      <c r="C66" s="30" t="s">
        <v>3927</v>
      </c>
      <c r="D66" s="30" t="s">
        <v>1479</v>
      </c>
      <c r="E66" s="1204" t="s">
        <v>4023</v>
      </c>
      <c r="F66" s="1204" t="s">
        <v>1459</v>
      </c>
      <c r="G66" s="1204" t="s">
        <v>17</v>
      </c>
      <c r="H66" s="1204" t="s">
        <v>1460</v>
      </c>
      <c r="I66" s="1204">
        <v>0.43065999999999999</v>
      </c>
      <c r="J66" s="1204">
        <v>2.0357142857142855E-5</v>
      </c>
      <c r="K66" s="1204">
        <v>1.9622641509433961E-6</v>
      </c>
      <c r="L66" s="1204">
        <v>0.12114999999999999</v>
      </c>
      <c r="M66" s="1205">
        <f>I66+(J66*GWPs!$C$4)+(K66*GWPs!$C$5)</f>
        <v>0.43180234097035036</v>
      </c>
    </row>
    <row r="67" spans="1:13">
      <c r="A67" s="30">
        <v>0</v>
      </c>
      <c r="B67" s="30" t="str">
        <f t="shared" si="2"/>
        <v>Cars_by_market_segmentLarge carBattery Electric Vehicle</v>
      </c>
      <c r="C67" s="30" t="s">
        <v>3927</v>
      </c>
      <c r="D67" s="30" t="s">
        <v>1479</v>
      </c>
      <c r="E67" s="1204" t="s">
        <v>4023</v>
      </c>
      <c r="F67" s="1204" t="s">
        <v>1459</v>
      </c>
      <c r="G67" s="1204" t="s">
        <v>278</v>
      </c>
      <c r="H67" s="1204" t="s">
        <v>1460</v>
      </c>
      <c r="I67" s="1204">
        <v>6.6699999999999995E-2</v>
      </c>
      <c r="J67" s="1204">
        <v>1.4642857142857142E-5</v>
      </c>
      <c r="K67" s="1204">
        <v>2.1132075471698109E-6</v>
      </c>
      <c r="L67" s="1204">
        <v>1.7500000000000002E-2</v>
      </c>
      <c r="M67" s="1205">
        <f>I67+(J67*GWPs!$C$4)+(K67*GWPs!$C$5)</f>
        <v>6.7713262803234489E-2</v>
      </c>
    </row>
    <row r="68" spans="1:13">
      <c r="A68" s="30">
        <v>0</v>
      </c>
      <c r="B68" s="30" t="str">
        <f t="shared" si="2"/>
        <v>Cars_by_market_segmentLarge carHybrid</v>
      </c>
      <c r="C68" s="30" t="s">
        <v>3927</v>
      </c>
      <c r="D68" s="30" t="s">
        <v>1479</v>
      </c>
      <c r="E68" s="1204" t="s">
        <v>4023</v>
      </c>
      <c r="F68" s="1204" t="s">
        <v>1459</v>
      </c>
      <c r="G68" s="1204" t="s">
        <v>1476</v>
      </c>
      <c r="H68" s="1204" t="s">
        <v>1460</v>
      </c>
      <c r="I68" s="1204">
        <v>0.24956</v>
      </c>
      <c r="J68" s="1204">
        <v>5.7142857142857145E-6</v>
      </c>
      <c r="K68" s="1204">
        <v>8.0377358490566039E-6</v>
      </c>
      <c r="L68" s="1204">
        <v>6.3740000000000005E-2</v>
      </c>
      <c r="M68" s="1205">
        <f>I68+(J68*GWPs!$C$4)+(K68*GWPs!$C$5)</f>
        <v>0.25192458760107816</v>
      </c>
    </row>
    <row r="69" spans="1:13">
      <c r="A69" s="30">
        <v>0</v>
      </c>
      <c r="B69" s="30" t="str">
        <f>"Cars_by_market_segment"&amp;E69&amp;G69</f>
        <v>Cars_by_market_segmentLarge carUnknown</v>
      </c>
      <c r="C69" s="30" t="s">
        <v>3927</v>
      </c>
      <c r="D69" s="30" t="s">
        <v>1479</v>
      </c>
      <c r="E69" s="1204" t="s">
        <v>4023</v>
      </c>
      <c r="F69" s="1204" t="s">
        <v>1459</v>
      </c>
      <c r="G69" s="1204" t="s">
        <v>276</v>
      </c>
      <c r="H69" s="1204" t="s">
        <v>1460</v>
      </c>
      <c r="I69" s="1204">
        <v>0.36266999999999999</v>
      </c>
      <c r="J69" s="1204">
        <v>5.7142857142857145E-6</v>
      </c>
      <c r="K69" s="1204">
        <v>8.0377358490566039E-6</v>
      </c>
      <c r="L69" s="1204">
        <v>9.2759999999999995E-2</v>
      </c>
      <c r="M69" s="1205">
        <f>I69+(J69*GWPs!$C$4)+(K69*GWPs!$C$5)</f>
        <v>0.36503458760107815</v>
      </c>
    </row>
    <row r="70" spans="1:13">
      <c r="A70" s="30">
        <v>0</v>
      </c>
      <c r="B70" s="30" t="str">
        <f t="shared" si="2"/>
        <v>Cars_by_market_segmentLarge carPlug-in Hybrid Electric Vehicle</v>
      </c>
      <c r="C70" s="30" t="s">
        <v>3927</v>
      </c>
      <c r="D70" s="30" t="s">
        <v>1479</v>
      </c>
      <c r="E70" s="1204" t="s">
        <v>4023</v>
      </c>
      <c r="F70" s="1204" t="s">
        <v>1459</v>
      </c>
      <c r="G70" s="1204" t="s">
        <v>277</v>
      </c>
      <c r="H70" s="1204" t="s">
        <v>1460</v>
      </c>
      <c r="I70" s="1204">
        <v>0.18271000000000001</v>
      </c>
      <c r="J70" s="1204">
        <v>2.2857142857142858E-5</v>
      </c>
      <c r="K70" s="1204">
        <v>2.30188679245283E-6</v>
      </c>
      <c r="L70" s="1204">
        <v>5.1839999999999997E-2</v>
      </c>
      <c r="M70" s="1205">
        <f>I70+(J70*GWPs!$C$4)+(K70*GWPs!$C$5)</f>
        <v>0.18401955795148248</v>
      </c>
    </row>
    <row r="71" spans="1:13">
      <c r="A71" s="30">
        <v>0</v>
      </c>
      <c r="B71" s="30" t="str">
        <f t="shared" si="2"/>
        <v>Cars_by_market_segmentMedium carDiesel</v>
      </c>
      <c r="C71" s="30" t="s">
        <v>3927</v>
      </c>
      <c r="D71" s="30" t="s">
        <v>1479</v>
      </c>
      <c r="E71" s="1208" t="s">
        <v>4024</v>
      </c>
      <c r="F71" s="1208" t="s">
        <v>1459</v>
      </c>
      <c r="G71" s="1208" t="s">
        <v>16</v>
      </c>
      <c r="H71" s="1208" t="s">
        <v>1460</v>
      </c>
      <c r="I71" s="1208">
        <v>0.27367999999999998</v>
      </c>
      <c r="J71" s="1208">
        <v>3.5714285714285716E-7</v>
      </c>
      <c r="K71" s="1208">
        <v>1.0150943396226416E-5</v>
      </c>
      <c r="L71" s="1208">
        <v>6.6030000000000005E-2</v>
      </c>
      <c r="M71" s="1209">
        <f>I71+(J71*GWPs!$C$4)+(K71*GWPs!$C$5)</f>
        <v>0.27646185040431265</v>
      </c>
    </row>
    <row r="72" spans="1:13">
      <c r="A72" s="30">
        <v>0</v>
      </c>
      <c r="B72" s="30" t="str">
        <f t="shared" si="2"/>
        <v>Cars_by_market_segmentMedium carGasoline</v>
      </c>
      <c r="C72" s="30" t="s">
        <v>3927</v>
      </c>
      <c r="D72" s="30" t="s">
        <v>1479</v>
      </c>
      <c r="E72" s="1208" t="s">
        <v>4024</v>
      </c>
      <c r="F72" s="1208" t="s">
        <v>1459</v>
      </c>
      <c r="G72" s="1208" t="s">
        <v>17</v>
      </c>
      <c r="H72" s="1208" t="s">
        <v>1460</v>
      </c>
      <c r="I72" s="1208">
        <v>0.28011999999999998</v>
      </c>
      <c r="J72" s="1208">
        <v>2.0357142857142855E-5</v>
      </c>
      <c r="K72" s="1208">
        <v>1.9622641509433961E-6</v>
      </c>
      <c r="L72" s="1208">
        <v>7.9769999999999994E-2</v>
      </c>
      <c r="M72" s="1209">
        <f>I72+(J72*GWPs!$C$4)+(K72*GWPs!$C$5)</f>
        <v>0.28126234097035036</v>
      </c>
    </row>
    <row r="73" spans="1:13">
      <c r="A73" s="30">
        <v>0</v>
      </c>
      <c r="B73" s="30" t="str">
        <f t="shared" si="2"/>
        <v>Cars_by_market_segmentMedium carBattery Electric Vehicle</v>
      </c>
      <c r="C73" s="30" t="s">
        <v>3927</v>
      </c>
      <c r="D73" s="30" t="s">
        <v>1479</v>
      </c>
      <c r="E73" s="1208" t="s">
        <v>4024</v>
      </c>
      <c r="F73" s="1208" t="s">
        <v>1459</v>
      </c>
      <c r="G73" s="1208" t="s">
        <v>278</v>
      </c>
      <c r="H73" s="1208" t="s">
        <v>1460</v>
      </c>
      <c r="I73" s="1208">
        <v>6.1620000000000001E-2</v>
      </c>
      <c r="J73" s="1208">
        <v>1.2857142857142857E-5</v>
      </c>
      <c r="K73" s="1208">
        <v>1.8113207547169812E-6</v>
      </c>
      <c r="L73" s="1208">
        <v>1.6449999999999999E-2</v>
      </c>
      <c r="M73" s="1209">
        <f>I73+(J73*GWPs!$C$4)+(K73*GWPs!$C$5)</f>
        <v>6.2497633423180599E-2</v>
      </c>
    </row>
    <row r="74" spans="1:13">
      <c r="A74" s="30">
        <v>0</v>
      </c>
      <c r="B74" s="30" t="str">
        <f t="shared" si="2"/>
        <v>Cars_by_market_segmentMedium carHybrid</v>
      </c>
      <c r="C74" s="30" t="s">
        <v>3927</v>
      </c>
      <c r="D74" s="30" t="s">
        <v>1479</v>
      </c>
      <c r="E74" s="1208" t="s">
        <v>4024</v>
      </c>
      <c r="F74" s="1208" t="s">
        <v>1459</v>
      </c>
      <c r="G74" s="1208" t="s">
        <v>1476</v>
      </c>
      <c r="H74" s="1208" t="s">
        <v>1460</v>
      </c>
      <c r="I74" s="1208">
        <v>0.18673999999999999</v>
      </c>
      <c r="J74" s="1208">
        <v>9.6428571428571425E-6</v>
      </c>
      <c r="K74" s="1208">
        <v>6.3396226415094341E-6</v>
      </c>
      <c r="L74" s="1208">
        <v>4.8239999999999998E-2</v>
      </c>
      <c r="M74" s="1209">
        <f>I74+(J74*GWPs!$C$4)+(K74*GWPs!$C$5)</f>
        <v>0.18875807412398921</v>
      </c>
    </row>
    <row r="75" spans="1:13">
      <c r="A75" s="30">
        <v>0</v>
      </c>
      <c r="B75" s="30" t="str">
        <f>"Cars_by_market_segment"&amp;E75&amp;G75</f>
        <v>Cars_by_market_segmentMedium carUnknown</v>
      </c>
      <c r="C75" s="30" t="s">
        <v>3927</v>
      </c>
      <c r="D75" s="30" t="s">
        <v>1479</v>
      </c>
      <c r="E75" s="1208" t="s">
        <v>4024</v>
      </c>
      <c r="F75" s="1208" t="s">
        <v>1459</v>
      </c>
      <c r="G75" s="1208" t="s">
        <v>276</v>
      </c>
      <c r="H75" s="1208" t="s">
        <v>1460</v>
      </c>
      <c r="I75" s="1208">
        <v>0.27682000000000001</v>
      </c>
      <c r="J75" s="1208">
        <v>9.6428571428571425E-6</v>
      </c>
      <c r="K75" s="1208">
        <v>6.3396226415094341E-6</v>
      </c>
      <c r="L75" s="1208">
        <v>7.2709999999999997E-2</v>
      </c>
      <c r="M75" s="1209">
        <f>I75+(J75*GWPs!$C$4)+(K75*GWPs!$C$5)</f>
        <v>0.27883807412398925</v>
      </c>
    </row>
    <row r="76" spans="1:13">
      <c r="A76" s="30">
        <v>0</v>
      </c>
      <c r="B76" s="30" t="str">
        <f t="shared" si="2"/>
        <v>Cars_by_market_segmentMedium carPlug-in Hybrid Electric Vehicle</v>
      </c>
      <c r="C76" s="30" t="s">
        <v>3927</v>
      </c>
      <c r="D76" s="30" t="s">
        <v>1479</v>
      </c>
      <c r="E76" s="1208" t="s">
        <v>4024</v>
      </c>
      <c r="F76" s="1208" t="s">
        <v>1459</v>
      </c>
      <c r="G76" s="1208" t="s">
        <v>277</v>
      </c>
      <c r="H76" s="1208" t="s">
        <v>1460</v>
      </c>
      <c r="I76" s="1208">
        <v>0.14087</v>
      </c>
      <c r="J76" s="1208">
        <v>1.9642857142857145E-5</v>
      </c>
      <c r="K76" s="1208">
        <v>1.9622641509433961E-6</v>
      </c>
      <c r="L76" s="1208">
        <v>4.0629999999999999E-2</v>
      </c>
      <c r="M76" s="1209">
        <f>I76+(J76*GWPs!$C$4)+(K76*GWPs!$C$5)</f>
        <v>0.1419910552560647</v>
      </c>
    </row>
    <row r="77" spans="1:13">
      <c r="A77" s="30">
        <v>0</v>
      </c>
      <c r="B77" s="30" t="str">
        <f t="shared" si="2"/>
        <v>Cars_by_market_segmentSmall carDiesel</v>
      </c>
      <c r="C77" s="30" t="s">
        <v>3927</v>
      </c>
      <c r="D77" s="30" t="s">
        <v>1479</v>
      </c>
      <c r="E77" s="1204" t="s">
        <v>4025</v>
      </c>
      <c r="F77" s="1204" t="s">
        <v>1459</v>
      </c>
      <c r="G77" s="1204" t="s">
        <v>16</v>
      </c>
      <c r="H77" s="1204" t="s">
        <v>1460</v>
      </c>
      <c r="I77" s="1204">
        <v>0.22806999999999999</v>
      </c>
      <c r="J77" s="1204">
        <v>3.5714285714285716E-7</v>
      </c>
      <c r="K77" s="1204">
        <v>1.0150943396226416E-5</v>
      </c>
      <c r="L77" s="1204">
        <v>5.4859999999999999E-2</v>
      </c>
      <c r="M77" s="1205">
        <f>I77+(J77*GWPs!$C$4)+(K77*GWPs!$C$5)</f>
        <v>0.23085185040431266</v>
      </c>
    </row>
    <row r="78" spans="1:13">
      <c r="A78" s="30">
        <v>0</v>
      </c>
      <c r="B78" s="30" t="str">
        <f t="shared" si="2"/>
        <v>Cars_by_market_segmentSmall carGasoline</v>
      </c>
      <c r="C78" s="30" t="s">
        <v>3927</v>
      </c>
      <c r="D78" s="30" t="s">
        <v>1479</v>
      </c>
      <c r="E78" s="1204" t="s">
        <v>4025</v>
      </c>
      <c r="F78" s="1204" t="s">
        <v>1459</v>
      </c>
      <c r="G78" s="1204" t="s">
        <v>17</v>
      </c>
      <c r="H78" s="1204" t="s">
        <v>1460</v>
      </c>
      <c r="I78" s="1204">
        <v>0.22917999999999999</v>
      </c>
      <c r="J78" s="1204">
        <v>2.0357142857142855E-5</v>
      </c>
      <c r="K78" s="1204">
        <v>1.9622641509433961E-6</v>
      </c>
      <c r="L78" s="1204">
        <v>6.4610000000000001E-2</v>
      </c>
      <c r="M78" s="1205">
        <f>I78+(J78*GWPs!$C$4)+(K78*GWPs!$C$5)</f>
        <v>0.2303223409703504</v>
      </c>
    </row>
    <row r="79" spans="1:13">
      <c r="A79" s="30">
        <v>0</v>
      </c>
      <c r="B79" s="30" t="str">
        <f t="shared" si="2"/>
        <v>Cars_by_market_segmentSmall carBattery Electric Vehicle</v>
      </c>
      <c r="C79" s="30" t="s">
        <v>3927</v>
      </c>
      <c r="D79" s="30" t="s">
        <v>1479</v>
      </c>
      <c r="E79" s="1204" t="s">
        <v>4025</v>
      </c>
      <c r="F79" s="1204" t="s">
        <v>1459</v>
      </c>
      <c r="G79" s="1204" t="s">
        <v>278</v>
      </c>
      <c r="H79" s="1204" t="s">
        <v>1460</v>
      </c>
      <c r="I79" s="1204">
        <v>5.8630000000000002E-2</v>
      </c>
      <c r="J79" s="1204">
        <v>1.1071428571428571E-5</v>
      </c>
      <c r="K79" s="1204">
        <v>1.5849056603773585E-6</v>
      </c>
      <c r="L79" s="1204">
        <v>1.525E-2</v>
      </c>
      <c r="M79" s="1205">
        <f>I79+(J79*GWPs!$C$4)+(K79*GWPs!$C$5)</f>
        <v>5.9392607816711594E-2</v>
      </c>
    </row>
    <row r="80" spans="1:13">
      <c r="A80" s="30">
        <v>0</v>
      </c>
      <c r="B80" s="30" t="str">
        <f t="shared" si="2"/>
        <v>Cars_by_market_segmentSmall carHybrid</v>
      </c>
      <c r="C80" s="30" t="s">
        <v>3927</v>
      </c>
      <c r="D80" s="30" t="s">
        <v>1479</v>
      </c>
      <c r="E80" s="1204" t="s">
        <v>4025</v>
      </c>
      <c r="F80" s="1204" t="s">
        <v>1459</v>
      </c>
      <c r="G80" s="1204" t="s">
        <v>1476</v>
      </c>
      <c r="H80" s="1204" t="s">
        <v>1460</v>
      </c>
      <c r="I80" s="1204">
        <v>0.18204999999999999</v>
      </c>
      <c r="J80" s="1204">
        <v>1.3571428571428572E-5</v>
      </c>
      <c r="K80" s="1204">
        <v>4.6792452830188677E-6</v>
      </c>
      <c r="L80" s="1204">
        <v>4.87E-2</v>
      </c>
      <c r="M80" s="1205">
        <f>I80+(J80*GWPs!$C$4)+(K80*GWPs!$C$5)</f>
        <v>0.18373186253369272</v>
      </c>
    </row>
    <row r="81" spans="1:15">
      <c r="A81" s="30">
        <v>0</v>
      </c>
      <c r="B81" s="30" t="str">
        <f>"Cars_by_market_segment"&amp;E81&amp;G81</f>
        <v>Cars_by_market_segmentSmall carUnknown</v>
      </c>
      <c r="C81" s="30" t="s">
        <v>3927</v>
      </c>
      <c r="D81" s="30" t="s">
        <v>1479</v>
      </c>
      <c r="E81" s="1204" t="s">
        <v>4025</v>
      </c>
      <c r="F81" s="1204" t="s">
        <v>1459</v>
      </c>
      <c r="G81" s="1204" t="s">
        <v>276</v>
      </c>
      <c r="H81" s="1204" t="s">
        <v>1460</v>
      </c>
      <c r="I81" s="1204">
        <v>0.22886000000000001</v>
      </c>
      <c r="J81" s="1204">
        <v>1.3571428571428572E-5</v>
      </c>
      <c r="K81" s="1204">
        <v>4.6792452830188677E-6</v>
      </c>
      <c r="L81" s="1204">
        <v>6.173E-2</v>
      </c>
      <c r="M81" s="1205">
        <f>I81+(J81*GWPs!$C$4)+(K81*GWPs!$C$5)</f>
        <v>0.23054186253369274</v>
      </c>
    </row>
    <row r="82" spans="1:15">
      <c r="A82" s="30">
        <v>0</v>
      </c>
      <c r="B82" s="30" t="str">
        <f t="shared" ref="B82" si="3">"Cars_by_market_segment"&amp;E82&amp;G82</f>
        <v>Cars_by_market_segmentSmall carPlug-in Hybrid Electric Vehicle</v>
      </c>
      <c r="C82" s="30" t="s">
        <v>3927</v>
      </c>
      <c r="D82" s="30" t="s">
        <v>1479</v>
      </c>
      <c r="E82" s="1204" t="s">
        <v>4025</v>
      </c>
      <c r="F82" s="1204" t="s">
        <v>1459</v>
      </c>
      <c r="G82" s="1204" t="s">
        <v>277</v>
      </c>
      <c r="H82" s="1204" t="s">
        <v>1460</v>
      </c>
      <c r="I82" s="1204">
        <v>9.0469999999999995E-2</v>
      </c>
      <c r="J82" s="1204">
        <v>1.2857142857142857E-5</v>
      </c>
      <c r="K82" s="1204">
        <v>1.5094339622641511E-6</v>
      </c>
      <c r="L82" s="1204">
        <v>2.4459999999999999E-2</v>
      </c>
      <c r="M82" s="1205">
        <f>I82+(J82*GWPs!$C$4)+(K82*GWPs!$C$5)</f>
        <v>9.1265218328840964E-2</v>
      </c>
    </row>
    <row r="83" spans="1:15">
      <c r="A83" s="30"/>
      <c r="I83" s="30"/>
      <c r="J83" s="30"/>
      <c r="K83" s="30"/>
      <c r="L83" s="30"/>
    </row>
    <row r="84" spans="1:15">
      <c r="A84" s="30"/>
      <c r="I84" s="30"/>
      <c r="J84" s="30"/>
      <c r="K84" s="30"/>
      <c r="L84" s="30"/>
    </row>
    <row r="85" spans="1:15">
      <c r="A85" s="30"/>
      <c r="I85" s="30"/>
      <c r="J85" s="30"/>
      <c r="K85" s="30"/>
      <c r="L85" s="30"/>
    </row>
    <row r="86" spans="1:15">
      <c r="A86" s="30"/>
      <c r="I86" s="30"/>
      <c r="J86" s="30"/>
      <c r="K86" s="30"/>
      <c r="L86" s="30"/>
    </row>
    <row r="87" spans="1:15" ht="76.5">
      <c r="A87" s="1184" t="s">
        <v>1452</v>
      </c>
      <c r="C87" s="1184" t="s">
        <v>1446</v>
      </c>
      <c r="D87" s="1184" t="s">
        <v>1447</v>
      </c>
      <c r="E87" s="1184" t="s">
        <v>1448</v>
      </c>
      <c r="F87" s="1184" t="s">
        <v>1449</v>
      </c>
      <c r="G87" s="1184" t="s">
        <v>1450</v>
      </c>
      <c r="H87" s="1184" t="s">
        <v>1451</v>
      </c>
      <c r="I87" s="1184" t="s">
        <v>1453</v>
      </c>
      <c r="J87" s="1184" t="s">
        <v>1454</v>
      </c>
      <c r="K87" s="1184" t="s">
        <v>1455</v>
      </c>
      <c r="L87" s="1184" t="s">
        <v>3926</v>
      </c>
      <c r="M87" s="1221" t="s">
        <v>3930</v>
      </c>
    </row>
    <row r="88" spans="1:15">
      <c r="A88" s="30">
        <v>0</v>
      </c>
      <c r="C88" s="30" t="s">
        <v>3927</v>
      </c>
      <c r="D88" s="30" t="s">
        <v>9</v>
      </c>
      <c r="E88" s="30" t="s">
        <v>268</v>
      </c>
      <c r="F88" s="30" t="s">
        <v>1459</v>
      </c>
      <c r="G88" s="30" t="s">
        <v>1459</v>
      </c>
      <c r="H88" s="30" t="s">
        <v>3928</v>
      </c>
      <c r="I88" s="30">
        <v>0.10310999999999999</v>
      </c>
      <c r="J88" s="30">
        <v>3.5714285714285716E-7</v>
      </c>
      <c r="K88" s="30">
        <v>2.7547169811320755E-6</v>
      </c>
      <c r="L88" s="30">
        <v>2.649E-2</v>
      </c>
      <c r="M88" s="1190">
        <f>I88+(J88*GWPs!$C$4)+(K88*GWPs!$C$5)</f>
        <v>0.10387268059299191</v>
      </c>
    </row>
    <row r="89" spans="1:15">
      <c r="A89" s="30">
        <v>0</v>
      </c>
      <c r="C89" s="30" t="s">
        <v>3927</v>
      </c>
      <c r="D89" s="30" t="s">
        <v>9</v>
      </c>
      <c r="E89" s="30" t="s">
        <v>269</v>
      </c>
      <c r="F89" s="30" t="s">
        <v>1459</v>
      </c>
      <c r="G89" s="30" t="s">
        <v>1459</v>
      </c>
      <c r="H89" s="30" t="s">
        <v>3928</v>
      </c>
      <c r="I89" s="30">
        <v>2.7269999999999999E-2</v>
      </c>
      <c r="J89" s="30">
        <v>3.5714285714285716E-7</v>
      </c>
      <c r="K89" s="30">
        <v>1.8113207547169812E-6</v>
      </c>
      <c r="L89" s="30">
        <v>6.5599999999999999E-3</v>
      </c>
      <c r="M89" s="1190">
        <f>I89+(J89*GWPs!$C$4)+(K89*GWPs!$C$5)</f>
        <v>2.7775133423180592E-2</v>
      </c>
      <c r="N89" s="1206"/>
      <c r="O89" s="1206"/>
    </row>
    <row r="90" spans="1:15">
      <c r="A90" s="30">
        <v>0</v>
      </c>
      <c r="C90" s="30" t="s">
        <v>3927</v>
      </c>
      <c r="D90" s="30" t="s">
        <v>9</v>
      </c>
      <c r="E90" s="30" t="s">
        <v>271</v>
      </c>
      <c r="F90" s="30" t="s">
        <v>1459</v>
      </c>
      <c r="G90" s="30" t="s">
        <v>1459</v>
      </c>
      <c r="H90" s="30" t="s">
        <v>3928</v>
      </c>
      <c r="I90" s="30">
        <v>0.12435</v>
      </c>
      <c r="J90" s="30">
        <v>7.1428571428571431E-7</v>
      </c>
      <c r="K90" s="30">
        <v>3.3207547169811323E-6</v>
      </c>
      <c r="L90" s="30">
        <v>3.1739999999999997E-2</v>
      </c>
      <c r="M90" s="1190">
        <f>I90+(J90*GWPs!$C$4)+(K90*GWPs!$C$5)</f>
        <v>0.12527785175202155</v>
      </c>
      <c r="N90" s="1206"/>
      <c r="O90" s="1206"/>
    </row>
    <row r="91" spans="1:15">
      <c r="A91" s="30">
        <v>0</v>
      </c>
      <c r="C91" s="30" t="s">
        <v>3927</v>
      </c>
      <c r="D91" s="30" t="s">
        <v>9</v>
      </c>
      <c r="E91" s="30" t="s">
        <v>272</v>
      </c>
      <c r="F91" s="30" t="s">
        <v>1459</v>
      </c>
      <c r="G91" s="30" t="s">
        <v>1459</v>
      </c>
      <c r="H91" s="30" t="s">
        <v>3928</v>
      </c>
      <c r="I91" s="30">
        <v>6.8269999999999997E-2</v>
      </c>
      <c r="J91" s="30">
        <v>3.5714285714285716E-7</v>
      </c>
      <c r="K91" s="30">
        <v>1.7735849056603772E-6</v>
      </c>
      <c r="L91" s="30">
        <v>1.821E-2</v>
      </c>
      <c r="M91" s="1190">
        <f>I91+(J91*GWPs!$C$4)+(K91*GWPs!$C$5)</f>
        <v>6.8764831536388141E-2</v>
      </c>
      <c r="N91" s="1206"/>
      <c r="O91" s="1206"/>
    </row>
    <row r="92" spans="1:15">
      <c r="A92" s="30">
        <v>0</v>
      </c>
      <c r="C92" s="30" t="s">
        <v>3927</v>
      </c>
      <c r="D92" s="30" t="s">
        <v>36</v>
      </c>
      <c r="E92" s="30" t="s">
        <v>288</v>
      </c>
      <c r="F92" s="30" t="s">
        <v>1459</v>
      </c>
      <c r="G92" s="30" t="s">
        <v>1459</v>
      </c>
      <c r="H92" s="30" t="s">
        <v>2188</v>
      </c>
      <c r="I92" s="30">
        <v>0.11138000000000001</v>
      </c>
      <c r="J92" s="30">
        <v>6.3214285714285721E-5</v>
      </c>
      <c r="K92" s="30">
        <v>1.9622641509433961E-6</v>
      </c>
      <c r="L92" s="30">
        <v>2.9559999999999999E-2</v>
      </c>
      <c r="M92" s="1190">
        <f>I92+(J92*GWPs!$C$4)+(K92*GWPs!$C$5)</f>
        <v>0.11379948382749326</v>
      </c>
      <c r="N92" s="1206"/>
      <c r="O92" s="1206"/>
    </row>
    <row r="93" spans="1:15">
      <c r="A93" s="30">
        <v>0</v>
      </c>
      <c r="C93" s="30" t="s">
        <v>3927</v>
      </c>
      <c r="D93" s="30" t="s">
        <v>36</v>
      </c>
      <c r="E93" s="30" t="s">
        <v>288</v>
      </c>
      <c r="F93" s="30" t="s">
        <v>1459</v>
      </c>
      <c r="G93" s="30" t="s">
        <v>1459</v>
      </c>
      <c r="H93" s="30" t="s">
        <v>1460</v>
      </c>
      <c r="I93" s="30">
        <v>0.17924999999999999</v>
      </c>
      <c r="J93" s="30">
        <v>1.0142857142857143E-4</v>
      </c>
      <c r="K93" s="30">
        <v>3.1698113207547171E-6</v>
      </c>
      <c r="L93" s="30">
        <v>4.7570000000000001E-2</v>
      </c>
      <c r="M93" s="1190">
        <f>I93+(J93*GWPs!$C$4)+(K93*GWPs!$C$5)</f>
        <v>0.18313792991913747</v>
      </c>
      <c r="N93" s="1206"/>
      <c r="O93" s="1206"/>
    </row>
    <row r="94" spans="1:15">
      <c r="A94" s="30">
        <v>0</v>
      </c>
      <c r="C94" s="30" t="s">
        <v>3927</v>
      </c>
      <c r="D94" s="30" t="s">
        <v>36</v>
      </c>
      <c r="E94" s="30" t="s">
        <v>289</v>
      </c>
      <c r="F94" s="30" t="s">
        <v>1459</v>
      </c>
      <c r="G94" s="30" t="s">
        <v>1459</v>
      </c>
      <c r="H94" s="30" t="s">
        <v>2188</v>
      </c>
      <c r="I94" s="30">
        <v>0.13072</v>
      </c>
      <c r="J94" s="30">
        <v>4.5357142857142863E-5</v>
      </c>
      <c r="K94" s="30">
        <v>1.9999999999999999E-6</v>
      </c>
      <c r="L94" s="30">
        <v>3.4689999999999999E-2</v>
      </c>
      <c r="M94" s="1190">
        <f>I94+(J94*GWPs!$C$4)+(K94*GWPs!$C$5)</f>
        <v>0.13261764285714286</v>
      </c>
      <c r="N94" s="1206"/>
      <c r="O94" s="1206"/>
    </row>
    <row r="95" spans="1:15">
      <c r="A95" s="30">
        <v>0</v>
      </c>
      <c r="C95" s="30" t="s">
        <v>3927</v>
      </c>
      <c r="D95" s="30" t="s">
        <v>36</v>
      </c>
      <c r="E95" s="30" t="s">
        <v>289</v>
      </c>
      <c r="F95" s="30" t="s">
        <v>1459</v>
      </c>
      <c r="G95" s="30" t="s">
        <v>1459</v>
      </c>
      <c r="H95" s="30" t="s">
        <v>1460</v>
      </c>
      <c r="I95" s="30">
        <v>0.21037</v>
      </c>
      <c r="J95" s="30">
        <v>7.285714285714286E-5</v>
      </c>
      <c r="K95" s="30">
        <v>3.2075471698113204E-6</v>
      </c>
      <c r="L95" s="30">
        <v>5.5829999999999998E-2</v>
      </c>
      <c r="M95" s="1190">
        <f>I95+(J95*GWPs!$C$4)+(K95*GWPs!$C$5)</f>
        <v>0.21341680323450132</v>
      </c>
      <c r="N95" s="1206"/>
      <c r="O95" s="1206"/>
    </row>
    <row r="96" spans="1:15">
      <c r="A96" s="30">
        <v>0</v>
      </c>
      <c r="C96" s="30" t="s">
        <v>3927</v>
      </c>
      <c r="D96" s="30" t="s">
        <v>36</v>
      </c>
      <c r="E96" s="30" t="s">
        <v>39</v>
      </c>
      <c r="F96" s="30" t="s">
        <v>1459</v>
      </c>
      <c r="G96" s="30" t="s">
        <v>1459</v>
      </c>
      <c r="H96" s="30" t="s">
        <v>2188</v>
      </c>
      <c r="I96" s="30">
        <v>9.826E-2</v>
      </c>
      <c r="J96" s="30">
        <v>8.142857142857142E-5</v>
      </c>
      <c r="K96" s="30">
        <v>1.9999999999999999E-6</v>
      </c>
      <c r="L96" s="30">
        <v>2.6079999999999999E-2</v>
      </c>
      <c r="M96" s="1190">
        <f>I96+(J96*GWPs!$C$4)+(K96*GWPs!$C$5)</f>
        <v>0.10123257142857144</v>
      </c>
    </row>
    <row r="97" spans="1:13">
      <c r="A97" s="30">
        <v>0</v>
      </c>
      <c r="C97" s="30" t="s">
        <v>3927</v>
      </c>
      <c r="D97" s="30" t="s">
        <v>36</v>
      </c>
      <c r="E97" s="30" t="s">
        <v>39</v>
      </c>
      <c r="F97" s="30" t="s">
        <v>1459</v>
      </c>
      <c r="G97" s="30" t="s">
        <v>1459</v>
      </c>
      <c r="H97" s="30" t="s">
        <v>1460</v>
      </c>
      <c r="I97" s="30">
        <v>0.15812999999999999</v>
      </c>
      <c r="J97" s="30">
        <v>1.3107142857142858E-4</v>
      </c>
      <c r="K97" s="30">
        <v>3.2075471698113204E-6</v>
      </c>
      <c r="L97" s="30">
        <v>4.1959999999999997E-2</v>
      </c>
      <c r="M97" s="1190">
        <f>I97+(J97*GWPs!$C$4)+(K97*GWPs!$C$5)</f>
        <v>0.16291158894878704</v>
      </c>
    </row>
    <row r="98" spans="1:13">
      <c r="A98" s="30">
        <v>0</v>
      </c>
      <c r="C98" s="30" t="s">
        <v>3927</v>
      </c>
      <c r="D98" s="30" t="s">
        <v>36</v>
      </c>
      <c r="E98" s="30" t="s">
        <v>290</v>
      </c>
      <c r="F98" s="30" t="s">
        <v>1459</v>
      </c>
      <c r="G98" s="30" t="s">
        <v>1459</v>
      </c>
      <c r="H98" s="30" t="s">
        <v>2188</v>
      </c>
      <c r="I98" s="30">
        <v>8.0939999999999998E-2</v>
      </c>
      <c r="J98" s="30">
        <v>6.2500000000000001E-5</v>
      </c>
      <c r="K98" s="30">
        <v>1.8867924528301887E-6</v>
      </c>
      <c r="L98" s="30">
        <v>2.1479999999999999E-2</v>
      </c>
      <c r="M98" s="1190">
        <f>I98+(J98*GWPs!$C$4)+(K98*GWPs!$C$5)</f>
        <v>8.3317594339622644E-2</v>
      </c>
    </row>
    <row r="99" spans="1:13">
      <c r="A99" s="30">
        <v>0</v>
      </c>
      <c r="C99" s="30" t="s">
        <v>3927</v>
      </c>
      <c r="D99" s="30" t="s">
        <v>36</v>
      </c>
      <c r="E99" s="30" t="s">
        <v>290</v>
      </c>
      <c r="F99" s="30" t="s">
        <v>1459</v>
      </c>
      <c r="G99" s="30" t="s">
        <v>1459</v>
      </c>
      <c r="H99" s="30" t="s">
        <v>1460</v>
      </c>
      <c r="I99" s="30">
        <v>0.13027</v>
      </c>
      <c r="J99" s="30">
        <v>1.0071428571428571E-4</v>
      </c>
      <c r="K99" s="30">
        <v>3.0188679245283022E-6</v>
      </c>
      <c r="L99" s="30">
        <v>3.4569999999999997E-2</v>
      </c>
      <c r="M99" s="1190">
        <f>I99+(J99*GWPs!$C$4)+(K99*GWPs!$C$5)</f>
        <v>0.13409543665768192</v>
      </c>
    </row>
    <row r="100" spans="1:13">
      <c r="A100" s="30">
        <v>0</v>
      </c>
      <c r="C100" s="30" t="s">
        <v>3927</v>
      </c>
      <c r="D100" s="30" t="s">
        <v>273</v>
      </c>
      <c r="E100" s="30" t="s">
        <v>291</v>
      </c>
      <c r="F100" s="30" t="s">
        <v>1459</v>
      </c>
      <c r="G100" s="30" t="s">
        <v>1459</v>
      </c>
      <c r="H100" s="30" t="s">
        <v>3928</v>
      </c>
      <c r="I100" s="30">
        <v>4.4099999999999999E-3</v>
      </c>
      <c r="J100" s="30">
        <v>7.1428571428571431E-7</v>
      </c>
      <c r="K100" s="30">
        <v>1.1320754716981133E-7</v>
      </c>
      <c r="L100" s="30">
        <v>1.17E-3</v>
      </c>
      <c r="M100" s="1190">
        <f>I100+(J100*GWPs!$C$4)+(K100*GWPs!$C$5)</f>
        <v>4.4621913746630722E-3</v>
      </c>
    </row>
    <row r="101" spans="1:13">
      <c r="A101" s="30">
        <v>0</v>
      </c>
      <c r="C101" s="30" t="s">
        <v>3927</v>
      </c>
      <c r="D101" s="30" t="s">
        <v>273</v>
      </c>
      <c r="E101" s="30" t="s">
        <v>292</v>
      </c>
      <c r="F101" s="30" t="s">
        <v>1459</v>
      </c>
      <c r="G101" s="30" t="s">
        <v>1459</v>
      </c>
      <c r="H101" s="30" t="s">
        <v>3928</v>
      </c>
      <c r="I101" s="30">
        <v>2.8320000000000001E-2</v>
      </c>
      <c r="J101" s="30">
        <v>4.2857142857142855E-6</v>
      </c>
      <c r="K101" s="30">
        <v>6.0377358490566038E-7</v>
      </c>
      <c r="L101" s="30">
        <v>7.4900000000000001E-3</v>
      </c>
      <c r="M101" s="1190">
        <f>I101+(J101*GWPs!$C$4)+(K101*GWPs!$C$5)</f>
        <v>2.8612544474393532E-2</v>
      </c>
    </row>
    <row r="102" spans="1:13">
      <c r="A102" s="30">
        <v>0</v>
      </c>
      <c r="C102" s="30" t="s">
        <v>3927</v>
      </c>
      <c r="D102" s="30" t="s">
        <v>273</v>
      </c>
      <c r="E102" s="30" t="s">
        <v>293</v>
      </c>
      <c r="F102" s="30" t="s">
        <v>1459</v>
      </c>
      <c r="G102" s="30" t="s">
        <v>1459</v>
      </c>
      <c r="H102" s="30" t="s">
        <v>3928</v>
      </c>
      <c r="I102" s="30">
        <v>2.7529999999999999E-2</v>
      </c>
      <c r="J102" s="30">
        <v>3.9285714285714288E-6</v>
      </c>
      <c r="K102" s="30">
        <v>6.0377358490566038E-7</v>
      </c>
      <c r="L102" s="30">
        <v>7.28E-3</v>
      </c>
      <c r="M102" s="1190">
        <f>I102+(J102*GWPs!$C$4)+(K102*GWPs!$C$5)</f>
        <v>2.7811901617250671E-2</v>
      </c>
    </row>
    <row r="103" spans="1:13">
      <c r="A103" s="30">
        <v>0</v>
      </c>
      <c r="C103" s="30" t="s">
        <v>3927</v>
      </c>
      <c r="D103" s="30" t="s">
        <v>273</v>
      </c>
      <c r="E103" s="30" t="s">
        <v>294</v>
      </c>
      <c r="F103" s="30" t="s">
        <v>1459</v>
      </c>
      <c r="G103" s="30" t="s">
        <v>1459</v>
      </c>
      <c r="H103" s="30" t="s">
        <v>3928</v>
      </c>
      <c r="I103" s="30">
        <v>3.5099999999999999E-2</v>
      </c>
      <c r="J103" s="30">
        <v>2.8571428571428573E-6</v>
      </c>
      <c r="K103" s="30">
        <v>1.0566037735849055E-6</v>
      </c>
      <c r="L103" s="30">
        <v>8.9700000000000005E-3</v>
      </c>
      <c r="M103" s="1190">
        <f>I103+(J103*GWPs!$C$4)+(K103*GWPs!$C$5)</f>
        <v>3.5473595687331536E-2</v>
      </c>
    </row>
    <row r="104" spans="1:13">
      <c r="A104" s="30">
        <v>0</v>
      </c>
      <c r="C104" s="30" t="s">
        <v>3927</v>
      </c>
      <c r="D104" s="30" t="s">
        <v>275</v>
      </c>
      <c r="E104" s="30" t="s">
        <v>295</v>
      </c>
      <c r="F104" s="30" t="s">
        <v>1459</v>
      </c>
      <c r="G104" s="30" t="s">
        <v>1459</v>
      </c>
      <c r="H104" s="30" t="s">
        <v>2188</v>
      </c>
      <c r="I104" s="30">
        <v>0.30436000000000002</v>
      </c>
      <c r="J104" s="30">
        <v>1.656E-7</v>
      </c>
      <c r="K104" s="30">
        <v>6.3018867924528307E-6</v>
      </c>
      <c r="L104" s="30">
        <v>7.6340000000000005E-2</v>
      </c>
      <c r="M104" s="1190">
        <f>I104+(J104*GWPs!$C$4)+(K104*GWPs!$C$5)</f>
        <v>0.30608534997433962</v>
      </c>
    </row>
    <row r="105" spans="1:13">
      <c r="A105" s="30">
        <v>0</v>
      </c>
      <c r="C105" s="30" t="s">
        <v>3927</v>
      </c>
      <c r="D105" s="30" t="s">
        <v>275</v>
      </c>
      <c r="E105" s="30" t="s">
        <v>295</v>
      </c>
      <c r="F105" s="30" t="s">
        <v>1459</v>
      </c>
      <c r="G105" s="30" t="s">
        <v>1459</v>
      </c>
      <c r="H105" s="30" t="s">
        <v>3928</v>
      </c>
      <c r="I105" s="30">
        <v>0.20291000000000001</v>
      </c>
      <c r="J105" s="30">
        <v>1.1040000000000001E-7</v>
      </c>
      <c r="K105" s="30">
        <v>4.1886792452830193E-6</v>
      </c>
      <c r="L105" s="30">
        <v>5.0900000000000001E-2</v>
      </c>
      <c r="M105" s="1190">
        <f>I105+(J105*GWPs!$C$4)+(K105*GWPs!$C$5)</f>
        <v>0.20405679935396229</v>
      </c>
    </row>
    <row r="106" spans="1:13">
      <c r="A106" s="30">
        <v>0</v>
      </c>
      <c r="C106" s="30" t="s">
        <v>3927</v>
      </c>
      <c r="D106" s="30" t="s">
        <v>275</v>
      </c>
      <c r="E106" s="30" t="s">
        <v>296</v>
      </c>
      <c r="F106" s="30" t="s">
        <v>1459</v>
      </c>
      <c r="G106" s="30" t="s">
        <v>1459</v>
      </c>
      <c r="H106" s="30" t="s">
        <v>2188</v>
      </c>
      <c r="I106" s="30">
        <v>0.20638000000000001</v>
      </c>
      <c r="J106" s="30">
        <v>1.656E-7</v>
      </c>
      <c r="K106" s="30">
        <v>6.3018867924528307E-6</v>
      </c>
      <c r="L106" s="30">
        <v>5.176E-2</v>
      </c>
      <c r="M106" s="1190">
        <f>I106+(J106*GWPs!$C$4)+(K106*GWPs!$C$5)</f>
        <v>0.20810534997433963</v>
      </c>
    </row>
    <row r="107" spans="1:13">
      <c r="A107" s="30">
        <v>0</v>
      </c>
      <c r="C107" s="30" t="s">
        <v>3927</v>
      </c>
      <c r="D107" s="30" t="s">
        <v>275</v>
      </c>
      <c r="E107" s="30" t="s">
        <v>296</v>
      </c>
      <c r="F107" s="30" t="s">
        <v>1459</v>
      </c>
      <c r="G107" s="30" t="s">
        <v>1459</v>
      </c>
      <c r="H107" s="30" t="s">
        <v>3928</v>
      </c>
      <c r="I107" s="30">
        <v>0.14742</v>
      </c>
      <c r="J107" s="30">
        <v>1.1840000000000001E-7</v>
      </c>
      <c r="K107" s="30">
        <v>4.4905660377358491E-6</v>
      </c>
      <c r="L107" s="30">
        <v>3.6970000000000003E-2</v>
      </c>
      <c r="M107" s="1190">
        <f>I107+(J107*GWPs!$C$4)+(K107*GWPs!$C$5)</f>
        <v>0.14864945284830189</v>
      </c>
    </row>
    <row r="108" spans="1:13">
      <c r="A108" s="30"/>
      <c r="I108" s="30"/>
      <c r="J108" s="30"/>
      <c r="K108" s="30"/>
      <c r="L108" s="30"/>
    </row>
    <row r="109" spans="1:13">
      <c r="A109" s="30"/>
      <c r="I109" s="30"/>
      <c r="J109" s="30"/>
      <c r="K109" s="30"/>
      <c r="L109" s="30"/>
    </row>
    <row r="110" spans="1:13">
      <c r="A110" s="30"/>
      <c r="I110" s="30"/>
      <c r="J110" s="30"/>
      <c r="K110" s="30"/>
      <c r="L110" s="30"/>
    </row>
    <row r="111" spans="1:13">
      <c r="A111" s="30"/>
      <c r="I111" s="30"/>
      <c r="J111" s="30"/>
      <c r="K111" s="30"/>
      <c r="L111" s="30"/>
    </row>
    <row r="112" spans="1:13">
      <c r="A112" s="30"/>
      <c r="I112" s="30"/>
      <c r="J112" s="30"/>
      <c r="K112" s="30"/>
      <c r="L112" s="30"/>
    </row>
    <row r="113" s="30" customFormat="1"/>
    <row r="114" s="30" customFormat="1"/>
    <row r="115" s="30" customFormat="1"/>
    <row r="116" s="30" customFormat="1"/>
    <row r="117" s="30" customFormat="1"/>
    <row r="118" s="30" customFormat="1"/>
    <row r="119" s="30" customFormat="1"/>
    <row r="120" s="30" customFormat="1"/>
    <row r="121" s="30" customFormat="1"/>
    <row r="122" s="30" customFormat="1"/>
    <row r="123" s="30" customFormat="1"/>
    <row r="124" s="30" customFormat="1"/>
    <row r="125" s="30" customFormat="1"/>
    <row r="126" s="30" customFormat="1"/>
    <row r="127" s="30" customFormat="1"/>
    <row r="128" s="30" customFormat="1"/>
    <row r="129" s="30" customFormat="1"/>
    <row r="130" s="30" customFormat="1"/>
    <row r="131" s="30" customFormat="1"/>
    <row r="132" s="30" customFormat="1"/>
    <row r="133" s="30" customFormat="1"/>
    <row r="134" s="30" customFormat="1"/>
    <row r="135" s="30" customFormat="1"/>
    <row r="136" s="30" customFormat="1"/>
    <row r="137" s="30" customFormat="1"/>
    <row r="138" s="30" customFormat="1"/>
    <row r="139" s="30" customFormat="1"/>
    <row r="140" s="30" customFormat="1"/>
    <row r="141" s="30" customFormat="1"/>
    <row r="142" s="30" customFormat="1"/>
    <row r="143" s="30" customFormat="1"/>
    <row r="144" s="30" customFormat="1"/>
    <row r="145" s="30" customFormat="1"/>
    <row r="146" s="30" customFormat="1"/>
    <row r="147" s="30" customFormat="1"/>
    <row r="148" s="30" customFormat="1"/>
    <row r="149" s="30" customFormat="1"/>
    <row r="150" s="30" customFormat="1"/>
    <row r="151" s="30" customFormat="1"/>
    <row r="152" s="30" customFormat="1"/>
    <row r="153" s="30" customFormat="1"/>
    <row r="154" s="30" customFormat="1"/>
    <row r="155" s="30" customFormat="1"/>
    <row r="156" s="30" customFormat="1"/>
    <row r="157" s="30" customFormat="1"/>
    <row r="158" s="30" customFormat="1"/>
    <row r="159" s="30" customFormat="1"/>
    <row r="160" s="30" customFormat="1"/>
    <row r="161" s="30" customFormat="1"/>
    <row r="162" s="30" customFormat="1"/>
    <row r="163" s="30" customFormat="1"/>
    <row r="164" s="30" customFormat="1"/>
    <row r="165" s="30" customFormat="1"/>
    <row r="166" s="30" customFormat="1"/>
    <row r="167" s="30" customFormat="1"/>
    <row r="168" s="30" customFormat="1"/>
    <row r="169" s="30" customFormat="1"/>
    <row r="170" s="30" customFormat="1"/>
    <row r="171" s="30" customFormat="1"/>
    <row r="172" s="30" customFormat="1"/>
    <row r="173" s="30" customFormat="1"/>
    <row r="174" s="30" customFormat="1"/>
    <row r="175" s="30" customFormat="1"/>
    <row r="176" s="30" customFormat="1"/>
    <row r="177" s="30" customFormat="1"/>
    <row r="178" s="30" customFormat="1"/>
    <row r="179" s="30" customFormat="1"/>
    <row r="180" s="30" customFormat="1"/>
    <row r="181" s="30" customFormat="1"/>
    <row r="182" s="30" customFormat="1"/>
    <row r="183" s="30" customFormat="1"/>
    <row r="184" s="30" customFormat="1"/>
    <row r="185" s="30" customFormat="1"/>
    <row r="186" s="30" customFormat="1"/>
    <row r="187" s="30" customFormat="1"/>
    <row r="188" s="30" customFormat="1"/>
    <row r="189" s="30" customFormat="1"/>
    <row r="190" s="30" customFormat="1"/>
    <row r="191" s="30" customFormat="1"/>
    <row r="192" s="30" customFormat="1"/>
    <row r="193" s="30" customFormat="1"/>
    <row r="194" s="30" customFormat="1"/>
    <row r="195" s="30" customFormat="1"/>
    <row r="196" s="30" customFormat="1"/>
    <row r="197" s="30" customFormat="1"/>
    <row r="198" s="30" customFormat="1"/>
    <row r="199" s="30" customFormat="1"/>
    <row r="200" s="30" customFormat="1"/>
    <row r="201" s="30" customFormat="1"/>
    <row r="202" s="30" customFormat="1"/>
    <row r="203" s="30" customFormat="1"/>
    <row r="204" s="30" customFormat="1"/>
    <row r="205" s="30" customFormat="1"/>
    <row r="206" s="30" customFormat="1"/>
    <row r="207" s="30" customFormat="1"/>
    <row r="208" s="30" customFormat="1"/>
    <row r="209" s="30" customFormat="1"/>
    <row r="210" s="30" customFormat="1"/>
    <row r="211" s="30" customFormat="1"/>
    <row r="212" s="30" customFormat="1"/>
    <row r="213" s="30" customFormat="1"/>
    <row r="214" s="30" customFormat="1"/>
    <row r="215" s="30" customFormat="1"/>
    <row r="216" s="30" customFormat="1"/>
    <row r="217" s="30" customFormat="1"/>
    <row r="218" s="30" customFormat="1"/>
    <row r="219" s="30" customFormat="1"/>
    <row r="220" s="30" customFormat="1"/>
    <row r="221" s="30" customFormat="1"/>
    <row r="222" s="30" customFormat="1"/>
    <row r="223" s="30" customFormat="1"/>
    <row r="224" s="30" customFormat="1"/>
    <row r="225" s="30" customFormat="1"/>
    <row r="226" s="30" customFormat="1"/>
    <row r="227" s="30" customFormat="1"/>
    <row r="228" s="30" customFormat="1"/>
    <row r="229" s="30" customFormat="1"/>
    <row r="230" s="30" customFormat="1"/>
    <row r="231" s="30" customFormat="1"/>
    <row r="232" s="30" customFormat="1"/>
    <row r="233" s="30" customFormat="1"/>
    <row r="234" s="30" customFormat="1"/>
    <row r="235" s="30" customFormat="1"/>
    <row r="236" s="30" customFormat="1"/>
    <row r="237" s="30" customFormat="1"/>
    <row r="238" s="30" customFormat="1"/>
    <row r="239" s="30" customFormat="1"/>
    <row r="240" s="30" customFormat="1"/>
    <row r="241" s="30" customFormat="1"/>
    <row r="242" s="30" customFormat="1"/>
    <row r="243" s="30" customFormat="1"/>
    <row r="244" s="30" customFormat="1"/>
    <row r="245" s="30" customFormat="1"/>
    <row r="246" s="30" customFormat="1"/>
    <row r="247" s="30" customFormat="1"/>
    <row r="248" s="30" customFormat="1"/>
    <row r="249" s="30" customFormat="1"/>
    <row r="250" s="30" customFormat="1"/>
    <row r="251" s="30" customFormat="1"/>
    <row r="252" s="30" customFormat="1"/>
    <row r="253" s="30" customFormat="1"/>
    <row r="254" s="30" customFormat="1"/>
    <row r="255" s="30" customFormat="1"/>
    <row r="256" s="30" customFormat="1"/>
    <row r="257" s="30" customFormat="1"/>
    <row r="258" s="30" customFormat="1"/>
    <row r="259" s="30" customFormat="1"/>
    <row r="260" s="30" customFormat="1"/>
    <row r="261" s="30" customFormat="1"/>
    <row r="262" s="30" customFormat="1"/>
    <row r="263" s="30" customFormat="1"/>
    <row r="264" s="30" customFormat="1"/>
    <row r="265" s="30" customFormat="1"/>
    <row r="266" s="30" customFormat="1"/>
    <row r="267" s="30" customFormat="1"/>
    <row r="268" s="30" customFormat="1"/>
    <row r="269" s="30" customFormat="1"/>
    <row r="270" s="30" customFormat="1"/>
    <row r="271" s="30" customFormat="1"/>
    <row r="272" s="30" customFormat="1"/>
    <row r="273" s="30" customFormat="1"/>
    <row r="274" s="30" customFormat="1"/>
    <row r="275" s="30" customFormat="1"/>
    <row r="276" s="30" customFormat="1"/>
    <row r="277" s="30" customFormat="1"/>
    <row r="278" s="30" customFormat="1"/>
    <row r="279" s="30" customFormat="1"/>
    <row r="280" s="30" customFormat="1"/>
    <row r="281" s="30" customFormat="1"/>
    <row r="282" s="30" customFormat="1"/>
    <row r="283" s="30" customFormat="1"/>
    <row r="284" s="30" customFormat="1"/>
  </sheetData>
  <sheetProtection algorithmName="SHA-512" hashValue="AqWDQlg3PQVX3GM2lbg5OJdukZv3/w2wnXDFGaMAoi339VtqXwpiex7KuED7lQehUfs9f1JIjTDXaKtVuJ142w==" saltValue="t6P5u7xZAG/EmdKD2LIU/w==" spinCount="100000" sheet="1" objects="1" scenarios="1" selectLockedCells="1" selectUnlockedCells="1"/>
  <autoFilter ref="B87:M111" xr:uid="{437F7AE9-79A1-4243-B41E-698116F043BA}"/>
  <mergeCells count="1">
    <mergeCell ref="T17:V17"/>
  </mergeCells>
  <hyperlinks>
    <hyperlink ref="Y3" r:id="rId1" xr:uid="{7B8241B7-0E99-497A-9112-368FB709B073}"/>
  </hyperlinks>
  <pageMargins left="0.7" right="0.7" top="0.75" bottom="0.75" header="0.3" footer="0.3"/>
  <tableParts count="9">
    <tablePart r:id="rId2"/>
    <tablePart r:id="rId3"/>
    <tablePart r:id="rId4"/>
    <tablePart r:id="rId5"/>
    <tablePart r:id="rId6"/>
    <tablePart r:id="rId7"/>
    <tablePart r:id="rId8"/>
    <tablePart r:id="rId9"/>
    <tablePart r:id="rId10"/>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D5BA-C3BD-45DB-B05E-AE6E96B06874}">
  <sheetPr codeName="Sheet41"/>
  <dimension ref="A1:L73"/>
  <sheetViews>
    <sheetView showGridLines="0" workbookViewId="0">
      <selection sqref="A1:XFD1048576"/>
    </sheetView>
  </sheetViews>
  <sheetFormatPr defaultColWidth="8.875" defaultRowHeight="14.25"/>
  <cols>
    <col min="1" max="1" width="8.875" style="30"/>
    <col min="2" max="2" width="22.875" style="30" bestFit="1" customWidth="1"/>
    <col min="3" max="3" width="11.375" style="30" bestFit="1" customWidth="1"/>
    <col min="4" max="4" width="20.875" style="30" bestFit="1" customWidth="1"/>
    <col min="5" max="5" width="12.5" style="30" bestFit="1" customWidth="1"/>
    <col min="6" max="6" width="11.375" style="30" bestFit="1" customWidth="1"/>
    <col min="7" max="7" width="11.625" style="30" customWidth="1"/>
    <col min="8" max="8" width="9.5" style="30" bestFit="1" customWidth="1"/>
    <col min="9" max="16384" width="8.875" style="30"/>
  </cols>
  <sheetData>
    <row r="1" spans="1:12">
      <c r="A1" s="1222" t="s">
        <v>3943</v>
      </c>
      <c r="B1" s="1222"/>
      <c r="C1" s="1222"/>
      <c r="D1" s="1222"/>
      <c r="E1" s="1222"/>
      <c r="F1" s="1222"/>
      <c r="G1" s="1222"/>
      <c r="H1" s="1222"/>
      <c r="I1" s="1222"/>
      <c r="J1" s="1222"/>
      <c r="K1" s="1222"/>
      <c r="L1" s="1222"/>
    </row>
    <row r="2" spans="1:12" ht="20.25">
      <c r="A2" s="1223" t="s">
        <v>3944</v>
      </c>
      <c r="B2" s="1223"/>
      <c r="C2" s="1223"/>
      <c r="D2" s="1223"/>
      <c r="E2" s="1223"/>
      <c r="F2" s="1223"/>
      <c r="G2" s="1224"/>
      <c r="H2" s="1224"/>
      <c r="I2" s="1224"/>
      <c r="J2" s="1224"/>
      <c r="K2" s="1224"/>
      <c r="L2" s="1224"/>
    </row>
    <row r="3" spans="1:12">
      <c r="A3" s="1225" t="s">
        <v>3945</v>
      </c>
      <c r="B3" s="1224"/>
      <c r="C3" s="1224"/>
      <c r="D3" s="1224"/>
      <c r="E3" s="1224"/>
      <c r="F3" s="1224"/>
      <c r="G3" s="1224"/>
      <c r="H3" s="1224"/>
      <c r="I3" s="1224"/>
      <c r="J3" s="1224"/>
      <c r="K3" s="1224"/>
      <c r="L3" s="1224"/>
    </row>
    <row r="4" spans="1:12" ht="15" thickBot="1">
      <c r="A4" s="1226"/>
      <c r="B4" s="1226"/>
      <c r="C4" s="1226"/>
      <c r="D4" s="1226"/>
      <c r="E4" s="1226"/>
      <c r="F4" s="1226"/>
      <c r="G4" s="1226"/>
      <c r="H4" s="1226"/>
      <c r="I4" s="1226"/>
      <c r="J4" s="1226"/>
      <c r="K4" s="1226"/>
      <c r="L4" s="1226"/>
    </row>
    <row r="5" spans="1:12" ht="45.75" thickTop="1">
      <c r="A5" s="1227" t="s">
        <v>3946</v>
      </c>
      <c r="B5" s="1228" t="s">
        <v>3947</v>
      </c>
      <c r="C5" s="1229" t="s">
        <v>3948</v>
      </c>
      <c r="D5" s="1230">
        <v>45818</v>
      </c>
      <c r="E5" s="1231" t="s">
        <v>3949</v>
      </c>
      <c r="F5" s="1230" t="s">
        <v>3950</v>
      </c>
      <c r="G5" s="1224"/>
      <c r="H5" s="1224"/>
      <c r="I5" s="1224"/>
      <c r="J5" s="1224"/>
      <c r="K5" s="1224"/>
      <c r="L5" s="1224"/>
    </row>
    <row r="6" spans="1:12" ht="15.75" thickBot="1">
      <c r="A6" s="1232" t="s">
        <v>3951</v>
      </c>
      <c r="B6" s="1233" t="s">
        <v>1966</v>
      </c>
      <c r="C6" s="1234" t="s">
        <v>3952</v>
      </c>
      <c r="D6" s="1235">
        <v>1</v>
      </c>
      <c r="E6" s="1236" t="s">
        <v>1206</v>
      </c>
      <c r="F6" s="1237">
        <v>2024</v>
      </c>
      <c r="G6" s="1224"/>
      <c r="H6" s="1224"/>
      <c r="I6" s="1224"/>
      <c r="J6" s="1224"/>
      <c r="K6" s="1224"/>
      <c r="L6" s="1224"/>
    </row>
    <row r="7" spans="1:12" ht="15.75" thickTop="1" thickBot="1">
      <c r="A7" s="1224"/>
      <c r="B7" s="1224"/>
      <c r="C7" s="1224"/>
      <c r="D7" s="1224"/>
      <c r="E7" s="1224"/>
      <c r="F7" s="1224"/>
      <c r="G7" s="1224"/>
      <c r="H7" s="1224"/>
      <c r="I7" s="1224"/>
      <c r="J7" s="1224"/>
      <c r="K7" s="1224"/>
      <c r="L7" s="1224"/>
    </row>
    <row r="8" spans="1:12" ht="15.75" thickTop="1" thickBot="1">
      <c r="A8" s="1590" t="s">
        <v>3953</v>
      </c>
      <c r="B8" s="1591"/>
      <c r="C8" s="1591"/>
      <c r="D8" s="1591"/>
      <c r="E8" s="1591"/>
      <c r="F8" s="1591"/>
      <c r="G8" s="1591"/>
      <c r="H8" s="1591"/>
      <c r="I8" s="1591"/>
      <c r="J8" s="1591"/>
      <c r="K8" s="1591"/>
      <c r="L8" s="1592"/>
    </row>
    <row r="9" spans="1:12" ht="15" thickTop="1">
      <c r="A9" s="1224"/>
      <c r="B9" s="1224"/>
      <c r="C9" s="1224"/>
      <c r="D9" s="1224"/>
      <c r="E9" s="1224"/>
      <c r="F9" s="1224"/>
      <c r="G9" s="1224"/>
      <c r="H9" s="1224"/>
      <c r="I9" s="1224"/>
      <c r="J9" s="1224"/>
      <c r="K9" s="1224"/>
      <c r="L9" s="1224"/>
    </row>
    <row r="10" spans="1:12" ht="15">
      <c r="A10" s="1593" t="s">
        <v>3954</v>
      </c>
      <c r="B10" s="1593"/>
      <c r="C10" s="1593"/>
      <c r="D10" s="1593"/>
      <c r="E10" s="1593"/>
      <c r="F10" s="1593"/>
      <c r="G10" s="1593"/>
      <c r="H10" s="1593"/>
      <c r="I10" s="1593"/>
      <c r="J10" s="1593"/>
      <c r="K10" s="1593"/>
      <c r="L10" s="1593"/>
    </row>
    <row r="11" spans="1:12">
      <c r="A11" s="1224" t="s">
        <v>3955</v>
      </c>
      <c r="B11" s="1224"/>
      <c r="C11" s="1224"/>
      <c r="D11" s="1224"/>
      <c r="E11" s="1224"/>
      <c r="F11" s="1224"/>
      <c r="G11" s="1224"/>
      <c r="H11" s="1224"/>
      <c r="I11" s="1224"/>
      <c r="J11" s="1224"/>
      <c r="K11" s="1224"/>
      <c r="L11" s="1224"/>
    </row>
    <row r="12" spans="1:12">
      <c r="A12" s="1224"/>
      <c r="B12" s="1224"/>
      <c r="C12" s="1224"/>
      <c r="D12" s="1224"/>
      <c r="E12" s="1224"/>
      <c r="F12" s="1224"/>
      <c r="G12" s="1224"/>
      <c r="H12" s="1224"/>
      <c r="I12" s="1224"/>
      <c r="J12" s="1224"/>
      <c r="K12" s="1224"/>
      <c r="L12" s="1224"/>
    </row>
    <row r="13" spans="1:12" ht="15">
      <c r="A13" s="1593" t="s">
        <v>3956</v>
      </c>
      <c r="B13" s="1593"/>
      <c r="C13" s="1593"/>
      <c r="D13" s="1593"/>
      <c r="E13" s="1593"/>
      <c r="F13" s="1593"/>
      <c r="G13" s="1593"/>
      <c r="H13" s="1593"/>
      <c r="I13" s="1593"/>
      <c r="J13" s="1593"/>
      <c r="K13" s="1593"/>
      <c r="L13" s="1593"/>
    </row>
    <row r="14" spans="1:12" ht="36" customHeight="1">
      <c r="A14" s="1594" t="s">
        <v>3957</v>
      </c>
      <c r="B14" s="1594"/>
      <c r="C14" s="1594"/>
      <c r="D14" s="1594"/>
      <c r="E14" s="1594"/>
      <c r="F14" s="1594"/>
      <c r="G14" s="1594"/>
      <c r="H14" s="1594"/>
      <c r="I14" s="1594"/>
      <c r="J14" s="1594"/>
      <c r="K14" s="1594"/>
      <c r="L14" s="1594"/>
    </row>
    <row r="15" spans="1:12">
      <c r="A15" s="1594" t="s">
        <v>3958</v>
      </c>
      <c r="B15" s="1594"/>
      <c r="C15" s="1594"/>
      <c r="D15" s="1594"/>
      <c r="E15" s="1594"/>
      <c r="F15" s="1594"/>
      <c r="G15" s="1594"/>
      <c r="H15" s="1594"/>
      <c r="I15" s="1594"/>
      <c r="J15" s="1594"/>
      <c r="K15" s="1594"/>
      <c r="L15" s="1594"/>
    </row>
    <row r="16" spans="1:12">
      <c r="A16" s="1224"/>
      <c r="B16" s="1224"/>
      <c r="C16" s="1224"/>
      <c r="D16" s="1224"/>
      <c r="E16" s="1224"/>
      <c r="F16" s="1224"/>
      <c r="G16" s="1224"/>
      <c r="H16" s="1224"/>
      <c r="I16" s="1224"/>
      <c r="J16" s="1224"/>
      <c r="K16" s="1224"/>
      <c r="L16" s="1224"/>
    </row>
    <row r="17" spans="1:12">
      <c r="A17" s="1224"/>
      <c r="B17" s="1224"/>
      <c r="C17" s="1224"/>
      <c r="D17" s="1224"/>
      <c r="E17" s="1224"/>
      <c r="F17" s="1224"/>
      <c r="G17" s="1224"/>
      <c r="H17" s="1224"/>
      <c r="I17" s="1224"/>
      <c r="J17" s="1224"/>
      <c r="K17" s="1224"/>
      <c r="L17" s="1224"/>
    </row>
    <row r="18" spans="1:12" ht="15" thickBot="1">
      <c r="A18" s="1224"/>
      <c r="B18" s="1224"/>
      <c r="C18" s="1224"/>
      <c r="D18" s="1224"/>
      <c r="E18" s="1224"/>
      <c r="F18" s="1224"/>
      <c r="G18" s="1224"/>
      <c r="H18" s="1224"/>
      <c r="I18" s="1224"/>
      <c r="J18" s="1224"/>
      <c r="K18" s="1224"/>
      <c r="L18" s="1224"/>
    </row>
    <row r="19" spans="1:12" ht="15.75" thickTop="1" thickBot="1">
      <c r="A19" s="1224"/>
      <c r="B19" s="1224"/>
      <c r="C19" s="1238" t="s">
        <v>3959</v>
      </c>
      <c r="D19" s="1238" t="s">
        <v>3960</v>
      </c>
      <c r="E19" s="1238" t="s">
        <v>3961</v>
      </c>
      <c r="F19" s="1224"/>
      <c r="G19" s="1224"/>
      <c r="H19" s="1224"/>
      <c r="I19" s="1224"/>
      <c r="J19" s="1224"/>
      <c r="K19" s="1224"/>
      <c r="L19" s="1224"/>
    </row>
    <row r="20" spans="1:12" ht="18.75" thickTop="1" thickBot="1">
      <c r="A20" s="1587" t="s">
        <v>3962</v>
      </c>
      <c r="B20" s="1239" t="s">
        <v>3963</v>
      </c>
      <c r="C20" s="1240" t="s">
        <v>3964</v>
      </c>
      <c r="D20" s="1241">
        <v>1000</v>
      </c>
      <c r="E20" s="1240" t="s">
        <v>3965</v>
      </c>
      <c r="F20" s="1224"/>
      <c r="G20" s="1224"/>
      <c r="H20" s="1224"/>
      <c r="I20" s="1224"/>
      <c r="J20" s="1224"/>
      <c r="K20" s="1224"/>
      <c r="L20" s="1224"/>
    </row>
    <row r="21" spans="1:12" ht="18.75" thickTop="1" thickBot="1">
      <c r="A21" s="1588"/>
      <c r="B21" s="1239" t="s">
        <v>3966</v>
      </c>
      <c r="C21" s="1242" t="s">
        <v>3967</v>
      </c>
      <c r="D21" s="1243">
        <v>1000000</v>
      </c>
      <c r="E21" s="1242" t="s">
        <v>3968</v>
      </c>
      <c r="F21" s="1224"/>
      <c r="G21" s="1224"/>
      <c r="H21" s="1224"/>
      <c r="I21" s="1224"/>
      <c r="J21" s="1224"/>
      <c r="K21" s="1224"/>
      <c r="L21" s="1224"/>
    </row>
    <row r="22" spans="1:12" ht="18.75" thickTop="1" thickBot="1">
      <c r="A22" s="1588"/>
      <c r="B22" s="1239" t="s">
        <v>3969</v>
      </c>
      <c r="C22" s="1242" t="s">
        <v>3970</v>
      </c>
      <c r="D22" s="1243">
        <v>1000000000</v>
      </c>
      <c r="E22" s="1242" t="s">
        <v>3971</v>
      </c>
      <c r="F22" s="1224"/>
      <c r="G22" s="1224"/>
      <c r="H22" s="1224"/>
      <c r="I22" s="1224"/>
      <c r="J22" s="1224"/>
      <c r="K22" s="1224"/>
      <c r="L22" s="1224"/>
    </row>
    <row r="23" spans="1:12" ht="18.75" thickTop="1" thickBot="1">
      <c r="A23" s="1588"/>
      <c r="B23" s="1239" t="s">
        <v>3972</v>
      </c>
      <c r="C23" s="1242" t="s">
        <v>3973</v>
      </c>
      <c r="D23" s="1243">
        <v>1000000000000</v>
      </c>
      <c r="E23" s="1242" t="s">
        <v>3974</v>
      </c>
      <c r="F23" s="1224"/>
      <c r="G23" s="1224"/>
      <c r="H23" s="1224"/>
      <c r="I23" s="1224"/>
      <c r="J23" s="1224"/>
      <c r="K23" s="1224"/>
      <c r="L23" s="1224"/>
    </row>
    <row r="24" spans="1:12" ht="18.75" thickTop="1" thickBot="1">
      <c r="A24" s="1589"/>
      <c r="B24" s="1239" t="s">
        <v>3975</v>
      </c>
      <c r="C24" s="1244" t="s">
        <v>3976</v>
      </c>
      <c r="D24" s="1245">
        <v>1000000000000000</v>
      </c>
      <c r="E24" s="1244" t="s">
        <v>3977</v>
      </c>
      <c r="F24" s="1224"/>
      <c r="G24" s="1224"/>
      <c r="H24" s="1224"/>
      <c r="I24" s="1224"/>
      <c r="J24" s="1224"/>
      <c r="K24" s="1224"/>
      <c r="L24" s="1224"/>
    </row>
    <row r="25" spans="1:12" ht="15" thickTop="1">
      <c r="A25" s="1246"/>
      <c r="B25" s="1224"/>
      <c r="C25" s="1224"/>
      <c r="D25" s="1224"/>
      <c r="E25" s="1224"/>
      <c r="F25" s="1224"/>
      <c r="G25" s="1224"/>
      <c r="H25" s="1224"/>
      <c r="I25" s="1224"/>
      <c r="J25" s="1224"/>
      <c r="K25" s="1224"/>
      <c r="L25" s="1224"/>
    </row>
    <row r="26" spans="1:12" ht="15" thickBot="1">
      <c r="A26" s="1224"/>
      <c r="B26" s="1224"/>
      <c r="C26" s="1224"/>
      <c r="D26" s="1224"/>
      <c r="E26" s="1224"/>
      <c r="F26" s="1224"/>
      <c r="G26" s="1224"/>
      <c r="H26" s="1224"/>
      <c r="I26" s="1224"/>
      <c r="J26" s="1224"/>
      <c r="K26" s="1224"/>
      <c r="L26" s="1224"/>
    </row>
    <row r="27" spans="1:12" ht="15.75" thickTop="1" thickBot="1">
      <c r="A27" s="1224"/>
      <c r="B27" s="1247"/>
      <c r="C27" s="1238" t="s">
        <v>1718</v>
      </c>
      <c r="D27" s="1238" t="s">
        <v>1719</v>
      </c>
      <c r="E27" s="1238" t="s">
        <v>1720</v>
      </c>
      <c r="F27" s="1238" t="s">
        <v>1721</v>
      </c>
      <c r="G27" s="1238" t="s">
        <v>1722</v>
      </c>
      <c r="H27" s="1224"/>
      <c r="I27" s="1224"/>
      <c r="J27" s="1224"/>
      <c r="K27" s="1224"/>
      <c r="L27" s="1224"/>
    </row>
    <row r="28" spans="1:12" ht="15.75" thickTop="1" thickBot="1">
      <c r="A28" s="1584" t="s">
        <v>3978</v>
      </c>
      <c r="B28" s="1239" t="s">
        <v>1723</v>
      </c>
      <c r="C28" s="1248"/>
      <c r="D28" s="1249">
        <v>277.77777777799997</v>
      </c>
      <c r="E28" s="1250">
        <v>9.4781707770000008</v>
      </c>
      <c r="F28" s="1250">
        <v>2.3884590000000001E-2</v>
      </c>
      <c r="G28" s="1251">
        <v>238902.95761861501</v>
      </c>
      <c r="H28" s="1224"/>
      <c r="I28" s="1224"/>
      <c r="J28" s="1224"/>
      <c r="K28" s="1224"/>
      <c r="L28" s="1224"/>
    </row>
    <row r="29" spans="1:12" ht="15.75" thickTop="1" thickBot="1">
      <c r="A29" s="1585"/>
      <c r="B29" s="1239" t="s">
        <v>1724</v>
      </c>
      <c r="C29" s="1252">
        <v>3.5999999999971203E-3</v>
      </c>
      <c r="D29" s="1253"/>
      <c r="E29" s="1254">
        <v>3.4121414797172706E-2</v>
      </c>
      <c r="F29" s="1254">
        <v>8.5984523999931223E-5</v>
      </c>
      <c r="G29" s="1255">
        <v>860.05064742632601</v>
      </c>
      <c r="H29" s="1224"/>
      <c r="I29" s="1224"/>
      <c r="J29" s="1224"/>
      <c r="K29" s="1224"/>
      <c r="L29" s="1224"/>
    </row>
    <row r="30" spans="1:12" ht="15.75" thickTop="1" thickBot="1">
      <c r="A30" s="1585"/>
      <c r="B30" s="1239" t="s">
        <v>15</v>
      </c>
      <c r="C30" s="1256">
        <v>0.10550559000547115</v>
      </c>
      <c r="D30" s="1257">
        <v>29.307108334876538</v>
      </c>
      <c r="E30" s="1253"/>
      <c r="F30" s="1254">
        <v>2.5199577599887761E-3</v>
      </c>
      <c r="G30" s="1258">
        <v>25205.597497604045</v>
      </c>
      <c r="H30" s="1224"/>
      <c r="I30" s="1224"/>
      <c r="J30" s="1224"/>
      <c r="K30" s="1224"/>
      <c r="L30" s="1224"/>
    </row>
    <row r="31" spans="1:12" ht="15.75" thickTop="1" thickBot="1">
      <c r="A31" s="1585"/>
      <c r="B31" s="1239" t="s">
        <v>1725</v>
      </c>
      <c r="C31" s="1259">
        <v>41.867999408823849</v>
      </c>
      <c r="D31" s="1260">
        <v>11629.999835793706</v>
      </c>
      <c r="E31" s="1261">
        <v>396.83204848816752</v>
      </c>
      <c r="F31" s="1253"/>
      <c r="G31" s="1258">
        <v>10002388.888342442</v>
      </c>
      <c r="H31" s="1224"/>
      <c r="I31" s="1224"/>
      <c r="J31" s="1224"/>
      <c r="K31" s="1224"/>
      <c r="L31" s="1224"/>
    </row>
    <row r="32" spans="1:12" ht="15.75" thickTop="1" thickBot="1">
      <c r="A32" s="1586"/>
      <c r="B32" s="1239" t="s">
        <v>1726</v>
      </c>
      <c r="C32" s="1262">
        <v>4.1858000000000057E-6</v>
      </c>
      <c r="D32" s="1263">
        <v>1.1627222222231539E-3</v>
      </c>
      <c r="E32" s="1264">
        <v>3.9673727238366659E-5</v>
      </c>
      <c r="F32" s="1264">
        <v>9.9976116822000138E-8</v>
      </c>
      <c r="G32" s="1265"/>
      <c r="H32" s="1224"/>
      <c r="I32" s="1224"/>
      <c r="J32" s="1224"/>
      <c r="K32" s="1224"/>
      <c r="L32" s="1224"/>
    </row>
    <row r="33" spans="1:12" ht="15" thickTop="1">
      <c r="A33" s="1224"/>
      <c r="B33" s="1224"/>
      <c r="C33" s="1224"/>
      <c r="D33" s="1224"/>
      <c r="E33" s="1224"/>
      <c r="F33" s="1224"/>
      <c r="G33" s="1224"/>
      <c r="H33" s="1224"/>
      <c r="I33" s="1224"/>
      <c r="J33" s="1224"/>
      <c r="K33" s="1224"/>
      <c r="L33" s="1224"/>
    </row>
    <row r="34" spans="1:12" ht="15" thickBot="1">
      <c r="A34" s="1224"/>
      <c r="B34" s="1224"/>
      <c r="C34" s="1224"/>
      <c r="D34" s="1224"/>
      <c r="E34" s="1224"/>
      <c r="F34" s="1224"/>
      <c r="G34" s="1224"/>
      <c r="H34" s="1224"/>
      <c r="I34" s="1224"/>
      <c r="J34" s="1224"/>
      <c r="K34" s="1224"/>
      <c r="L34" s="1224"/>
    </row>
    <row r="35" spans="1:12" ht="18.75" thickTop="1" thickBot="1">
      <c r="A35" s="1224"/>
      <c r="B35" s="1247"/>
      <c r="C35" s="1238" t="s">
        <v>1708</v>
      </c>
      <c r="D35" s="1238" t="s">
        <v>1709</v>
      </c>
      <c r="E35" s="1238" t="s">
        <v>1710</v>
      </c>
      <c r="F35" s="1238" t="s">
        <v>1711</v>
      </c>
      <c r="G35" s="1238" t="s">
        <v>14</v>
      </c>
      <c r="H35" s="1238" t="s">
        <v>1712</v>
      </c>
      <c r="I35" s="1224"/>
      <c r="J35" s="1224"/>
      <c r="K35" s="1224"/>
      <c r="L35" s="1224"/>
    </row>
    <row r="36" spans="1:12" ht="15.75" thickTop="1" thickBot="1">
      <c r="A36" s="1584" t="s">
        <v>3979</v>
      </c>
      <c r="B36" s="1239" t="s">
        <v>1713</v>
      </c>
      <c r="C36" s="1248"/>
      <c r="D36" s="1266">
        <v>1E-3</v>
      </c>
      <c r="E36" s="1267">
        <v>3.5314667000000001E-2</v>
      </c>
      <c r="F36" s="1267">
        <v>0.21996924800000001</v>
      </c>
      <c r="G36" s="1267">
        <v>0.26417205100000002</v>
      </c>
      <c r="H36" s="1268">
        <v>6.2898110000000002E-3</v>
      </c>
      <c r="I36" s="1224"/>
      <c r="J36" s="1224"/>
      <c r="K36" s="1224"/>
      <c r="L36" s="1224"/>
    </row>
    <row r="37" spans="1:12" ht="18.75" thickTop="1" thickBot="1">
      <c r="A37" s="1585"/>
      <c r="B37" s="1239" t="s">
        <v>1714</v>
      </c>
      <c r="C37" s="1269">
        <v>1000</v>
      </c>
      <c r="D37" s="1253"/>
      <c r="E37" s="1270">
        <v>35.314667</v>
      </c>
      <c r="F37" s="1271">
        <v>219.96924799999999</v>
      </c>
      <c r="G37" s="1271">
        <v>264.17205100000001</v>
      </c>
      <c r="H37" s="1272">
        <v>6.2898110000000003</v>
      </c>
      <c r="I37" s="1224"/>
      <c r="J37" s="1224"/>
      <c r="K37" s="1224"/>
      <c r="L37" s="1224"/>
    </row>
    <row r="38" spans="1:12" ht="15.75" thickTop="1" thickBot="1">
      <c r="A38" s="1585"/>
      <c r="B38" s="1239" t="s">
        <v>1715</v>
      </c>
      <c r="C38" s="1273">
        <v>28.316846368677353</v>
      </c>
      <c r="D38" s="1274">
        <v>2.8316846368677356E-2</v>
      </c>
      <c r="E38" s="1253"/>
      <c r="F38" s="1275">
        <v>6.228835401449488</v>
      </c>
      <c r="G38" s="1274">
        <v>7.4805193830653991</v>
      </c>
      <c r="H38" s="1276">
        <v>0.17810761177501688</v>
      </c>
      <c r="I38" s="1224"/>
      <c r="J38" s="1224"/>
      <c r="K38" s="1224"/>
      <c r="L38" s="1224"/>
    </row>
    <row r="39" spans="1:12" ht="15.75" thickTop="1" thickBot="1">
      <c r="A39" s="1585"/>
      <c r="B39" s="1239" t="s">
        <v>1716</v>
      </c>
      <c r="C39" s="1277">
        <v>4.5460900061812275</v>
      </c>
      <c r="D39" s="1274">
        <v>4.5460900061812274E-3</v>
      </c>
      <c r="E39" s="1274">
        <v>0.16054365472031801</v>
      </c>
      <c r="F39" s="1253"/>
      <c r="G39" s="1274">
        <v>1.2009499209634977</v>
      </c>
      <c r="H39" s="1278">
        <v>2.8594046927868752E-2</v>
      </c>
      <c r="I39" s="1224"/>
      <c r="J39" s="1224"/>
      <c r="K39" s="1224"/>
      <c r="L39" s="1224"/>
    </row>
    <row r="40" spans="1:12" ht="15.75" thickTop="1" thickBot="1">
      <c r="A40" s="1585"/>
      <c r="B40" s="1239" t="s">
        <v>14</v>
      </c>
      <c r="C40" s="1279">
        <v>3.7854118034613733</v>
      </c>
      <c r="D40" s="1280">
        <v>3.7854118034613732E-3</v>
      </c>
      <c r="E40" s="1274">
        <v>0.13368055729710784</v>
      </c>
      <c r="F40" s="1274">
        <v>0.83267418777772206</v>
      </c>
      <c r="G40" s="1253"/>
      <c r="H40" s="1278">
        <v>2.3809524800941183E-2</v>
      </c>
      <c r="I40" s="1224"/>
      <c r="J40" s="1224"/>
      <c r="K40" s="1224"/>
      <c r="L40" s="1224"/>
    </row>
    <row r="41" spans="1:12" ht="15.75" thickTop="1" thickBot="1">
      <c r="A41" s="1586"/>
      <c r="B41" s="1239" t="s">
        <v>1717</v>
      </c>
      <c r="C41" s="1281">
        <v>158.98728912522174</v>
      </c>
      <c r="D41" s="1282">
        <v>0.15898728912522173</v>
      </c>
      <c r="E41" s="1283">
        <v>5.6145831726899269</v>
      </c>
      <c r="F41" s="1284">
        <v>34.972314430433606</v>
      </c>
      <c r="G41" s="1285">
        <v>41.999998251139822</v>
      </c>
      <c r="H41" s="1265"/>
      <c r="I41" s="1224"/>
      <c r="J41" s="1224"/>
      <c r="K41" s="1224"/>
      <c r="L41" s="1224"/>
    </row>
    <row r="42" spans="1:12" ht="15" thickTop="1">
      <c r="A42" s="1224"/>
      <c r="B42" s="1224"/>
      <c r="C42" s="1224"/>
      <c r="D42" s="1224"/>
      <c r="E42" s="1224"/>
      <c r="F42" s="1224"/>
      <c r="G42" s="1224"/>
      <c r="H42" s="1224"/>
      <c r="I42" s="1224"/>
      <c r="J42" s="1224"/>
      <c r="K42" s="1224"/>
      <c r="L42" s="1224"/>
    </row>
    <row r="43" spans="1:12" ht="15" thickBot="1">
      <c r="A43" s="1224"/>
      <c r="B43" s="1224"/>
      <c r="C43" s="1224"/>
      <c r="D43" s="1224"/>
      <c r="E43" s="1224"/>
      <c r="F43" s="1224"/>
      <c r="G43" s="1224"/>
      <c r="H43" s="1224"/>
      <c r="I43" s="1224"/>
      <c r="J43" s="1224"/>
      <c r="K43" s="1224"/>
      <c r="L43" s="1224"/>
    </row>
    <row r="44" spans="1:12" ht="16.5" thickTop="1" thickBot="1">
      <c r="A44" s="1224"/>
      <c r="B44" s="1286"/>
      <c r="C44" s="1238" t="s">
        <v>12</v>
      </c>
      <c r="D44" s="1238" t="s">
        <v>1700</v>
      </c>
      <c r="E44" s="1238" t="s">
        <v>1701</v>
      </c>
      <c r="F44" s="1238" t="s">
        <v>1702</v>
      </c>
      <c r="G44" s="1238" t="s">
        <v>13</v>
      </c>
      <c r="H44" s="1224"/>
      <c r="I44" s="1224"/>
      <c r="J44" s="1224"/>
      <c r="K44" s="1224"/>
      <c r="L44" s="1224"/>
    </row>
    <row r="45" spans="1:12" ht="15.75" thickTop="1" thickBot="1">
      <c r="A45" s="1587" t="s">
        <v>3980</v>
      </c>
      <c r="B45" s="1239" t="s">
        <v>1703</v>
      </c>
      <c r="C45" s="1248"/>
      <c r="D45" s="1266">
        <v>1E-3</v>
      </c>
      <c r="E45" s="1267">
        <v>9.8420699999999996E-4</v>
      </c>
      <c r="F45" s="1267">
        <v>1.1023109999999999E-3</v>
      </c>
      <c r="G45" s="1287">
        <v>2.2046236800000001</v>
      </c>
      <c r="H45" s="1224"/>
      <c r="I45" s="1224"/>
      <c r="J45" s="1224"/>
      <c r="K45" s="1224"/>
      <c r="L45" s="1224"/>
    </row>
    <row r="46" spans="1:12" ht="15.75" thickTop="1" thickBot="1">
      <c r="A46" s="1588"/>
      <c r="B46" s="1239" t="s">
        <v>1704</v>
      </c>
      <c r="C46" s="1269">
        <v>1000</v>
      </c>
      <c r="D46" s="1253"/>
      <c r="E46" s="1274">
        <v>0.98420699999999994</v>
      </c>
      <c r="F46" s="1274">
        <v>1.102311</v>
      </c>
      <c r="G46" s="1276">
        <v>2204.6236800000001</v>
      </c>
      <c r="H46" s="1224"/>
      <c r="I46" s="1224"/>
      <c r="J46" s="1224"/>
      <c r="K46" s="1224"/>
      <c r="L46" s="1224"/>
    </row>
    <row r="47" spans="1:12" ht="15.75" thickTop="1" thickBot="1">
      <c r="A47" s="1588"/>
      <c r="B47" s="1239" t="s">
        <v>1705</v>
      </c>
      <c r="C47" s="1288">
        <v>1016.0464211288886</v>
      </c>
      <c r="D47" s="1274">
        <v>1.0160464211288887</v>
      </c>
      <c r="E47" s="1253"/>
      <c r="F47" s="1274">
        <v>1.1199991465210062</v>
      </c>
      <c r="G47" s="1289">
        <v>2240</v>
      </c>
      <c r="H47" s="1224"/>
      <c r="I47" s="1224"/>
      <c r="J47" s="1224"/>
      <c r="K47" s="1224"/>
      <c r="L47" s="1224"/>
    </row>
    <row r="48" spans="1:12" ht="15.75" thickTop="1" thickBot="1">
      <c r="A48" s="1588"/>
      <c r="B48" s="1239" t="s">
        <v>1706</v>
      </c>
      <c r="C48" s="1290">
        <v>907.18499588591612</v>
      </c>
      <c r="D48" s="1274">
        <v>0.90718499588591617</v>
      </c>
      <c r="E48" s="1274">
        <v>0.8928578232458898</v>
      </c>
      <c r="F48" s="1253"/>
      <c r="G48" s="1289">
        <v>2000.0015240707933</v>
      </c>
      <c r="H48" s="1224"/>
      <c r="I48" s="1224"/>
      <c r="J48" s="1224"/>
      <c r="K48" s="1224"/>
      <c r="L48" s="1224"/>
    </row>
    <row r="49" spans="1:12" ht="15.75" thickTop="1" thickBot="1">
      <c r="A49" s="1589"/>
      <c r="B49" s="1239" t="s">
        <v>1707</v>
      </c>
      <c r="C49" s="1291">
        <v>0.45359215228968236</v>
      </c>
      <c r="D49" s="1292">
        <v>4.5359215228968239E-4</v>
      </c>
      <c r="E49" s="1292">
        <v>4.4642857142857141E-4</v>
      </c>
      <c r="F49" s="1282">
        <v>4.9999961898259206E-4</v>
      </c>
      <c r="G49" s="1265"/>
      <c r="H49" s="1224"/>
      <c r="I49" s="1224"/>
      <c r="J49" s="1224"/>
      <c r="K49" s="1224"/>
      <c r="L49" s="1224"/>
    </row>
    <row r="50" spans="1:12" ht="15" thickTop="1">
      <c r="A50" s="1224"/>
      <c r="B50" s="1224"/>
      <c r="C50" s="1224"/>
      <c r="D50" s="1224"/>
      <c r="E50" s="1224"/>
      <c r="F50" s="1224"/>
      <c r="G50" s="1224"/>
      <c r="H50" s="1224"/>
      <c r="I50" s="1224"/>
      <c r="J50" s="1224"/>
      <c r="K50" s="1224"/>
      <c r="L50" s="1224"/>
    </row>
    <row r="51" spans="1:12" ht="15" thickBot="1">
      <c r="A51" s="1224"/>
      <c r="B51" s="1224"/>
      <c r="C51" s="1224"/>
      <c r="D51" s="1224"/>
      <c r="E51" s="1224"/>
      <c r="F51" s="1224"/>
      <c r="G51" s="1224"/>
      <c r="H51" s="1224"/>
      <c r="I51" s="1224"/>
      <c r="J51" s="1224"/>
      <c r="K51" s="1224"/>
      <c r="L51" s="1224"/>
    </row>
    <row r="52" spans="1:12" ht="15.75" thickTop="1" thickBot="1">
      <c r="A52" s="1224"/>
      <c r="B52" s="1247"/>
      <c r="C52" s="1238" t="s">
        <v>3981</v>
      </c>
      <c r="D52" s="1238" t="s">
        <v>3982</v>
      </c>
      <c r="E52" s="1238" t="s">
        <v>1263</v>
      </c>
      <c r="F52" s="1238" t="s">
        <v>2188</v>
      </c>
      <c r="G52" s="1238" t="s">
        <v>3983</v>
      </c>
      <c r="H52" s="1224"/>
      <c r="I52" s="1224"/>
      <c r="J52" s="1224"/>
      <c r="K52" s="1224"/>
      <c r="L52" s="1224"/>
    </row>
    <row r="53" spans="1:12" ht="15.75" thickTop="1" thickBot="1">
      <c r="A53" s="1587" t="s">
        <v>3984</v>
      </c>
      <c r="B53" s="1239" t="s">
        <v>3985</v>
      </c>
      <c r="C53" s="1248"/>
      <c r="D53" s="1293">
        <v>3.2808398950000002</v>
      </c>
      <c r="E53" s="1294">
        <v>6.2137119223733392E-4</v>
      </c>
      <c r="F53" s="1295">
        <v>1E-3</v>
      </c>
      <c r="G53" s="1296">
        <v>5.3995680351745805E-4</v>
      </c>
      <c r="H53" s="1224"/>
      <c r="I53" s="1224"/>
      <c r="J53" s="1224"/>
      <c r="K53" s="1224"/>
      <c r="L53" s="1224"/>
    </row>
    <row r="54" spans="1:12" ht="15.75" thickTop="1" thickBot="1">
      <c r="A54" s="1588"/>
      <c r="B54" s="1239" t="s">
        <v>3986</v>
      </c>
      <c r="C54" s="1288">
        <v>0.30480000000121921</v>
      </c>
      <c r="D54" s="1253"/>
      <c r="E54" s="1270">
        <v>1.8939393939469695E-4</v>
      </c>
      <c r="F54" s="1280">
        <v>3.0480000000121922E-4</v>
      </c>
      <c r="G54" s="1297">
        <v>1.6457883371277953E-4</v>
      </c>
      <c r="H54" s="1224"/>
      <c r="I54" s="1224"/>
      <c r="J54" s="1224"/>
      <c r="K54" s="1224"/>
      <c r="L54" s="1224"/>
    </row>
    <row r="55" spans="1:12" ht="15.75" thickTop="1" thickBot="1">
      <c r="A55" s="1588"/>
      <c r="B55" s="1239" t="s">
        <v>3987</v>
      </c>
      <c r="C55" s="1290">
        <v>1609.3440000000001</v>
      </c>
      <c r="D55" s="1298">
        <v>5279.9999999788806</v>
      </c>
      <c r="E55" s="1253"/>
      <c r="F55" s="1299">
        <v>1.6093440000000001</v>
      </c>
      <c r="G55" s="1276">
        <v>0.86897624200000001</v>
      </c>
      <c r="H55" s="1224"/>
      <c r="I55" s="1224"/>
      <c r="J55" s="1224"/>
      <c r="K55" s="1224"/>
      <c r="L55" s="1224"/>
    </row>
    <row r="56" spans="1:12" ht="15.75" thickTop="1" thickBot="1">
      <c r="A56" s="1588"/>
      <c r="B56" s="1239" t="s">
        <v>3988</v>
      </c>
      <c r="C56" s="1269">
        <v>1000</v>
      </c>
      <c r="D56" s="1300">
        <v>3280.8398950000001</v>
      </c>
      <c r="E56" s="1274">
        <v>0.62137119223733395</v>
      </c>
      <c r="F56" s="1253"/>
      <c r="G56" s="1276">
        <v>0.53995680351745801</v>
      </c>
      <c r="H56" s="1224"/>
      <c r="I56" s="1224"/>
      <c r="J56" s="1224"/>
      <c r="K56" s="1224"/>
      <c r="L56" s="1224"/>
    </row>
    <row r="57" spans="1:12" ht="15.75" thickTop="1" thickBot="1">
      <c r="A57" s="1589"/>
      <c r="B57" s="1239" t="s">
        <v>3989</v>
      </c>
      <c r="C57" s="1301">
        <v>1851.9999997882567</v>
      </c>
      <c r="D57" s="1302">
        <v>6076.1154848453043</v>
      </c>
      <c r="E57" s="1282">
        <v>1.1507794478919713</v>
      </c>
      <c r="F57" s="1284">
        <v>1.8519999997882568</v>
      </c>
      <c r="G57" s="1265"/>
      <c r="H57" s="1224"/>
      <c r="I57" s="1224"/>
      <c r="J57" s="1224"/>
      <c r="K57" s="1224"/>
      <c r="L57" s="1224"/>
    </row>
    <row r="58" spans="1:12" ht="15" thickTop="1">
      <c r="A58" s="1224"/>
      <c r="B58" s="1224"/>
      <c r="C58" s="1224"/>
      <c r="D58" s="1224"/>
      <c r="E58" s="1224"/>
      <c r="F58" s="1224"/>
      <c r="G58" s="1224"/>
      <c r="H58" s="1224"/>
      <c r="I58" s="1224"/>
      <c r="J58" s="1224"/>
      <c r="K58" s="1224"/>
      <c r="L58" s="1224"/>
    </row>
    <row r="59" spans="1:12" ht="15" thickBot="1">
      <c r="A59" s="1224"/>
      <c r="B59" s="1224"/>
      <c r="C59" s="1303"/>
      <c r="D59" s="1303"/>
      <c r="E59" s="1303"/>
      <c r="F59" s="1303"/>
      <c r="G59" s="1303"/>
      <c r="H59" s="1224"/>
      <c r="I59" s="1224"/>
      <c r="J59" s="1224"/>
      <c r="K59" s="1224"/>
      <c r="L59" s="1224"/>
    </row>
    <row r="60" spans="1:12" ht="15.75" thickTop="1" thickBot="1">
      <c r="A60" s="1224"/>
      <c r="B60" s="1247"/>
      <c r="C60" s="1238" t="s">
        <v>3981</v>
      </c>
      <c r="D60" s="1238" t="s">
        <v>3982</v>
      </c>
      <c r="E60" s="1238" t="s">
        <v>3990</v>
      </c>
      <c r="F60" s="1238" t="s">
        <v>3991</v>
      </c>
      <c r="G60" s="1238" t="s">
        <v>3992</v>
      </c>
      <c r="H60" s="1224"/>
      <c r="I60" s="1224"/>
      <c r="J60" s="1224"/>
      <c r="K60" s="1224"/>
      <c r="L60" s="1224"/>
    </row>
    <row r="61" spans="1:12" ht="15.75" thickTop="1" thickBot="1">
      <c r="A61" s="1587" t="s">
        <v>3984</v>
      </c>
      <c r="B61" s="1239" t="s">
        <v>3985</v>
      </c>
      <c r="C61" s="1248"/>
      <c r="D61" s="1267">
        <v>3.2808398950000002</v>
      </c>
      <c r="E61" s="1267">
        <v>39.370078739999997</v>
      </c>
      <c r="F61" s="1304">
        <v>100</v>
      </c>
      <c r="G61" s="1287">
        <v>1.093613298</v>
      </c>
      <c r="H61" s="1224"/>
      <c r="I61" s="1224"/>
      <c r="J61" s="1224"/>
      <c r="K61" s="1224"/>
      <c r="L61" s="1224"/>
    </row>
    <row r="62" spans="1:12" ht="15.75" thickTop="1" thickBot="1">
      <c r="A62" s="1588"/>
      <c r="B62" s="1239" t="s">
        <v>3986</v>
      </c>
      <c r="C62" s="1288">
        <v>0.30480000000121921</v>
      </c>
      <c r="D62" s="1253"/>
      <c r="E62" s="1298">
        <v>12</v>
      </c>
      <c r="F62" s="1274">
        <v>30.480000000121919</v>
      </c>
      <c r="G62" s="1276">
        <v>0.33333333323173331</v>
      </c>
      <c r="H62" s="1224"/>
      <c r="I62" s="1224"/>
      <c r="J62" s="1224"/>
      <c r="K62" s="1224"/>
      <c r="L62" s="1224"/>
    </row>
    <row r="63" spans="1:12" ht="15.75" thickTop="1" thickBot="1">
      <c r="A63" s="1588"/>
      <c r="B63" s="1239" t="s">
        <v>3993</v>
      </c>
      <c r="C63" s="1288">
        <v>2.5400000000101602E-2</v>
      </c>
      <c r="D63" s="1274">
        <v>8.3333333333333343E-2</v>
      </c>
      <c r="E63" s="1253"/>
      <c r="F63" s="1274">
        <v>2.5400000000101604</v>
      </c>
      <c r="G63" s="1276">
        <v>2.7777777769311111E-2</v>
      </c>
      <c r="H63" s="1224"/>
      <c r="I63" s="1224"/>
      <c r="J63" s="1224"/>
      <c r="K63" s="1224"/>
      <c r="L63" s="1224"/>
    </row>
    <row r="64" spans="1:12" ht="15.75" thickTop="1" thickBot="1">
      <c r="A64" s="1588"/>
      <c r="B64" s="1239" t="s">
        <v>3994</v>
      </c>
      <c r="C64" s="1290">
        <v>0.01</v>
      </c>
      <c r="D64" s="1274">
        <v>3.2808398950000005E-2</v>
      </c>
      <c r="E64" s="1274">
        <v>0.39370078739999997</v>
      </c>
      <c r="F64" s="1253"/>
      <c r="G64" s="1276">
        <v>1.0936132979999999E-2</v>
      </c>
      <c r="H64" s="1224"/>
      <c r="I64" s="1224"/>
      <c r="J64" s="1224"/>
      <c r="K64" s="1224"/>
      <c r="L64" s="1224"/>
    </row>
    <row r="65" spans="1:12" ht="15.75" thickTop="1" thickBot="1">
      <c r="A65" s="1589"/>
      <c r="B65" s="1239" t="s">
        <v>3995</v>
      </c>
      <c r="C65" s="1291">
        <v>0.91440000028236679</v>
      </c>
      <c r="D65" s="1285">
        <v>3.0000000009144006</v>
      </c>
      <c r="E65" s="1285">
        <v>36.000000010972798</v>
      </c>
      <c r="F65" s="1282">
        <v>91.440000028236682</v>
      </c>
      <c r="G65" s="1265"/>
      <c r="H65" s="1224"/>
      <c r="I65" s="1224"/>
      <c r="J65" s="1224"/>
      <c r="K65" s="1224"/>
      <c r="L65" s="1224"/>
    </row>
    <row r="66" spans="1:12" ht="15" thickTop="1"/>
    <row r="73" spans="1:12">
      <c r="B73" s="30" t="s">
        <v>4067</v>
      </c>
      <c r="C73" s="30">
        <v>3.5168528421</v>
      </c>
      <c r="D73" s="30" t="s">
        <v>1719</v>
      </c>
    </row>
  </sheetData>
  <sheetProtection algorithmName="SHA-512" hashValue="c7zme20XCqPhb5lDMs2xKir2XsMMbLn4+LPbhtG8DxLspoUSWve9QUhCqFVCz176I1PLlBzjOxi0p3+F3ppw4Q==" saltValue="zLqIMUf9k+sOd25sawacEQ==" spinCount="100000" sheet="1" objects="1" scenarios="1" selectLockedCells="1" selectUnlockedCells="1"/>
  <mergeCells count="11">
    <mergeCell ref="A20:A24"/>
    <mergeCell ref="A8:L8"/>
    <mergeCell ref="A10:L10"/>
    <mergeCell ref="A13:L13"/>
    <mergeCell ref="A14:L14"/>
    <mergeCell ref="A15:L15"/>
    <mergeCell ref="A28:A32"/>
    <mergeCell ref="A36:A41"/>
    <mergeCell ref="A45:A49"/>
    <mergeCell ref="A53:A57"/>
    <mergeCell ref="A61:A65"/>
  </mergeCells>
  <hyperlinks>
    <hyperlink ref="A3" location="Index!A1" display="Index" xr:uid="{E181FDD9-7511-49A3-9A9A-3CEE6A259B2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44-55DB-4D7B-8EC1-83F5943E4983}">
  <sheetPr codeName="Sheet1"/>
  <dimension ref="B1:J115"/>
  <sheetViews>
    <sheetView topLeftCell="A40" zoomScale="90" zoomScaleNormal="90" workbookViewId="0">
      <selection activeCell="E41" sqref="E41"/>
    </sheetView>
  </sheetViews>
  <sheetFormatPr defaultRowHeight="14.25"/>
  <cols>
    <col min="2" max="2" width="34" style="246" bestFit="1" customWidth="1"/>
    <col min="3" max="3" width="33.75" style="246" bestFit="1" customWidth="1"/>
    <col min="4" max="4" width="34" style="246" bestFit="1" customWidth="1"/>
    <col min="5" max="5" width="19.125" style="246" bestFit="1" customWidth="1"/>
    <col min="6" max="6" width="82.625" bestFit="1" customWidth="1"/>
    <col min="7" max="7" width="11.125" style="7" customWidth="1"/>
    <col min="8" max="8" width="12.125" style="222" bestFit="1" customWidth="1"/>
  </cols>
  <sheetData>
    <row r="1" spans="5:10" hidden="1">
      <c r="I1" s="286" t="s">
        <v>3002</v>
      </c>
    </row>
    <row r="2" spans="5:10" hidden="1">
      <c r="H2" s="222" t="s">
        <v>2999</v>
      </c>
      <c r="J2" t="s">
        <v>3000</v>
      </c>
    </row>
    <row r="3" spans="5:10" ht="15.75" hidden="1" thickTop="1" thickBot="1">
      <c r="E3" s="760" t="s">
        <v>2938</v>
      </c>
      <c r="F3" s="740" t="s">
        <v>2939</v>
      </c>
      <c r="G3" s="746" t="s">
        <v>2997</v>
      </c>
      <c r="H3" s="755" t="s">
        <v>2998</v>
      </c>
      <c r="J3" t="s">
        <v>3001</v>
      </c>
    </row>
    <row r="4" spans="5:10" ht="26.25" hidden="1" thickBot="1">
      <c r="E4" s="761" t="s">
        <v>2940</v>
      </c>
      <c r="F4" s="741" t="s">
        <v>2941</v>
      </c>
      <c r="G4" s="747" t="s">
        <v>2996</v>
      </c>
      <c r="H4" s="756" t="s">
        <v>2996</v>
      </c>
    </row>
    <row r="5" spans="5:10" ht="15" hidden="1" thickBot="1">
      <c r="E5" s="761" t="s">
        <v>2942</v>
      </c>
      <c r="F5" s="742" t="s">
        <v>2943</v>
      </c>
      <c r="G5" s="748">
        <v>5.3109999999999998E-5</v>
      </c>
      <c r="H5" s="757">
        <f>+'Scope 1 and 2 Data'!$G$30/1000000</f>
        <v>0</v>
      </c>
    </row>
    <row r="6" spans="5:10" ht="15" hidden="1" thickBot="1">
      <c r="E6" s="761" t="s">
        <v>2944</v>
      </c>
      <c r="F6" s="743" t="s">
        <v>2945</v>
      </c>
      <c r="G6" s="748">
        <v>5.3109999999999998E-5</v>
      </c>
      <c r="H6" s="757">
        <f>+'Scope 1 and 2 Data'!$G$30/1000000</f>
        <v>0</v>
      </c>
    </row>
    <row r="7" spans="5:10" ht="15" hidden="1" thickBot="1">
      <c r="E7" s="761" t="s">
        <v>2946</v>
      </c>
      <c r="F7" s="744" t="s">
        <v>2947</v>
      </c>
      <c r="G7" s="748">
        <v>5.3109999999999998E-5</v>
      </c>
      <c r="H7" s="757">
        <f>+'Scope 1 and 2 Data'!$G$30/1000000</f>
        <v>0</v>
      </c>
    </row>
    <row r="8" spans="5:10" ht="15" hidden="1" thickBot="1">
      <c r="E8" s="761" t="s">
        <v>2948</v>
      </c>
      <c r="F8" s="742" t="s">
        <v>2949</v>
      </c>
      <c r="G8" s="748">
        <v>7.4209999999999996E-5</v>
      </c>
      <c r="H8" s="758">
        <f>+'Scope 1 and 2 Data'!$G$31/138.5/1000/1000</f>
        <v>0</v>
      </c>
    </row>
    <row r="9" spans="5:10" ht="15" hidden="1" thickBot="1">
      <c r="E9" s="761" t="s">
        <v>2950</v>
      </c>
      <c r="F9" s="743" t="s">
        <v>2951</v>
      </c>
      <c r="G9" s="748">
        <v>7.4209999999999996E-5</v>
      </c>
      <c r="H9" s="758">
        <f>+'Scope 1 and 2 Data'!$G$31/138.5/1000/1000</f>
        <v>0</v>
      </c>
    </row>
    <row r="10" spans="5:10" ht="15" hidden="1" thickBot="1">
      <c r="E10" s="761" t="s">
        <v>2952</v>
      </c>
      <c r="F10" s="744" t="s">
        <v>2953</v>
      </c>
      <c r="G10" s="748">
        <v>7.4209999999999996E-5</v>
      </c>
      <c r="H10" s="758">
        <f>+'Scope 1 and 2 Data'!$G$31/138.5/1000/1000</f>
        <v>0</v>
      </c>
    </row>
    <row r="11" spans="5:10" ht="15" hidden="1" thickBot="1">
      <c r="E11" s="761" t="s">
        <v>2954</v>
      </c>
      <c r="F11" s="742" t="s">
        <v>2955</v>
      </c>
      <c r="G11" s="748">
        <v>6.6400000000000001E-5</v>
      </c>
      <c r="H11" s="757"/>
    </row>
    <row r="12" spans="5:10" ht="15" hidden="1" thickBot="1">
      <c r="E12" s="761" t="s">
        <v>2956</v>
      </c>
      <c r="F12" s="743" t="s">
        <v>2957</v>
      </c>
      <c r="G12" s="748">
        <v>6.6400000000000001E-5</v>
      </c>
      <c r="H12" s="757"/>
    </row>
    <row r="13" spans="5:10" ht="15" hidden="1" thickBot="1">
      <c r="E13" s="761" t="s">
        <v>2958</v>
      </c>
      <c r="F13" s="744" t="s">
        <v>2959</v>
      </c>
      <c r="G13" s="748">
        <v>6.6400000000000001E-5</v>
      </c>
      <c r="H13" s="757"/>
    </row>
    <row r="14" spans="5:10" ht="15" hidden="1" thickBot="1">
      <c r="E14" s="761" t="s">
        <v>2960</v>
      </c>
      <c r="F14" s="742" t="s">
        <v>2961</v>
      </c>
      <c r="G14" s="748">
        <v>6.6400000000000001E-5</v>
      </c>
      <c r="H14" s="757"/>
    </row>
    <row r="15" spans="5:10" ht="15" hidden="1" thickBot="1">
      <c r="E15" s="761" t="s">
        <v>2962</v>
      </c>
      <c r="F15" s="743" t="s">
        <v>2963</v>
      </c>
      <c r="G15" s="748">
        <v>6.6400000000000001E-5</v>
      </c>
      <c r="H15" s="757"/>
    </row>
    <row r="16" spans="5:10" ht="15" hidden="1" thickBot="1">
      <c r="E16" s="761" t="s">
        <v>2964</v>
      </c>
      <c r="F16" s="744" t="s">
        <v>2965</v>
      </c>
      <c r="G16" s="748">
        <v>6.6400000000000001E-5</v>
      </c>
      <c r="H16" s="757"/>
    </row>
    <row r="17" spans="5:8" ht="15" hidden="1" thickBot="1">
      <c r="E17" s="761" t="s">
        <v>2966</v>
      </c>
      <c r="F17" s="742" t="s">
        <v>2967</v>
      </c>
      <c r="G17" s="748">
        <v>5.27E-5</v>
      </c>
      <c r="H17" s="757"/>
    </row>
    <row r="18" spans="5:8" ht="15" hidden="1" thickBot="1">
      <c r="E18" s="761" t="s">
        <v>2968</v>
      </c>
      <c r="F18" s="743" t="s">
        <v>2969</v>
      </c>
      <c r="G18" s="748">
        <v>5.27E-5</v>
      </c>
      <c r="H18" s="757"/>
    </row>
    <row r="19" spans="5:8" ht="15" hidden="1" thickBot="1">
      <c r="E19" s="761" t="s">
        <v>2970</v>
      </c>
      <c r="F19" s="744" t="s">
        <v>2971</v>
      </c>
      <c r="G19" s="748">
        <v>5.27E-5</v>
      </c>
      <c r="H19" s="757"/>
    </row>
    <row r="20" spans="5:8" ht="15" hidden="1" thickBot="1">
      <c r="E20" s="761" t="s">
        <v>2972</v>
      </c>
      <c r="F20" s="742" t="s">
        <v>2973</v>
      </c>
      <c r="G20" s="748">
        <v>7.3889999999999999E-5</v>
      </c>
      <c r="H20" s="757"/>
    </row>
    <row r="21" spans="5:8" ht="15" hidden="1" thickBot="1">
      <c r="E21" s="761" t="s">
        <v>2974</v>
      </c>
      <c r="F21" s="743" t="s">
        <v>2975</v>
      </c>
      <c r="G21" s="748">
        <v>7.3889999999999999E-5</v>
      </c>
      <c r="H21" s="757"/>
    </row>
    <row r="22" spans="5:8" ht="15" hidden="1" thickBot="1">
      <c r="E22" s="761" t="s">
        <v>2976</v>
      </c>
      <c r="F22" s="744" t="s">
        <v>2977</v>
      </c>
      <c r="G22" s="748">
        <v>7.3889999999999999E-5</v>
      </c>
      <c r="H22" s="757"/>
    </row>
    <row r="23" spans="5:8" ht="15" hidden="1" thickBot="1">
      <c r="E23" s="761" t="s">
        <v>2978</v>
      </c>
      <c r="F23" s="742" t="s">
        <v>2979</v>
      </c>
      <c r="G23" s="748">
        <v>4.9310000000000001E-5</v>
      </c>
      <c r="H23" s="757"/>
    </row>
    <row r="24" spans="5:8" ht="15" hidden="1" thickBot="1">
      <c r="E24" s="761" t="s">
        <v>2980</v>
      </c>
      <c r="F24" s="743" t="s">
        <v>2981</v>
      </c>
      <c r="G24" s="748">
        <v>4.9310000000000001E-5</v>
      </c>
      <c r="H24" s="757"/>
    </row>
    <row r="25" spans="5:8" ht="15" hidden="1" thickBot="1">
      <c r="E25" s="761" t="s">
        <v>2982</v>
      </c>
      <c r="F25" s="744" t="s">
        <v>2983</v>
      </c>
      <c r="G25" s="748">
        <v>4.9310000000000001E-5</v>
      </c>
      <c r="H25" s="757"/>
    </row>
    <row r="26" spans="5:8" ht="15" hidden="1" thickBot="1">
      <c r="E26" s="761" t="s">
        <v>2984</v>
      </c>
      <c r="F26" s="742" t="s">
        <v>2985</v>
      </c>
      <c r="G26" s="748">
        <v>7.4209999999999996E-5</v>
      </c>
      <c r="H26" s="757"/>
    </row>
    <row r="27" spans="5:8" ht="15" hidden="1" thickBot="1">
      <c r="E27" s="761" t="s">
        <v>2986</v>
      </c>
      <c r="F27" s="743" t="s">
        <v>2987</v>
      </c>
      <c r="G27" s="748">
        <v>7.4209999999999996E-5</v>
      </c>
      <c r="H27" s="757"/>
    </row>
    <row r="28" spans="5:8" ht="15" hidden="1" thickBot="1">
      <c r="E28" s="761" t="s">
        <v>2988</v>
      </c>
      <c r="F28" s="744" t="s">
        <v>2989</v>
      </c>
      <c r="G28" s="748">
        <v>7.4209999999999996E-5</v>
      </c>
      <c r="H28" s="757"/>
    </row>
    <row r="29" spans="5:8" ht="15" hidden="1" thickBot="1">
      <c r="E29" s="761" t="s">
        <v>2990</v>
      </c>
      <c r="F29" s="742" t="s">
        <v>2991</v>
      </c>
      <c r="G29" s="748">
        <v>6.4250000000000003E-5</v>
      </c>
      <c r="H29" s="757"/>
    </row>
    <row r="30" spans="5:8" ht="15" hidden="1" thickBot="1">
      <c r="E30" s="761" t="s">
        <v>2992</v>
      </c>
      <c r="F30" s="743" t="s">
        <v>2993</v>
      </c>
      <c r="G30" s="748">
        <v>6.4250000000000003E-5</v>
      </c>
      <c r="H30" s="757"/>
    </row>
    <row r="31" spans="5:8" ht="15" hidden="1" thickBot="1">
      <c r="E31" s="762" t="s">
        <v>2994</v>
      </c>
      <c r="F31" s="745" t="s">
        <v>2995</v>
      </c>
      <c r="G31" s="749">
        <v>6.4250000000000003E-5</v>
      </c>
      <c r="H31" s="759"/>
    </row>
    <row r="32" spans="5:8" hidden="1"/>
    <row r="33" spans="2:7" hidden="1"/>
    <row r="34" spans="2:7" hidden="1"/>
    <row r="35" spans="2:7" hidden="1"/>
    <row r="36" spans="2:7" hidden="1"/>
    <row r="37" spans="2:7" hidden="1"/>
    <row r="38" spans="2:7" hidden="1"/>
    <row r="39" spans="2:7" hidden="1"/>
    <row r="40" spans="2:7" ht="15.75">
      <c r="C40" s="7" t="s">
        <v>3044</v>
      </c>
      <c r="D40" s="763" t="s">
        <v>3043</v>
      </c>
      <c r="E40" s="246">
        <f>+Instructions!C6</f>
        <v>0</v>
      </c>
    </row>
    <row r="41" spans="2:7">
      <c r="C41" s="7" t="s">
        <v>3075</v>
      </c>
      <c r="E41" s="246">
        <v>2024</v>
      </c>
    </row>
    <row r="43" spans="2:7" ht="15">
      <c r="B43" s="290" t="s">
        <v>3040</v>
      </c>
      <c r="C43" s="290" t="s">
        <v>3041</v>
      </c>
      <c r="D43" s="290" t="s">
        <v>3042</v>
      </c>
      <c r="E43" s="290" t="s">
        <v>3034</v>
      </c>
      <c r="F43" s="290" t="s">
        <v>1740</v>
      </c>
      <c r="G43" s="290" t="s">
        <v>3003</v>
      </c>
    </row>
    <row r="44" spans="2:7">
      <c r="B44" s="753" t="s">
        <v>3076</v>
      </c>
      <c r="C44" s="753" t="s">
        <v>3077</v>
      </c>
      <c r="D44" s="753" t="s">
        <v>3078</v>
      </c>
      <c r="E44" s="7" t="s">
        <v>2208</v>
      </c>
      <c r="F44" s="753" t="s">
        <v>3070</v>
      </c>
      <c r="G44" s="754">
        <f>+'Results &amp; Summary'!E26</f>
        <v>0</v>
      </c>
    </row>
    <row r="45" spans="2:7">
      <c r="B45" s="753" t="s">
        <v>3079</v>
      </c>
      <c r="C45" s="753" t="s">
        <v>3080</v>
      </c>
      <c r="D45" s="753" t="s">
        <v>3081</v>
      </c>
      <c r="E45" s="7" t="s">
        <v>2208</v>
      </c>
      <c r="F45" s="753" t="s">
        <v>3028</v>
      </c>
      <c r="G45" s="754">
        <f>+'Results &amp; Summary'!E27+'Results &amp; Summary'!E32</f>
        <v>0</v>
      </c>
    </row>
    <row r="46" spans="2:7">
      <c r="B46" s="753" t="s">
        <v>3082</v>
      </c>
      <c r="C46" s="753" t="s">
        <v>3083</v>
      </c>
      <c r="D46" s="753" t="s">
        <v>3084</v>
      </c>
      <c r="E46" s="7" t="s">
        <v>2208</v>
      </c>
      <c r="F46" s="753" t="s">
        <v>3029</v>
      </c>
      <c r="G46" s="754">
        <f>+'Results &amp; Summary'!E38+'Results &amp; Summary'!E34</f>
        <v>0</v>
      </c>
    </row>
    <row r="47" spans="2:7">
      <c r="B47" s="753" t="s">
        <v>3085</v>
      </c>
      <c r="C47" s="753" t="s">
        <v>3086</v>
      </c>
      <c r="D47" s="753" t="s">
        <v>3087</v>
      </c>
      <c r="E47" s="7" t="s">
        <v>2208</v>
      </c>
      <c r="F47" s="753" t="s">
        <v>3022</v>
      </c>
      <c r="G47" s="754">
        <f>+'Results &amp; Summary'!E24</f>
        <v>0</v>
      </c>
    </row>
    <row r="48" spans="2:7">
      <c r="B48" s="753" t="s">
        <v>3088</v>
      </c>
      <c r="C48" s="753" t="s">
        <v>3089</v>
      </c>
      <c r="D48" s="753" t="s">
        <v>3090</v>
      </c>
      <c r="E48" s="7" t="s">
        <v>2208</v>
      </c>
      <c r="F48" s="753" t="s">
        <v>3023</v>
      </c>
      <c r="G48" s="754">
        <f>+'Results &amp; Summary'!E25</f>
        <v>0</v>
      </c>
    </row>
    <row r="49" spans="2:8">
      <c r="B49" s="753" t="s">
        <v>3091</v>
      </c>
      <c r="C49" s="753" t="s">
        <v>3092</v>
      </c>
      <c r="D49" s="753" t="s">
        <v>3093</v>
      </c>
      <c r="E49" s="7" t="s">
        <v>2208</v>
      </c>
      <c r="F49" s="753" t="s">
        <v>3024</v>
      </c>
      <c r="G49" s="754">
        <f>+'Results &amp; Summary'!E28</f>
        <v>0</v>
      </c>
    </row>
    <row r="50" spans="2:8">
      <c r="B50" s="753" t="s">
        <v>3094</v>
      </c>
      <c r="C50" s="753" t="s">
        <v>3095</v>
      </c>
      <c r="D50" s="753" t="s">
        <v>3096</v>
      </c>
      <c r="E50" s="7" t="s">
        <v>2208</v>
      </c>
      <c r="F50" s="753" t="s">
        <v>3025</v>
      </c>
      <c r="G50" s="754">
        <f>+'Results &amp; Summary'!E29</f>
        <v>0</v>
      </c>
    </row>
    <row r="51" spans="2:8">
      <c r="B51" s="753" t="s">
        <v>3097</v>
      </c>
      <c r="C51" s="753" t="s">
        <v>3098</v>
      </c>
      <c r="D51" s="753" t="s">
        <v>3099</v>
      </c>
      <c r="E51" s="7" t="s">
        <v>2208</v>
      </c>
      <c r="F51" s="753" t="s">
        <v>3026</v>
      </c>
      <c r="G51" s="754">
        <f>+'Results &amp; Summary'!E30</f>
        <v>0</v>
      </c>
    </row>
    <row r="52" spans="2:8">
      <c r="B52" s="753" t="s">
        <v>3100</v>
      </c>
      <c r="C52" s="753" t="s">
        <v>3101</v>
      </c>
      <c r="D52" s="753" t="s">
        <v>3102</v>
      </c>
      <c r="E52" s="7" t="s">
        <v>2208</v>
      </c>
      <c r="F52" s="753" t="s">
        <v>3027</v>
      </c>
      <c r="G52" s="754">
        <f>+'Results &amp; Summary'!E31+'Results &amp; Summary'!E36</f>
        <v>0</v>
      </c>
    </row>
    <row r="53" spans="2:8">
      <c r="B53" s="753" t="s">
        <v>3103</v>
      </c>
      <c r="C53" s="753" t="s">
        <v>3104</v>
      </c>
      <c r="D53" s="753" t="s">
        <v>3105</v>
      </c>
      <c r="E53" s="7" t="s">
        <v>2208</v>
      </c>
      <c r="F53" s="753" t="s">
        <v>3013</v>
      </c>
      <c r="G53" s="754">
        <f>+'Results &amp; Summary'!E11</f>
        <v>0</v>
      </c>
    </row>
    <row r="54" spans="2:8">
      <c r="B54" s="753" t="s">
        <v>3106</v>
      </c>
      <c r="C54" s="753" t="s">
        <v>3107</v>
      </c>
      <c r="D54" s="753" t="s">
        <v>3108</v>
      </c>
      <c r="E54" s="7" t="s">
        <v>2208</v>
      </c>
      <c r="F54" s="753" t="s">
        <v>3032</v>
      </c>
      <c r="G54" s="754">
        <f>+'Results &amp; Summary'!E11</f>
        <v>0</v>
      </c>
    </row>
    <row r="55" spans="2:8">
      <c r="B55" s="753" t="s">
        <v>3109</v>
      </c>
      <c r="C55" s="753" t="s">
        <v>3110</v>
      </c>
      <c r="D55" s="753" t="s">
        <v>3111</v>
      </c>
      <c r="E55" s="7" t="s">
        <v>2208</v>
      </c>
      <c r="F55" s="753" t="s">
        <v>3033</v>
      </c>
      <c r="G55" s="754">
        <f>+'Results &amp; Summary'!E12</f>
        <v>0</v>
      </c>
    </row>
    <row r="56" spans="2:8">
      <c r="B56" s="753" t="s">
        <v>3112</v>
      </c>
      <c r="C56" s="753" t="s">
        <v>3113</v>
      </c>
      <c r="D56" s="753" t="s">
        <v>3114</v>
      </c>
      <c r="E56" s="7" t="s">
        <v>2208</v>
      </c>
      <c r="F56" s="753" t="s">
        <v>3030</v>
      </c>
      <c r="G56" s="754">
        <f>+'Results &amp; Summary'!D8</f>
        <v>0</v>
      </c>
    </row>
    <row r="57" spans="2:8">
      <c r="B57" s="753" t="s">
        <v>3115</v>
      </c>
      <c r="C57" s="753" t="s">
        <v>3116</v>
      </c>
      <c r="D57" s="753" t="s">
        <v>3117</v>
      </c>
      <c r="E57" s="7" t="s">
        <v>2208</v>
      </c>
      <c r="F57" s="753" t="s">
        <v>3031</v>
      </c>
      <c r="G57" s="754">
        <f>+'Results &amp; Summary'!E9</f>
        <v>0</v>
      </c>
    </row>
    <row r="58" spans="2:8">
      <c r="B58" s="753" t="s">
        <v>3118</v>
      </c>
      <c r="C58" s="753" t="s">
        <v>3119</v>
      </c>
      <c r="D58" s="753" t="s">
        <v>3120</v>
      </c>
      <c r="E58" s="7" t="s">
        <v>2208</v>
      </c>
      <c r="F58" s="753" t="s">
        <v>3018</v>
      </c>
      <c r="G58" s="754" t="e">
        <f>IF('Scope 1 and 2 Data'!F248&gt;0, 'Scope 1 and 2 Data'!F248, 'Scope 1 and 2 Data'!F249)/1000</f>
        <v>#VALUE!</v>
      </c>
      <c r="H58" s="222" t="s">
        <v>3281</v>
      </c>
    </row>
    <row r="59" spans="2:8">
      <c r="B59" s="753" t="s">
        <v>3121</v>
      </c>
      <c r="C59" s="753" t="s">
        <v>3122</v>
      </c>
      <c r="D59" s="753" t="s">
        <v>3123</v>
      </c>
      <c r="E59" s="7" t="s">
        <v>2208</v>
      </c>
      <c r="F59" s="753" t="s">
        <v>3019</v>
      </c>
      <c r="G59" s="754">
        <f>'Scope 1 and 2 Data'!E263</f>
        <v>0</v>
      </c>
    </row>
    <row r="60" spans="2:8">
      <c r="B60" s="753" t="s">
        <v>3124</v>
      </c>
      <c r="C60" s="753" t="s">
        <v>3125</v>
      </c>
      <c r="D60" s="753" t="s">
        <v>3126</v>
      </c>
      <c r="E60" s="7" t="s">
        <v>2208</v>
      </c>
      <c r="F60" s="753" t="s">
        <v>3058</v>
      </c>
      <c r="G60" s="754">
        <f>+'Scope 3 Summary'!E22</f>
        <v>0</v>
      </c>
    </row>
    <row r="61" spans="2:8">
      <c r="B61" s="753" t="s">
        <v>3218</v>
      </c>
      <c r="C61" s="753" t="s">
        <v>3219</v>
      </c>
      <c r="D61" s="753" t="s">
        <v>3220</v>
      </c>
      <c r="E61" s="7" t="s">
        <v>3035</v>
      </c>
      <c r="F61" s="753" t="s">
        <v>3048</v>
      </c>
      <c r="G61" s="754">
        <f>+'Results &amp; Summary'!E26</f>
        <v>0</v>
      </c>
    </row>
    <row r="62" spans="2:8">
      <c r="B62" s="753" t="s">
        <v>3127</v>
      </c>
      <c r="C62" s="753" t="s">
        <v>3128</v>
      </c>
      <c r="D62" s="753" t="s">
        <v>3129</v>
      </c>
      <c r="E62" s="7" t="s">
        <v>2208</v>
      </c>
      <c r="F62" s="753" t="s">
        <v>3059</v>
      </c>
      <c r="G62" s="754">
        <f>+'Scope 3 Summary'!E23</f>
        <v>0</v>
      </c>
    </row>
    <row r="63" spans="2:8">
      <c r="B63" s="753" t="s">
        <v>3221</v>
      </c>
      <c r="C63" s="753" t="s">
        <v>3222</v>
      </c>
      <c r="D63" s="753" t="s">
        <v>3223</v>
      </c>
      <c r="E63" s="7" t="s">
        <v>3035</v>
      </c>
      <c r="F63" s="753" t="s">
        <v>3049</v>
      </c>
      <c r="G63" s="754">
        <f>+'Results &amp; Summary'!E27</f>
        <v>0</v>
      </c>
    </row>
    <row r="64" spans="2:8">
      <c r="B64" s="753" t="s">
        <v>3130</v>
      </c>
      <c r="C64" s="753" t="s">
        <v>3131</v>
      </c>
      <c r="D64" s="753" t="s">
        <v>3132</v>
      </c>
      <c r="E64" s="7" t="s">
        <v>2208</v>
      </c>
      <c r="F64" s="753" t="s">
        <v>3060</v>
      </c>
      <c r="G64" s="754">
        <f>+'Scope 3 Summary'!E24</f>
        <v>0</v>
      </c>
    </row>
    <row r="65" spans="2:7">
      <c r="B65" s="753" t="s">
        <v>3224</v>
      </c>
      <c r="C65" s="753" t="s">
        <v>3225</v>
      </c>
      <c r="D65" s="753" t="s">
        <v>3226</v>
      </c>
      <c r="E65" s="7" t="s">
        <v>3035</v>
      </c>
      <c r="F65" s="753" t="s">
        <v>3050</v>
      </c>
      <c r="G65" s="754">
        <f>+'Results &amp; Summary'!E28</f>
        <v>0</v>
      </c>
    </row>
    <row r="66" spans="2:7">
      <c r="B66" s="753" t="s">
        <v>3133</v>
      </c>
      <c r="C66" s="753" t="s">
        <v>3134</v>
      </c>
      <c r="D66" s="753" t="s">
        <v>3135</v>
      </c>
      <c r="E66" s="7" t="s">
        <v>2208</v>
      </c>
      <c r="F66" s="753" t="s">
        <v>3061</v>
      </c>
      <c r="G66" s="754">
        <f>+'Scope 3 Summary'!E25</f>
        <v>0</v>
      </c>
    </row>
    <row r="67" spans="2:7">
      <c r="B67" s="753" t="s">
        <v>3227</v>
      </c>
      <c r="C67" s="753" t="s">
        <v>3228</v>
      </c>
      <c r="D67" s="753" t="s">
        <v>3229</v>
      </c>
      <c r="E67" s="7" t="s">
        <v>3035</v>
      </c>
      <c r="F67" s="753" t="s">
        <v>3051</v>
      </c>
      <c r="G67" s="754">
        <f>+'Results &amp; Summary'!E29</f>
        <v>0</v>
      </c>
    </row>
    <row r="68" spans="2:7">
      <c r="B68" s="753" t="s">
        <v>3136</v>
      </c>
      <c r="C68" s="753" t="s">
        <v>3137</v>
      </c>
      <c r="D68" s="753" t="s">
        <v>3138</v>
      </c>
      <c r="E68" s="7" t="s">
        <v>2208</v>
      </c>
      <c r="F68" s="753" t="s">
        <v>3062</v>
      </c>
      <c r="G68" s="754">
        <f>+'Scope 3 Summary'!E20</f>
        <v>0</v>
      </c>
    </row>
    <row r="69" spans="2:7">
      <c r="B69" s="753" t="s">
        <v>3230</v>
      </c>
      <c r="C69" s="753" t="s">
        <v>3231</v>
      </c>
      <c r="D69" s="753" t="s">
        <v>3232</v>
      </c>
      <c r="E69" s="7" t="s">
        <v>3035</v>
      </c>
      <c r="F69" s="753" t="s">
        <v>3046</v>
      </c>
      <c r="G69" s="754">
        <f>+'Results &amp; Summary'!E24</f>
        <v>0</v>
      </c>
    </row>
    <row r="70" spans="2:7">
      <c r="B70" s="753" t="s">
        <v>3139</v>
      </c>
      <c r="C70" s="753" t="s">
        <v>3140</v>
      </c>
      <c r="D70" s="753" t="s">
        <v>3141</v>
      </c>
      <c r="E70" s="7" t="s">
        <v>2208</v>
      </c>
      <c r="F70" s="753" t="s">
        <v>3063</v>
      </c>
      <c r="G70" s="754">
        <f>+'Scope 3 Summary'!E26</f>
        <v>0</v>
      </c>
    </row>
    <row r="71" spans="2:7">
      <c r="B71" s="753" t="s">
        <v>3233</v>
      </c>
      <c r="C71" s="753" t="s">
        <v>3234</v>
      </c>
      <c r="D71" s="753" t="s">
        <v>3235</v>
      </c>
      <c r="E71" s="7" t="s">
        <v>3035</v>
      </c>
      <c r="F71" s="753" t="s">
        <v>3052</v>
      </c>
      <c r="G71" s="754">
        <f>+'Results &amp; Summary'!E30</f>
        <v>0</v>
      </c>
    </row>
    <row r="72" spans="2:7">
      <c r="B72" s="753" t="s">
        <v>3142</v>
      </c>
      <c r="C72" s="753" t="s">
        <v>3143</v>
      </c>
      <c r="D72" s="753" t="s">
        <v>3144</v>
      </c>
      <c r="E72" s="7" t="s">
        <v>2208</v>
      </c>
      <c r="F72" s="753" t="s">
        <v>3064</v>
      </c>
      <c r="G72" s="754">
        <f>+'Scope 3 Summary'!E27</f>
        <v>0</v>
      </c>
    </row>
    <row r="73" spans="2:7">
      <c r="B73" s="753" t="s">
        <v>3236</v>
      </c>
      <c r="C73" s="753" t="s">
        <v>3237</v>
      </c>
      <c r="D73" s="753" t="s">
        <v>3238</v>
      </c>
      <c r="E73" s="7" t="s">
        <v>3035</v>
      </c>
      <c r="F73" s="753" t="s">
        <v>3053</v>
      </c>
      <c r="G73" s="754">
        <f>+'Results &amp; Summary'!E31</f>
        <v>0</v>
      </c>
    </row>
    <row r="74" spans="2:7">
      <c r="B74" s="753" t="s">
        <v>3145</v>
      </c>
      <c r="C74" s="753" t="s">
        <v>3146</v>
      </c>
      <c r="D74" s="753" t="s">
        <v>3147</v>
      </c>
      <c r="E74" s="7" t="s">
        <v>2208</v>
      </c>
      <c r="F74" s="753" t="s">
        <v>3066</v>
      </c>
      <c r="G74" s="754">
        <f>+'Scope 3 Summary'!E30</f>
        <v>0</v>
      </c>
    </row>
    <row r="75" spans="2:7">
      <c r="B75" s="753" t="s">
        <v>3239</v>
      </c>
      <c r="C75" s="753" t="s">
        <v>3240</v>
      </c>
      <c r="D75" s="753" t="s">
        <v>3241</v>
      </c>
      <c r="E75" s="7" t="s">
        <v>3035</v>
      </c>
      <c r="F75" s="753" t="s">
        <v>3055</v>
      </c>
      <c r="G75" s="754">
        <f>+'Results &amp; Summary'!E34</f>
        <v>0</v>
      </c>
    </row>
    <row r="76" spans="2:7">
      <c r="B76" s="753" t="s">
        <v>3148</v>
      </c>
      <c r="C76" s="753" t="s">
        <v>3149</v>
      </c>
      <c r="D76" s="753" t="s">
        <v>3150</v>
      </c>
      <c r="E76" s="7" t="s">
        <v>2208</v>
      </c>
      <c r="F76" s="753" t="s">
        <v>3065</v>
      </c>
      <c r="G76" s="754">
        <f>+'Scope 3 Summary'!E32</f>
        <v>0</v>
      </c>
    </row>
    <row r="77" spans="2:7">
      <c r="B77" s="753" t="s">
        <v>3242</v>
      </c>
      <c r="C77" s="753" t="s">
        <v>3243</v>
      </c>
      <c r="D77" s="753" t="s">
        <v>3244</v>
      </c>
      <c r="E77" s="7" t="s">
        <v>3035</v>
      </c>
      <c r="F77" s="753" t="s">
        <v>3056</v>
      </c>
      <c r="G77" s="754">
        <f>+'Results &amp; Summary'!E36</f>
        <v>0</v>
      </c>
    </row>
    <row r="78" spans="2:7">
      <c r="B78" s="753" t="s">
        <v>3151</v>
      </c>
      <c r="C78" s="753" t="s">
        <v>3152</v>
      </c>
      <c r="D78" s="753" t="s">
        <v>3153</v>
      </c>
      <c r="E78" s="7" t="s">
        <v>2208</v>
      </c>
      <c r="F78" s="753" t="s">
        <v>3067</v>
      </c>
      <c r="G78" s="754">
        <f>+'Scope 3 Summary'!E34</f>
        <v>0</v>
      </c>
    </row>
    <row r="79" spans="2:7">
      <c r="B79" s="753" t="s">
        <v>3245</v>
      </c>
      <c r="C79" s="753" t="s">
        <v>3246</v>
      </c>
      <c r="D79" s="753" t="s">
        <v>3247</v>
      </c>
      <c r="E79" s="7" t="s">
        <v>3035</v>
      </c>
      <c r="F79" s="753" t="s">
        <v>3057</v>
      </c>
      <c r="G79" s="754">
        <f>+'Results &amp; Summary'!E38</f>
        <v>0</v>
      </c>
    </row>
    <row r="80" spans="2:7">
      <c r="B80" s="753" t="s">
        <v>3154</v>
      </c>
      <c r="C80" s="753" t="s">
        <v>3155</v>
      </c>
      <c r="D80" s="753" t="s">
        <v>3156</v>
      </c>
      <c r="E80" s="7" t="s">
        <v>2208</v>
      </c>
      <c r="F80" s="753" t="s">
        <v>3068</v>
      </c>
      <c r="G80" s="754">
        <f>+'Scope 3 Summary'!E21</f>
        <v>0</v>
      </c>
    </row>
    <row r="81" spans="2:7">
      <c r="B81" s="753" t="s">
        <v>3248</v>
      </c>
      <c r="C81" s="753" t="s">
        <v>3249</v>
      </c>
      <c r="D81" s="753" t="s">
        <v>3250</v>
      </c>
      <c r="E81" s="7" t="s">
        <v>3035</v>
      </c>
      <c r="F81" s="753" t="s">
        <v>3047</v>
      </c>
      <c r="G81" s="754">
        <f>+'Results &amp; Summary'!E25</f>
        <v>0</v>
      </c>
    </row>
    <row r="82" spans="2:7">
      <c r="B82" s="753" t="s">
        <v>3157</v>
      </c>
      <c r="C82" s="753" t="s">
        <v>3158</v>
      </c>
      <c r="D82" s="753" t="s">
        <v>3159</v>
      </c>
      <c r="E82" s="7" t="s">
        <v>2208</v>
      </c>
      <c r="F82" s="753" t="s">
        <v>3069</v>
      </c>
      <c r="G82" s="754">
        <f>+'Scope 3 Summary'!E28</f>
        <v>0</v>
      </c>
    </row>
    <row r="83" spans="2:7">
      <c r="B83" s="753" t="s">
        <v>3251</v>
      </c>
      <c r="C83" s="753" t="s">
        <v>3252</v>
      </c>
      <c r="D83" s="753" t="s">
        <v>3253</v>
      </c>
      <c r="E83" s="7" t="s">
        <v>3035</v>
      </c>
      <c r="F83" s="753" t="s">
        <v>3054</v>
      </c>
      <c r="G83" s="754">
        <f>+'Results &amp; Summary'!E32</f>
        <v>0</v>
      </c>
    </row>
    <row r="84" spans="2:7">
      <c r="B84" s="753" t="s">
        <v>3160</v>
      </c>
      <c r="C84" s="753"/>
      <c r="D84" s="753"/>
      <c r="E84" s="7" t="s">
        <v>2208</v>
      </c>
      <c r="F84" s="753" t="s">
        <v>1803</v>
      </c>
      <c r="G84" s="754">
        <f>+SUM('Cat 9 (Patient Visits)'!$D$53:$D$72)</f>
        <v>1000000</v>
      </c>
    </row>
    <row r="85" spans="2:7">
      <c r="B85" s="753" t="s">
        <v>3161</v>
      </c>
      <c r="C85" s="753" t="s">
        <v>3162</v>
      </c>
      <c r="D85" s="753" t="s">
        <v>3163</v>
      </c>
      <c r="E85" s="7" t="s">
        <v>2208</v>
      </c>
      <c r="F85" s="753" t="s">
        <v>2919</v>
      </c>
      <c r="G85" s="754">
        <f>+'Scope 1 and 2 Data'!C264</f>
        <v>0</v>
      </c>
    </row>
    <row r="86" spans="2:7">
      <c r="B86" s="753" t="s">
        <v>3164</v>
      </c>
      <c r="C86" s="753" t="s">
        <v>3165</v>
      </c>
      <c r="D86" s="753" t="s">
        <v>3166</v>
      </c>
      <c r="E86" s="7" t="s">
        <v>2208</v>
      </c>
      <c r="F86" s="753" t="s">
        <v>3008</v>
      </c>
      <c r="G86" s="754">
        <f>+'Scope 1 and 2 Data'!D264</f>
        <v>0</v>
      </c>
    </row>
    <row r="87" spans="2:7">
      <c r="B87" s="753" t="s">
        <v>3167</v>
      </c>
      <c r="C87" s="753" t="s">
        <v>3168</v>
      </c>
      <c r="D87" s="753" t="s">
        <v>3169</v>
      </c>
      <c r="E87" s="7" t="s">
        <v>2208</v>
      </c>
      <c r="F87" s="753" t="s">
        <v>2921</v>
      </c>
      <c r="G87" s="754">
        <f>+'Scope 1 and 2 Data'!C266</f>
        <v>0</v>
      </c>
    </row>
    <row r="88" spans="2:7">
      <c r="B88" s="753" t="s">
        <v>3170</v>
      </c>
      <c r="C88" s="753" t="s">
        <v>3171</v>
      </c>
      <c r="D88" s="753" t="s">
        <v>3172</v>
      </c>
      <c r="E88" s="7" t="s">
        <v>2208</v>
      </c>
      <c r="F88" s="753" t="s">
        <v>2922</v>
      </c>
      <c r="G88" s="754">
        <f>+'Scope 1 and 2 Data'!C267</f>
        <v>0</v>
      </c>
    </row>
    <row r="89" spans="2:7">
      <c r="B89" s="753" t="s">
        <v>3173</v>
      </c>
      <c r="C89" s="753" t="s">
        <v>3174</v>
      </c>
      <c r="D89" s="753" t="s">
        <v>3175</v>
      </c>
      <c r="E89" s="7" t="s">
        <v>2208</v>
      </c>
      <c r="F89" s="753" t="s">
        <v>2923</v>
      </c>
      <c r="G89" s="754">
        <f>+'Scope 1 and 2 Data'!C268</f>
        <v>0</v>
      </c>
    </row>
    <row r="90" spans="2:7">
      <c r="B90" s="753" t="s">
        <v>3176</v>
      </c>
      <c r="C90" s="753" t="s">
        <v>3177</v>
      </c>
      <c r="D90" s="753" t="s">
        <v>3178</v>
      </c>
      <c r="E90" s="7" t="s">
        <v>2208</v>
      </c>
      <c r="F90" s="753" t="s">
        <v>3010</v>
      </c>
      <c r="G90" s="754">
        <f>+'Scope 1 and 2 Data'!D266</f>
        <v>0</v>
      </c>
    </row>
    <row r="91" spans="2:7">
      <c r="B91" s="753" t="s">
        <v>3179</v>
      </c>
      <c r="C91" s="753" t="s">
        <v>3180</v>
      </c>
      <c r="D91" s="753" t="s">
        <v>3181</v>
      </c>
      <c r="E91" s="7" t="s">
        <v>2208</v>
      </c>
      <c r="F91" s="753" t="s">
        <v>3011</v>
      </c>
      <c r="G91" s="754">
        <f>+'Scope 1 and 2 Data'!D267</f>
        <v>0</v>
      </c>
    </row>
    <row r="92" spans="2:7">
      <c r="B92" s="753" t="s">
        <v>3182</v>
      </c>
      <c r="C92" s="753" t="s">
        <v>3183</v>
      </c>
      <c r="D92" s="753" t="s">
        <v>3184</v>
      </c>
      <c r="E92" s="7" t="s">
        <v>2208</v>
      </c>
      <c r="F92" s="753" t="s">
        <v>3012</v>
      </c>
      <c r="G92" s="754">
        <f>+'Scope 1 and 2 Data'!D268</f>
        <v>0</v>
      </c>
    </row>
    <row r="93" spans="2:7">
      <c r="B93" s="753" t="s">
        <v>3185</v>
      </c>
      <c r="C93" s="753" t="s">
        <v>3186</v>
      </c>
      <c r="D93" s="753" t="s">
        <v>3187</v>
      </c>
      <c r="E93" s="7" t="s">
        <v>2208</v>
      </c>
      <c r="F93" s="753" t="s">
        <v>2920</v>
      </c>
      <c r="G93" s="754">
        <f>+'Scope 1 and 2 Data'!C265</f>
        <v>0</v>
      </c>
    </row>
    <row r="94" spans="2:7">
      <c r="B94" s="753" t="s">
        <v>3188</v>
      </c>
      <c r="C94" s="753" t="s">
        <v>3189</v>
      </c>
      <c r="D94" s="753" t="s">
        <v>3190</v>
      </c>
      <c r="E94" s="7" t="s">
        <v>2208</v>
      </c>
      <c r="F94" s="753" t="s">
        <v>3009</v>
      </c>
      <c r="G94" s="754">
        <f>+'Scope 1 and 2 Data'!D265</f>
        <v>0</v>
      </c>
    </row>
    <row r="95" spans="2:7">
      <c r="B95" s="753" t="s">
        <v>3191</v>
      </c>
      <c r="C95" s="753" t="s">
        <v>3192</v>
      </c>
      <c r="D95" s="753" t="s">
        <v>3193</v>
      </c>
      <c r="E95" s="7" t="s">
        <v>2208</v>
      </c>
      <c r="F95" s="753" t="s">
        <v>3004</v>
      </c>
      <c r="G95" s="754">
        <f>+'Scope 1 and 2 Data'!C248</f>
        <v>0</v>
      </c>
    </row>
    <row r="96" spans="2:7">
      <c r="B96" s="753" t="s">
        <v>3194</v>
      </c>
      <c r="C96" s="753" t="s">
        <v>3195</v>
      </c>
      <c r="D96" s="753" t="s">
        <v>3196</v>
      </c>
      <c r="E96" s="7" t="s">
        <v>2208</v>
      </c>
      <c r="F96" s="753" t="s">
        <v>3005</v>
      </c>
      <c r="G96" s="754" t="s">
        <v>1719</v>
      </c>
    </row>
    <row r="97" spans="2:7">
      <c r="B97" s="753" t="s">
        <v>3197</v>
      </c>
      <c r="C97" s="753" t="s">
        <v>3198</v>
      </c>
      <c r="D97" s="753" t="s">
        <v>3199</v>
      </c>
      <c r="E97" s="7" t="s">
        <v>2208</v>
      </c>
      <c r="F97" s="753" t="s">
        <v>3006</v>
      </c>
      <c r="G97" s="754">
        <f>+'Scope 1 and 2 Data'!C249</f>
        <v>0</v>
      </c>
    </row>
    <row r="98" spans="2:7">
      <c r="B98" s="753" t="s">
        <v>3200</v>
      </c>
      <c r="C98" s="753" t="s">
        <v>3201</v>
      </c>
      <c r="D98" s="753" t="s">
        <v>3202</v>
      </c>
      <c r="E98" s="7" t="s">
        <v>2208</v>
      </c>
      <c r="F98" s="753" t="s">
        <v>3007</v>
      </c>
      <c r="G98" s="754">
        <f>+'Scope 1 and 2 Data'!E249</f>
        <v>0</v>
      </c>
    </row>
    <row r="99" spans="2:7">
      <c r="B99" s="753" t="s">
        <v>3203</v>
      </c>
      <c r="C99" s="753" t="s">
        <v>3204</v>
      </c>
      <c r="D99" s="753" t="s">
        <v>3205</v>
      </c>
      <c r="E99" s="7" t="s">
        <v>2208</v>
      </c>
      <c r="F99" s="753" t="s">
        <v>3037</v>
      </c>
      <c r="G99" s="754">
        <f>+'Anesthetic Gases'!H20</f>
        <v>0</v>
      </c>
    </row>
    <row r="100" spans="2:7">
      <c r="B100" s="753" t="s">
        <v>3206</v>
      </c>
      <c r="C100" s="753" t="s">
        <v>3207</v>
      </c>
      <c r="D100" s="753" t="s">
        <v>3208</v>
      </c>
      <c r="E100" s="7" t="s">
        <v>2208</v>
      </c>
      <c r="F100" s="753" t="s">
        <v>3036</v>
      </c>
      <c r="G100" s="754">
        <f>+'Anesthetic Gases'!H14</f>
        <v>0</v>
      </c>
    </row>
    <row r="101" spans="2:7">
      <c r="B101" s="753" t="s">
        <v>3209</v>
      </c>
      <c r="C101" s="753" t="s">
        <v>3210</v>
      </c>
      <c r="D101" s="753" t="s">
        <v>3211</v>
      </c>
      <c r="E101" s="7" t="s">
        <v>2208</v>
      </c>
      <c r="F101" s="753" t="s">
        <v>3038</v>
      </c>
      <c r="G101" s="754">
        <f>+'Anesthetic Gases'!H27</f>
        <v>0</v>
      </c>
    </row>
    <row r="102" spans="2:7">
      <c r="B102" s="753" t="s">
        <v>3212</v>
      </c>
      <c r="C102" s="753" t="s">
        <v>3213</v>
      </c>
      <c r="D102" s="753" t="s">
        <v>3214</v>
      </c>
      <c r="E102" s="7" t="s">
        <v>2208</v>
      </c>
      <c r="F102" s="753" t="s">
        <v>3039</v>
      </c>
      <c r="G102" s="754">
        <f>+'Anesthetic Gases'!I31+'Anesthetic Gases'!I35</f>
        <v>0</v>
      </c>
    </row>
    <row r="103" spans="2:7">
      <c r="B103" s="753" t="s">
        <v>3215</v>
      </c>
      <c r="C103" s="753" t="s">
        <v>3216</v>
      </c>
      <c r="D103" s="753" t="s">
        <v>3217</v>
      </c>
      <c r="E103" s="7" t="s">
        <v>2208</v>
      </c>
      <c r="F103" s="753" t="s">
        <v>3045</v>
      </c>
      <c r="G103" s="754">
        <f>+SUM('Cat 9 (Patient Visits)'!$E$81:$E$96)</f>
        <v>50</v>
      </c>
    </row>
    <row r="104" spans="2:7">
      <c r="B104" s="753" t="s">
        <v>3254</v>
      </c>
      <c r="C104" s="753" t="s">
        <v>3255</v>
      </c>
      <c r="D104" s="753" t="s">
        <v>3256</v>
      </c>
      <c r="E104" s="7" t="s">
        <v>3035</v>
      </c>
      <c r="F104" s="753" t="s">
        <v>3016</v>
      </c>
      <c r="G104" s="754">
        <f>+'Results &amp; Summary'!E11</f>
        <v>0</v>
      </c>
    </row>
    <row r="105" spans="2:7">
      <c r="B105" s="753" t="s">
        <v>3257</v>
      </c>
      <c r="C105" s="753" t="s">
        <v>3258</v>
      </c>
      <c r="D105" s="753" t="s">
        <v>3259</v>
      </c>
      <c r="E105" s="7" t="s">
        <v>3035</v>
      </c>
      <c r="F105" s="753" t="s">
        <v>3017</v>
      </c>
      <c r="G105" s="754">
        <f>+'Results &amp; Summary'!E12</f>
        <v>0</v>
      </c>
    </row>
    <row r="106" spans="2:7">
      <c r="B106" s="753" t="s">
        <v>3260</v>
      </c>
      <c r="C106" s="753" t="s">
        <v>3261</v>
      </c>
      <c r="D106" s="753" t="s">
        <v>3262</v>
      </c>
      <c r="E106" s="7" t="s">
        <v>3035</v>
      </c>
      <c r="F106" s="753" t="s">
        <v>3014</v>
      </c>
      <c r="G106" s="754">
        <f>+'Results &amp; Summary'!D8</f>
        <v>0</v>
      </c>
    </row>
    <row r="107" spans="2:7">
      <c r="B107" s="753" t="s">
        <v>3263</v>
      </c>
      <c r="C107" s="753" t="s">
        <v>3264</v>
      </c>
      <c r="D107" s="753" t="s">
        <v>3265</v>
      </c>
      <c r="E107" s="7" t="s">
        <v>3035</v>
      </c>
      <c r="F107" s="753" t="s">
        <v>3015</v>
      </c>
      <c r="G107" s="754">
        <f>+'Results &amp; Summary'!E9</f>
        <v>0</v>
      </c>
    </row>
    <row r="108" spans="2:7">
      <c r="B108" s="753" t="s">
        <v>3266</v>
      </c>
      <c r="C108" s="753" t="s">
        <v>3267</v>
      </c>
      <c r="D108" s="753" t="s">
        <v>3268</v>
      </c>
      <c r="E108" s="7" t="s">
        <v>3035</v>
      </c>
      <c r="F108" s="753" t="s">
        <v>3020</v>
      </c>
      <c r="G108" s="754">
        <f>+'Results &amp; Summary'!E21</f>
        <v>0</v>
      </c>
    </row>
    <row r="109" spans="2:7">
      <c r="B109" s="753" t="s">
        <v>3269</v>
      </c>
      <c r="C109" s="753" t="s">
        <v>3270</v>
      </c>
      <c r="D109" s="753" t="s">
        <v>3271</v>
      </c>
      <c r="E109" s="7" t="s">
        <v>3035</v>
      </c>
      <c r="F109" s="753" t="s">
        <v>3021</v>
      </c>
      <c r="G109" s="754">
        <f>+'Results &amp; Summary'!E22</f>
        <v>0</v>
      </c>
    </row>
    <row r="110" spans="2:7">
      <c r="B110" s="753" t="s">
        <v>3272</v>
      </c>
      <c r="C110" s="764"/>
      <c r="D110" s="764"/>
      <c r="E110" s="7" t="s">
        <v>3035</v>
      </c>
      <c r="F110" s="753" t="s">
        <v>3071</v>
      </c>
      <c r="G110" s="754">
        <f>+'Facility or System Data'!C11</f>
        <v>0</v>
      </c>
    </row>
    <row r="111" spans="2:7">
      <c r="B111" s="753" t="s">
        <v>3273</v>
      </c>
      <c r="C111" s="764"/>
      <c r="D111" s="764"/>
      <c r="E111" s="7" t="s">
        <v>3035</v>
      </c>
      <c r="F111" s="753" t="s">
        <v>1802</v>
      </c>
      <c r="G111" s="754">
        <f>+'Facility or System Data'!C13</f>
        <v>0</v>
      </c>
    </row>
    <row r="112" spans="2:7">
      <c r="B112" s="753" t="s">
        <v>3274</v>
      </c>
      <c r="C112" s="764"/>
      <c r="D112" s="764"/>
      <c r="E112" s="7" t="s">
        <v>3035</v>
      </c>
      <c r="F112" s="753" t="s">
        <v>3072</v>
      </c>
      <c r="G112" s="754">
        <f>+'Facility or System Data'!C17</f>
        <v>0</v>
      </c>
    </row>
    <row r="113" spans="2:7">
      <c r="B113" s="753" t="s">
        <v>3275</v>
      </c>
      <c r="C113" s="764"/>
      <c r="D113" s="764"/>
      <c r="E113" s="7" t="s">
        <v>3035</v>
      </c>
      <c r="F113" s="753" t="s">
        <v>3073</v>
      </c>
      <c r="G113" s="754">
        <f>+'Facility or System Data'!C15</f>
        <v>0</v>
      </c>
    </row>
    <row r="114" spans="2:7">
      <c r="B114" s="753" t="s">
        <v>3276</v>
      </c>
      <c r="C114" s="764"/>
      <c r="D114" s="764"/>
      <c r="E114" s="7" t="s">
        <v>3035</v>
      </c>
      <c r="F114" s="753" t="s">
        <v>3074</v>
      </c>
      <c r="G114" s="754">
        <f>+'Facility or System Data'!C16</f>
        <v>0</v>
      </c>
    </row>
    <row r="115" spans="2:7">
      <c r="F115" s="7"/>
    </row>
  </sheetData>
  <autoFilter ref="B43:G114" xr:uid="{4397342C-D11A-43AB-A7F3-6FA2CBE089D5}"/>
  <conditionalFormatting sqref="B43:B44">
    <cfRule type="duplicateValues" dxfId="26" priority="128"/>
  </conditionalFormatting>
  <conditionalFormatting sqref="B45:B114">
    <cfRule type="duplicateValues" dxfId="25" priority="133"/>
  </conditionalFormatting>
  <conditionalFormatting sqref="C44">
    <cfRule type="duplicateValues" dxfId="24" priority="62"/>
  </conditionalFormatting>
  <conditionalFormatting sqref="C45:C114">
    <cfRule type="duplicateValues" dxfId="23" priority="129"/>
  </conditionalFormatting>
  <conditionalFormatting sqref="D44">
    <cfRule type="duplicateValues" dxfId="22" priority="61"/>
  </conditionalFormatting>
  <conditionalFormatting sqref="D45:D114">
    <cfRule type="duplicateValues" dxfId="21" priority="131"/>
  </conditionalFormatting>
  <pageMargins left="0.7" right="0.7" top="0.75" bottom="0.75" header="0.3" footer="0.3"/>
  <pageSetup orientation="portrait" horizontalDpi="1200" verticalDpi="120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85D8-3FD4-4953-85CC-CB344CBC5B73}">
  <sheetPr codeName="Sheet42"/>
  <dimension ref="A1:N63"/>
  <sheetViews>
    <sheetView zoomScaleNormal="100" workbookViewId="0">
      <selection sqref="A1:XFD1048576"/>
    </sheetView>
  </sheetViews>
  <sheetFormatPr defaultColWidth="8.125" defaultRowHeight="14.25"/>
  <cols>
    <col min="1" max="1" width="16.375" style="1307" customWidth="1"/>
    <col min="2" max="2" width="44.625" style="1307" customWidth="1"/>
    <col min="3" max="3" width="18.875" style="1307" customWidth="1"/>
    <col min="4" max="6" width="12.875" style="1307" customWidth="1"/>
    <col min="7" max="7" width="13.5" style="1307" customWidth="1"/>
    <col min="8" max="11" width="12.875" style="1307" customWidth="1"/>
    <col min="12" max="12" width="2.25" style="1307" customWidth="1"/>
    <col min="13" max="13" width="6.5" style="1308" customWidth="1"/>
    <col min="14" max="16384" width="8.125" style="1307"/>
  </cols>
  <sheetData>
    <row r="1" spans="1:13" s="1305" customFormat="1" ht="11.25">
      <c r="A1" s="1305" t="s">
        <v>3943</v>
      </c>
    </row>
    <row r="2" spans="1:13" ht="20.25">
      <c r="A2" s="1306" t="s">
        <v>4139</v>
      </c>
      <c r="B2" s="1306"/>
      <c r="C2" s="1306"/>
      <c r="D2" s="1306"/>
      <c r="E2" s="1306"/>
      <c r="F2" s="1306"/>
    </row>
    <row r="3" spans="1:13" ht="15">
      <c r="A3" s="1309" t="s">
        <v>3945</v>
      </c>
    </row>
    <row r="4" spans="1:13" s="1310" customFormat="1" ht="7.5" thickBot="1">
      <c r="M4" s="1311"/>
    </row>
    <row r="5" spans="1:13" ht="30.75" thickTop="1">
      <c r="A5" s="1312" t="s">
        <v>3946</v>
      </c>
      <c r="B5" s="1313" t="s">
        <v>3947</v>
      </c>
      <c r="C5" s="1314" t="s">
        <v>3948</v>
      </c>
      <c r="D5" s="1315">
        <v>45818</v>
      </c>
      <c r="E5" s="1314" t="s">
        <v>3949</v>
      </c>
      <c r="F5" s="1316" t="s">
        <v>3950</v>
      </c>
    </row>
    <row r="6" spans="1:13" ht="15.75" thickBot="1">
      <c r="A6" s="1317" t="s">
        <v>3951</v>
      </c>
      <c r="B6" s="1318" t="s">
        <v>1966</v>
      </c>
      <c r="C6" s="1319" t="s">
        <v>3952</v>
      </c>
      <c r="D6" s="1320">
        <v>1</v>
      </c>
      <c r="E6" s="1319" t="s">
        <v>1206</v>
      </c>
      <c r="F6" s="1321">
        <v>2024</v>
      </c>
    </row>
    <row r="7" spans="1:13" ht="16.5" thickTop="1" thickBot="1">
      <c r="A7" s="1322"/>
      <c r="B7" s="1323"/>
      <c r="C7" s="1324"/>
      <c r="D7" s="1325"/>
      <c r="E7" s="1324"/>
      <c r="F7" s="1326"/>
    </row>
    <row r="8" spans="1:13" ht="16.5" thickTop="1" thickBot="1">
      <c r="A8" s="1597" t="s">
        <v>4140</v>
      </c>
      <c r="B8" s="1598"/>
      <c r="C8" s="1598"/>
      <c r="D8" s="1598"/>
      <c r="E8" s="1598"/>
      <c r="F8" s="1598"/>
      <c r="G8" s="1598"/>
      <c r="H8" s="1598"/>
      <c r="I8" s="1598"/>
      <c r="J8" s="1598"/>
      <c r="K8" s="1598"/>
      <c r="L8" s="1598"/>
      <c r="M8" s="1599"/>
    </row>
    <row r="9" spans="1:13" ht="15" thickTop="1"/>
    <row r="10" spans="1:13" ht="15">
      <c r="A10" s="1327" t="s">
        <v>4141</v>
      </c>
    </row>
    <row r="12" spans="1:13" ht="15" thickBot="1">
      <c r="D12" s="1328"/>
      <c r="E12" s="1328"/>
      <c r="F12" s="1328"/>
      <c r="G12" s="1329"/>
      <c r="H12" s="1328"/>
      <c r="I12" s="1328"/>
      <c r="J12" s="1328"/>
      <c r="K12" s="1328"/>
    </row>
    <row r="13" spans="1:13" ht="30.75" thickTop="1">
      <c r="B13" s="1600"/>
      <c r="C13" s="1330" t="s">
        <v>1</v>
      </c>
      <c r="D13" s="1330" t="s">
        <v>4142</v>
      </c>
      <c r="E13" s="1331" t="s">
        <v>4143</v>
      </c>
      <c r="F13" s="1330" t="s">
        <v>2901</v>
      </c>
      <c r="G13" s="1330" t="s">
        <v>4144</v>
      </c>
      <c r="H13" s="1330" t="s">
        <v>4142</v>
      </c>
      <c r="I13" s="1330" t="s">
        <v>4143</v>
      </c>
      <c r="J13" s="1330" t="s">
        <v>4142</v>
      </c>
      <c r="K13" s="1330" t="s">
        <v>4143</v>
      </c>
    </row>
    <row r="14" spans="1:13" ht="18" thickBot="1">
      <c r="B14" s="1600"/>
      <c r="C14" s="1332"/>
      <c r="D14" s="1333" t="s">
        <v>4145</v>
      </c>
      <c r="E14" s="1333" t="s">
        <v>4145</v>
      </c>
      <c r="F14" s="1333" t="s">
        <v>4146</v>
      </c>
      <c r="G14" s="1333" t="s">
        <v>4147</v>
      </c>
      <c r="H14" s="1333" t="s">
        <v>4148</v>
      </c>
      <c r="I14" s="1333" t="s">
        <v>4148</v>
      </c>
      <c r="J14" s="1333" t="s">
        <v>4149</v>
      </c>
      <c r="K14" s="1333" t="s">
        <v>4149</v>
      </c>
      <c r="M14" s="1334"/>
    </row>
    <row r="15" spans="1:13" ht="16.5" customHeight="1" thickTop="1" thickBot="1">
      <c r="A15" s="1595" t="s">
        <v>4150</v>
      </c>
      <c r="B15" s="1330" t="s">
        <v>4151</v>
      </c>
      <c r="C15" s="1335">
        <v>2024</v>
      </c>
      <c r="D15" s="1336">
        <v>44.796999999999997</v>
      </c>
      <c r="E15" s="1336">
        <v>47.155000000000001</v>
      </c>
      <c r="F15" s="1336">
        <v>729.92700000000002</v>
      </c>
      <c r="G15" s="1336">
        <v>1370</v>
      </c>
      <c r="H15" s="1336">
        <v>12.444000000000001</v>
      </c>
      <c r="I15" s="1336">
        <v>13.099</v>
      </c>
      <c r="J15" s="1336">
        <v>9.0830000000000002</v>
      </c>
      <c r="K15" s="1336">
        <v>9.5609999999999999</v>
      </c>
    </row>
    <row r="16" spans="1:13" ht="16.5" thickTop="1" thickBot="1">
      <c r="A16" s="1601"/>
      <c r="B16" s="1330" t="s">
        <v>4152</v>
      </c>
      <c r="C16" s="1337">
        <v>2024</v>
      </c>
      <c r="D16" s="1336">
        <v>43.905000000000001</v>
      </c>
      <c r="E16" s="1336">
        <v>46.215000000000003</v>
      </c>
      <c r="F16" s="1336">
        <v>800</v>
      </c>
      <c r="G16" s="1336">
        <v>1250</v>
      </c>
      <c r="H16" s="1336">
        <v>12.196</v>
      </c>
      <c r="I16" s="1336">
        <v>12.837999999999999</v>
      </c>
      <c r="J16" s="1336">
        <v>9.7569999999999997</v>
      </c>
      <c r="K16" s="1336">
        <v>10.27</v>
      </c>
    </row>
    <row r="17" spans="1:14" ht="16.5" thickTop="1" thickBot="1">
      <c r="A17" s="1601"/>
      <c r="B17" s="1330" t="s">
        <v>4153</v>
      </c>
      <c r="C17" s="1337">
        <v>2024</v>
      </c>
      <c r="D17" s="1336">
        <v>43.865000000000002</v>
      </c>
      <c r="E17" s="1336">
        <v>46.173999999999999</v>
      </c>
      <c r="F17" s="1336">
        <v>802.56799999999998</v>
      </c>
      <c r="G17" s="1336">
        <v>1246</v>
      </c>
      <c r="H17" s="1336">
        <v>12.185</v>
      </c>
      <c r="I17" s="1336">
        <v>12.826000000000001</v>
      </c>
      <c r="J17" s="1336">
        <v>9.7789999999999999</v>
      </c>
      <c r="K17" s="1336">
        <v>10.294</v>
      </c>
    </row>
    <row r="18" spans="1:14" ht="16.5" thickTop="1" thickBot="1">
      <c r="A18" s="1601"/>
      <c r="B18" s="1330" t="s">
        <v>2569</v>
      </c>
      <c r="C18" s="1337">
        <v>2024</v>
      </c>
      <c r="D18" s="1336">
        <v>45.3</v>
      </c>
      <c r="E18" s="1336">
        <v>49.1</v>
      </c>
      <c r="F18" s="1336">
        <v>575.37400000000002</v>
      </c>
      <c r="G18" s="1336">
        <v>1738</v>
      </c>
      <c r="H18" s="1336">
        <v>12.583</v>
      </c>
      <c r="I18" s="1336">
        <v>13.638999999999999</v>
      </c>
      <c r="J18" s="1336">
        <v>7.24</v>
      </c>
      <c r="K18" s="1336">
        <v>7.8470000000000004</v>
      </c>
    </row>
    <row r="19" spans="1:14" ht="16.5" thickTop="1" thickBot="1">
      <c r="A19" s="1601"/>
      <c r="B19" s="1330" t="s">
        <v>4050</v>
      </c>
      <c r="C19" s="1337">
        <v>2024</v>
      </c>
      <c r="D19" s="1338">
        <v>28.613</v>
      </c>
      <c r="E19" s="1336">
        <v>30.119</v>
      </c>
      <c r="F19" s="1336">
        <v>850</v>
      </c>
      <c r="G19" s="1336">
        <v>1176.471</v>
      </c>
      <c r="H19" s="1336">
        <v>7.9480000000000004</v>
      </c>
      <c r="I19" s="1336">
        <v>8.3659999999999997</v>
      </c>
      <c r="J19" s="1336">
        <v>6.7560000000000002</v>
      </c>
      <c r="K19" s="1336">
        <v>7.1109999999999998</v>
      </c>
    </row>
    <row r="20" spans="1:14" ht="16.5" thickTop="1" thickBot="1">
      <c r="A20" s="1601"/>
      <c r="B20" s="1330" t="s">
        <v>4049</v>
      </c>
      <c r="C20" s="1337">
        <v>2024</v>
      </c>
      <c r="D20" s="1336">
        <v>24.408000000000001</v>
      </c>
      <c r="E20" s="1336">
        <v>25.692</v>
      </c>
      <c r="F20" s="1339"/>
      <c r="G20" s="1339"/>
      <c r="H20" s="1339">
        <v>6.78</v>
      </c>
      <c r="I20" s="1339">
        <v>7.1369999999999996</v>
      </c>
      <c r="J20" s="1339"/>
      <c r="K20" s="1339"/>
    </row>
    <row r="21" spans="1:14" ht="31.5" thickTop="1" thickBot="1">
      <c r="A21" s="1601"/>
      <c r="B21" s="1330" t="s">
        <v>4053</v>
      </c>
      <c r="C21" s="1337">
        <v>2024</v>
      </c>
      <c r="D21" s="1336">
        <v>24.37</v>
      </c>
      <c r="E21" s="1336">
        <v>25.652000000000001</v>
      </c>
      <c r="F21" s="1339"/>
      <c r="G21" s="1339"/>
      <c r="H21" s="1339">
        <v>6.7690000000000001</v>
      </c>
      <c r="I21" s="1339">
        <v>7.1260000000000003</v>
      </c>
      <c r="J21" s="1339"/>
      <c r="K21" s="1339"/>
    </row>
    <row r="22" spans="1:14" ht="16.5" thickTop="1" thickBot="1">
      <c r="A22" s="1601"/>
      <c r="B22" s="1330" t="s">
        <v>4048</v>
      </c>
      <c r="C22" s="1337">
        <v>2024</v>
      </c>
      <c r="D22" s="1336">
        <v>25.405000000000001</v>
      </c>
      <c r="E22" s="1336">
        <v>26.742000000000001</v>
      </c>
      <c r="F22" s="1339"/>
      <c r="G22" s="1339"/>
      <c r="H22" s="1339">
        <v>7.0570000000000004</v>
      </c>
      <c r="I22" s="1339">
        <v>7.4279999999999999</v>
      </c>
      <c r="J22" s="1339"/>
      <c r="K22" s="1339"/>
      <c r="N22" s="1307">
        <f>H22*1000*1000</f>
        <v>7057000</v>
      </c>
    </row>
    <row r="23" spans="1:14" ht="16.5" thickTop="1" thickBot="1">
      <c r="A23" s="1601"/>
      <c r="B23" s="1330" t="s">
        <v>4154</v>
      </c>
      <c r="C23" s="1337">
        <v>2024</v>
      </c>
      <c r="D23" s="1336">
        <v>30.24</v>
      </c>
      <c r="E23" s="1336">
        <v>31.832000000000001</v>
      </c>
      <c r="F23" s="1339"/>
      <c r="G23" s="1339"/>
      <c r="H23" s="1339">
        <v>8.4</v>
      </c>
      <c r="I23" s="1339">
        <v>8.8420000000000005</v>
      </c>
      <c r="J23" s="1339"/>
      <c r="K23" s="1339"/>
      <c r="N23" s="1307">
        <f>H23*1000*1000</f>
        <v>8400000</v>
      </c>
    </row>
    <row r="24" spans="1:14" ht="16.5" thickTop="1" thickBot="1">
      <c r="A24" s="1601"/>
      <c r="B24" s="1330" t="s">
        <v>245</v>
      </c>
      <c r="C24" s="1337">
        <v>2024</v>
      </c>
      <c r="D24" s="1336">
        <v>43.027999999999999</v>
      </c>
      <c r="E24" s="1336">
        <v>45.774999999999999</v>
      </c>
      <c r="F24" s="1336">
        <v>830.56500000000005</v>
      </c>
      <c r="G24" s="1336">
        <v>1204</v>
      </c>
      <c r="H24" s="1336">
        <v>11.952</v>
      </c>
      <c r="I24" s="1336">
        <v>12.715</v>
      </c>
      <c r="J24" s="1336">
        <v>9.9269999999999996</v>
      </c>
      <c r="K24" s="1336">
        <v>10.561</v>
      </c>
    </row>
    <row r="25" spans="1:14" ht="16.5" thickTop="1" thickBot="1">
      <c r="A25" s="1601"/>
      <c r="B25" s="1330" t="s">
        <v>251</v>
      </c>
      <c r="C25" s="1337">
        <v>2024</v>
      </c>
      <c r="D25" s="1336">
        <v>42.719000000000001</v>
      </c>
      <c r="E25" s="1336">
        <v>45.399000000000001</v>
      </c>
      <c r="F25" s="1336">
        <v>833.51900000000001</v>
      </c>
      <c r="G25" s="1336">
        <v>1199.7329999999999</v>
      </c>
      <c r="H25" s="1336">
        <v>11.866</v>
      </c>
      <c r="I25" s="1336">
        <v>12.611000000000001</v>
      </c>
      <c r="J25" s="1336">
        <v>9.891</v>
      </c>
      <c r="K25" s="1336">
        <v>10.510999999999999</v>
      </c>
    </row>
    <row r="26" spans="1:14" ht="16.5" thickTop="1" thickBot="1">
      <c r="A26" s="1601"/>
      <c r="B26" s="1330" t="s">
        <v>4155</v>
      </c>
      <c r="C26" s="1337">
        <v>2024</v>
      </c>
      <c r="D26" s="1336">
        <v>40.752000000000002</v>
      </c>
      <c r="E26" s="1336">
        <v>43.353000000000002</v>
      </c>
      <c r="F26" s="1336">
        <v>983.28399999999999</v>
      </c>
      <c r="G26" s="1336">
        <v>1017</v>
      </c>
      <c r="H26" s="1336">
        <v>11.32</v>
      </c>
      <c r="I26" s="1336">
        <v>12.042</v>
      </c>
      <c r="J26" s="1336">
        <v>11.131</v>
      </c>
      <c r="K26" s="1336">
        <v>11.840999999999999</v>
      </c>
    </row>
    <row r="27" spans="1:14" ht="16.5" thickTop="1" thickBot="1">
      <c r="A27" s="1601"/>
      <c r="B27" s="1330" t="s">
        <v>4156</v>
      </c>
      <c r="C27" s="1337">
        <v>2024</v>
      </c>
      <c r="D27" s="1336">
        <v>42.569000000000003</v>
      </c>
      <c r="E27" s="1336">
        <v>45.286000000000001</v>
      </c>
      <c r="F27" s="1336">
        <v>853.971</v>
      </c>
      <c r="G27" s="1336">
        <v>1171</v>
      </c>
      <c r="H27" s="1336">
        <v>11.824999999999999</v>
      </c>
      <c r="I27" s="1336">
        <v>12.579000000000001</v>
      </c>
      <c r="J27" s="1336">
        <v>10.098000000000001</v>
      </c>
      <c r="K27" s="1336">
        <v>10.742000000000001</v>
      </c>
    </row>
    <row r="28" spans="1:14" ht="16.5" thickTop="1" thickBot="1">
      <c r="A28" s="1601"/>
      <c r="B28" s="1330" t="s">
        <v>4037</v>
      </c>
      <c r="C28" s="1337">
        <v>2024</v>
      </c>
      <c r="D28" s="1336">
        <v>40.752000000000002</v>
      </c>
      <c r="E28" s="1336">
        <v>43.353000000000002</v>
      </c>
      <c r="F28" s="1336">
        <v>864.30399999999997</v>
      </c>
      <c r="G28" s="1336">
        <v>1157</v>
      </c>
      <c r="H28" s="1336">
        <v>11.32</v>
      </c>
      <c r="I28" s="1336">
        <v>12.042</v>
      </c>
      <c r="J28" s="1336">
        <v>9.7840000000000007</v>
      </c>
      <c r="K28" s="1336">
        <v>10.407999999999999</v>
      </c>
    </row>
    <row r="29" spans="1:14" ht="16.5" thickTop="1" thickBot="1">
      <c r="A29" s="1601"/>
      <c r="B29" s="1330" t="s">
        <v>247</v>
      </c>
      <c r="C29" s="1337">
        <v>2024</v>
      </c>
      <c r="D29" s="1336">
        <v>45.944000000000003</v>
      </c>
      <c r="E29" s="1336">
        <v>49.332999999999998</v>
      </c>
      <c r="F29" s="1336">
        <v>529.74900000000002</v>
      </c>
      <c r="G29" s="1340">
        <v>1887.6849999999999</v>
      </c>
      <c r="H29" s="1336">
        <v>12.762</v>
      </c>
      <c r="I29" s="1336">
        <v>13.704000000000001</v>
      </c>
      <c r="J29" s="1336">
        <v>6.7610000000000001</v>
      </c>
      <c r="K29" s="1336">
        <v>7.2590000000000003</v>
      </c>
    </row>
    <row r="30" spans="1:14" ht="16.5" thickTop="1" thickBot="1">
      <c r="A30" s="1601"/>
      <c r="B30" s="1330" t="s">
        <v>4038</v>
      </c>
      <c r="C30" s="1337">
        <v>2024</v>
      </c>
      <c r="D30" s="1336">
        <v>45.447000000000003</v>
      </c>
      <c r="E30" s="1336">
        <v>47.838999999999999</v>
      </c>
      <c r="F30" s="1336">
        <v>674.30899999999997</v>
      </c>
      <c r="G30" s="1336">
        <v>1483</v>
      </c>
      <c r="H30" s="1336">
        <v>12.624000000000001</v>
      </c>
      <c r="I30" s="1336">
        <v>13.289</v>
      </c>
      <c r="J30" s="1336">
        <v>8.5129999999999999</v>
      </c>
      <c r="K30" s="1336">
        <v>8.9610000000000003</v>
      </c>
    </row>
    <row r="31" spans="1:14" ht="16.5" thickTop="1" thickBot="1">
      <c r="A31" s="1601"/>
      <c r="B31" s="1330" t="s">
        <v>4157</v>
      </c>
      <c r="C31" s="1337">
        <v>2024</v>
      </c>
      <c r="D31" s="1336">
        <v>45.627000000000002</v>
      </c>
      <c r="E31" s="1336">
        <v>50.552</v>
      </c>
      <c r="F31" s="1336">
        <v>0.79600000000000004</v>
      </c>
      <c r="G31" s="1336">
        <v>1255568.6839999999</v>
      </c>
      <c r="H31" s="1336">
        <v>12.673999999999999</v>
      </c>
      <c r="I31" s="1336">
        <v>14.042</v>
      </c>
      <c r="J31" s="1336">
        <v>0.01</v>
      </c>
      <c r="K31" s="1336">
        <v>1.0999999999999999E-2</v>
      </c>
    </row>
    <row r="32" spans="1:14" ht="16.5" thickTop="1" thickBot="1">
      <c r="A32" s="1601"/>
      <c r="B32" s="1330" t="s">
        <v>4158</v>
      </c>
      <c r="C32" s="1337">
        <v>2024</v>
      </c>
      <c r="D32" s="1336">
        <v>45.627000000000002</v>
      </c>
      <c r="E32" s="1336">
        <v>50.552</v>
      </c>
      <c r="F32" s="1336">
        <v>0.79600000000000004</v>
      </c>
      <c r="G32" s="1336">
        <v>1255568.6839999999</v>
      </c>
      <c r="H32" s="1336">
        <v>12.673999999999999</v>
      </c>
      <c r="I32" s="1336">
        <v>14.042</v>
      </c>
      <c r="J32" s="1336">
        <v>0.01</v>
      </c>
      <c r="K32" s="1336">
        <v>1.0999999999999999E-2</v>
      </c>
    </row>
    <row r="33" spans="1:11" ht="16.5" thickTop="1" thickBot="1">
      <c r="A33" s="1601"/>
      <c r="B33" s="1341" t="s">
        <v>4033</v>
      </c>
      <c r="C33" s="1337">
        <v>2024</v>
      </c>
      <c r="D33" s="1336">
        <v>46.601999999999997</v>
      </c>
      <c r="E33" s="1336">
        <v>50.654000000000003</v>
      </c>
      <c r="F33" s="1336">
        <v>366.3</v>
      </c>
      <c r="G33" s="1336">
        <v>2730</v>
      </c>
      <c r="H33" s="1336">
        <v>12.945</v>
      </c>
      <c r="I33" s="1336">
        <v>14.071</v>
      </c>
      <c r="J33" s="1336">
        <v>4.742</v>
      </c>
      <c r="K33" s="1336">
        <v>5.1539999999999999</v>
      </c>
    </row>
    <row r="34" spans="1:11" ht="16.5" thickTop="1" thickBot="1">
      <c r="A34" s="1601"/>
      <c r="B34" s="1341" t="s">
        <v>4052</v>
      </c>
      <c r="C34" s="1337">
        <v>2024</v>
      </c>
      <c r="D34" s="1339">
        <v>33.972000000000001</v>
      </c>
      <c r="E34" s="1339">
        <v>35.76</v>
      </c>
      <c r="F34" s="1339"/>
      <c r="G34" s="1339"/>
      <c r="H34" s="1339">
        <v>9.4369999999999994</v>
      </c>
      <c r="I34" s="1339">
        <v>9.9329999999999998</v>
      </c>
      <c r="J34" s="1339"/>
      <c r="K34" s="1339"/>
    </row>
    <row r="35" spans="1:11" ht="16.5" thickTop="1" thickBot="1">
      <c r="A35" s="1601"/>
      <c r="B35" s="1341" t="s">
        <v>4040</v>
      </c>
      <c r="C35" s="1337">
        <v>2024</v>
      </c>
      <c r="D35" s="1336">
        <v>44.598999999999997</v>
      </c>
      <c r="E35" s="1336">
        <v>46.945999999999998</v>
      </c>
      <c r="F35" s="1336">
        <v>746.26900000000001</v>
      </c>
      <c r="G35" s="1336">
        <v>1340</v>
      </c>
      <c r="H35" s="1336">
        <v>12.388999999999999</v>
      </c>
      <c r="I35" s="1336">
        <v>13.041</v>
      </c>
      <c r="J35" s="1336">
        <v>9.2449999999999992</v>
      </c>
      <c r="K35" s="1336">
        <v>9.7319999999999993</v>
      </c>
    </row>
    <row r="36" spans="1:11" ht="16.5" thickTop="1" thickBot="1">
      <c r="A36" s="1601"/>
      <c r="B36" s="1342" t="s">
        <v>4039</v>
      </c>
      <c r="C36" s="1337">
        <v>2024</v>
      </c>
      <c r="D36" s="1336">
        <v>43.036999999999999</v>
      </c>
      <c r="E36" s="1336">
        <v>45.433</v>
      </c>
      <c r="F36" s="1336">
        <v>750.226</v>
      </c>
      <c r="G36" s="1336">
        <v>1332.932</v>
      </c>
      <c r="H36" s="1336">
        <v>11.955</v>
      </c>
      <c r="I36" s="1336">
        <v>12.62</v>
      </c>
      <c r="J36" s="1336">
        <v>8.9689999999999994</v>
      </c>
      <c r="K36" s="1336">
        <v>9.468</v>
      </c>
    </row>
    <row r="37" spans="1:11" ht="16.5" thickTop="1" thickBot="1">
      <c r="A37" s="1601"/>
      <c r="B37" s="1342" t="s">
        <v>41</v>
      </c>
      <c r="C37" s="1337">
        <v>2024</v>
      </c>
      <c r="D37" s="1336">
        <v>46.4</v>
      </c>
      <c r="E37" s="1336">
        <v>50.4</v>
      </c>
      <c r="F37" s="1336">
        <v>514.93299999999999</v>
      </c>
      <c r="G37" s="1336">
        <v>1942</v>
      </c>
      <c r="H37" s="1336">
        <v>12.888999999999999</v>
      </c>
      <c r="I37" s="1336">
        <v>14</v>
      </c>
      <c r="J37" s="1336">
        <v>6.6369999999999996</v>
      </c>
      <c r="K37" s="1336">
        <v>7.2089999999999996</v>
      </c>
    </row>
    <row r="38" spans="1:11" ht="16.5" thickTop="1" thickBot="1">
      <c r="A38" s="1596"/>
      <c r="B38" s="1342" t="s">
        <v>4044</v>
      </c>
      <c r="C38" s="1343">
        <v>2024</v>
      </c>
      <c r="D38" s="1344">
        <v>42.207999999999998</v>
      </c>
      <c r="E38" s="1345">
        <v>45.2</v>
      </c>
      <c r="F38" s="1346">
        <v>853.971</v>
      </c>
      <c r="G38" s="1344">
        <v>1171</v>
      </c>
      <c r="H38" s="1344">
        <v>11.724</v>
      </c>
      <c r="I38" s="1345">
        <v>12.555999999999999</v>
      </c>
      <c r="J38" s="1344">
        <v>10.012</v>
      </c>
      <c r="K38" s="1345">
        <v>10.722</v>
      </c>
    </row>
    <row r="39" spans="1:11" ht="16.5" thickTop="1" thickBot="1">
      <c r="B39" s="1322"/>
      <c r="C39" s="1347"/>
      <c r="D39" s="1348"/>
      <c r="E39" s="1348"/>
      <c r="F39" s="1349"/>
      <c r="G39" s="1350"/>
      <c r="H39" s="1348"/>
      <c r="I39" s="1348"/>
    </row>
    <row r="40" spans="1:11" ht="30.75" thickTop="1">
      <c r="B40" s="1600"/>
      <c r="C40" s="1330" t="s">
        <v>1</v>
      </c>
      <c r="D40" s="1330" t="s">
        <v>4142</v>
      </c>
      <c r="E40" s="1330" t="s">
        <v>4143</v>
      </c>
      <c r="F40" s="1330" t="s">
        <v>2901</v>
      </c>
      <c r="G40" s="1330" t="s">
        <v>4144</v>
      </c>
      <c r="H40" s="1330" t="s">
        <v>4142</v>
      </c>
      <c r="I40" s="1330" t="s">
        <v>4143</v>
      </c>
      <c r="J40" s="1330" t="s">
        <v>4142</v>
      </c>
      <c r="K40" s="1330" t="s">
        <v>4143</v>
      </c>
    </row>
    <row r="41" spans="1:11" ht="18" thickBot="1">
      <c r="B41" s="1600"/>
      <c r="C41" s="1332"/>
      <c r="D41" s="1332" t="s">
        <v>4145</v>
      </c>
      <c r="E41" s="1332" t="s">
        <v>4145</v>
      </c>
      <c r="F41" s="1332" t="s">
        <v>4159</v>
      </c>
      <c r="G41" s="1351" t="s">
        <v>4147</v>
      </c>
      <c r="H41" s="1333" t="s">
        <v>4148</v>
      </c>
      <c r="I41" s="1333" t="s">
        <v>4148</v>
      </c>
      <c r="J41" s="1333" t="s">
        <v>4149</v>
      </c>
      <c r="K41" s="1333" t="s">
        <v>4149</v>
      </c>
    </row>
    <row r="42" spans="1:11" ht="16.5" customHeight="1" thickTop="1" thickBot="1">
      <c r="A42" s="1595" t="s">
        <v>4160</v>
      </c>
      <c r="B42" s="1342" t="s">
        <v>4161</v>
      </c>
      <c r="C42" s="1335">
        <v>2024</v>
      </c>
      <c r="D42" s="1336">
        <v>37.200000000000003</v>
      </c>
      <c r="E42" s="1336">
        <v>38.700000000000003</v>
      </c>
      <c r="F42" s="1336">
        <v>890</v>
      </c>
      <c r="G42" s="1352">
        <v>1123.596</v>
      </c>
      <c r="H42" s="1336">
        <v>10.333</v>
      </c>
      <c r="I42" s="1336">
        <v>10.75</v>
      </c>
      <c r="J42" s="1353">
        <v>9.1969999999999992</v>
      </c>
      <c r="K42" s="1353">
        <v>9.5679999999999996</v>
      </c>
    </row>
    <row r="43" spans="1:11" ht="16.5" thickTop="1" thickBot="1">
      <c r="A43" s="1601"/>
      <c r="B43" s="1330" t="s">
        <v>4162</v>
      </c>
      <c r="C43" s="1337">
        <v>2024</v>
      </c>
      <c r="D43" s="1336">
        <v>44</v>
      </c>
      <c r="E43" s="1336">
        <v>45.832999999999998</v>
      </c>
      <c r="F43" s="1336">
        <v>780</v>
      </c>
      <c r="G43" s="1352">
        <v>1282.0509999999999</v>
      </c>
      <c r="H43" s="1336">
        <v>12.222</v>
      </c>
      <c r="I43" s="1336">
        <v>12.731</v>
      </c>
      <c r="J43" s="1336">
        <v>9.5329999999999995</v>
      </c>
      <c r="K43" s="1336">
        <v>9.9309999999999992</v>
      </c>
    </row>
    <row r="44" spans="1:11" ht="16.5" thickTop="1" thickBot="1">
      <c r="A44" s="1601"/>
      <c r="B44" s="1330" t="s">
        <v>4117</v>
      </c>
      <c r="C44" s="1337">
        <v>2024</v>
      </c>
      <c r="D44" s="1336">
        <v>26.8</v>
      </c>
      <c r="E44" s="1336">
        <v>29.7</v>
      </c>
      <c r="F44" s="1336">
        <v>794</v>
      </c>
      <c r="G44" s="1352">
        <v>1259.4459999999999</v>
      </c>
      <c r="H44" s="1336">
        <v>7.444</v>
      </c>
      <c r="I44" s="1336">
        <v>8.25</v>
      </c>
      <c r="J44" s="1336">
        <v>5.9109999999999996</v>
      </c>
      <c r="K44" s="1336">
        <v>6.5510000000000002</v>
      </c>
    </row>
    <row r="45" spans="1:11" ht="16.5" thickTop="1" thickBot="1">
      <c r="A45" s="1601"/>
      <c r="B45" s="1330" t="s">
        <v>4163</v>
      </c>
      <c r="C45" s="1337">
        <v>2024</v>
      </c>
      <c r="D45" s="1336">
        <v>36.299999999999997</v>
      </c>
      <c r="E45" s="1336">
        <v>39.628999999999998</v>
      </c>
      <c r="F45" s="1336">
        <v>750</v>
      </c>
      <c r="G45" s="1352">
        <v>1333.3330000000001</v>
      </c>
      <c r="H45" s="1336">
        <v>10.083</v>
      </c>
      <c r="I45" s="1336">
        <v>11.007999999999999</v>
      </c>
      <c r="J45" s="1336">
        <v>7.5629999999999997</v>
      </c>
      <c r="K45" s="1336">
        <v>8.2560000000000002</v>
      </c>
    </row>
    <row r="46" spans="1:11" ht="16.5" thickTop="1" thickBot="1">
      <c r="A46" s="1601"/>
      <c r="B46" s="1330" t="s">
        <v>4134</v>
      </c>
      <c r="C46" s="1337">
        <v>2024</v>
      </c>
      <c r="D46" s="1336">
        <v>20</v>
      </c>
      <c r="E46" s="1336">
        <v>21.978000000000002</v>
      </c>
      <c r="F46" s="1336">
        <v>1.1499999999999999</v>
      </c>
      <c r="G46" s="1352">
        <v>869565.21699999995</v>
      </c>
      <c r="H46" s="1336">
        <v>5.556</v>
      </c>
      <c r="I46" s="1336">
        <v>6.1050000000000004</v>
      </c>
      <c r="J46" s="1336">
        <v>6.0000000000000001E-3</v>
      </c>
      <c r="K46" s="1336">
        <v>7.0000000000000001E-3</v>
      </c>
    </row>
    <row r="47" spans="1:11" ht="16.5" thickTop="1" thickBot="1">
      <c r="A47" s="1601"/>
      <c r="B47" s="1330" t="s">
        <v>4164</v>
      </c>
      <c r="C47" s="1337">
        <v>2024</v>
      </c>
      <c r="D47" s="1336">
        <v>49</v>
      </c>
      <c r="E47" s="1336">
        <v>54.298000000000002</v>
      </c>
      <c r="F47" s="1336">
        <v>0.72499999999999998</v>
      </c>
      <c r="G47" s="1352">
        <v>1379355.673</v>
      </c>
      <c r="H47" s="1336">
        <v>13.611000000000001</v>
      </c>
      <c r="I47" s="1336">
        <v>15.083</v>
      </c>
      <c r="J47" s="1336">
        <v>0.01</v>
      </c>
      <c r="K47" s="1336">
        <v>1.0999999999999999E-2</v>
      </c>
    </row>
    <row r="48" spans="1:11" ht="16.5" thickTop="1" thickBot="1">
      <c r="A48" s="1601"/>
      <c r="B48" s="1330" t="s">
        <v>254</v>
      </c>
      <c r="C48" s="1337">
        <v>2024</v>
      </c>
      <c r="D48" s="1336">
        <v>45.627000000000002</v>
      </c>
      <c r="E48" s="1336">
        <v>50.552</v>
      </c>
      <c r="F48" s="1336">
        <v>175</v>
      </c>
      <c r="G48" s="1352">
        <v>5714.2860000000001</v>
      </c>
      <c r="H48" s="1336">
        <v>12.673999999999999</v>
      </c>
      <c r="I48" s="1336">
        <v>14.042</v>
      </c>
      <c r="J48" s="1336">
        <v>2.218</v>
      </c>
      <c r="K48" s="1336">
        <v>2.4569999999999999</v>
      </c>
    </row>
    <row r="49" spans="1:11" ht="16.5" thickTop="1" thickBot="1">
      <c r="A49" s="1601"/>
      <c r="B49" s="1330" t="s">
        <v>4165</v>
      </c>
      <c r="C49" s="1337">
        <v>2024</v>
      </c>
      <c r="D49" s="1336">
        <v>13.468</v>
      </c>
      <c r="E49" s="1336">
        <v>15.845000000000001</v>
      </c>
      <c r="F49" s="1336">
        <v>160</v>
      </c>
      <c r="G49" s="1352">
        <v>6250</v>
      </c>
      <c r="H49" s="1336">
        <v>3.7410000000000001</v>
      </c>
      <c r="I49" s="1336">
        <v>4.4009999999999998</v>
      </c>
      <c r="J49" s="1339"/>
      <c r="K49" s="1339"/>
    </row>
    <row r="50" spans="1:11" ht="16.5" thickTop="1" thickBot="1">
      <c r="A50" s="1601"/>
      <c r="B50" s="1330" t="s">
        <v>4166</v>
      </c>
      <c r="C50" s="1337">
        <v>2024</v>
      </c>
      <c r="D50" s="1336">
        <v>12.3</v>
      </c>
      <c r="E50" s="1336">
        <v>13.516</v>
      </c>
      <c r="F50" s="1336">
        <v>1.3</v>
      </c>
      <c r="G50" s="1352">
        <v>769230.76899999997</v>
      </c>
      <c r="H50" s="1336">
        <v>3.4169999999999998</v>
      </c>
      <c r="I50" s="1336">
        <v>3.7549999999999999</v>
      </c>
      <c r="J50" s="1336">
        <v>4.0000000000000001E-3</v>
      </c>
      <c r="K50" s="1336">
        <v>5.0000000000000001E-3</v>
      </c>
    </row>
    <row r="51" spans="1:11" ht="16.5" thickTop="1" thickBot="1">
      <c r="A51" s="1601"/>
      <c r="B51" s="1330" t="s">
        <v>4031</v>
      </c>
      <c r="C51" s="1337">
        <v>2024</v>
      </c>
      <c r="D51" s="1336">
        <v>45.627000000000002</v>
      </c>
      <c r="E51" s="1336">
        <v>50.552</v>
      </c>
      <c r="F51" s="1336">
        <v>452.48899999999998</v>
      </c>
      <c r="G51" s="1352">
        <v>2210</v>
      </c>
      <c r="H51" s="1336">
        <v>12.673999999999999</v>
      </c>
      <c r="I51" s="1336">
        <v>14.042</v>
      </c>
      <c r="J51" s="1336">
        <v>5.7350000000000003</v>
      </c>
      <c r="K51" s="1336">
        <v>6.3540000000000001</v>
      </c>
    </row>
    <row r="52" spans="1:11" ht="16.5" thickTop="1" thickBot="1">
      <c r="A52" s="1601"/>
      <c r="B52" s="1330" t="s">
        <v>4167</v>
      </c>
      <c r="C52" s="1337">
        <v>2024</v>
      </c>
      <c r="D52" s="1336">
        <v>13.6</v>
      </c>
      <c r="E52" s="1336">
        <v>14.712999999999999</v>
      </c>
      <c r="F52" s="1336">
        <v>253</v>
      </c>
      <c r="G52" s="1352">
        <v>3952.569</v>
      </c>
      <c r="H52" s="1336">
        <v>3.778</v>
      </c>
      <c r="I52" s="1336">
        <v>4.0869999999999997</v>
      </c>
      <c r="J52" s="1339"/>
      <c r="K52" s="1339"/>
    </row>
    <row r="53" spans="1:11" ht="16.5" thickTop="1" thickBot="1">
      <c r="A53" s="1601"/>
      <c r="B53" s="1330" t="s">
        <v>4168</v>
      </c>
      <c r="C53" s="1337">
        <v>2024</v>
      </c>
      <c r="D53" s="1336">
        <v>14.71</v>
      </c>
      <c r="E53" s="1336">
        <v>16.256</v>
      </c>
      <c r="F53" s="1336">
        <v>425</v>
      </c>
      <c r="G53" s="1352">
        <v>2352.9409999999998</v>
      </c>
      <c r="H53" s="1336">
        <v>4.0860000000000003</v>
      </c>
      <c r="I53" s="1336">
        <v>4.516</v>
      </c>
      <c r="J53" s="1339"/>
      <c r="K53" s="1339"/>
    </row>
    <row r="54" spans="1:11" ht="16.5" thickTop="1" thickBot="1">
      <c r="A54" s="1596"/>
      <c r="B54" s="1342" t="s">
        <v>4169</v>
      </c>
      <c r="C54" s="1343">
        <v>2024</v>
      </c>
      <c r="D54" s="1344">
        <v>17.28</v>
      </c>
      <c r="E54" s="1344">
        <v>18.693999999999999</v>
      </c>
      <c r="F54" s="1345">
        <v>650</v>
      </c>
      <c r="G54" s="1346">
        <v>1538.462</v>
      </c>
      <c r="H54" s="1344">
        <v>4.8</v>
      </c>
      <c r="I54" s="1344">
        <v>5.1929999999999996</v>
      </c>
      <c r="J54" s="1354"/>
      <c r="K54" s="1354"/>
    </row>
    <row r="55" spans="1:11" ht="15.75" thickTop="1" thickBot="1">
      <c r="C55" s="1355"/>
      <c r="G55" s="1356"/>
    </row>
    <row r="56" spans="1:11" ht="30.75" thickTop="1">
      <c r="B56" s="1600"/>
      <c r="C56" s="1330" t="s">
        <v>1</v>
      </c>
      <c r="D56" s="1330" t="s">
        <v>4142</v>
      </c>
      <c r="E56" s="1330" t="s">
        <v>4143</v>
      </c>
      <c r="F56" s="1330" t="s">
        <v>2901</v>
      </c>
      <c r="G56" s="1330" t="s">
        <v>4144</v>
      </c>
      <c r="H56" s="1330" t="s">
        <v>4142</v>
      </c>
      <c r="I56" s="1330" t="s">
        <v>4143</v>
      </c>
      <c r="J56" s="1330" t="s">
        <v>4142</v>
      </c>
      <c r="K56" s="1330" t="s">
        <v>4143</v>
      </c>
    </row>
    <row r="57" spans="1:11" ht="18" thickBot="1">
      <c r="B57" s="1600"/>
      <c r="C57" s="1332"/>
      <c r="D57" s="1332" t="s">
        <v>4145</v>
      </c>
      <c r="E57" s="1332" t="s">
        <v>4145</v>
      </c>
      <c r="F57" s="1332" t="s">
        <v>4159</v>
      </c>
      <c r="G57" s="1351" t="s">
        <v>4147</v>
      </c>
      <c r="H57" s="1333" t="s">
        <v>4148</v>
      </c>
      <c r="I57" s="1333" t="s">
        <v>4148</v>
      </c>
      <c r="J57" s="1333" t="s">
        <v>4149</v>
      </c>
      <c r="K57" s="1333" t="s">
        <v>4149</v>
      </c>
    </row>
    <row r="58" spans="1:11" ht="17.25" customHeight="1" thickTop="1">
      <c r="A58" s="1595" t="s">
        <v>4170</v>
      </c>
      <c r="B58" s="1330" t="s">
        <v>4171</v>
      </c>
      <c r="C58" s="1335">
        <v>2024</v>
      </c>
      <c r="D58" s="1336">
        <v>50</v>
      </c>
      <c r="E58" s="1336">
        <v>55.405999999999999</v>
      </c>
      <c r="F58" s="1336">
        <v>0.71599999999999997</v>
      </c>
      <c r="G58" s="1352">
        <v>1397112.108</v>
      </c>
      <c r="H58" s="1336">
        <v>13.888999999999999</v>
      </c>
      <c r="I58" s="1336">
        <v>15.391</v>
      </c>
      <c r="J58" s="1336">
        <v>0.01</v>
      </c>
      <c r="K58" s="1336">
        <v>1.0999999999999999E-2</v>
      </c>
    </row>
    <row r="59" spans="1:11" ht="19.5" thickBot="1">
      <c r="A59" s="1596"/>
      <c r="B59" s="1333" t="s">
        <v>4172</v>
      </c>
      <c r="C59" s="1343">
        <v>2024</v>
      </c>
      <c r="D59" s="1344">
        <v>0</v>
      </c>
      <c r="E59" s="1344">
        <v>0</v>
      </c>
      <c r="F59" s="1345">
        <v>1.964</v>
      </c>
      <c r="G59" s="1346">
        <v>509290.37800000003</v>
      </c>
      <c r="H59" s="1344">
        <v>0</v>
      </c>
      <c r="I59" s="1344">
        <v>0</v>
      </c>
      <c r="J59" s="1344">
        <v>0</v>
      </c>
      <c r="K59" s="1344">
        <v>0</v>
      </c>
    </row>
    <row r="60" spans="1:11" ht="15" thickTop="1">
      <c r="G60" s="1356"/>
    </row>
    <row r="61" spans="1:11" ht="15.75">
      <c r="A61" s="1357" t="s">
        <v>29</v>
      </c>
      <c r="C61" s="1358"/>
      <c r="D61" s="1358"/>
      <c r="E61" s="1358"/>
      <c r="F61" s="1358"/>
      <c r="G61" s="1358"/>
      <c r="H61" s="1358"/>
      <c r="I61" s="1358"/>
      <c r="J61" s="1358"/>
      <c r="K61" s="1358"/>
    </row>
    <row r="62" spans="1:11" ht="15">
      <c r="A62" s="1327" t="s">
        <v>4173</v>
      </c>
      <c r="B62" s="1327" t="s">
        <v>1740</v>
      </c>
    </row>
    <row r="63" spans="1:11">
      <c r="A63" s="1358" t="s">
        <v>4174</v>
      </c>
      <c r="B63" s="1358" t="s">
        <v>4175</v>
      </c>
    </row>
  </sheetData>
  <sheetProtection algorithmName="SHA-512" hashValue="Md/XIE1QTw9ocQbLRUQSU6DmbDdnfLvfH8sGz2ISvxRvdCT1wyw7eO5/eGNdCJO2IPN5BsovLsoPhwiKdiRYwg==" saltValue="CiSNnk82lRtRTByzufel2g==" spinCount="100000" sheet="1" objects="1" scenarios="1" selectLockedCells="1" selectUnlockedCells="1"/>
  <mergeCells count="7">
    <mergeCell ref="A58:A59"/>
    <mergeCell ref="A8:M8"/>
    <mergeCell ref="B13:B14"/>
    <mergeCell ref="A15:A38"/>
    <mergeCell ref="B40:B41"/>
    <mergeCell ref="A42:A54"/>
    <mergeCell ref="B56:B57"/>
  </mergeCells>
  <conditionalFormatting sqref="D19">
    <cfRule type="expression" dxfId="5" priority="5">
      <formula>IF(D19="",TRUE,FALSE)</formula>
    </cfRule>
  </conditionalFormatting>
  <conditionalFormatting sqref="D34:K34">
    <cfRule type="expression" dxfId="4" priority="4">
      <formula>IF(D34="",TRUE,FALSE)</formula>
    </cfRule>
  </conditionalFormatting>
  <conditionalFormatting sqref="F20:K23">
    <cfRule type="expression" dxfId="3" priority="3">
      <formula>IF(F20="",TRUE,FALSE)</formula>
    </cfRule>
  </conditionalFormatting>
  <conditionalFormatting sqref="J49:K49">
    <cfRule type="expression" dxfId="2" priority="2">
      <formula>IF(J49="",TRUE,FALSE)</formula>
    </cfRule>
  </conditionalFormatting>
  <conditionalFormatting sqref="J52:K54">
    <cfRule type="expression" dxfId="1" priority="1">
      <formula>IF(J52="",TRUE,FALSE)</formula>
    </cfRule>
  </conditionalFormatting>
  <hyperlinks>
    <hyperlink ref="A3" location="Index!A1" display="Index" xr:uid="{BC52A666-A755-4A10-A6BC-04B7667E2590}"/>
  </hyperlinks>
  <pageMargins left="0.7" right="0.7" top="0.75" bottom="0.75" header="0.3" footer="0.3"/>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9CDB-69B6-4468-B809-994DC57FB817}">
  <dimension ref="B1:U120"/>
  <sheetViews>
    <sheetView workbookViewId="0">
      <selection sqref="A1:XFD1048576"/>
    </sheetView>
  </sheetViews>
  <sheetFormatPr defaultRowHeight="14.25"/>
  <cols>
    <col min="1" max="1" width="2.625" style="30" customWidth="1"/>
    <col min="2" max="2" width="9" style="30"/>
    <col min="3" max="3" width="17.75" style="30" customWidth="1"/>
    <col min="4" max="4" width="30.625" style="30" customWidth="1"/>
    <col min="5" max="6" width="9" style="30"/>
    <col min="7" max="7" width="14.5" style="30" bestFit="1" customWidth="1"/>
    <col min="8" max="8" width="16.125" style="30" customWidth="1"/>
    <col min="9" max="9" width="12.125" style="30" customWidth="1"/>
    <col min="10" max="10" width="10.375" style="30" customWidth="1"/>
    <col min="11" max="11" width="11.75" style="30" customWidth="1"/>
    <col min="12" max="12" width="12.875" style="30" customWidth="1"/>
    <col min="13" max="13" width="9" style="30"/>
    <col min="14" max="14" width="9.875" style="30" customWidth="1"/>
    <col min="15" max="15" width="9" style="30"/>
    <col min="16" max="16" width="31" style="30" bestFit="1" customWidth="1"/>
    <col min="17" max="17" width="11.5" style="30" customWidth="1"/>
    <col min="18" max="20" width="9" style="30"/>
    <col min="21" max="21" width="12.625" style="30" customWidth="1"/>
    <col min="22" max="16384" width="9" style="30"/>
  </cols>
  <sheetData>
    <row r="1" spans="2:21" ht="20.25">
      <c r="B1" s="1359" t="s">
        <v>4315</v>
      </c>
      <c r="N1" s="1359" t="s">
        <v>4316</v>
      </c>
    </row>
    <row r="2" spans="2:21" ht="51">
      <c r="B2" s="1360" t="s">
        <v>1446</v>
      </c>
      <c r="C2" s="1360" t="s">
        <v>1447</v>
      </c>
      <c r="D2" s="1360" t="s">
        <v>1448</v>
      </c>
      <c r="E2" s="1360" t="s">
        <v>1449</v>
      </c>
      <c r="F2" s="1360" t="s">
        <v>1450</v>
      </c>
      <c r="G2" s="1360" t="s">
        <v>1451</v>
      </c>
      <c r="H2" s="1361" t="s">
        <v>1453</v>
      </c>
      <c r="I2" s="1361" t="s">
        <v>1454</v>
      </c>
      <c r="J2" s="1361" t="s">
        <v>1455</v>
      </c>
      <c r="K2" s="1361" t="s">
        <v>3926</v>
      </c>
      <c r="L2" s="1361" t="s">
        <v>4320</v>
      </c>
      <c r="N2" s="1360" t="s">
        <v>1446</v>
      </c>
      <c r="O2" s="1360" t="s">
        <v>1447</v>
      </c>
      <c r="P2" s="1360" t="s">
        <v>1448</v>
      </c>
      <c r="Q2" s="1360" t="s">
        <v>1449</v>
      </c>
      <c r="R2" s="1360" t="s">
        <v>1450</v>
      </c>
      <c r="S2" s="1360" t="s">
        <v>1451</v>
      </c>
      <c r="T2" s="1361" t="s">
        <v>3926</v>
      </c>
      <c r="U2" s="1362" t="s">
        <v>1452</v>
      </c>
    </row>
    <row r="3" spans="2:21">
      <c r="B3" s="30" t="s">
        <v>4315</v>
      </c>
      <c r="C3" s="30" t="s">
        <v>4030</v>
      </c>
      <c r="D3" s="30" t="s">
        <v>2569</v>
      </c>
      <c r="E3" s="30" t="s">
        <v>1459</v>
      </c>
      <c r="F3" s="30" t="s">
        <v>1459</v>
      </c>
      <c r="G3" s="30" t="s">
        <v>237</v>
      </c>
      <c r="H3" s="1363">
        <v>0.22209999999999999</v>
      </c>
      <c r="I3" s="1363">
        <v>6.7857142857142861E-6</v>
      </c>
      <c r="J3" s="1363">
        <v>4.5283018867924531E-7</v>
      </c>
      <c r="K3" s="30">
        <v>2.5239999999999999E-2</v>
      </c>
      <c r="L3" s="1190">
        <f>H3+(I3*GWPs!$C$4)+(J3*GWPs!$C$5)</f>
        <v>0.22242583692722373</v>
      </c>
      <c r="N3" s="30" t="s">
        <v>4316</v>
      </c>
      <c r="O3" s="30" t="s">
        <v>4317</v>
      </c>
      <c r="P3" s="30" t="s">
        <v>4128</v>
      </c>
      <c r="Q3" s="30" t="s">
        <v>1459</v>
      </c>
      <c r="R3" s="30" t="s">
        <v>1459</v>
      </c>
      <c r="S3" s="30" t="s">
        <v>1718</v>
      </c>
      <c r="T3" s="30">
        <v>15.256</v>
      </c>
      <c r="U3" s="30">
        <v>0.72340000000000004</v>
      </c>
    </row>
    <row r="4" spans="2:21">
      <c r="B4" s="30" t="s">
        <v>4315</v>
      </c>
      <c r="C4" s="30" t="s">
        <v>4030</v>
      </c>
      <c r="D4" s="30" t="s">
        <v>2569</v>
      </c>
      <c r="E4" s="30" t="s">
        <v>1459</v>
      </c>
      <c r="F4" s="30" t="s">
        <v>1459</v>
      </c>
      <c r="G4" s="30" t="s">
        <v>1609</v>
      </c>
      <c r="H4" s="1363">
        <v>0.24074000000000001</v>
      </c>
      <c r="I4" s="1363">
        <v>7.1428571428571436E-6</v>
      </c>
      <c r="J4" s="1363">
        <v>4.5283018867924531E-7</v>
      </c>
      <c r="K4" s="30">
        <v>2.7359999999999999E-2</v>
      </c>
      <c r="L4" s="1190">
        <f>H4+(I4*GWPs!$C$4)+(J4*GWPs!$C$5)</f>
        <v>0.24107647978436661</v>
      </c>
      <c r="N4" s="30" t="s">
        <v>4316</v>
      </c>
      <c r="O4" s="30" t="s">
        <v>4317</v>
      </c>
      <c r="P4" s="30" t="s">
        <v>4128</v>
      </c>
      <c r="Q4" s="30" t="s">
        <v>1459</v>
      </c>
      <c r="R4" s="30" t="s">
        <v>1459</v>
      </c>
      <c r="S4" s="30" t="s">
        <v>12</v>
      </c>
      <c r="T4" s="30">
        <v>0.67052</v>
      </c>
      <c r="U4" s="30">
        <v>3.1789999999999999E-2</v>
      </c>
    </row>
    <row r="5" spans="2:21">
      <c r="B5" s="30" t="s">
        <v>4315</v>
      </c>
      <c r="C5" s="30" t="s">
        <v>4030</v>
      </c>
      <c r="D5" s="30" t="s">
        <v>2569</v>
      </c>
      <c r="E5" s="30" t="s">
        <v>1459</v>
      </c>
      <c r="F5" s="30" t="s">
        <v>1459</v>
      </c>
      <c r="G5" s="30" t="s">
        <v>241</v>
      </c>
      <c r="H5" s="1363">
        <v>1.7429600000000001</v>
      </c>
      <c r="I5" s="1363">
        <v>5.1428571428571429E-5</v>
      </c>
      <c r="J5" s="1363">
        <v>3.4716981132075472E-6</v>
      </c>
      <c r="K5" s="30">
        <v>0.19764999999999999</v>
      </c>
      <c r="L5" s="1190">
        <f>H5+(I5*GWPs!$C$4)+(J5*GWPs!$C$5)</f>
        <v>1.7454403450134772</v>
      </c>
      <c r="N5" s="30" t="s">
        <v>4316</v>
      </c>
      <c r="O5" s="30" t="s">
        <v>4317</v>
      </c>
      <c r="P5" s="30" t="s">
        <v>4128</v>
      </c>
      <c r="Q5" s="30" t="s">
        <v>1459</v>
      </c>
      <c r="R5" s="30" t="s">
        <v>1459</v>
      </c>
      <c r="S5" s="30" t="s">
        <v>241</v>
      </c>
      <c r="T5" s="30">
        <v>0.53386</v>
      </c>
      <c r="U5" s="30">
        <v>2.5309999999999999E-2</v>
      </c>
    </row>
    <row r="6" spans="2:21">
      <c r="B6" s="30" t="s">
        <v>4315</v>
      </c>
      <c r="C6" s="30" t="s">
        <v>4030</v>
      </c>
      <c r="D6" s="30" t="s">
        <v>2569</v>
      </c>
      <c r="E6" s="30" t="s">
        <v>1459</v>
      </c>
      <c r="F6" s="30" t="s">
        <v>1459</v>
      </c>
      <c r="G6" s="30" t="s">
        <v>1607</v>
      </c>
      <c r="H6" s="1363">
        <v>3029.26</v>
      </c>
      <c r="I6" s="1363">
        <v>0.09</v>
      </c>
      <c r="J6" s="1363">
        <v>6.0402641509433967E-3</v>
      </c>
      <c r="K6" s="30">
        <v>344.30946999999998</v>
      </c>
      <c r="L6" s="1190">
        <f>H6+(I6*GWPs!$C$4)+(J6*GWPs!$C$5)</f>
        <v>3033.5909921132074</v>
      </c>
      <c r="N6" s="30" t="s">
        <v>4316</v>
      </c>
      <c r="O6" s="30" t="s">
        <v>4317</v>
      </c>
      <c r="P6" s="30" t="s">
        <v>4121</v>
      </c>
      <c r="Q6" s="30" t="s">
        <v>1459</v>
      </c>
      <c r="R6" s="30" t="s">
        <v>1459</v>
      </c>
      <c r="S6" s="30" t="s">
        <v>1718</v>
      </c>
      <c r="T6" s="30">
        <v>16.445</v>
      </c>
      <c r="U6" s="30">
        <v>1.03677</v>
      </c>
    </row>
    <row r="7" spans="2:21">
      <c r="B7" s="30" t="s">
        <v>4315</v>
      </c>
      <c r="C7" s="30" t="s">
        <v>4030</v>
      </c>
      <c r="D7" s="30" t="s">
        <v>254</v>
      </c>
      <c r="E7" s="30" t="s">
        <v>1459</v>
      </c>
      <c r="F7" s="30" t="s">
        <v>1459</v>
      </c>
      <c r="G7" s="30" t="s">
        <v>237</v>
      </c>
      <c r="H7" s="1363">
        <v>0.18259</v>
      </c>
      <c r="I7" s="1363">
        <v>9.9999999999999991E-6</v>
      </c>
      <c r="J7" s="1363">
        <v>3.3962264150943401E-7</v>
      </c>
      <c r="K7" s="30">
        <v>3.789E-2</v>
      </c>
      <c r="L7" s="1190">
        <f>H7+(I7*GWPs!$C$4)+(J7*GWPs!$C$5)</f>
        <v>0.18298071698113208</v>
      </c>
      <c r="N7" s="30" t="s">
        <v>4316</v>
      </c>
      <c r="O7" s="30" t="s">
        <v>4317</v>
      </c>
      <c r="P7" s="30" t="s">
        <v>4121</v>
      </c>
      <c r="Q7" s="30" t="s">
        <v>1459</v>
      </c>
      <c r="R7" s="30" t="s">
        <v>1459</v>
      </c>
      <c r="S7" s="30" t="s">
        <v>12</v>
      </c>
      <c r="T7" s="30">
        <v>0.72358</v>
      </c>
      <c r="U7" s="30">
        <v>4.5620000000000001E-2</v>
      </c>
    </row>
    <row r="8" spans="2:21">
      <c r="B8" s="30" t="s">
        <v>4315</v>
      </c>
      <c r="C8" s="30" t="s">
        <v>4030</v>
      </c>
      <c r="D8" s="30" t="s">
        <v>254</v>
      </c>
      <c r="E8" s="30" t="s">
        <v>1459</v>
      </c>
      <c r="F8" s="30" t="s">
        <v>1459</v>
      </c>
      <c r="G8" s="30" t="s">
        <v>1609</v>
      </c>
      <c r="H8" s="1363">
        <v>0.20229</v>
      </c>
      <c r="I8" s="1363">
        <v>1.1071428571428571E-5</v>
      </c>
      <c r="J8" s="1363">
        <v>3.7735849056603777E-7</v>
      </c>
      <c r="K8" s="30">
        <v>4.1980000000000003E-2</v>
      </c>
      <c r="L8" s="1190">
        <f>H8+(I8*GWPs!$C$4)+(J8*GWPs!$C$5)</f>
        <v>0.2027229474393531</v>
      </c>
      <c r="N8" s="30" t="s">
        <v>4316</v>
      </c>
      <c r="O8" s="30" t="s">
        <v>4317</v>
      </c>
      <c r="P8" s="30" t="s">
        <v>4121</v>
      </c>
      <c r="Q8" s="30" t="s">
        <v>1459</v>
      </c>
      <c r="R8" s="30" t="s">
        <v>1459</v>
      </c>
      <c r="S8" s="30" t="s">
        <v>241</v>
      </c>
      <c r="T8" s="30">
        <v>0.56438999999999995</v>
      </c>
      <c r="U8" s="30">
        <v>3.5580000000000001E-2</v>
      </c>
    </row>
    <row r="9" spans="2:21">
      <c r="B9" s="30" t="s">
        <v>4315</v>
      </c>
      <c r="C9" s="30" t="s">
        <v>4030</v>
      </c>
      <c r="D9" s="30" t="s">
        <v>254</v>
      </c>
      <c r="E9" s="30" t="s">
        <v>1459</v>
      </c>
      <c r="F9" s="30" t="s">
        <v>1459</v>
      </c>
      <c r="G9" s="30" t="s">
        <v>241</v>
      </c>
      <c r="H9" s="1363">
        <v>0.44982</v>
      </c>
      <c r="I9" s="1363">
        <v>2.3928571428571428E-5</v>
      </c>
      <c r="J9" s="1363">
        <v>7.5471698113207555E-7</v>
      </c>
      <c r="K9" s="30">
        <v>9.289E-2</v>
      </c>
      <c r="L9" s="1190">
        <f>H9+(I9*GWPs!$C$4)+(J9*GWPs!$C$5)</f>
        <v>0.45073910916442045</v>
      </c>
      <c r="N9" s="30" t="s">
        <v>4316</v>
      </c>
      <c r="O9" s="30" t="s">
        <v>4317</v>
      </c>
      <c r="P9" s="30" t="s">
        <v>4118</v>
      </c>
      <c r="Q9" s="30" t="s">
        <v>1459</v>
      </c>
      <c r="R9" s="30" t="s">
        <v>1459</v>
      </c>
      <c r="S9" s="30" t="s">
        <v>1718</v>
      </c>
      <c r="T9" s="30">
        <v>11.933</v>
      </c>
      <c r="U9" s="30">
        <v>5.0596100000000002</v>
      </c>
    </row>
    <row r="10" spans="2:21">
      <c r="B10" s="30" t="s">
        <v>4315</v>
      </c>
      <c r="C10" s="30" t="s">
        <v>4030</v>
      </c>
      <c r="D10" s="30" t="s">
        <v>254</v>
      </c>
      <c r="E10" s="30" t="s">
        <v>1459</v>
      </c>
      <c r="F10" s="30" t="s">
        <v>1459</v>
      </c>
      <c r="G10" s="30" t="s">
        <v>1607</v>
      </c>
      <c r="H10" s="1363">
        <v>2570.42</v>
      </c>
      <c r="I10" s="1363">
        <v>0.1376</v>
      </c>
      <c r="J10" s="1363">
        <v>4.4966415094339629E-3</v>
      </c>
      <c r="K10" s="30">
        <v>530.77886999999998</v>
      </c>
      <c r="L10" s="1190">
        <f>H10+(I10*GWPs!$C$4)+(J10*GWPs!$C$5)</f>
        <v>2575.7480631320755</v>
      </c>
      <c r="N10" s="30" t="s">
        <v>4316</v>
      </c>
      <c r="O10" s="30" t="s">
        <v>4317</v>
      </c>
      <c r="P10" s="30" t="s">
        <v>4118</v>
      </c>
      <c r="Q10" s="30" t="s">
        <v>1459</v>
      </c>
      <c r="R10" s="30" t="s">
        <v>1459</v>
      </c>
      <c r="S10" s="30" t="s">
        <v>12</v>
      </c>
      <c r="T10" s="30">
        <v>0.44391000000000003</v>
      </c>
      <c r="U10" s="30">
        <v>0.18822</v>
      </c>
    </row>
    <row r="11" spans="2:21">
      <c r="B11" s="30" t="s">
        <v>4315</v>
      </c>
      <c r="C11" s="30" t="s">
        <v>4030</v>
      </c>
      <c r="D11" s="30" t="s">
        <v>4031</v>
      </c>
      <c r="E11" s="30" t="s">
        <v>1459</v>
      </c>
      <c r="F11" s="30" t="s">
        <v>1459</v>
      </c>
      <c r="G11" s="30" t="s">
        <v>237</v>
      </c>
      <c r="H11" s="1363">
        <v>0.18457000000000001</v>
      </c>
      <c r="I11" s="1363">
        <v>9.9999999999999991E-6</v>
      </c>
      <c r="J11" s="1363">
        <v>3.3962264150943401E-7</v>
      </c>
      <c r="K11" s="30">
        <v>6.5119999999999997E-2</v>
      </c>
      <c r="L11" s="1190">
        <f>H11+(I11*GWPs!$C$4)+(J11*GWPs!$C$5)</f>
        <v>0.18496071698113209</v>
      </c>
      <c r="N11" s="30" t="s">
        <v>4316</v>
      </c>
      <c r="O11" s="30" t="s">
        <v>4317</v>
      </c>
      <c r="P11" s="30" t="s">
        <v>4118</v>
      </c>
      <c r="Q11" s="30" t="s">
        <v>1459</v>
      </c>
      <c r="R11" s="30" t="s">
        <v>1459</v>
      </c>
      <c r="S11" s="30" t="s">
        <v>241</v>
      </c>
      <c r="T11" s="30">
        <v>0.39507999999999999</v>
      </c>
      <c r="U11" s="30">
        <v>0.16750999999999999</v>
      </c>
    </row>
    <row r="12" spans="2:21">
      <c r="B12" s="30" t="s">
        <v>4315</v>
      </c>
      <c r="C12" s="30" t="s">
        <v>4030</v>
      </c>
      <c r="D12" s="30" t="s">
        <v>4031</v>
      </c>
      <c r="E12" s="30" t="s">
        <v>1459</v>
      </c>
      <c r="F12" s="30" t="s">
        <v>1459</v>
      </c>
      <c r="G12" s="30" t="s">
        <v>1609</v>
      </c>
      <c r="H12" s="1363">
        <v>0.20448</v>
      </c>
      <c r="I12" s="1363">
        <v>1.1071428571428571E-5</v>
      </c>
      <c r="J12" s="1363">
        <v>3.7735849056603777E-7</v>
      </c>
      <c r="K12" s="30">
        <v>7.2139999999999996E-2</v>
      </c>
      <c r="L12" s="1190">
        <f>H12+(I12*GWPs!$C$4)+(J12*GWPs!$C$5)</f>
        <v>0.20491294743935309</v>
      </c>
      <c r="N12" s="30" t="s">
        <v>4316</v>
      </c>
      <c r="O12" s="30" t="s">
        <v>4317</v>
      </c>
      <c r="P12" s="30" t="s">
        <v>4318</v>
      </c>
      <c r="Q12" s="30" t="s">
        <v>1459</v>
      </c>
      <c r="R12" s="30" t="s">
        <v>1459</v>
      </c>
      <c r="S12" s="30" t="s">
        <v>1718</v>
      </c>
      <c r="T12" s="30">
        <v>16.07836</v>
      </c>
      <c r="U12" s="30">
        <v>5.0596100000000002</v>
      </c>
    </row>
    <row r="13" spans="2:21">
      <c r="B13" s="30" t="s">
        <v>4315</v>
      </c>
      <c r="C13" s="30" t="s">
        <v>4030</v>
      </c>
      <c r="D13" s="30" t="s">
        <v>4031</v>
      </c>
      <c r="E13" s="30" t="s">
        <v>1459</v>
      </c>
      <c r="F13" s="30" t="s">
        <v>1459</v>
      </c>
      <c r="G13" s="30" t="s">
        <v>241</v>
      </c>
      <c r="H13" s="1363">
        <v>1.1756800000000001</v>
      </c>
      <c r="I13" s="1363">
        <v>6.2500000000000001E-5</v>
      </c>
      <c r="J13" s="1363">
        <v>2.0377358490566037E-6</v>
      </c>
      <c r="K13" s="30">
        <v>0.41277000000000003</v>
      </c>
      <c r="L13" s="1190">
        <f>H13+(I13*GWPs!$C$4)+(J13*GWPs!$C$5)</f>
        <v>1.1780988018867926</v>
      </c>
      <c r="N13" s="30" t="s">
        <v>4316</v>
      </c>
      <c r="O13" s="30" t="s">
        <v>4317</v>
      </c>
      <c r="P13" s="30" t="s">
        <v>4318</v>
      </c>
      <c r="Q13" s="30" t="s">
        <v>1459</v>
      </c>
      <c r="R13" s="30" t="s">
        <v>1459</v>
      </c>
      <c r="S13" s="30" t="s">
        <v>12</v>
      </c>
      <c r="T13" s="30">
        <v>0.59811999999999999</v>
      </c>
      <c r="U13" s="30">
        <v>0.18822</v>
      </c>
    </row>
    <row r="14" spans="2:21">
      <c r="B14" s="30" t="s">
        <v>4315</v>
      </c>
      <c r="C14" s="30" t="s">
        <v>4030</v>
      </c>
      <c r="D14" s="30" t="s">
        <v>4031</v>
      </c>
      <c r="E14" s="30" t="s">
        <v>1459</v>
      </c>
      <c r="F14" s="30" t="s">
        <v>1459</v>
      </c>
      <c r="G14" s="30" t="s">
        <v>1607</v>
      </c>
      <c r="H14" s="1363">
        <v>2598.2600000000002</v>
      </c>
      <c r="I14" s="1363">
        <v>0.1376</v>
      </c>
      <c r="J14" s="1363">
        <v>4.4966415094339629E-3</v>
      </c>
      <c r="K14" s="30">
        <v>912.22816999999998</v>
      </c>
      <c r="L14" s="1190">
        <f>H14+(I14*GWPs!$C$4)+(J14*GWPs!$C$5)</f>
        <v>2603.5880631320756</v>
      </c>
      <c r="N14" s="30" t="s">
        <v>4316</v>
      </c>
      <c r="O14" s="30" t="s">
        <v>4317</v>
      </c>
      <c r="P14" s="30" t="s">
        <v>4318</v>
      </c>
      <c r="Q14" s="30" t="s">
        <v>1459</v>
      </c>
      <c r="R14" s="30" t="s">
        <v>1459</v>
      </c>
      <c r="S14" s="30" t="s">
        <v>241</v>
      </c>
      <c r="T14" s="30">
        <v>0.53232000000000002</v>
      </c>
      <c r="U14" s="30">
        <v>0.16750999999999999</v>
      </c>
    </row>
    <row r="15" spans="2:21">
      <c r="B15" s="30" t="s">
        <v>4315</v>
      </c>
      <c r="C15" s="30" t="s">
        <v>4030</v>
      </c>
      <c r="D15" s="30" t="s">
        <v>247</v>
      </c>
      <c r="E15" s="30" t="s">
        <v>1459</v>
      </c>
      <c r="F15" s="30" t="s">
        <v>1459</v>
      </c>
      <c r="G15" s="30" t="s">
        <v>237</v>
      </c>
      <c r="H15" s="1363">
        <v>0.21418999999999999</v>
      </c>
      <c r="I15" s="1363">
        <v>6.7857142857142861E-6</v>
      </c>
      <c r="J15" s="1363">
        <v>4.5283018867924531E-7</v>
      </c>
      <c r="K15" s="30">
        <v>2.5479999999999999E-2</v>
      </c>
      <c r="L15" s="1190">
        <f>H15+(I15*GWPs!$C$4)+(J15*GWPs!$C$5)</f>
        <v>0.21451583692722373</v>
      </c>
      <c r="N15" s="30" t="s">
        <v>4316</v>
      </c>
      <c r="O15" s="30" t="s">
        <v>4317</v>
      </c>
      <c r="P15" s="30" t="s">
        <v>4120</v>
      </c>
      <c r="Q15" s="30" t="s">
        <v>1459</v>
      </c>
      <c r="R15" s="30" t="s">
        <v>1459</v>
      </c>
      <c r="S15" s="30" t="s">
        <v>1718</v>
      </c>
      <c r="T15" s="30">
        <v>10.674200000000001</v>
      </c>
      <c r="U15" s="30">
        <v>5.0596100000000002</v>
      </c>
    </row>
    <row r="16" spans="2:21">
      <c r="B16" s="30" t="s">
        <v>4315</v>
      </c>
      <c r="C16" s="30" t="s">
        <v>4030</v>
      </c>
      <c r="D16" s="30" t="s">
        <v>247</v>
      </c>
      <c r="E16" s="30" t="s">
        <v>1459</v>
      </c>
      <c r="F16" s="30" t="s">
        <v>1459</v>
      </c>
      <c r="G16" s="30" t="s">
        <v>1609</v>
      </c>
      <c r="H16" s="1363">
        <v>0.22999</v>
      </c>
      <c r="I16" s="1363">
        <v>7.1428571428571436E-6</v>
      </c>
      <c r="J16" s="1363">
        <v>4.5283018867924531E-7</v>
      </c>
      <c r="K16" s="30">
        <v>2.7359999999999999E-2</v>
      </c>
      <c r="L16" s="1190">
        <f>H16+(I16*GWPs!$C$4)+(J16*GWPs!$C$5)</f>
        <v>0.2303264797843666</v>
      </c>
      <c r="N16" s="30" t="s">
        <v>4316</v>
      </c>
      <c r="O16" s="30" t="s">
        <v>4317</v>
      </c>
      <c r="P16" s="30" t="s">
        <v>4120</v>
      </c>
      <c r="Q16" s="30" t="s">
        <v>1459</v>
      </c>
      <c r="R16" s="30" t="s">
        <v>1459</v>
      </c>
      <c r="S16" s="30" t="s">
        <v>12</v>
      </c>
      <c r="T16" s="30">
        <v>0.39707999999999999</v>
      </c>
      <c r="U16" s="30">
        <v>0.18822</v>
      </c>
    </row>
    <row r="17" spans="2:21">
      <c r="B17" s="30" t="s">
        <v>4315</v>
      </c>
      <c r="C17" s="30" t="s">
        <v>4030</v>
      </c>
      <c r="D17" s="30" t="s">
        <v>247</v>
      </c>
      <c r="E17" s="30" t="s">
        <v>1459</v>
      </c>
      <c r="F17" s="30" t="s">
        <v>1459</v>
      </c>
      <c r="G17" s="30" t="s">
        <v>241</v>
      </c>
      <c r="H17" s="1363">
        <v>1.55491</v>
      </c>
      <c r="I17" s="1363">
        <v>4.8571428571428576E-5</v>
      </c>
      <c r="J17" s="1363">
        <v>3.2452830188679243E-6</v>
      </c>
      <c r="K17" s="30">
        <v>0.18551000000000001</v>
      </c>
      <c r="L17" s="1190">
        <f>H17+(I17*GWPs!$C$4)+(J17*GWPs!$C$5)</f>
        <v>1.5572433908355796</v>
      </c>
      <c r="N17" s="30" t="s">
        <v>4316</v>
      </c>
      <c r="O17" s="30" t="s">
        <v>4317</v>
      </c>
      <c r="P17" s="30" t="s">
        <v>4120</v>
      </c>
      <c r="Q17" s="30" t="s">
        <v>1459</v>
      </c>
      <c r="R17" s="30" t="s">
        <v>1459</v>
      </c>
      <c r="S17" s="30" t="s">
        <v>241</v>
      </c>
      <c r="T17" s="30">
        <v>0.35339999999999999</v>
      </c>
      <c r="U17" s="30">
        <v>0.16750999999999999</v>
      </c>
    </row>
    <row r="18" spans="2:21">
      <c r="B18" s="30" t="s">
        <v>4315</v>
      </c>
      <c r="C18" s="30" t="s">
        <v>4030</v>
      </c>
      <c r="D18" s="30" t="s">
        <v>247</v>
      </c>
      <c r="E18" s="30" t="s">
        <v>1459</v>
      </c>
      <c r="F18" s="30" t="s">
        <v>1459</v>
      </c>
      <c r="G18" s="30" t="s">
        <v>1607</v>
      </c>
      <c r="H18" s="1363">
        <v>2935.18</v>
      </c>
      <c r="I18" s="1363">
        <v>9.1199999999999989E-2</v>
      </c>
      <c r="J18" s="1363">
        <v>6.1409433962264157E-3</v>
      </c>
      <c r="K18" s="30">
        <v>349.29282000000001</v>
      </c>
      <c r="L18" s="1190">
        <f>H18+(I18*GWPs!$C$4)+(J18*GWPs!$C$5)</f>
        <v>2939.5742375471696</v>
      </c>
      <c r="N18" s="30" t="s">
        <v>4316</v>
      </c>
      <c r="O18" s="30" t="s">
        <v>4317</v>
      </c>
      <c r="P18" s="30" t="s">
        <v>4117</v>
      </c>
      <c r="Q18" s="30" t="s">
        <v>1459</v>
      </c>
      <c r="R18" s="30" t="s">
        <v>1459</v>
      </c>
      <c r="S18" s="30" t="s">
        <v>1718</v>
      </c>
      <c r="T18" s="30">
        <v>28.908999999999999</v>
      </c>
      <c r="U18" s="30">
        <v>0.42338999999999999</v>
      </c>
    </row>
    <row r="19" spans="2:21">
      <c r="B19" s="30" t="s">
        <v>4315</v>
      </c>
      <c r="C19" s="30" t="s">
        <v>4030</v>
      </c>
      <c r="D19" s="30" t="s">
        <v>10</v>
      </c>
      <c r="E19" s="30" t="s">
        <v>1459</v>
      </c>
      <c r="F19" s="30" t="s">
        <v>1459</v>
      </c>
      <c r="G19" s="30" t="s">
        <v>253</v>
      </c>
      <c r="H19" s="1363">
        <v>2.0627</v>
      </c>
      <c r="I19" s="1363">
        <v>1.0964285714285713E-4</v>
      </c>
      <c r="J19" s="1363">
        <v>3.5849056603773586E-6</v>
      </c>
      <c r="K19" s="30">
        <v>0.33660000000000001</v>
      </c>
      <c r="L19" s="1190">
        <f>H19+(I19*GWPs!$C$4)+(J19*GWPs!$C$5)</f>
        <v>2.0669460363881402</v>
      </c>
      <c r="N19" s="30" t="s">
        <v>4316</v>
      </c>
      <c r="O19" s="30" t="s">
        <v>4317</v>
      </c>
      <c r="P19" s="30" t="s">
        <v>4117</v>
      </c>
      <c r="Q19" s="30" t="s">
        <v>1459</v>
      </c>
      <c r="R19" s="30" t="s">
        <v>1459</v>
      </c>
      <c r="S19" s="30" t="s">
        <v>12</v>
      </c>
      <c r="T19" s="30">
        <v>0.77476</v>
      </c>
      <c r="U19" s="30">
        <v>1.1350000000000001E-2</v>
      </c>
    </row>
    <row r="20" spans="2:21">
      <c r="B20" s="30" t="s">
        <v>4315</v>
      </c>
      <c r="C20" s="30" t="s">
        <v>4030</v>
      </c>
      <c r="D20" s="30" t="s">
        <v>10</v>
      </c>
      <c r="E20" s="30" t="s">
        <v>1459</v>
      </c>
      <c r="F20" s="30" t="s">
        <v>1459</v>
      </c>
      <c r="G20" s="30" t="s">
        <v>237</v>
      </c>
      <c r="H20" s="1363">
        <v>0.18259</v>
      </c>
      <c r="I20" s="1363">
        <v>9.9999999999999991E-6</v>
      </c>
      <c r="J20" s="1363">
        <v>3.3962264150943401E-7</v>
      </c>
      <c r="K20" s="30">
        <v>3.0210000000000001E-2</v>
      </c>
      <c r="L20" s="1190">
        <f>H20+(I20*GWPs!$C$4)+(J20*GWPs!$C$5)</f>
        <v>0.18298071698113208</v>
      </c>
      <c r="N20" s="30" t="s">
        <v>4316</v>
      </c>
      <c r="O20" s="30" t="s">
        <v>4317</v>
      </c>
      <c r="P20" s="30" t="s">
        <v>4117</v>
      </c>
      <c r="Q20" s="30" t="s">
        <v>1459</v>
      </c>
      <c r="R20" s="30" t="s">
        <v>1459</v>
      </c>
      <c r="S20" s="30" t="s">
        <v>241</v>
      </c>
      <c r="T20" s="30">
        <v>0.61516000000000004</v>
      </c>
      <c r="U20" s="30">
        <v>9.0100000000000006E-3</v>
      </c>
    </row>
    <row r="21" spans="2:21">
      <c r="B21" s="30" t="s">
        <v>4315</v>
      </c>
      <c r="C21" s="30" t="s">
        <v>4030</v>
      </c>
      <c r="D21" s="30" t="s">
        <v>10</v>
      </c>
      <c r="E21" s="30" t="s">
        <v>1459</v>
      </c>
      <c r="F21" s="30" t="s">
        <v>1459</v>
      </c>
      <c r="G21" s="30" t="s">
        <v>1609</v>
      </c>
      <c r="H21" s="1363">
        <v>0.20229</v>
      </c>
      <c r="I21" s="1363">
        <v>1.1071428571428571E-5</v>
      </c>
      <c r="J21" s="1363">
        <v>3.7735849056603777E-7</v>
      </c>
      <c r="K21" s="30">
        <v>3.347E-2</v>
      </c>
      <c r="L21" s="1190">
        <f>H21+(I21*GWPs!$C$4)+(J21*GWPs!$C$5)</f>
        <v>0.2027229474393531</v>
      </c>
      <c r="N21" s="30" t="s">
        <v>4316</v>
      </c>
      <c r="O21" s="30" t="s">
        <v>4317</v>
      </c>
      <c r="P21" s="30" t="s">
        <v>4119</v>
      </c>
      <c r="Q21" s="30" t="s">
        <v>1459</v>
      </c>
      <c r="R21" s="30" t="s">
        <v>1459</v>
      </c>
      <c r="S21" s="30" t="s">
        <v>1718</v>
      </c>
      <c r="T21" s="30">
        <v>15.797000000000001</v>
      </c>
      <c r="U21" s="30">
        <v>0.10625</v>
      </c>
    </row>
    <row r="22" spans="2:21">
      <c r="B22" s="30" t="s">
        <v>4315</v>
      </c>
      <c r="C22" s="30" t="s">
        <v>4030</v>
      </c>
      <c r="D22" s="30" t="s">
        <v>10</v>
      </c>
      <c r="E22" s="30" t="s">
        <v>1459</v>
      </c>
      <c r="F22" s="30" t="s">
        <v>1459</v>
      </c>
      <c r="G22" s="30" t="s">
        <v>1607</v>
      </c>
      <c r="H22" s="1363">
        <v>2570.42</v>
      </c>
      <c r="I22" s="1363">
        <v>0.1376</v>
      </c>
      <c r="J22" s="1363">
        <v>4.4966415094339629E-3</v>
      </c>
      <c r="K22" s="30">
        <v>423.16368</v>
      </c>
      <c r="L22" s="1190">
        <f>H22+(I22*GWPs!$C$4)+(J22*GWPs!$C$5)</f>
        <v>2575.7480631320755</v>
      </c>
      <c r="N22" s="30" t="s">
        <v>4316</v>
      </c>
      <c r="O22" s="30" t="s">
        <v>4317</v>
      </c>
      <c r="P22" s="30" t="s">
        <v>4119</v>
      </c>
      <c r="Q22" s="30" t="s">
        <v>1459</v>
      </c>
      <c r="R22" s="30" t="s">
        <v>1459</v>
      </c>
      <c r="S22" s="30" t="s">
        <v>12</v>
      </c>
      <c r="T22" s="30">
        <v>0.77405000000000002</v>
      </c>
      <c r="U22" s="30">
        <v>5.2100000000000002E-3</v>
      </c>
    </row>
    <row r="23" spans="2:21">
      <c r="B23" s="30" t="s">
        <v>4315</v>
      </c>
      <c r="C23" s="30" t="s">
        <v>4030</v>
      </c>
      <c r="D23" s="30" t="s">
        <v>4032</v>
      </c>
      <c r="E23" s="30" t="s">
        <v>1459</v>
      </c>
      <c r="F23" s="30" t="s">
        <v>1459</v>
      </c>
      <c r="G23" s="30" t="s">
        <v>253</v>
      </c>
      <c r="H23" s="1363">
        <v>2.0850399999999998</v>
      </c>
      <c r="I23" s="1363">
        <v>1.0964285714285713E-4</v>
      </c>
      <c r="J23" s="1363">
        <v>3.5849056603773586E-6</v>
      </c>
      <c r="K23" s="30">
        <v>0.33660000000000001</v>
      </c>
      <c r="L23" s="1190">
        <f>H23+(I23*GWPs!$C$4)+(J23*GWPs!$C$5)</f>
        <v>2.08928603638814</v>
      </c>
      <c r="N23" s="30" t="s">
        <v>4316</v>
      </c>
      <c r="O23" s="30" t="s">
        <v>4317</v>
      </c>
      <c r="P23" s="30" t="s">
        <v>4119</v>
      </c>
      <c r="Q23" s="30" t="s">
        <v>1459</v>
      </c>
      <c r="R23" s="30" t="s">
        <v>1459</v>
      </c>
      <c r="S23" s="30" t="s">
        <v>241</v>
      </c>
      <c r="T23" s="30">
        <v>0</v>
      </c>
      <c r="U23" s="30">
        <v>0</v>
      </c>
    </row>
    <row r="24" spans="2:21">
      <c r="B24" s="30" t="s">
        <v>4315</v>
      </c>
      <c r="C24" s="30" t="s">
        <v>4030</v>
      </c>
      <c r="D24" s="30" t="s">
        <v>4032</v>
      </c>
      <c r="E24" s="30" t="s">
        <v>1459</v>
      </c>
      <c r="F24" s="30" t="s">
        <v>1459</v>
      </c>
      <c r="G24" s="30" t="s">
        <v>237</v>
      </c>
      <c r="H24" s="1363">
        <v>0.18457000000000001</v>
      </c>
      <c r="I24" s="1363">
        <v>9.9999999999999991E-6</v>
      </c>
      <c r="J24" s="1363">
        <v>3.3962264150943401E-7</v>
      </c>
      <c r="K24" s="30">
        <v>3.0210000000000001E-2</v>
      </c>
      <c r="L24" s="1190">
        <f>H24+(I24*GWPs!$C$4)+(J24*GWPs!$C$5)</f>
        <v>0.18496071698113209</v>
      </c>
      <c r="N24" s="30" t="s">
        <v>4316</v>
      </c>
      <c r="O24" s="30" t="s">
        <v>4317</v>
      </c>
      <c r="P24" s="30" t="s">
        <v>4126</v>
      </c>
      <c r="Q24" s="30" t="s">
        <v>1459</v>
      </c>
      <c r="R24" s="30" t="s">
        <v>1459</v>
      </c>
      <c r="S24" s="30" t="s">
        <v>1718</v>
      </c>
      <c r="T24" s="30">
        <v>23.902999999999999</v>
      </c>
      <c r="U24" s="30">
        <v>0.10625</v>
      </c>
    </row>
    <row r="25" spans="2:21">
      <c r="B25" s="30" t="s">
        <v>4315</v>
      </c>
      <c r="C25" s="30" t="s">
        <v>4030</v>
      </c>
      <c r="D25" s="30" t="s">
        <v>4032</v>
      </c>
      <c r="E25" s="30" t="s">
        <v>1459</v>
      </c>
      <c r="F25" s="30" t="s">
        <v>1459</v>
      </c>
      <c r="G25" s="30" t="s">
        <v>1609</v>
      </c>
      <c r="H25" s="1363">
        <v>0.20448</v>
      </c>
      <c r="I25" s="1363">
        <v>1.1071428571428571E-5</v>
      </c>
      <c r="J25" s="1363">
        <v>3.7735849056603777E-7</v>
      </c>
      <c r="K25" s="30">
        <v>3.347E-2</v>
      </c>
      <c r="L25" s="1190">
        <f>H25+(I25*GWPs!$C$4)+(J25*GWPs!$C$5)</f>
        <v>0.20491294743935309</v>
      </c>
      <c r="N25" s="30" t="s">
        <v>4316</v>
      </c>
      <c r="O25" s="30" t="s">
        <v>4317</v>
      </c>
      <c r="P25" s="30" t="s">
        <v>4126</v>
      </c>
      <c r="Q25" s="30" t="s">
        <v>1459</v>
      </c>
      <c r="R25" s="30" t="s">
        <v>1459</v>
      </c>
      <c r="S25" s="30" t="s">
        <v>12</v>
      </c>
      <c r="T25" s="30">
        <v>1.1712499999999999</v>
      </c>
      <c r="U25" s="30">
        <v>5.2100000000000002E-3</v>
      </c>
    </row>
    <row r="26" spans="2:21">
      <c r="B26" s="30" t="s">
        <v>4315</v>
      </c>
      <c r="C26" s="30" t="s">
        <v>4030</v>
      </c>
      <c r="D26" s="30" t="s">
        <v>4032</v>
      </c>
      <c r="E26" s="30" t="s">
        <v>1459</v>
      </c>
      <c r="F26" s="30" t="s">
        <v>1459</v>
      </c>
      <c r="G26" s="30" t="s">
        <v>1607</v>
      </c>
      <c r="H26" s="1363">
        <v>2598.2600000000002</v>
      </c>
      <c r="I26" s="1363">
        <v>0.1376</v>
      </c>
      <c r="J26" s="1363">
        <v>4.4966415094339629E-3</v>
      </c>
      <c r="K26" s="30">
        <v>423.16368</v>
      </c>
      <c r="L26" s="1190">
        <f>H26+(I26*GWPs!$C$4)+(J26*GWPs!$C$5)</f>
        <v>2603.5880631320756</v>
      </c>
      <c r="N26" s="30" t="s">
        <v>4316</v>
      </c>
      <c r="O26" s="30" t="s">
        <v>4317</v>
      </c>
      <c r="P26" s="30" t="s">
        <v>4126</v>
      </c>
      <c r="Q26" s="30" t="s">
        <v>1459</v>
      </c>
      <c r="R26" s="30" t="s">
        <v>1459</v>
      </c>
      <c r="S26" s="30" t="s">
        <v>241</v>
      </c>
      <c r="T26" s="30">
        <v>0</v>
      </c>
      <c r="U26" s="30">
        <v>0</v>
      </c>
    </row>
    <row r="27" spans="2:21">
      <c r="B27" s="30" t="s">
        <v>4315</v>
      </c>
      <c r="C27" s="30" t="s">
        <v>4030</v>
      </c>
      <c r="D27" s="30" t="s">
        <v>4033</v>
      </c>
      <c r="E27" s="30" t="s">
        <v>1459</v>
      </c>
      <c r="F27" s="30" t="s">
        <v>1459</v>
      </c>
      <c r="G27" s="30" t="s">
        <v>237</v>
      </c>
      <c r="H27" s="1363">
        <v>0.18304999999999999</v>
      </c>
      <c r="I27" s="1363">
        <v>3.2142857142857143E-6</v>
      </c>
      <c r="J27" s="1363">
        <v>3.3962264150943401E-7</v>
      </c>
      <c r="K27" s="30">
        <v>2.1530000000000001E-2</v>
      </c>
      <c r="L27" s="1190">
        <f>H27+(I27*GWPs!$C$4)+(J27*GWPs!$C$5)</f>
        <v>0.18323850269541778</v>
      </c>
      <c r="N27" s="30" t="s">
        <v>4316</v>
      </c>
      <c r="O27" s="30" t="s">
        <v>4317</v>
      </c>
      <c r="P27" s="30" t="s">
        <v>4122</v>
      </c>
      <c r="Q27" s="30" t="s">
        <v>1459</v>
      </c>
      <c r="R27" s="30" t="s">
        <v>1459</v>
      </c>
      <c r="S27" s="30" t="s">
        <v>1718</v>
      </c>
      <c r="T27" s="30">
        <v>6.6130000000000004</v>
      </c>
      <c r="U27" s="30">
        <v>8.9520000000000002E-2</v>
      </c>
    </row>
    <row r="28" spans="2:21">
      <c r="B28" s="30" t="s">
        <v>4315</v>
      </c>
      <c r="C28" s="30" t="s">
        <v>4030</v>
      </c>
      <c r="D28" s="30" t="s">
        <v>4033</v>
      </c>
      <c r="E28" s="30" t="s">
        <v>1459</v>
      </c>
      <c r="F28" s="30" t="s">
        <v>1459</v>
      </c>
      <c r="G28" s="30" t="s">
        <v>1609</v>
      </c>
      <c r="H28" s="1363">
        <v>0.19897000000000001</v>
      </c>
      <c r="I28" s="1363">
        <v>3.5714285714285718E-6</v>
      </c>
      <c r="J28" s="1363">
        <v>3.7735849056603777E-7</v>
      </c>
      <c r="K28" s="30">
        <v>2.3400000000000001E-2</v>
      </c>
      <c r="L28" s="1190">
        <f>H28+(I28*GWPs!$C$4)+(J28*GWPs!$C$5)</f>
        <v>0.19917944743935309</v>
      </c>
      <c r="N28" s="30" t="s">
        <v>4316</v>
      </c>
      <c r="O28" s="30" t="s">
        <v>4317</v>
      </c>
      <c r="P28" s="30" t="s">
        <v>4122</v>
      </c>
      <c r="Q28" s="30" t="s">
        <v>1459</v>
      </c>
      <c r="R28" s="30" t="s">
        <v>1459</v>
      </c>
      <c r="S28" s="30" t="s">
        <v>12</v>
      </c>
      <c r="T28" s="30">
        <v>0.30684</v>
      </c>
      <c r="U28" s="30">
        <v>4.15E-3</v>
      </c>
    </row>
    <row r="29" spans="2:21">
      <c r="B29" s="30" t="s">
        <v>4315</v>
      </c>
      <c r="C29" s="30" t="s">
        <v>4030</v>
      </c>
      <c r="D29" s="30" t="s">
        <v>4033</v>
      </c>
      <c r="E29" s="30" t="s">
        <v>1459</v>
      </c>
      <c r="F29" s="30" t="s">
        <v>1459</v>
      </c>
      <c r="G29" s="30" t="s">
        <v>241</v>
      </c>
      <c r="H29" s="1363">
        <v>0.94347999999999999</v>
      </c>
      <c r="I29" s="1363">
        <v>1.7142857142857142E-5</v>
      </c>
      <c r="J29" s="1363">
        <v>1.6981132075471698E-6</v>
      </c>
      <c r="K29" s="30">
        <v>0.11097</v>
      </c>
      <c r="L29" s="1190">
        <f>H29+(I29*GWPs!$C$4)+(J29*GWPs!$C$5)</f>
        <v>0.94445444204851747</v>
      </c>
      <c r="N29" s="30" t="s">
        <v>4316</v>
      </c>
      <c r="O29" s="30" t="s">
        <v>4317</v>
      </c>
      <c r="P29" s="30" t="s">
        <v>4122</v>
      </c>
      <c r="Q29" s="30" t="s">
        <v>1459</v>
      </c>
      <c r="R29" s="30" t="s">
        <v>1459</v>
      </c>
      <c r="S29" s="30" t="s">
        <v>241</v>
      </c>
      <c r="T29" s="30">
        <v>0.15751999999999999</v>
      </c>
      <c r="U29" s="30">
        <v>2.1299999999999999E-3</v>
      </c>
    </row>
    <row r="30" spans="2:21">
      <c r="B30" s="30" t="s">
        <v>4315</v>
      </c>
      <c r="C30" s="30" t="s">
        <v>4030</v>
      </c>
      <c r="D30" s="30" t="s">
        <v>4033</v>
      </c>
      <c r="E30" s="30" t="s">
        <v>1459</v>
      </c>
      <c r="F30" s="30" t="s">
        <v>1459</v>
      </c>
      <c r="G30" s="30" t="s">
        <v>1607</v>
      </c>
      <c r="H30" s="1363">
        <v>2575.6999999999998</v>
      </c>
      <c r="I30" s="1363">
        <v>4.6800000000000001E-2</v>
      </c>
      <c r="J30" s="1363">
        <v>4.6644150943396228E-3</v>
      </c>
      <c r="K30" s="30">
        <v>302.95197000000002</v>
      </c>
      <c r="L30" s="1190">
        <f>H30+(I30*GWPs!$C$4)+(J30*GWPs!$C$5)</f>
        <v>2578.3680253207544</v>
      </c>
      <c r="N30" s="30" t="s">
        <v>4316</v>
      </c>
      <c r="O30" s="30" t="s">
        <v>4317</v>
      </c>
      <c r="P30" s="30" t="s">
        <v>4123</v>
      </c>
      <c r="Q30" s="30" t="s">
        <v>1459</v>
      </c>
      <c r="R30" s="30" t="s">
        <v>1459</v>
      </c>
      <c r="S30" s="30" t="s">
        <v>1718</v>
      </c>
      <c r="T30" s="30">
        <v>23.32</v>
      </c>
      <c r="U30" s="30">
        <v>1.03677</v>
      </c>
    </row>
    <row r="31" spans="2:21">
      <c r="B31" s="30" t="s">
        <v>4315</v>
      </c>
      <c r="C31" s="30" t="s">
        <v>4030</v>
      </c>
      <c r="D31" s="30" t="s">
        <v>41</v>
      </c>
      <c r="E31" s="30" t="s">
        <v>1459</v>
      </c>
      <c r="F31" s="30" t="s">
        <v>1459</v>
      </c>
      <c r="G31" s="30" t="s">
        <v>237</v>
      </c>
      <c r="H31" s="1363">
        <v>0.21381</v>
      </c>
      <c r="I31" s="1363">
        <v>6.4285714285714286E-6</v>
      </c>
      <c r="J31" s="1363">
        <v>4.5283018867924531E-7</v>
      </c>
      <c r="K31" s="30">
        <v>2.5190000000000001E-2</v>
      </c>
      <c r="L31" s="1190">
        <f>H31+(I31*GWPs!$C$4)+(J31*GWPs!$C$5)</f>
        <v>0.21412519407008088</v>
      </c>
      <c r="N31" s="30" t="s">
        <v>4316</v>
      </c>
      <c r="O31" s="30" t="s">
        <v>4317</v>
      </c>
      <c r="P31" s="30" t="s">
        <v>4123</v>
      </c>
      <c r="Q31" s="30" t="s">
        <v>1459</v>
      </c>
      <c r="R31" s="30" t="s">
        <v>1459</v>
      </c>
      <c r="S31" s="30" t="s">
        <v>12</v>
      </c>
      <c r="T31" s="30">
        <v>1.0034000000000001</v>
      </c>
      <c r="U31" s="30">
        <v>4.4609999999999997E-2</v>
      </c>
    </row>
    <row r="32" spans="2:21">
      <c r="B32" s="30" t="s">
        <v>4315</v>
      </c>
      <c r="C32" s="30" t="s">
        <v>4030</v>
      </c>
      <c r="D32" s="30" t="s">
        <v>41</v>
      </c>
      <c r="E32" s="30" t="s">
        <v>1459</v>
      </c>
      <c r="F32" s="30" t="s">
        <v>1459</v>
      </c>
      <c r="G32" s="30" t="s">
        <v>1609</v>
      </c>
      <c r="H32" s="1363">
        <v>0.23225000000000001</v>
      </c>
      <c r="I32" s="1363">
        <v>7.1428571428571436E-6</v>
      </c>
      <c r="J32" s="1363">
        <v>4.5283018867924531E-7</v>
      </c>
      <c r="K32" s="30">
        <v>2.7359999999999999E-2</v>
      </c>
      <c r="L32" s="1190">
        <f>H32+(I32*GWPs!$C$4)+(J32*GWPs!$C$5)</f>
        <v>0.23258647978436661</v>
      </c>
      <c r="N32" s="30" t="s">
        <v>4316</v>
      </c>
      <c r="O32" s="30" t="s">
        <v>4317</v>
      </c>
      <c r="P32" s="30" t="s">
        <v>4123</v>
      </c>
      <c r="Q32" s="30" t="s">
        <v>1459</v>
      </c>
      <c r="R32" s="30" t="s">
        <v>1459</v>
      </c>
      <c r="S32" s="30" t="s">
        <v>241</v>
      </c>
      <c r="T32" s="30">
        <v>0.83338000000000001</v>
      </c>
      <c r="U32" s="30">
        <v>3.705E-2</v>
      </c>
    </row>
    <row r="33" spans="2:21">
      <c r="B33" s="30" t="s">
        <v>4315</v>
      </c>
      <c r="C33" s="30" t="s">
        <v>4030</v>
      </c>
      <c r="D33" s="30" t="s">
        <v>41</v>
      </c>
      <c r="E33" s="30" t="s">
        <v>1459</v>
      </c>
      <c r="F33" s="30" t="s">
        <v>1459</v>
      </c>
      <c r="G33" s="30" t="s">
        <v>241</v>
      </c>
      <c r="H33" s="1363">
        <v>1.5414000000000001</v>
      </c>
      <c r="I33" s="1363">
        <v>4.7500000000000003E-5</v>
      </c>
      <c r="J33" s="1363">
        <v>3.1698113207547171E-6</v>
      </c>
      <c r="K33" s="30">
        <v>0.1817</v>
      </c>
      <c r="L33" s="1190">
        <f>H33+(I33*GWPs!$C$4)+(J33*GWPs!$C$5)</f>
        <v>1.5436808584905661</v>
      </c>
      <c r="N33" s="30" t="s">
        <v>4316</v>
      </c>
      <c r="O33" s="30" t="s">
        <v>4317</v>
      </c>
      <c r="P33" s="30" t="s">
        <v>4124</v>
      </c>
      <c r="Q33" s="30" t="s">
        <v>1459</v>
      </c>
      <c r="R33" s="30" t="s">
        <v>1459</v>
      </c>
      <c r="S33" s="30" t="s">
        <v>1718</v>
      </c>
      <c r="T33" s="30">
        <v>23.097000000000001</v>
      </c>
      <c r="U33" s="30">
        <v>0.42338999999999999</v>
      </c>
    </row>
    <row r="34" spans="2:21">
      <c r="B34" s="30" t="s">
        <v>4315</v>
      </c>
      <c r="C34" s="30" t="s">
        <v>4030</v>
      </c>
      <c r="D34" s="30" t="s">
        <v>41</v>
      </c>
      <c r="E34" s="30" t="s">
        <v>1459</v>
      </c>
      <c r="F34" s="30" t="s">
        <v>1459</v>
      </c>
      <c r="G34" s="30" t="s">
        <v>1607</v>
      </c>
      <c r="H34" s="1363">
        <v>2993.4</v>
      </c>
      <c r="I34" s="1363">
        <v>9.240000000000001E-2</v>
      </c>
      <c r="J34" s="1363">
        <v>6.2080377358490566E-3</v>
      </c>
      <c r="K34" s="30">
        <v>352.67018000000002</v>
      </c>
      <c r="L34" s="1190">
        <f>H34+(I34*GWPs!$C$4)+(J34*GWPs!$C$5)</f>
        <v>2997.8483143018871</v>
      </c>
      <c r="N34" s="30" t="s">
        <v>4316</v>
      </c>
      <c r="O34" s="30" t="s">
        <v>4317</v>
      </c>
      <c r="P34" s="30" t="s">
        <v>4124</v>
      </c>
      <c r="Q34" s="30" t="s">
        <v>1459</v>
      </c>
      <c r="R34" s="30" t="s">
        <v>1459</v>
      </c>
      <c r="S34" s="30" t="s">
        <v>12</v>
      </c>
      <c r="T34" s="30">
        <v>1.03129</v>
      </c>
      <c r="U34" s="30">
        <v>1.89E-2</v>
      </c>
    </row>
    <row r="35" spans="2:21">
      <c r="B35" s="30" t="s">
        <v>4315</v>
      </c>
      <c r="C35" s="30" t="s">
        <v>4034</v>
      </c>
      <c r="D35" s="30" t="s">
        <v>240</v>
      </c>
      <c r="E35" s="30" t="s">
        <v>1459</v>
      </c>
      <c r="F35" s="30" t="s">
        <v>1459</v>
      </c>
      <c r="G35" s="30" t="s">
        <v>237</v>
      </c>
      <c r="H35" s="1363">
        <v>0.23877999999999999</v>
      </c>
      <c r="I35" s="1363">
        <v>1.075E-4</v>
      </c>
      <c r="J35" s="1363">
        <v>7.6603773584905665E-6</v>
      </c>
      <c r="K35" s="30">
        <v>6.2530000000000002E-2</v>
      </c>
      <c r="L35" s="1190">
        <f>H35+(I35*GWPs!$C$4)+(J35*GWPs!$C$5)</f>
        <v>0.24407478301886792</v>
      </c>
      <c r="N35" s="30" t="s">
        <v>4316</v>
      </c>
      <c r="O35" s="30" t="s">
        <v>4317</v>
      </c>
      <c r="P35" s="30" t="s">
        <v>4124</v>
      </c>
      <c r="Q35" s="30" t="s">
        <v>1459</v>
      </c>
      <c r="R35" s="30" t="s">
        <v>1459</v>
      </c>
      <c r="S35" s="30" t="s">
        <v>241</v>
      </c>
      <c r="T35" s="30">
        <v>0.76505000000000001</v>
      </c>
      <c r="U35" s="30">
        <v>1.4019999999999999E-2</v>
      </c>
    </row>
    <row r="36" spans="2:21">
      <c r="B36" s="30" t="s">
        <v>4315</v>
      </c>
      <c r="C36" s="30" t="s">
        <v>4034</v>
      </c>
      <c r="D36" s="30" t="s">
        <v>240</v>
      </c>
      <c r="E36" s="30" t="s">
        <v>1459</v>
      </c>
      <c r="F36" s="30" t="s">
        <v>1459</v>
      </c>
      <c r="G36" s="30" t="s">
        <v>1609</v>
      </c>
      <c r="H36" s="1363">
        <v>0.25135000000000002</v>
      </c>
      <c r="I36" s="1363">
        <v>1.1357142857142858E-4</v>
      </c>
      <c r="J36" s="1363">
        <v>8.0377358490566039E-6</v>
      </c>
      <c r="K36" s="30">
        <v>6.5820000000000004E-2</v>
      </c>
      <c r="L36" s="1190">
        <f>H36+(I36*GWPs!$C$4)+(J36*GWPs!$C$5)</f>
        <v>0.25692873045822101</v>
      </c>
      <c r="N36" s="30" t="s">
        <v>4316</v>
      </c>
      <c r="O36" s="30" t="s">
        <v>4317</v>
      </c>
      <c r="P36" s="30" t="s">
        <v>4127</v>
      </c>
      <c r="Q36" s="30" t="s">
        <v>1459</v>
      </c>
      <c r="R36" s="30" t="s">
        <v>1459</v>
      </c>
      <c r="S36" s="30" t="s">
        <v>1718</v>
      </c>
      <c r="T36" s="30">
        <v>37.597000000000001</v>
      </c>
      <c r="U36" s="30">
        <v>0.42338999999999999</v>
      </c>
    </row>
    <row r="37" spans="2:21">
      <c r="B37" s="30" t="s">
        <v>4315</v>
      </c>
      <c r="C37" s="30" t="s">
        <v>4034</v>
      </c>
      <c r="D37" s="30" t="s">
        <v>240</v>
      </c>
      <c r="E37" s="30" t="s">
        <v>1459</v>
      </c>
      <c r="F37" s="30" t="s">
        <v>1459</v>
      </c>
      <c r="G37" s="30" t="s">
        <v>241</v>
      </c>
      <c r="H37" s="1363">
        <v>2.2829700000000002</v>
      </c>
      <c r="I37" s="1363">
        <v>1.030357142857143E-3</v>
      </c>
      <c r="J37" s="1363">
        <v>7.2981132075471692E-5</v>
      </c>
      <c r="K37" s="30">
        <v>0.61424999999999996</v>
      </c>
      <c r="L37" s="1190">
        <f>H37+(I37*GWPs!$C$4)+(J37*GWPs!$C$5)</f>
        <v>2.3335984919137465</v>
      </c>
      <c r="N37" s="30" t="s">
        <v>4316</v>
      </c>
      <c r="O37" s="30" t="s">
        <v>4317</v>
      </c>
      <c r="P37" s="30" t="s">
        <v>4127</v>
      </c>
      <c r="Q37" s="30" t="s">
        <v>1459</v>
      </c>
      <c r="R37" s="30" t="s">
        <v>1459</v>
      </c>
      <c r="S37" s="30" t="s">
        <v>12</v>
      </c>
      <c r="T37" s="30">
        <v>0.74922999999999995</v>
      </c>
      <c r="U37" s="30">
        <v>8.4399999999999996E-3</v>
      </c>
    </row>
    <row r="38" spans="2:21">
      <c r="B38" s="30" t="s">
        <v>4315</v>
      </c>
      <c r="C38" s="30" t="s">
        <v>4034</v>
      </c>
      <c r="D38" s="30" t="s">
        <v>240</v>
      </c>
      <c r="E38" s="30" t="s">
        <v>1459</v>
      </c>
      <c r="F38" s="30" t="s">
        <v>1459</v>
      </c>
      <c r="G38" s="30" t="s">
        <v>1607</v>
      </c>
      <c r="H38" s="1363">
        <v>3127.67</v>
      </c>
      <c r="I38" s="1363">
        <v>1.4116</v>
      </c>
      <c r="J38" s="1363">
        <v>0.1</v>
      </c>
      <c r="K38" s="30">
        <v>813.26356999999996</v>
      </c>
      <c r="L38" s="1190">
        <f>H38+(I38*GWPs!$C$4)+(J38*GWPs!$C$5)</f>
        <v>3197.0356800000004</v>
      </c>
      <c r="N38" s="30" t="s">
        <v>4316</v>
      </c>
      <c r="O38" s="30" t="s">
        <v>4317</v>
      </c>
      <c r="P38" s="30" t="s">
        <v>4127</v>
      </c>
      <c r="Q38" s="30" t="s">
        <v>1459</v>
      </c>
      <c r="R38" s="30" t="s">
        <v>1459</v>
      </c>
      <c r="S38" s="30" t="s">
        <v>241</v>
      </c>
      <c r="T38" s="30">
        <v>0.59414</v>
      </c>
      <c r="U38" s="30">
        <v>6.6899999999999998E-3</v>
      </c>
    </row>
    <row r="39" spans="2:21">
      <c r="B39" s="30" t="s">
        <v>4315</v>
      </c>
      <c r="C39" s="30" t="s">
        <v>4034</v>
      </c>
      <c r="D39" s="30" t="s">
        <v>243</v>
      </c>
      <c r="E39" s="30" t="s">
        <v>1459</v>
      </c>
      <c r="F39" s="30" t="s">
        <v>1459</v>
      </c>
      <c r="G39" s="30" t="s">
        <v>237</v>
      </c>
      <c r="H39" s="1363">
        <v>0.24535000000000001</v>
      </c>
      <c r="I39" s="1363">
        <v>6.071428571428572E-6</v>
      </c>
      <c r="J39" s="1363">
        <v>7.7735849056603776E-6</v>
      </c>
      <c r="K39" s="30">
        <v>5.1529999999999999E-2</v>
      </c>
      <c r="L39" s="1190">
        <f>H39+(I39*GWPs!$C$4)+(J39*GWPs!$C$5)</f>
        <v>0.24765311725067388</v>
      </c>
      <c r="N39" s="30" t="s">
        <v>4316</v>
      </c>
      <c r="O39" s="30" t="s">
        <v>4317</v>
      </c>
      <c r="P39" s="30" t="s">
        <v>4125</v>
      </c>
      <c r="Q39" s="30" t="s">
        <v>1459</v>
      </c>
      <c r="R39" s="30" t="s">
        <v>1459</v>
      </c>
      <c r="S39" s="30" t="s">
        <v>1718</v>
      </c>
      <c r="T39" s="30">
        <v>11.933</v>
      </c>
      <c r="U39" s="30">
        <v>5.0596100000000002</v>
      </c>
    </row>
    <row r="40" spans="2:21">
      <c r="B40" s="30" t="s">
        <v>4315</v>
      </c>
      <c r="C40" s="30" t="s">
        <v>4034</v>
      </c>
      <c r="D40" s="30" t="s">
        <v>243</v>
      </c>
      <c r="E40" s="30" t="s">
        <v>1459</v>
      </c>
      <c r="F40" s="30" t="s">
        <v>1459</v>
      </c>
      <c r="G40" s="30" t="s">
        <v>1609</v>
      </c>
      <c r="H40" s="1363">
        <v>0.25825999999999999</v>
      </c>
      <c r="I40" s="1363">
        <v>6.4285714285714286E-6</v>
      </c>
      <c r="J40" s="1363">
        <v>8.1886792452830192E-6</v>
      </c>
      <c r="K40" s="30">
        <v>5.4239999999999997E-2</v>
      </c>
      <c r="L40" s="1190">
        <f>H40+(I40*GWPs!$C$4)+(J40*GWPs!$C$5)</f>
        <v>0.26068708086253367</v>
      </c>
      <c r="N40" s="30" t="s">
        <v>4316</v>
      </c>
      <c r="O40" s="30" t="s">
        <v>4317</v>
      </c>
      <c r="P40" s="30" t="s">
        <v>4125</v>
      </c>
      <c r="Q40" s="30" t="s">
        <v>1459</v>
      </c>
      <c r="R40" s="30" t="s">
        <v>1459</v>
      </c>
      <c r="S40" s="30" t="s">
        <v>12</v>
      </c>
      <c r="T40" s="30">
        <v>0.44391000000000003</v>
      </c>
      <c r="U40" s="30">
        <v>0.18822</v>
      </c>
    </row>
    <row r="41" spans="2:21">
      <c r="B41" s="30" t="s">
        <v>4315</v>
      </c>
      <c r="C41" s="30" t="s">
        <v>4034</v>
      </c>
      <c r="D41" s="30" t="s">
        <v>243</v>
      </c>
      <c r="E41" s="30" t="s">
        <v>1459</v>
      </c>
      <c r="F41" s="30" t="s">
        <v>1459</v>
      </c>
      <c r="G41" s="30" t="s">
        <v>241</v>
      </c>
      <c r="H41" s="1363">
        <v>2.51973</v>
      </c>
      <c r="I41" s="1363">
        <v>6.2857142857142861E-5</v>
      </c>
      <c r="J41" s="1363">
        <v>8.0000000000000007E-5</v>
      </c>
      <c r="K41" s="30">
        <v>0.52817000000000003</v>
      </c>
      <c r="L41" s="1190">
        <f>H41+(I41*GWPs!$C$4)+(J41*GWPs!$C$5)</f>
        <v>2.5434431428571429</v>
      </c>
      <c r="N41" s="30" t="s">
        <v>4316</v>
      </c>
      <c r="O41" s="30" t="s">
        <v>4317</v>
      </c>
      <c r="P41" s="30" t="s">
        <v>4125</v>
      </c>
      <c r="Q41" s="30" t="s">
        <v>1459</v>
      </c>
      <c r="R41" s="30" t="s">
        <v>1459</v>
      </c>
      <c r="S41" s="30" t="s">
        <v>241</v>
      </c>
      <c r="T41" s="30">
        <v>0.39507999999999999</v>
      </c>
      <c r="U41" s="30">
        <v>0.16750999999999999</v>
      </c>
    </row>
    <row r="42" spans="2:21">
      <c r="B42" s="30" t="s">
        <v>4315</v>
      </c>
      <c r="C42" s="30" t="s">
        <v>4034</v>
      </c>
      <c r="D42" s="30" t="s">
        <v>243</v>
      </c>
      <c r="E42" s="30" t="s">
        <v>1459</v>
      </c>
      <c r="F42" s="30" t="s">
        <v>1459</v>
      </c>
      <c r="G42" s="30" t="s">
        <v>1607</v>
      </c>
      <c r="H42" s="1363">
        <v>3149.67</v>
      </c>
      <c r="I42" s="1363">
        <v>7.8399999999999997E-2</v>
      </c>
      <c r="J42" s="1363">
        <v>0.1</v>
      </c>
      <c r="K42" s="30">
        <v>661.79467999999997</v>
      </c>
      <c r="L42" s="1190">
        <f>H42+(I42*GWPs!$C$4)+(J42*GWPs!$C$5)</f>
        <v>3179.3063200000001</v>
      </c>
      <c r="N42" s="30" t="s">
        <v>4316</v>
      </c>
      <c r="O42" s="30" t="s">
        <v>4134</v>
      </c>
      <c r="P42" s="30" t="s">
        <v>4134</v>
      </c>
      <c r="Q42" s="30" t="s">
        <v>1459</v>
      </c>
      <c r="R42" s="30" t="s">
        <v>1459</v>
      </c>
      <c r="S42" s="30" t="s">
        <v>1719</v>
      </c>
      <c r="T42" s="30">
        <v>1.8509999999999999E-2</v>
      </c>
      <c r="U42" s="30">
        <v>2.2000000000000001E-4</v>
      </c>
    </row>
    <row r="43" spans="2:21">
      <c r="B43" s="30" t="s">
        <v>4315</v>
      </c>
      <c r="C43" s="30" t="s">
        <v>4034</v>
      </c>
      <c r="D43" s="30" t="s">
        <v>4035</v>
      </c>
      <c r="E43" s="30" t="s">
        <v>1459</v>
      </c>
      <c r="F43" s="30" t="s">
        <v>1459</v>
      </c>
      <c r="G43" s="30" t="s">
        <v>237</v>
      </c>
      <c r="H43" s="1363">
        <v>0.24557000000000001</v>
      </c>
      <c r="I43" s="1363">
        <v>2.3571428571428571E-5</v>
      </c>
      <c r="J43" s="1363">
        <v>2.0377358490566037E-6</v>
      </c>
      <c r="K43" s="30">
        <v>5.1529999999999999E-2</v>
      </c>
      <c r="L43" s="1190">
        <f>H43+(I43*GWPs!$C$4)+(J43*GWPs!$C$5)</f>
        <v>0.24682873045822104</v>
      </c>
      <c r="N43" s="30" t="s">
        <v>4316</v>
      </c>
      <c r="O43" s="30" t="s">
        <v>4134</v>
      </c>
      <c r="P43" s="30" t="s">
        <v>4134</v>
      </c>
      <c r="Q43" s="30" t="s">
        <v>1459</v>
      </c>
      <c r="R43" s="30" t="s">
        <v>1459</v>
      </c>
      <c r="S43" s="30" t="s">
        <v>1607</v>
      </c>
      <c r="T43" s="30">
        <v>102.85714</v>
      </c>
      <c r="U43" s="30">
        <v>1.2431399999999999</v>
      </c>
    </row>
    <row r="44" spans="2:21">
      <c r="B44" s="30" t="s">
        <v>4315</v>
      </c>
      <c r="C44" s="30" t="s">
        <v>4034</v>
      </c>
      <c r="D44" s="30" t="s">
        <v>4035</v>
      </c>
      <c r="E44" s="30" t="s">
        <v>1459</v>
      </c>
      <c r="F44" s="30" t="s">
        <v>1459</v>
      </c>
      <c r="G44" s="30" t="s">
        <v>1609</v>
      </c>
      <c r="H44" s="1363">
        <v>0.25849</v>
      </c>
      <c r="I44" s="1363">
        <v>2.4642857142857141E-5</v>
      </c>
      <c r="J44" s="1363">
        <v>2.1509433962264152E-6</v>
      </c>
      <c r="K44" s="30">
        <v>5.4239999999999997E-2</v>
      </c>
      <c r="L44" s="1190">
        <f>H44+(I44*GWPs!$C$4)+(J44*GWPs!$C$5)</f>
        <v>0.25981156469002692</v>
      </c>
      <c r="N44" s="30" t="s">
        <v>4316</v>
      </c>
      <c r="O44" s="30" t="s">
        <v>4134</v>
      </c>
      <c r="P44" s="30" t="s">
        <v>4135</v>
      </c>
      <c r="Q44" s="30" t="s">
        <v>1459</v>
      </c>
      <c r="R44" s="30" t="s">
        <v>1459</v>
      </c>
      <c r="S44" s="30" t="s">
        <v>1719</v>
      </c>
      <c r="T44" s="30">
        <v>0</v>
      </c>
      <c r="U44" s="30">
        <v>2.0000000000000001E-4</v>
      </c>
    </row>
    <row r="45" spans="2:21">
      <c r="B45" s="30" t="s">
        <v>4315</v>
      </c>
      <c r="C45" s="30" t="s">
        <v>4034</v>
      </c>
      <c r="D45" s="30" t="s">
        <v>4035</v>
      </c>
      <c r="E45" s="30" t="s">
        <v>1459</v>
      </c>
      <c r="F45" s="30" t="s">
        <v>1459</v>
      </c>
      <c r="G45" s="30" t="s">
        <v>241</v>
      </c>
      <c r="H45" s="1363">
        <v>2.5278200000000002</v>
      </c>
      <c r="I45" s="1363">
        <v>2.4071428571428573E-4</v>
      </c>
      <c r="J45" s="1363">
        <v>2.1094339622641511E-5</v>
      </c>
      <c r="K45" s="30">
        <v>0.53078000000000003</v>
      </c>
      <c r="L45" s="1190">
        <f>H45+(I45*GWPs!$C$4)+(J45*GWPs!$C$5)</f>
        <v>2.5407520404312671</v>
      </c>
      <c r="N45" s="30" t="s">
        <v>4316</v>
      </c>
      <c r="O45" s="30" t="s">
        <v>4134</v>
      </c>
      <c r="P45" s="30" t="s">
        <v>4135</v>
      </c>
      <c r="Q45" s="30" t="s">
        <v>1459</v>
      </c>
      <c r="R45" s="30" t="s">
        <v>1459</v>
      </c>
      <c r="S45" s="30" t="s">
        <v>1607</v>
      </c>
      <c r="T45" s="30">
        <v>0</v>
      </c>
      <c r="U45" s="30">
        <v>0.69696000000000002</v>
      </c>
    </row>
    <row r="46" spans="2:21">
      <c r="B46" s="30" t="s">
        <v>4315</v>
      </c>
      <c r="C46" s="30" t="s">
        <v>4034</v>
      </c>
      <c r="D46" s="30" t="s">
        <v>4035</v>
      </c>
      <c r="E46" s="30" t="s">
        <v>1459</v>
      </c>
      <c r="F46" s="30" t="s">
        <v>1459</v>
      </c>
      <c r="G46" s="30" t="s">
        <v>1607</v>
      </c>
      <c r="H46" s="1363">
        <v>3149.67</v>
      </c>
      <c r="I46" s="1363">
        <v>0.3</v>
      </c>
      <c r="J46" s="1363">
        <v>2.6308716981132074E-2</v>
      </c>
      <c r="K46" s="30">
        <v>660.82605000000001</v>
      </c>
      <c r="L46" s="1190">
        <f>H46+(I46*GWPs!$C$4)+(J46*GWPs!$C$5)</f>
        <v>3165.7922797358492</v>
      </c>
      <c r="N46" s="30" t="s">
        <v>4316</v>
      </c>
      <c r="O46" s="30" t="s">
        <v>4319</v>
      </c>
      <c r="P46" s="30" t="s">
        <v>4133</v>
      </c>
      <c r="Q46" s="30" t="s">
        <v>1459</v>
      </c>
      <c r="R46" s="30" t="s">
        <v>1459</v>
      </c>
      <c r="S46" s="30" t="s">
        <v>1719</v>
      </c>
      <c r="T46" s="30">
        <v>1.6039999999999999E-2</v>
      </c>
      <c r="U46" s="30">
        <v>1.273E-2</v>
      </c>
    </row>
    <row r="47" spans="2:21">
      <c r="B47" s="30" t="s">
        <v>4315</v>
      </c>
      <c r="C47" s="30" t="s">
        <v>4034</v>
      </c>
      <c r="D47" s="30" t="s">
        <v>245</v>
      </c>
      <c r="E47" s="30" t="s">
        <v>1459</v>
      </c>
      <c r="F47" s="30" t="s">
        <v>1459</v>
      </c>
      <c r="G47" s="30" t="s">
        <v>237</v>
      </c>
      <c r="H47" s="1363">
        <v>0.24887000000000001</v>
      </c>
      <c r="I47" s="1363">
        <v>7.1428571428571431E-7</v>
      </c>
      <c r="J47" s="1363">
        <v>1.1660377358490566E-5</v>
      </c>
      <c r="K47" s="30">
        <v>5.9130000000000002E-2</v>
      </c>
      <c r="L47" s="1190">
        <f>H47+(I47*GWPs!$C$4)+(J47*GWPs!$C$5)</f>
        <v>0.25207456873315365</v>
      </c>
      <c r="N47" s="30" t="s">
        <v>4316</v>
      </c>
      <c r="O47" s="30" t="s">
        <v>4319</v>
      </c>
      <c r="P47" s="30" t="s">
        <v>4133</v>
      </c>
      <c r="Q47" s="30" t="s">
        <v>1459</v>
      </c>
      <c r="R47" s="30" t="s">
        <v>1459</v>
      </c>
      <c r="S47" s="30" t="s">
        <v>1607</v>
      </c>
      <c r="T47" s="30">
        <v>68.650000000000006</v>
      </c>
      <c r="U47" s="30">
        <v>47.357089999999999</v>
      </c>
    </row>
    <row r="48" spans="2:21">
      <c r="B48" s="30" t="s">
        <v>4315</v>
      </c>
      <c r="C48" s="30" t="s">
        <v>4034</v>
      </c>
      <c r="D48" s="30" t="s">
        <v>245</v>
      </c>
      <c r="E48" s="30" t="s">
        <v>1459</v>
      </c>
      <c r="F48" s="30" t="s">
        <v>1459</v>
      </c>
      <c r="G48" s="30" t="s">
        <v>1609</v>
      </c>
      <c r="H48" s="1363">
        <v>0.26474999999999999</v>
      </c>
      <c r="I48" s="1363">
        <v>1.0714285714285714E-6</v>
      </c>
      <c r="J48" s="1363">
        <v>1.2452830188679244E-5</v>
      </c>
      <c r="K48" s="30">
        <v>6.2909999999999994E-2</v>
      </c>
      <c r="L48" s="1190">
        <f>H48+(I48*GWPs!$C$4)+(J48*GWPs!$C$5)</f>
        <v>0.26818155121293802</v>
      </c>
      <c r="N48" s="30" t="s">
        <v>4316</v>
      </c>
      <c r="O48" s="30" t="s">
        <v>4319</v>
      </c>
      <c r="P48" s="30" t="s">
        <v>4131</v>
      </c>
      <c r="Q48" s="30" t="s">
        <v>1459</v>
      </c>
      <c r="R48" s="30" t="s">
        <v>1459</v>
      </c>
      <c r="S48" s="30" t="s">
        <v>1719</v>
      </c>
      <c r="T48" s="30">
        <v>7.92E-3</v>
      </c>
      <c r="U48" s="30">
        <v>1.15E-2</v>
      </c>
    </row>
    <row r="49" spans="2:21">
      <c r="B49" s="30" t="s">
        <v>4315</v>
      </c>
      <c r="C49" s="30" t="s">
        <v>4034</v>
      </c>
      <c r="D49" s="30" t="s">
        <v>245</v>
      </c>
      <c r="E49" s="30" t="s">
        <v>1459</v>
      </c>
      <c r="F49" s="30" t="s">
        <v>1459</v>
      </c>
      <c r="G49" s="30" t="s">
        <v>241</v>
      </c>
      <c r="H49" s="1363">
        <v>2.62818</v>
      </c>
      <c r="I49" s="1363">
        <v>1.0357142857142857E-5</v>
      </c>
      <c r="J49" s="1363">
        <v>1.2483018867924528E-4</v>
      </c>
      <c r="K49" s="30">
        <v>0.62409000000000003</v>
      </c>
      <c r="L49" s="1190">
        <f>H49+(I49*GWPs!$C$4)+(J49*GWPs!$C$5)</f>
        <v>2.6625672843665771</v>
      </c>
      <c r="N49" s="30" t="s">
        <v>4316</v>
      </c>
      <c r="O49" s="30" t="s">
        <v>4319</v>
      </c>
      <c r="P49" s="30" t="s">
        <v>4131</v>
      </c>
      <c r="Q49" s="30" t="s">
        <v>1459</v>
      </c>
      <c r="R49" s="30" t="s">
        <v>1459</v>
      </c>
      <c r="S49" s="30" t="s">
        <v>1607</v>
      </c>
      <c r="T49" s="30">
        <v>30.4</v>
      </c>
      <c r="U49" s="30">
        <v>43.439639999999997</v>
      </c>
    </row>
    <row r="50" spans="2:21">
      <c r="B50" s="30" t="s">
        <v>4315</v>
      </c>
      <c r="C50" s="30" t="s">
        <v>4034</v>
      </c>
      <c r="D50" s="30" t="s">
        <v>245</v>
      </c>
      <c r="E50" s="30" t="s">
        <v>1459</v>
      </c>
      <c r="F50" s="30" t="s">
        <v>1459</v>
      </c>
      <c r="G50" s="30" t="s">
        <v>1607</v>
      </c>
      <c r="H50" s="1363">
        <v>3164.33</v>
      </c>
      <c r="I50" s="1363">
        <v>1.24E-2</v>
      </c>
      <c r="J50" s="1363">
        <v>0.14805369811320754</v>
      </c>
      <c r="K50" s="30">
        <v>752.02760000000001</v>
      </c>
      <c r="L50" s="1190">
        <f>H50+(I50*GWPs!$C$4)+(J50*GWPs!$C$5)</f>
        <v>3205.1181795849056</v>
      </c>
      <c r="N50" s="30" t="s">
        <v>4316</v>
      </c>
      <c r="O50" s="30" t="s">
        <v>4319</v>
      </c>
      <c r="P50" s="30" t="s">
        <v>4130</v>
      </c>
      <c r="Q50" s="30" t="s">
        <v>1459</v>
      </c>
      <c r="R50" s="30" t="s">
        <v>1459</v>
      </c>
      <c r="S50" s="30" t="s">
        <v>1719</v>
      </c>
      <c r="T50" s="30">
        <v>1.277E-2</v>
      </c>
      <c r="U50" s="30">
        <v>1.15E-2</v>
      </c>
    </row>
    <row r="51" spans="2:21">
      <c r="B51" s="30" t="s">
        <v>4315</v>
      </c>
      <c r="C51" s="30" t="s">
        <v>4034</v>
      </c>
      <c r="D51" s="30" t="s">
        <v>251</v>
      </c>
      <c r="E51" s="30" t="s">
        <v>1459</v>
      </c>
      <c r="F51" s="30" t="s">
        <v>1459</v>
      </c>
      <c r="G51" s="30" t="s">
        <v>237</v>
      </c>
      <c r="H51" s="1363">
        <v>0.24098</v>
      </c>
      <c r="I51" s="1363">
        <v>7.1428571428571431E-7</v>
      </c>
      <c r="J51" s="1363">
        <v>1.169811320754717E-5</v>
      </c>
      <c r="K51" s="30">
        <v>5.8160000000000003E-2</v>
      </c>
      <c r="L51" s="1190">
        <f>H51+(I51*GWPs!$C$4)+(J51*GWPs!$C$5)</f>
        <v>0.2441948706199461</v>
      </c>
      <c r="N51" s="30" t="s">
        <v>4316</v>
      </c>
      <c r="O51" s="30" t="s">
        <v>4319</v>
      </c>
      <c r="P51" s="30" t="s">
        <v>4130</v>
      </c>
      <c r="Q51" s="30" t="s">
        <v>1459</v>
      </c>
      <c r="R51" s="30" t="s">
        <v>1459</v>
      </c>
      <c r="S51" s="30" t="s">
        <v>1607</v>
      </c>
      <c r="T51" s="30">
        <v>52.14</v>
      </c>
      <c r="U51" s="30">
        <v>46.985080000000004</v>
      </c>
    </row>
    <row r="52" spans="2:21">
      <c r="B52" s="30" t="s">
        <v>4315</v>
      </c>
      <c r="C52" s="30" t="s">
        <v>4034</v>
      </c>
      <c r="D52" s="30" t="s">
        <v>251</v>
      </c>
      <c r="E52" s="30" t="s">
        <v>1459</v>
      </c>
      <c r="F52" s="30" t="s">
        <v>1459</v>
      </c>
      <c r="G52" s="30" t="s">
        <v>1609</v>
      </c>
      <c r="H52" s="1363">
        <v>0.25619999999999998</v>
      </c>
      <c r="I52" s="1363">
        <v>1.0714285714285714E-6</v>
      </c>
      <c r="J52" s="1363">
        <v>1.2452830188679244E-5</v>
      </c>
      <c r="K52" s="30">
        <v>6.1809999999999997E-2</v>
      </c>
      <c r="L52" s="1190">
        <f>H52+(I52*GWPs!$C$4)+(J52*GWPs!$C$5)</f>
        <v>0.25963155121293802</v>
      </c>
      <c r="N52" s="30" t="s">
        <v>4316</v>
      </c>
      <c r="O52" s="30" t="s">
        <v>4319</v>
      </c>
      <c r="P52" s="30" t="s">
        <v>4132</v>
      </c>
      <c r="Q52" s="30" t="s">
        <v>1459</v>
      </c>
      <c r="R52" s="30" t="s">
        <v>1459</v>
      </c>
      <c r="S52" s="30" t="s">
        <v>1719</v>
      </c>
      <c r="T52" s="30">
        <v>3.7440000000000001E-2</v>
      </c>
      <c r="U52" s="30">
        <v>1.15E-2</v>
      </c>
    </row>
    <row r="53" spans="2:21">
      <c r="B53" s="30" t="s">
        <v>4315</v>
      </c>
      <c r="C53" s="30" t="s">
        <v>4034</v>
      </c>
      <c r="D53" s="30" t="s">
        <v>251</v>
      </c>
      <c r="E53" s="30" t="s">
        <v>1459</v>
      </c>
      <c r="F53" s="30" t="s">
        <v>1459</v>
      </c>
      <c r="G53" s="30" t="s">
        <v>241</v>
      </c>
      <c r="H53" s="1363">
        <v>2.5376300000000001</v>
      </c>
      <c r="I53" s="1363">
        <v>1.0357142857142857E-5</v>
      </c>
      <c r="J53" s="1363">
        <v>1.2415094339622641E-4</v>
      </c>
      <c r="K53" s="30">
        <v>0.61101000000000005</v>
      </c>
      <c r="L53" s="1190">
        <f>H53+(I53*GWPs!$C$4)+(J53*GWPs!$C$5)</f>
        <v>2.5718318504043127</v>
      </c>
      <c r="N53" s="30" t="s">
        <v>4316</v>
      </c>
      <c r="O53" s="30" t="s">
        <v>4319</v>
      </c>
      <c r="P53" s="30" t="s">
        <v>4132</v>
      </c>
      <c r="Q53" s="30" t="s">
        <v>1459</v>
      </c>
      <c r="R53" s="30" t="s">
        <v>1459</v>
      </c>
      <c r="S53" s="30" t="s">
        <v>1607</v>
      </c>
      <c r="T53" s="30">
        <v>177</v>
      </c>
      <c r="U53" s="30">
        <v>55.193890000000003</v>
      </c>
    </row>
    <row r="54" spans="2:21">
      <c r="B54" s="30" t="s">
        <v>4315</v>
      </c>
      <c r="C54" s="30" t="s">
        <v>4034</v>
      </c>
      <c r="D54" s="30" t="s">
        <v>251</v>
      </c>
      <c r="E54" s="30" t="s">
        <v>1459</v>
      </c>
      <c r="F54" s="30" t="s">
        <v>1459</v>
      </c>
      <c r="G54" s="30" t="s">
        <v>1607</v>
      </c>
      <c r="H54" s="1363">
        <v>3048.71</v>
      </c>
      <c r="I54" s="1363">
        <v>1.24E-2</v>
      </c>
      <c r="J54" s="1363">
        <v>0.14674498113207546</v>
      </c>
      <c r="K54" s="30">
        <v>733.64436000000001</v>
      </c>
      <c r="L54" s="1190">
        <f>H54+(I54*GWPs!$C$4)+(J54*GWPs!$C$5)</f>
        <v>3089.140899849057</v>
      </c>
    </row>
    <row r="55" spans="2:21">
      <c r="B55" s="30" t="s">
        <v>4315</v>
      </c>
      <c r="C55" s="30" t="s">
        <v>4034</v>
      </c>
      <c r="D55" s="30" t="s">
        <v>246</v>
      </c>
      <c r="E55" s="30" t="s">
        <v>1459</v>
      </c>
      <c r="F55" s="30" t="s">
        <v>1459</v>
      </c>
      <c r="G55" s="30" t="s">
        <v>237</v>
      </c>
      <c r="H55" s="1363">
        <v>0.26708999999999999</v>
      </c>
      <c r="I55" s="1363">
        <v>1.6071428571428572E-5</v>
      </c>
      <c r="J55" s="1363">
        <v>2.2641509433962262E-6</v>
      </c>
      <c r="K55" s="30">
        <v>5.9130000000000002E-2</v>
      </c>
      <c r="L55" s="1190">
        <f>H55+(I55*GWPs!$C$4)+(J55*GWPs!$C$5)</f>
        <v>0.26818704177897573</v>
      </c>
    </row>
    <row r="56" spans="2:21">
      <c r="B56" s="30" t="s">
        <v>4315</v>
      </c>
      <c r="C56" s="30" t="s">
        <v>4034</v>
      </c>
      <c r="D56" s="30" t="s">
        <v>246</v>
      </c>
      <c r="E56" s="30" t="s">
        <v>1459</v>
      </c>
      <c r="F56" s="30" t="s">
        <v>1459</v>
      </c>
      <c r="G56" s="30" t="s">
        <v>1609</v>
      </c>
      <c r="H56" s="1363">
        <v>0.28412999999999999</v>
      </c>
      <c r="I56" s="1363">
        <v>1.6785714285714285E-5</v>
      </c>
      <c r="J56" s="1363">
        <v>2.3773584905660377E-6</v>
      </c>
      <c r="K56" s="30">
        <v>6.2909999999999994E-2</v>
      </c>
      <c r="L56" s="1190">
        <f>H56+(I56*GWPs!$C$4)+(J56*GWPs!$C$5)</f>
        <v>0.28527923315363879</v>
      </c>
    </row>
    <row r="57" spans="2:21">
      <c r="B57" s="30" t="s">
        <v>4315</v>
      </c>
      <c r="C57" s="30" t="s">
        <v>4034</v>
      </c>
      <c r="D57" s="30" t="s">
        <v>246</v>
      </c>
      <c r="E57" s="30" t="s">
        <v>1459</v>
      </c>
      <c r="F57" s="30" t="s">
        <v>1459</v>
      </c>
      <c r="G57" s="30" t="s">
        <v>241</v>
      </c>
      <c r="H57" s="1363">
        <v>3.16262</v>
      </c>
      <c r="I57" s="1363">
        <v>1.8928571428571429E-4</v>
      </c>
      <c r="J57" s="1363">
        <v>2.6452830188679246E-5</v>
      </c>
      <c r="K57" s="30">
        <v>0.69538999999999995</v>
      </c>
      <c r="L57" s="1190">
        <f>H57+(I57*GWPs!$C$4)+(J57*GWPs!$C$5)</f>
        <v>3.1754823369272236</v>
      </c>
    </row>
    <row r="58" spans="2:21">
      <c r="B58" s="30" t="s">
        <v>4315</v>
      </c>
      <c r="C58" s="30" t="s">
        <v>4034</v>
      </c>
      <c r="D58" s="30" t="s">
        <v>246</v>
      </c>
      <c r="E58" s="30" t="s">
        <v>1459</v>
      </c>
      <c r="F58" s="30" t="s">
        <v>1459</v>
      </c>
      <c r="G58" s="30" t="s">
        <v>1607</v>
      </c>
      <c r="H58" s="1363">
        <v>3216.38</v>
      </c>
      <c r="I58" s="1363">
        <v>0.19239999999999999</v>
      </c>
      <c r="J58" s="1363">
        <v>2.6879207547169812E-2</v>
      </c>
      <c r="K58" s="30">
        <v>714.86545000000001</v>
      </c>
      <c r="L58" s="1190">
        <f>H58+(I58*GWPs!$C$4)+(J58*GWPs!$C$5)</f>
        <v>3229.4515436603779</v>
      </c>
    </row>
    <row r="59" spans="2:21">
      <c r="B59" s="30" t="s">
        <v>4315</v>
      </c>
      <c r="C59" s="30" t="s">
        <v>4034</v>
      </c>
      <c r="D59" s="30" t="s">
        <v>4036</v>
      </c>
      <c r="E59" s="30" t="s">
        <v>1459</v>
      </c>
      <c r="F59" s="30" t="s">
        <v>1459</v>
      </c>
      <c r="G59" s="30" t="s">
        <v>237</v>
      </c>
      <c r="H59" s="1363">
        <v>0.25358999999999998</v>
      </c>
      <c r="I59" s="1363">
        <v>1.0357142857142857E-5</v>
      </c>
      <c r="J59" s="1363">
        <v>9.8490566037735838E-6</v>
      </c>
      <c r="K59" s="30">
        <v>5.9130000000000002E-2</v>
      </c>
      <c r="L59" s="1190">
        <f>H59+(I59*GWPs!$C$4)+(J59*GWPs!$C$5)</f>
        <v>0.25658743530997308</v>
      </c>
    </row>
    <row r="60" spans="2:21">
      <c r="B60" s="30" t="s">
        <v>4315</v>
      </c>
      <c r="C60" s="30" t="s">
        <v>4034</v>
      </c>
      <c r="D60" s="30" t="s">
        <v>4036</v>
      </c>
      <c r="E60" s="30" t="s">
        <v>1459</v>
      </c>
      <c r="F60" s="30" t="s">
        <v>1459</v>
      </c>
      <c r="G60" s="30" t="s">
        <v>1609</v>
      </c>
      <c r="H60" s="1363">
        <v>0.26978000000000002</v>
      </c>
      <c r="I60" s="1363">
        <v>1.1071428571428571E-5</v>
      </c>
      <c r="J60" s="1363">
        <v>1.0490566037735849E-5</v>
      </c>
      <c r="K60" s="30">
        <v>6.2909999999999994E-2</v>
      </c>
      <c r="L60" s="1190">
        <f>H60+(I60*GWPs!$C$4)+(J60*GWPs!$C$5)</f>
        <v>0.27297385309973043</v>
      </c>
    </row>
    <row r="61" spans="2:21">
      <c r="B61" s="30" t="s">
        <v>4315</v>
      </c>
      <c r="C61" s="30" t="s">
        <v>4034</v>
      </c>
      <c r="D61" s="30" t="s">
        <v>4036</v>
      </c>
      <c r="E61" s="30" t="s">
        <v>1459</v>
      </c>
      <c r="F61" s="30" t="s">
        <v>1459</v>
      </c>
      <c r="G61" s="30" t="s">
        <v>241</v>
      </c>
      <c r="H61" s="1363">
        <v>2.72417</v>
      </c>
      <c r="I61" s="1363">
        <v>1.125E-4</v>
      </c>
      <c r="J61" s="1363">
        <v>1.06E-4</v>
      </c>
      <c r="K61" s="30">
        <v>0.62665000000000004</v>
      </c>
      <c r="L61" s="1190">
        <f>H61+(I61*GWPs!$C$4)+(J61*GWPs!$C$5)</f>
        <v>2.7564605000000002</v>
      </c>
    </row>
    <row r="62" spans="2:21">
      <c r="B62" s="30" t="s">
        <v>4315</v>
      </c>
      <c r="C62" s="30" t="s">
        <v>4034</v>
      </c>
      <c r="D62" s="30" t="s">
        <v>4036</v>
      </c>
      <c r="E62" s="30" t="s">
        <v>1459</v>
      </c>
      <c r="F62" s="30" t="s">
        <v>1459</v>
      </c>
      <c r="G62" s="30" t="s">
        <v>1607</v>
      </c>
      <c r="H62" s="1363">
        <v>3190</v>
      </c>
      <c r="I62" s="1363">
        <v>0.13159999999999999</v>
      </c>
      <c r="J62" s="1363">
        <v>0.12412750943396228</v>
      </c>
      <c r="K62" s="30">
        <v>743.83524</v>
      </c>
      <c r="L62" s="1190">
        <f>H62+(I62*GWPs!$C$4)+(J62*GWPs!$C$5)</f>
        <v>3227.8084900754716</v>
      </c>
    </row>
    <row r="63" spans="2:21">
      <c r="B63" s="30" t="s">
        <v>4315</v>
      </c>
      <c r="C63" s="30" t="s">
        <v>4034</v>
      </c>
      <c r="D63" s="30" t="s">
        <v>4037</v>
      </c>
      <c r="E63" s="30" t="s">
        <v>1459</v>
      </c>
      <c r="F63" s="30" t="s">
        <v>1459</v>
      </c>
      <c r="G63" s="30" t="s">
        <v>237</v>
      </c>
      <c r="H63" s="1363">
        <v>0.26332</v>
      </c>
      <c r="I63" s="1363">
        <v>9.9999999999999991E-6</v>
      </c>
      <c r="J63" s="1363">
        <v>2.0377358490566037E-6</v>
      </c>
      <c r="K63" s="30">
        <v>9.2380000000000004E-2</v>
      </c>
      <c r="L63" s="1190">
        <f>H63+(I63*GWPs!$C$4)+(J63*GWPs!$C$5)</f>
        <v>0.26417430188679247</v>
      </c>
    </row>
    <row r="64" spans="2:21">
      <c r="B64" s="30" t="s">
        <v>4315</v>
      </c>
      <c r="C64" s="30" t="s">
        <v>4034</v>
      </c>
      <c r="D64" s="30" t="s">
        <v>4037</v>
      </c>
      <c r="E64" s="30" t="s">
        <v>1459</v>
      </c>
      <c r="F64" s="30" t="s">
        <v>1459</v>
      </c>
      <c r="G64" s="30" t="s">
        <v>1609</v>
      </c>
      <c r="H64" s="1363">
        <v>0.28012999999999999</v>
      </c>
      <c r="I64" s="1363">
        <v>1.0714285714285714E-5</v>
      </c>
      <c r="J64" s="1363">
        <v>2.1509433962264152E-6</v>
      </c>
      <c r="K64" s="30">
        <v>9.8280000000000006E-2</v>
      </c>
      <c r="L64" s="1190">
        <f>H64+(I64*GWPs!$C$4)+(J64*GWPs!$C$5)</f>
        <v>0.28103649326145547</v>
      </c>
    </row>
    <row r="65" spans="2:12">
      <c r="B65" s="30" t="s">
        <v>4315</v>
      </c>
      <c r="C65" s="30" t="s">
        <v>4034</v>
      </c>
      <c r="D65" s="30" t="s">
        <v>4037</v>
      </c>
      <c r="E65" s="30" t="s">
        <v>1459</v>
      </c>
      <c r="F65" s="30" t="s">
        <v>1459</v>
      </c>
      <c r="G65" s="30" t="s">
        <v>241</v>
      </c>
      <c r="H65" s="1363">
        <v>2.74078</v>
      </c>
      <c r="I65" s="1363">
        <v>1.0571428571428571E-4</v>
      </c>
      <c r="J65" s="1363">
        <v>2.1132075471698112E-5</v>
      </c>
      <c r="K65" s="30">
        <v>0</v>
      </c>
      <c r="L65" s="1190">
        <f>H65+(I65*GWPs!$C$4)+(J65*GWPs!$C$5)</f>
        <v>2.7496993423180593</v>
      </c>
    </row>
    <row r="66" spans="2:12">
      <c r="B66" s="30" t="s">
        <v>4315</v>
      </c>
      <c r="C66" s="30" t="s">
        <v>4034</v>
      </c>
      <c r="D66" s="30" t="s">
        <v>4037</v>
      </c>
      <c r="E66" s="30" t="s">
        <v>1459</v>
      </c>
      <c r="F66" s="30" t="s">
        <v>1459</v>
      </c>
      <c r="G66" s="30" t="s">
        <v>1607</v>
      </c>
      <c r="H66" s="1363">
        <v>3171.09</v>
      </c>
      <c r="I66" s="1363">
        <v>0.12239999999999999</v>
      </c>
      <c r="J66" s="1363">
        <v>2.446309433962264E-2</v>
      </c>
      <c r="K66" s="30">
        <v>1116.8371199999999</v>
      </c>
      <c r="L66" s="1190">
        <f>H66+(I66*GWPs!$C$4)+(J66*GWPs!$C$5)</f>
        <v>3181.4159447547172</v>
      </c>
    </row>
    <row r="67" spans="2:12">
      <c r="B67" s="30" t="s">
        <v>4315</v>
      </c>
      <c r="C67" s="30" t="s">
        <v>4034</v>
      </c>
      <c r="D67" s="30" t="s">
        <v>4046</v>
      </c>
      <c r="E67" s="30" t="s">
        <v>1459</v>
      </c>
      <c r="F67" s="30" t="s">
        <v>1459</v>
      </c>
      <c r="G67" s="30" t="s">
        <v>237</v>
      </c>
      <c r="H67" s="1363">
        <v>0.25857999999999998</v>
      </c>
      <c r="I67" s="1363">
        <v>4.2857142857142855E-6</v>
      </c>
      <c r="J67" s="1363">
        <v>1.2301886792452829E-5</v>
      </c>
      <c r="K67" s="30">
        <v>5.9130000000000002E-2</v>
      </c>
      <c r="L67" s="1190">
        <f>H67+(I67*GWPs!$C$4)+(J67*GWPs!$C$5)</f>
        <v>0.26206612938005386</v>
      </c>
    </row>
    <row r="68" spans="2:12">
      <c r="B68" s="30" t="s">
        <v>4315</v>
      </c>
      <c r="C68" s="30" t="s">
        <v>4034</v>
      </c>
      <c r="D68" s="30" t="s">
        <v>4046</v>
      </c>
      <c r="E68" s="30" t="s">
        <v>1459</v>
      </c>
      <c r="F68" s="30" t="s">
        <v>1459</v>
      </c>
      <c r="G68" s="30" t="s">
        <v>1609</v>
      </c>
      <c r="H68" s="1363">
        <v>0.27509</v>
      </c>
      <c r="I68" s="1363">
        <v>4.2857142857142855E-6</v>
      </c>
      <c r="J68" s="1363">
        <v>1.3132075471698114E-5</v>
      </c>
      <c r="K68" s="30">
        <v>6.2909999999999994E-2</v>
      </c>
      <c r="L68" s="1190">
        <f>H68+(I68*GWPs!$C$4)+(J68*GWPs!$C$5)</f>
        <v>0.27880277088948785</v>
      </c>
    </row>
    <row r="69" spans="2:12">
      <c r="B69" s="30" t="s">
        <v>4315</v>
      </c>
      <c r="C69" s="30" t="s">
        <v>4034</v>
      </c>
      <c r="D69" s="30" t="s">
        <v>4046</v>
      </c>
      <c r="E69" s="30" t="s">
        <v>1459</v>
      </c>
      <c r="F69" s="30" t="s">
        <v>1459</v>
      </c>
      <c r="G69" s="30" t="s">
        <v>241</v>
      </c>
      <c r="H69" s="1363">
        <v>3.0619399999999999</v>
      </c>
      <c r="I69" s="1363">
        <v>5.0000000000000002E-5</v>
      </c>
      <c r="J69" s="1363">
        <v>1.4596226415094338E-4</v>
      </c>
      <c r="K69" s="30">
        <v>0.69538999999999995</v>
      </c>
      <c r="L69" s="1190">
        <f>H69+(I69*GWPs!$C$4)+(J69*GWPs!$C$5)</f>
        <v>3.1032776981132075</v>
      </c>
    </row>
    <row r="70" spans="2:12">
      <c r="B70" s="30" t="s">
        <v>4315</v>
      </c>
      <c r="C70" s="30" t="s">
        <v>4034</v>
      </c>
      <c r="D70" s="30" t="s">
        <v>4046</v>
      </c>
      <c r="E70" s="30" t="s">
        <v>1459</v>
      </c>
      <c r="F70" s="30" t="s">
        <v>1459</v>
      </c>
      <c r="G70" s="30" t="s">
        <v>1607</v>
      </c>
      <c r="H70" s="1363">
        <v>3113.99</v>
      </c>
      <c r="I70" s="1363">
        <v>5.0800000000000005E-2</v>
      </c>
      <c r="J70" s="1363">
        <v>0.14845637735849057</v>
      </c>
      <c r="K70" s="30">
        <v>714.86545000000001</v>
      </c>
      <c r="L70" s="1190">
        <f>H70+(I70*GWPs!$C$4)+(J70*GWPs!$C$5)</f>
        <v>3156.032431018868</v>
      </c>
    </row>
    <row r="71" spans="2:12">
      <c r="B71" s="30" t="s">
        <v>4315</v>
      </c>
      <c r="C71" s="30" t="s">
        <v>4034</v>
      </c>
      <c r="D71" s="30" t="s">
        <v>4045</v>
      </c>
      <c r="E71" s="30" t="s">
        <v>1459</v>
      </c>
      <c r="F71" s="30" t="s">
        <v>1459</v>
      </c>
      <c r="G71" s="30" t="s">
        <v>237</v>
      </c>
      <c r="H71" s="1363">
        <v>0.25485999999999998</v>
      </c>
      <c r="I71" s="1363">
        <v>2.4999999999999998E-6</v>
      </c>
      <c r="J71" s="1363">
        <v>1.1509433962264152E-5</v>
      </c>
      <c r="K71" s="30">
        <v>5.9130000000000002E-2</v>
      </c>
      <c r="L71" s="1190">
        <f>H71+(I71*GWPs!$C$4)+(J71*GWPs!$C$5)</f>
        <v>0.25807657547169804</v>
      </c>
    </row>
    <row r="72" spans="2:12">
      <c r="B72" s="30" t="s">
        <v>4315</v>
      </c>
      <c r="C72" s="30" t="s">
        <v>4034</v>
      </c>
      <c r="D72" s="30" t="s">
        <v>4045</v>
      </c>
      <c r="E72" s="30" t="s">
        <v>1459</v>
      </c>
      <c r="F72" s="30" t="s">
        <v>1459</v>
      </c>
      <c r="G72" s="30" t="s">
        <v>1609</v>
      </c>
      <c r="H72" s="1363">
        <v>0.27112999999999998</v>
      </c>
      <c r="I72" s="1363">
        <v>2.8571428571428573E-6</v>
      </c>
      <c r="J72" s="1363">
        <v>1.2264150943396227E-5</v>
      </c>
      <c r="K72" s="30">
        <v>6.2909999999999994E-2</v>
      </c>
      <c r="L72" s="1190">
        <f>H72+(I72*GWPs!$C$4)+(J72*GWPs!$C$5)</f>
        <v>0.27456325606469001</v>
      </c>
    </row>
    <row r="73" spans="2:12">
      <c r="B73" s="30" t="s">
        <v>4315</v>
      </c>
      <c r="C73" s="30" t="s">
        <v>4034</v>
      </c>
      <c r="D73" s="30" t="s">
        <v>4045</v>
      </c>
      <c r="E73" s="30" t="s">
        <v>1459</v>
      </c>
      <c r="F73" s="30" t="s">
        <v>1459</v>
      </c>
      <c r="G73" s="30" t="s">
        <v>241</v>
      </c>
      <c r="H73" s="1363">
        <v>2.7378200000000001</v>
      </c>
      <c r="I73" s="1363">
        <v>2.7499999999999998E-5</v>
      </c>
      <c r="J73" s="1363">
        <v>1.237735849056604E-4</v>
      </c>
      <c r="K73" s="30">
        <v>0.62665000000000004</v>
      </c>
      <c r="L73" s="1190">
        <f>H73+(I73*GWPs!$C$4)+(J73*GWPs!$C$5)</f>
        <v>2.7724296886792454</v>
      </c>
    </row>
    <row r="74" spans="2:12">
      <c r="B74" s="30" t="s">
        <v>4315</v>
      </c>
      <c r="C74" s="30" t="s">
        <v>4034</v>
      </c>
      <c r="D74" s="30" t="s">
        <v>4045</v>
      </c>
      <c r="E74" s="30" t="s">
        <v>1459</v>
      </c>
      <c r="F74" s="30" t="s">
        <v>1459</v>
      </c>
      <c r="G74" s="30" t="s">
        <v>1607</v>
      </c>
      <c r="H74" s="1363">
        <v>3205.99</v>
      </c>
      <c r="I74" s="1363">
        <v>3.2399999999999998E-2</v>
      </c>
      <c r="J74" s="1363">
        <v>0.14493286792452831</v>
      </c>
      <c r="K74" s="30">
        <v>743.83524</v>
      </c>
      <c r="L74" s="1190">
        <f>H74+(I74*GWPs!$C$4)+(J74*GWPs!$C$5)</f>
        <v>3246.522192943396</v>
      </c>
    </row>
    <row r="75" spans="2:12">
      <c r="B75" s="30" t="s">
        <v>4315</v>
      </c>
      <c r="C75" s="30" t="s">
        <v>4034</v>
      </c>
      <c r="D75" s="30" t="s">
        <v>4038</v>
      </c>
      <c r="E75" s="30" t="s">
        <v>1459</v>
      </c>
      <c r="F75" s="30" t="s">
        <v>1459</v>
      </c>
      <c r="G75" s="30" t="s">
        <v>237</v>
      </c>
      <c r="H75" s="1363">
        <v>0.23563999999999999</v>
      </c>
      <c r="I75" s="1363">
        <v>1.0357142857142857E-5</v>
      </c>
      <c r="J75" s="1363">
        <v>2.0377358490566037E-6</v>
      </c>
      <c r="K75" s="30">
        <v>4.8219999999999999E-2</v>
      </c>
      <c r="L75" s="1190">
        <f>H75+(I75*GWPs!$C$4)+(J75*GWPs!$C$5)</f>
        <v>0.2365049447439353</v>
      </c>
    </row>
    <row r="76" spans="2:12">
      <c r="B76" s="30" t="s">
        <v>4315</v>
      </c>
      <c r="C76" s="30" t="s">
        <v>4034</v>
      </c>
      <c r="D76" s="30" t="s">
        <v>4038</v>
      </c>
      <c r="E76" s="30" t="s">
        <v>1459</v>
      </c>
      <c r="F76" s="30" t="s">
        <v>1459</v>
      </c>
      <c r="G76" s="30" t="s">
        <v>1609</v>
      </c>
      <c r="H76" s="1363">
        <v>0.24804000000000001</v>
      </c>
      <c r="I76" s="1363">
        <v>1.0714285714285714E-5</v>
      </c>
      <c r="J76" s="1363">
        <v>2.1509433962264152E-6</v>
      </c>
      <c r="K76" s="30">
        <v>5.076E-2</v>
      </c>
      <c r="L76" s="1190">
        <f>H76+(I76*GWPs!$C$4)+(J76*GWPs!$C$5)</f>
        <v>0.24894649326145554</v>
      </c>
    </row>
    <row r="77" spans="2:12">
      <c r="B77" s="30" t="s">
        <v>4315</v>
      </c>
      <c r="C77" s="30" t="s">
        <v>4034</v>
      </c>
      <c r="D77" s="30" t="s">
        <v>4038</v>
      </c>
      <c r="E77" s="30" t="s">
        <v>1459</v>
      </c>
      <c r="F77" s="30" t="s">
        <v>1459</v>
      </c>
      <c r="G77" s="30" t="s">
        <v>241</v>
      </c>
      <c r="H77" s="1363">
        <v>2.1114899999999999</v>
      </c>
      <c r="I77" s="1363">
        <v>9.2142857142857139E-5</v>
      </c>
      <c r="J77" s="1363">
        <v>1.837735849056604E-5</v>
      </c>
      <c r="K77" s="30">
        <v>0</v>
      </c>
      <c r="L77" s="1190">
        <f>H77+(I77*GWPs!$C$4)+(J77*GWPs!$C$5)</f>
        <v>2.1192528760107816</v>
      </c>
    </row>
    <row r="78" spans="2:12">
      <c r="B78" s="30" t="s">
        <v>4315</v>
      </c>
      <c r="C78" s="30" t="s">
        <v>4034</v>
      </c>
      <c r="D78" s="30" t="s">
        <v>4038</v>
      </c>
      <c r="E78" s="30" t="s">
        <v>1459</v>
      </c>
      <c r="F78" s="30" t="s">
        <v>1459</v>
      </c>
      <c r="G78" s="30" t="s">
        <v>1607</v>
      </c>
      <c r="H78" s="1363">
        <v>3131.33</v>
      </c>
      <c r="I78" s="1363">
        <v>0.13639999999999999</v>
      </c>
      <c r="J78" s="1363">
        <v>2.7281886792452831E-2</v>
      </c>
      <c r="K78" s="30">
        <v>640.41463999999996</v>
      </c>
      <c r="L78" s="1190">
        <f>H78+(I78*GWPs!$C$4)+(J78*GWPs!$C$5)</f>
        <v>3142.8426750943395</v>
      </c>
    </row>
    <row r="79" spans="2:12">
      <c r="B79" s="30" t="s">
        <v>4315</v>
      </c>
      <c r="C79" s="30" t="s">
        <v>4034</v>
      </c>
      <c r="D79" s="30" t="s">
        <v>4040</v>
      </c>
      <c r="E79" s="30" t="s">
        <v>1459</v>
      </c>
      <c r="F79" s="30" t="s">
        <v>1459</v>
      </c>
      <c r="G79" s="30" t="s">
        <v>237</v>
      </c>
      <c r="H79" s="1363">
        <v>0.24013000000000001</v>
      </c>
      <c r="I79" s="1363">
        <v>3.0357142857142854E-5</v>
      </c>
      <c r="J79" s="1363">
        <v>2.30188679245283E-6</v>
      </c>
      <c r="K79" s="30">
        <v>6.2530000000000002E-2</v>
      </c>
      <c r="L79" s="1190">
        <f>H79+(I79*GWPs!$C$4)+(J79*GWPs!$C$5)</f>
        <v>0.24166305795148249</v>
      </c>
    </row>
    <row r="80" spans="2:12">
      <c r="B80" s="30" t="s">
        <v>4315</v>
      </c>
      <c r="C80" s="30" t="s">
        <v>4034</v>
      </c>
      <c r="D80" s="30" t="s">
        <v>4040</v>
      </c>
      <c r="E80" s="30" t="s">
        <v>1459</v>
      </c>
      <c r="F80" s="30" t="s">
        <v>1459</v>
      </c>
      <c r="G80" s="30" t="s">
        <v>1609</v>
      </c>
      <c r="H80" s="1363">
        <v>0.25275999999999998</v>
      </c>
      <c r="I80" s="1363">
        <v>3.2142857142857144E-5</v>
      </c>
      <c r="J80" s="1363">
        <v>2.4528301886792453E-6</v>
      </c>
      <c r="K80" s="30">
        <v>6.5820000000000004E-2</v>
      </c>
      <c r="L80" s="1190">
        <f>H80+(I80*GWPs!$C$4)+(J80*GWPs!$C$5)</f>
        <v>0.25438747978436654</v>
      </c>
    </row>
    <row r="81" spans="2:12">
      <c r="B81" s="30" t="s">
        <v>4315</v>
      </c>
      <c r="C81" s="30" t="s">
        <v>4034</v>
      </c>
      <c r="D81" s="30" t="s">
        <v>4040</v>
      </c>
      <c r="E81" s="30" t="s">
        <v>1459</v>
      </c>
      <c r="F81" s="30" t="s">
        <v>1459</v>
      </c>
      <c r="G81" s="30" t="s">
        <v>241</v>
      </c>
      <c r="H81" s="1363">
        <v>2.3256700000000001</v>
      </c>
      <c r="I81" s="1363">
        <v>2.9285714285714288E-4</v>
      </c>
      <c r="J81" s="1363">
        <v>2.2528301886792452E-5</v>
      </c>
      <c r="K81" s="30">
        <v>0.60663999999999996</v>
      </c>
      <c r="L81" s="1190">
        <f>H81+(I81*GWPs!$C$4)+(J81*GWPs!$C$5)</f>
        <v>2.3405473692722376</v>
      </c>
    </row>
    <row r="82" spans="2:12">
      <c r="B82" s="30" t="s">
        <v>4315</v>
      </c>
      <c r="C82" s="30" t="s">
        <v>4034</v>
      </c>
      <c r="D82" s="30" t="s">
        <v>4040</v>
      </c>
      <c r="E82" s="30" t="s">
        <v>1459</v>
      </c>
      <c r="F82" s="30" t="s">
        <v>1459</v>
      </c>
      <c r="G82" s="30" t="s">
        <v>1607</v>
      </c>
      <c r="H82" s="1363">
        <v>3135</v>
      </c>
      <c r="I82" s="1363">
        <v>0.39440000000000003</v>
      </c>
      <c r="J82" s="1363">
        <v>3.0335584905660379E-2</v>
      </c>
      <c r="K82" s="30">
        <v>815.93523000000005</v>
      </c>
      <c r="L82" s="1190">
        <f>H82+(I82*GWPs!$C$4)+(J82*GWPs!$C$5)</f>
        <v>3155.034734679245</v>
      </c>
    </row>
    <row r="83" spans="2:12">
      <c r="B83" s="30" t="s">
        <v>4315</v>
      </c>
      <c r="C83" s="30" t="s">
        <v>4034</v>
      </c>
      <c r="D83" s="30" t="s">
        <v>4039</v>
      </c>
      <c r="E83" s="30" t="s">
        <v>1459</v>
      </c>
      <c r="F83" s="30" t="s">
        <v>1459</v>
      </c>
      <c r="G83" s="30" t="s">
        <v>237</v>
      </c>
      <c r="H83" s="1363">
        <v>0.21811</v>
      </c>
      <c r="I83" s="1363">
        <v>3.0000000000000001E-5</v>
      </c>
      <c r="J83" s="1363">
        <v>2.30188679245283E-6</v>
      </c>
      <c r="K83" s="30">
        <v>6.1400000000000003E-2</v>
      </c>
      <c r="L83" s="1190">
        <f>H83+(I83*GWPs!$C$4)+(J83*GWPs!$C$5)</f>
        <v>0.21963241509433962</v>
      </c>
    </row>
    <row r="84" spans="2:12">
      <c r="B84" s="30" t="s">
        <v>4315</v>
      </c>
      <c r="C84" s="30" t="s">
        <v>4034</v>
      </c>
      <c r="D84" s="30" t="s">
        <v>4039</v>
      </c>
      <c r="E84" s="30" t="s">
        <v>1459</v>
      </c>
      <c r="F84" s="30" t="s">
        <v>1459</v>
      </c>
      <c r="G84" s="30" t="s">
        <v>1609</v>
      </c>
      <c r="H84" s="1363">
        <v>0.23025999999999999</v>
      </c>
      <c r="I84" s="1363">
        <v>3.2142857142857144E-5</v>
      </c>
      <c r="J84" s="1363">
        <v>2.4528301886792453E-6</v>
      </c>
      <c r="K84" s="30">
        <v>6.4799999999999996E-2</v>
      </c>
      <c r="L84" s="1190">
        <f>H84+(I84*GWPs!$C$4)+(J84*GWPs!$C$5)</f>
        <v>0.23188747978436658</v>
      </c>
    </row>
    <row r="85" spans="2:12">
      <c r="B85" s="30" t="s">
        <v>4315</v>
      </c>
      <c r="C85" s="30" t="s">
        <v>4034</v>
      </c>
      <c r="D85" s="30" t="s">
        <v>4039</v>
      </c>
      <c r="E85" s="30" t="s">
        <v>1459</v>
      </c>
      <c r="F85" s="30" t="s">
        <v>1459</v>
      </c>
      <c r="G85" s="30" t="s">
        <v>241</v>
      </c>
      <c r="H85" s="1363">
        <v>2.0552299999999999</v>
      </c>
      <c r="I85" s="1363">
        <v>2.8785714285714281E-4</v>
      </c>
      <c r="J85" s="1363">
        <v>2.2150943396226416E-5</v>
      </c>
      <c r="K85" s="30">
        <v>0.58094000000000001</v>
      </c>
      <c r="L85" s="1190">
        <f>H85+(I85*GWPs!$C$4)+(J85*GWPs!$C$5)</f>
        <v>2.0698553504043127</v>
      </c>
    </row>
    <row r="86" spans="2:12">
      <c r="B86" s="30" t="s">
        <v>4315</v>
      </c>
      <c r="C86" s="30" t="s">
        <v>4034</v>
      </c>
      <c r="D86" s="30" t="s">
        <v>4039</v>
      </c>
      <c r="E86" s="30" t="s">
        <v>1459</v>
      </c>
      <c r="F86" s="30" t="s">
        <v>1459</v>
      </c>
      <c r="G86" s="30" t="s">
        <v>1607</v>
      </c>
      <c r="H86" s="1363">
        <v>2754.25</v>
      </c>
      <c r="I86" s="1363">
        <v>0.38719999999999999</v>
      </c>
      <c r="J86" s="1363">
        <v>2.9765094339622641E-2</v>
      </c>
      <c r="K86" s="30">
        <v>777.33392000000003</v>
      </c>
      <c r="L86" s="1190">
        <f>H86+(I86*GWPs!$C$4)+(J86*GWPs!$C$5)</f>
        <v>2773.9144307547172</v>
      </c>
    </row>
    <row r="87" spans="2:12">
      <c r="B87" s="30" t="s">
        <v>4315</v>
      </c>
      <c r="C87" s="30" t="s">
        <v>4034</v>
      </c>
      <c r="D87" s="30" t="s">
        <v>4042</v>
      </c>
      <c r="E87" s="30" t="s">
        <v>1459</v>
      </c>
      <c r="F87" s="30" t="s">
        <v>1459</v>
      </c>
      <c r="G87" s="30" t="s">
        <v>237</v>
      </c>
      <c r="H87" s="1363">
        <v>0.25358999999999998</v>
      </c>
      <c r="I87" s="1363">
        <v>1.0357142857142857E-5</v>
      </c>
      <c r="J87" s="1363">
        <v>9.8490566037735838E-6</v>
      </c>
      <c r="K87" s="30">
        <v>8.931E-2</v>
      </c>
      <c r="L87" s="1190">
        <f>H87+(I87*GWPs!$C$4)+(J87*GWPs!$C$5)</f>
        <v>0.25658743530997308</v>
      </c>
    </row>
    <row r="88" spans="2:12">
      <c r="B88" s="30" t="s">
        <v>4315</v>
      </c>
      <c r="C88" s="30" t="s">
        <v>4034</v>
      </c>
      <c r="D88" s="30" t="s">
        <v>4042</v>
      </c>
      <c r="E88" s="30" t="s">
        <v>1459</v>
      </c>
      <c r="F88" s="30" t="s">
        <v>1459</v>
      </c>
      <c r="G88" s="30" t="s">
        <v>1609</v>
      </c>
      <c r="H88" s="1363">
        <v>0.26978000000000002</v>
      </c>
      <c r="I88" s="1363">
        <v>1.1071428571428571E-5</v>
      </c>
      <c r="J88" s="1363">
        <v>1.0490566037735849E-5</v>
      </c>
      <c r="K88" s="30">
        <v>9.5009999999999997E-2</v>
      </c>
      <c r="L88" s="1190">
        <f>H88+(I88*GWPs!$C$4)+(J88*GWPs!$C$5)</f>
        <v>0.27297385309973043</v>
      </c>
    </row>
    <row r="89" spans="2:12">
      <c r="B89" s="30" t="s">
        <v>4315</v>
      </c>
      <c r="C89" s="30" t="s">
        <v>4034</v>
      </c>
      <c r="D89" s="30" t="s">
        <v>4042</v>
      </c>
      <c r="E89" s="30" t="s">
        <v>1459</v>
      </c>
      <c r="F89" s="30" t="s">
        <v>1459</v>
      </c>
      <c r="G89" s="30" t="s">
        <v>241</v>
      </c>
      <c r="H89" s="1363">
        <v>2.72417</v>
      </c>
      <c r="I89" s="1363">
        <v>1.125E-4</v>
      </c>
      <c r="J89" s="1363">
        <v>1.06E-4</v>
      </c>
      <c r="K89" s="30">
        <v>0.94650000000000001</v>
      </c>
      <c r="L89" s="1190">
        <f>H89+(I89*GWPs!$C$4)+(J89*GWPs!$C$5)</f>
        <v>2.7564605000000002</v>
      </c>
    </row>
    <row r="90" spans="2:12">
      <c r="B90" s="30" t="s">
        <v>4315</v>
      </c>
      <c r="C90" s="30" t="s">
        <v>4034</v>
      </c>
      <c r="D90" s="30" t="s">
        <v>4042</v>
      </c>
      <c r="E90" s="30" t="s">
        <v>1459</v>
      </c>
      <c r="F90" s="30" t="s">
        <v>1459</v>
      </c>
      <c r="G90" s="30" t="s">
        <v>1607</v>
      </c>
      <c r="H90" s="1363">
        <v>3190</v>
      </c>
      <c r="I90" s="1363">
        <v>0.13159999999999999</v>
      </c>
      <c r="J90" s="1363">
        <v>0.12412750943396228</v>
      </c>
      <c r="K90" s="30">
        <v>1123.49881</v>
      </c>
      <c r="L90" s="1190">
        <f>H90+(I90*GWPs!$C$4)+(J90*GWPs!$C$5)</f>
        <v>3227.8084900754716</v>
      </c>
    </row>
    <row r="91" spans="2:12">
      <c r="B91" s="30" t="s">
        <v>4315</v>
      </c>
      <c r="C91" s="30" t="s">
        <v>4034</v>
      </c>
      <c r="D91" s="30" t="s">
        <v>4041</v>
      </c>
      <c r="E91" s="30" t="s">
        <v>1459</v>
      </c>
      <c r="F91" s="30" t="s">
        <v>1459</v>
      </c>
      <c r="G91" s="30" t="s">
        <v>237</v>
      </c>
      <c r="H91" s="1363">
        <v>0.26708999999999999</v>
      </c>
      <c r="I91" s="1363">
        <v>1.6071428571428572E-5</v>
      </c>
      <c r="J91" s="1363">
        <v>2.2641509433962262E-6</v>
      </c>
      <c r="K91" s="30">
        <v>9.3640000000000001E-2</v>
      </c>
      <c r="L91" s="1190">
        <f>H91+(I91*GWPs!$C$4)+(J91*GWPs!$C$5)</f>
        <v>0.26818704177897573</v>
      </c>
    </row>
    <row r="92" spans="2:12">
      <c r="B92" s="30" t="s">
        <v>4315</v>
      </c>
      <c r="C92" s="30" t="s">
        <v>4034</v>
      </c>
      <c r="D92" s="30" t="s">
        <v>4041</v>
      </c>
      <c r="E92" s="30" t="s">
        <v>1459</v>
      </c>
      <c r="F92" s="30" t="s">
        <v>1459</v>
      </c>
      <c r="G92" s="30" t="s">
        <v>1609</v>
      </c>
      <c r="H92" s="1363">
        <v>0.28412999999999999</v>
      </c>
      <c r="I92" s="1363">
        <v>1.6785714285714285E-5</v>
      </c>
      <c r="J92" s="1363">
        <v>2.3773584905660377E-6</v>
      </c>
      <c r="K92" s="30">
        <v>9.962E-2</v>
      </c>
      <c r="L92" s="1190">
        <f>H92+(I92*GWPs!$C$4)+(J92*GWPs!$C$5)</f>
        <v>0.28527923315363879</v>
      </c>
    </row>
    <row r="93" spans="2:12">
      <c r="B93" s="30" t="s">
        <v>4315</v>
      </c>
      <c r="C93" s="30" t="s">
        <v>4034</v>
      </c>
      <c r="D93" s="30" t="s">
        <v>4041</v>
      </c>
      <c r="E93" s="30" t="s">
        <v>1459</v>
      </c>
      <c r="F93" s="30" t="s">
        <v>1459</v>
      </c>
      <c r="G93" s="30" t="s">
        <v>241</v>
      </c>
      <c r="H93" s="1363">
        <v>3.16262</v>
      </c>
      <c r="I93" s="1363">
        <v>1.8928571428571429E-4</v>
      </c>
      <c r="J93" s="1363">
        <v>2.6452830188679246E-5</v>
      </c>
      <c r="K93" s="30">
        <v>1.1012500000000001</v>
      </c>
      <c r="L93" s="1190">
        <f>H93+(I93*GWPs!$C$4)+(J93*GWPs!$C$5)</f>
        <v>3.1754823369272236</v>
      </c>
    </row>
    <row r="94" spans="2:12">
      <c r="B94" s="30" t="s">
        <v>4315</v>
      </c>
      <c r="C94" s="30" t="s">
        <v>4034</v>
      </c>
      <c r="D94" s="30" t="s">
        <v>4041</v>
      </c>
      <c r="E94" s="30" t="s">
        <v>1459</v>
      </c>
      <c r="F94" s="30" t="s">
        <v>1459</v>
      </c>
      <c r="G94" s="30" t="s">
        <v>1607</v>
      </c>
      <c r="H94" s="1363">
        <v>3216.38</v>
      </c>
      <c r="I94" s="1363">
        <v>0.19239999999999999</v>
      </c>
      <c r="J94" s="1363">
        <v>2.6879207547169812E-2</v>
      </c>
      <c r="K94" s="30">
        <v>1132.08149</v>
      </c>
      <c r="L94" s="1190">
        <f>H94+(I94*GWPs!$C$4)+(J94*GWPs!$C$5)</f>
        <v>3229.4515436603779</v>
      </c>
    </row>
    <row r="95" spans="2:12">
      <c r="B95" s="30" t="s">
        <v>4315</v>
      </c>
      <c r="C95" s="30" t="s">
        <v>4034</v>
      </c>
      <c r="D95" s="30" t="s">
        <v>4043</v>
      </c>
      <c r="E95" s="30" t="s">
        <v>1459</v>
      </c>
      <c r="F95" s="30" t="s">
        <v>1459</v>
      </c>
      <c r="G95" s="30" t="s">
        <v>237</v>
      </c>
      <c r="H95" s="1363">
        <v>0.24571000000000001</v>
      </c>
      <c r="I95" s="1363">
        <v>1.1071428571428571E-5</v>
      </c>
      <c r="J95" s="1363">
        <v>2.2641509433962262E-6</v>
      </c>
      <c r="K95" s="30">
        <v>2.9229999999999999E-2</v>
      </c>
      <c r="L95" s="1190">
        <f>H95+(I95*GWPs!$C$4)+(J95*GWPs!$C$5)</f>
        <v>0.24665804177897577</v>
      </c>
    </row>
    <row r="96" spans="2:12">
      <c r="B96" s="30" t="s">
        <v>4315</v>
      </c>
      <c r="C96" s="30" t="s">
        <v>4034</v>
      </c>
      <c r="D96" s="30" t="s">
        <v>4043</v>
      </c>
      <c r="E96" s="30" t="s">
        <v>1459</v>
      </c>
      <c r="F96" s="30" t="s">
        <v>1459</v>
      </c>
      <c r="G96" s="30" t="s">
        <v>1609</v>
      </c>
      <c r="H96" s="1363">
        <v>0.25863999999999998</v>
      </c>
      <c r="I96" s="1363">
        <v>1.2142857142857144E-5</v>
      </c>
      <c r="J96" s="1363">
        <v>2.3773584905660377E-6</v>
      </c>
      <c r="K96" s="30">
        <v>3.0769999999999999E-2</v>
      </c>
      <c r="L96" s="1190">
        <f>H96+(I96*GWPs!$C$4)+(J96*GWPs!$C$5)</f>
        <v>0.25965087601078163</v>
      </c>
    </row>
    <row r="97" spans="2:12">
      <c r="B97" s="30" t="s">
        <v>4315</v>
      </c>
      <c r="C97" s="30" t="s">
        <v>4034</v>
      </c>
      <c r="D97" s="30" t="s">
        <v>4043</v>
      </c>
      <c r="E97" s="30" t="s">
        <v>1459</v>
      </c>
      <c r="F97" s="30" t="s">
        <v>1459</v>
      </c>
      <c r="G97" s="30" t="s">
        <v>241</v>
      </c>
      <c r="H97" s="1363">
        <v>0</v>
      </c>
      <c r="I97" s="1363">
        <v>0</v>
      </c>
      <c r="J97" s="1363">
        <v>0</v>
      </c>
      <c r="K97" s="30">
        <v>0</v>
      </c>
      <c r="L97" s="1190">
        <f>H97+(I97*GWPs!$C$4)+(J97*GWPs!$C$5)</f>
        <v>0</v>
      </c>
    </row>
    <row r="98" spans="2:12">
      <c r="B98" s="30" t="s">
        <v>4315</v>
      </c>
      <c r="C98" s="30" t="s">
        <v>4034</v>
      </c>
      <c r="D98" s="30" t="s">
        <v>4043</v>
      </c>
      <c r="E98" s="30" t="s">
        <v>1459</v>
      </c>
      <c r="F98" s="30" t="s">
        <v>1459</v>
      </c>
      <c r="G98" s="30" t="s">
        <v>1607</v>
      </c>
      <c r="H98" s="1363">
        <v>2933.33</v>
      </c>
      <c r="I98" s="1363">
        <v>0.1356</v>
      </c>
      <c r="J98" s="1363">
        <v>2.7147660377358492E-2</v>
      </c>
      <c r="K98" s="30">
        <v>348.98257999999998</v>
      </c>
      <c r="L98" s="1190">
        <f>H98+(I98*GWPs!$C$4)+(J98*GWPs!$C$5)</f>
        <v>2944.7821912830186</v>
      </c>
    </row>
    <row r="99" spans="2:12">
      <c r="B99" s="30" t="s">
        <v>4315</v>
      </c>
      <c r="C99" s="30" t="s">
        <v>4034</v>
      </c>
      <c r="D99" s="30" t="s">
        <v>4044</v>
      </c>
      <c r="E99" s="30" t="s">
        <v>1459</v>
      </c>
      <c r="F99" s="30" t="s">
        <v>1459</v>
      </c>
      <c r="G99" s="30" t="s">
        <v>237</v>
      </c>
      <c r="H99" s="1363">
        <v>0.25256000000000001</v>
      </c>
      <c r="I99" s="1363">
        <v>9.9999999999999991E-6</v>
      </c>
      <c r="J99" s="1363">
        <v>1.3471698113207547E-5</v>
      </c>
      <c r="K99" s="30">
        <v>8.8950000000000001E-2</v>
      </c>
      <c r="L99" s="1190">
        <f>H99+(I99*GWPs!$C$4)+(J99*GWPs!$C$5)</f>
        <v>0.2565357735849057</v>
      </c>
    </row>
    <row r="100" spans="2:12">
      <c r="B100" s="30" t="s">
        <v>4315</v>
      </c>
      <c r="C100" s="30" t="s">
        <v>4034</v>
      </c>
      <c r="D100" s="30" t="s">
        <v>4044</v>
      </c>
      <c r="E100" s="30" t="s">
        <v>1459</v>
      </c>
      <c r="F100" s="30" t="s">
        <v>1459</v>
      </c>
      <c r="G100" s="30" t="s">
        <v>1609</v>
      </c>
      <c r="H100" s="1363">
        <v>0.27046999999999999</v>
      </c>
      <c r="I100" s="1363">
        <v>1.0714285714285714E-5</v>
      </c>
      <c r="J100" s="1363">
        <v>1.4377358490566037E-5</v>
      </c>
      <c r="K100" s="30">
        <v>9.5259999999999997E-2</v>
      </c>
      <c r="L100" s="1190">
        <f>H100+(I100*GWPs!$C$4)+(J100*GWPs!$C$5)</f>
        <v>0.27471430458221019</v>
      </c>
    </row>
    <row r="101" spans="2:12">
      <c r="B101" s="30" t="s">
        <v>4315</v>
      </c>
      <c r="C101" s="30" t="s">
        <v>4034</v>
      </c>
      <c r="D101" s="30" t="s">
        <v>4044</v>
      </c>
      <c r="E101" s="30" t="s">
        <v>1459</v>
      </c>
      <c r="F101" s="30" t="s">
        <v>1459</v>
      </c>
      <c r="G101" s="30" t="s">
        <v>241</v>
      </c>
      <c r="H101" s="1363">
        <v>2.7080099999999998</v>
      </c>
      <c r="I101" s="1363">
        <v>1.0785714285714286E-4</v>
      </c>
      <c r="J101" s="1363">
        <v>1.4415094339622641E-4</v>
      </c>
      <c r="K101" s="30">
        <v>0</v>
      </c>
      <c r="L101" s="1190">
        <f>H101+(I101*GWPs!$C$4)+(J101*GWPs!$C$5)</f>
        <v>2.7505773504043125</v>
      </c>
    </row>
    <row r="102" spans="2:12">
      <c r="B102" s="30" t="s">
        <v>4315</v>
      </c>
      <c r="C102" s="30" t="s">
        <v>4034</v>
      </c>
      <c r="D102" s="30" t="s">
        <v>4044</v>
      </c>
      <c r="E102" s="30" t="s">
        <v>1459</v>
      </c>
      <c r="F102" s="30" t="s">
        <v>1459</v>
      </c>
      <c r="G102" s="30" t="s">
        <v>1607</v>
      </c>
      <c r="H102" s="1363">
        <v>3171.09</v>
      </c>
      <c r="I102" s="1363">
        <v>0.1268</v>
      </c>
      <c r="J102" s="1363">
        <v>0.16882550943396227</v>
      </c>
      <c r="K102" s="30">
        <v>1116.8371199999999</v>
      </c>
      <c r="L102" s="1190">
        <f>H102+(I102*GWPs!$C$4)+(J102*GWPs!$C$5)</f>
        <v>3220.9580040754718</v>
      </c>
    </row>
    <row r="103" spans="2:12">
      <c r="B103" s="30" t="s">
        <v>4315</v>
      </c>
      <c r="C103" s="30" t="s">
        <v>4047</v>
      </c>
      <c r="D103" s="30" t="s">
        <v>4050</v>
      </c>
      <c r="E103" s="30" t="s">
        <v>1459</v>
      </c>
      <c r="F103" s="30" t="s">
        <v>1459</v>
      </c>
      <c r="G103" s="30" t="s">
        <v>237</v>
      </c>
      <c r="H103" s="1363">
        <v>0.31458999999999998</v>
      </c>
      <c r="I103" s="1363">
        <v>1.0260714285714285E-3</v>
      </c>
      <c r="J103" s="1363">
        <v>1.4679245283018868E-5</v>
      </c>
      <c r="K103" s="30">
        <v>5.629E-2</v>
      </c>
      <c r="L103" s="1190">
        <f>H103+(I103*GWPs!$C$4)+(J103*GWPs!$C$5)</f>
        <v>0.34917436253369272</v>
      </c>
    </row>
    <row r="104" spans="2:12">
      <c r="B104" s="30" t="s">
        <v>4315</v>
      </c>
      <c r="C104" s="30" t="s">
        <v>4047</v>
      </c>
      <c r="D104" s="30" t="s">
        <v>4050</v>
      </c>
      <c r="E104" s="30" t="s">
        <v>1459</v>
      </c>
      <c r="F104" s="30" t="s">
        <v>1459</v>
      </c>
      <c r="G104" s="30" t="s">
        <v>1609</v>
      </c>
      <c r="H104" s="1363">
        <v>0.33115</v>
      </c>
      <c r="I104" s="1363">
        <v>1.08E-3</v>
      </c>
      <c r="J104" s="1363">
        <v>1.547169811320755E-5</v>
      </c>
      <c r="K104" s="30">
        <v>5.9249999999999997E-2</v>
      </c>
      <c r="L104" s="1190">
        <f>H104+(I104*GWPs!$C$4)+(J104*GWPs!$C$5)</f>
        <v>0.36755777358490566</v>
      </c>
    </row>
    <row r="105" spans="2:12">
      <c r="B105" s="30" t="s">
        <v>4315</v>
      </c>
      <c r="C105" s="30" t="s">
        <v>4047</v>
      </c>
      <c r="D105" s="30" t="s">
        <v>4050</v>
      </c>
      <c r="E105" s="30" t="s">
        <v>1459</v>
      </c>
      <c r="F105" s="30" t="s">
        <v>1459</v>
      </c>
      <c r="G105" s="30" t="s">
        <v>1607</v>
      </c>
      <c r="H105" s="1363">
        <v>2632</v>
      </c>
      <c r="I105" s="1363">
        <v>8.5839999999999996</v>
      </c>
      <c r="J105" s="1363">
        <v>0.12302015094339623</v>
      </c>
      <c r="K105" s="30">
        <v>470.95724000000001</v>
      </c>
      <c r="L105" s="1190">
        <f>H105+(I105*GWPs!$C$4)+(J105*GWPs!$C$5)</f>
        <v>2921.3877012075468</v>
      </c>
    </row>
    <row r="106" spans="2:12">
      <c r="B106" s="30" t="s">
        <v>4315</v>
      </c>
      <c r="C106" s="30" t="s">
        <v>4047</v>
      </c>
      <c r="D106" s="30" t="s">
        <v>4053</v>
      </c>
      <c r="E106" s="30" t="s">
        <v>1459</v>
      </c>
      <c r="F106" s="30" t="s">
        <v>1459</v>
      </c>
      <c r="G106" s="30" t="s">
        <v>237</v>
      </c>
      <c r="H106" s="1363">
        <v>0.31769999999999998</v>
      </c>
      <c r="I106" s="1363">
        <v>3.5714285714285718E-6</v>
      </c>
      <c r="J106" s="1363">
        <v>6.0000000000000002E-6</v>
      </c>
      <c r="K106" s="30">
        <v>5.629E-2</v>
      </c>
      <c r="L106" s="1190">
        <f>H106+(I106*GWPs!$C$4)+(J106*GWPs!$C$5)</f>
        <v>0.31944442857142852</v>
      </c>
    </row>
    <row r="107" spans="2:12">
      <c r="B107" s="30" t="s">
        <v>4315</v>
      </c>
      <c r="C107" s="30" t="s">
        <v>4047</v>
      </c>
      <c r="D107" s="30" t="s">
        <v>4053</v>
      </c>
      <c r="E107" s="30" t="s">
        <v>1459</v>
      </c>
      <c r="F107" s="30" t="s">
        <v>1459</v>
      </c>
      <c r="G107" s="30" t="s">
        <v>1609</v>
      </c>
      <c r="H107" s="1363">
        <v>0.33443000000000001</v>
      </c>
      <c r="I107" s="1363">
        <v>3.5714285714285718E-6</v>
      </c>
      <c r="J107" s="1363">
        <v>6.3396226415094341E-6</v>
      </c>
      <c r="K107" s="30">
        <v>5.9249999999999997E-2</v>
      </c>
      <c r="L107" s="1190">
        <f>H107+(I107*GWPs!$C$4)+(J107*GWPs!$C$5)</f>
        <v>0.33626714555256065</v>
      </c>
    </row>
    <row r="108" spans="2:12">
      <c r="B108" s="30" t="s">
        <v>4315</v>
      </c>
      <c r="C108" s="30" t="s">
        <v>4047</v>
      </c>
      <c r="D108" s="30" t="s">
        <v>4053</v>
      </c>
      <c r="E108" s="30" t="s">
        <v>1459</v>
      </c>
      <c r="F108" s="30" t="s">
        <v>1459</v>
      </c>
      <c r="G108" s="30" t="s">
        <v>1607</v>
      </c>
      <c r="H108" s="1363">
        <v>2209.87</v>
      </c>
      <c r="I108" s="1363">
        <v>2.4E-2</v>
      </c>
      <c r="J108" s="1363">
        <v>4.228188679245283E-2</v>
      </c>
      <c r="K108" s="30">
        <v>389.45704000000001</v>
      </c>
      <c r="L108" s="1190">
        <f>H108+(I108*GWPs!$C$4)+(J108*GWPs!$C$5)</f>
        <v>2222.1281550943395</v>
      </c>
    </row>
    <row r="109" spans="2:12">
      <c r="B109" s="30" t="s">
        <v>4315</v>
      </c>
      <c r="C109" s="30" t="s">
        <v>4047</v>
      </c>
      <c r="D109" s="30" t="s">
        <v>4049</v>
      </c>
      <c r="E109" s="30" t="s">
        <v>1459</v>
      </c>
      <c r="F109" s="30" t="s">
        <v>1459</v>
      </c>
      <c r="G109" s="30" t="s">
        <v>237</v>
      </c>
      <c r="H109" s="1363">
        <v>0.31769999999999998</v>
      </c>
      <c r="I109" s="1363">
        <v>3.5714285714285718E-6</v>
      </c>
      <c r="J109" s="1363">
        <v>6.0000000000000002E-6</v>
      </c>
      <c r="K109" s="30">
        <v>5.629E-2</v>
      </c>
      <c r="L109" s="1190">
        <f>H109+(I109*GWPs!$C$4)+(J109*GWPs!$C$5)</f>
        <v>0.31944442857142852</v>
      </c>
    </row>
    <row r="110" spans="2:12">
      <c r="B110" s="30" t="s">
        <v>4315</v>
      </c>
      <c r="C110" s="30" t="s">
        <v>4047</v>
      </c>
      <c r="D110" s="30" t="s">
        <v>4049</v>
      </c>
      <c r="E110" s="30" t="s">
        <v>1459</v>
      </c>
      <c r="F110" s="30" t="s">
        <v>1459</v>
      </c>
      <c r="G110" s="30" t="s">
        <v>1609</v>
      </c>
      <c r="H110" s="1363">
        <v>0.33443000000000001</v>
      </c>
      <c r="I110" s="1363">
        <v>3.5714285714285718E-6</v>
      </c>
      <c r="J110" s="1363">
        <v>6.3396226415094341E-6</v>
      </c>
      <c r="K110" s="30">
        <v>5.9249999999999997E-2</v>
      </c>
      <c r="L110" s="1190">
        <f>H110+(I110*GWPs!$C$4)+(J110*GWPs!$C$5)</f>
        <v>0.33626714555256065</v>
      </c>
    </row>
    <row r="111" spans="2:12">
      <c r="B111" s="30" t="s">
        <v>4315</v>
      </c>
      <c r="C111" s="30" t="s">
        <v>4047</v>
      </c>
      <c r="D111" s="30" t="s">
        <v>4049</v>
      </c>
      <c r="E111" s="30" t="s">
        <v>1459</v>
      </c>
      <c r="F111" s="30" t="s">
        <v>1459</v>
      </c>
      <c r="G111" s="30" t="s">
        <v>1607</v>
      </c>
      <c r="H111" s="1363">
        <v>2213.33</v>
      </c>
      <c r="I111" s="1363">
        <v>2.4E-2</v>
      </c>
      <c r="J111" s="1363">
        <v>4.2348981132075469E-2</v>
      </c>
      <c r="K111" s="30">
        <v>390.06646999999998</v>
      </c>
      <c r="L111" s="1190">
        <f>H111+(I111*GWPs!$C$4)+(J111*GWPs!$C$5)</f>
        <v>2225.6064718490566</v>
      </c>
    </row>
    <row r="112" spans="2:12">
      <c r="B112" s="30" t="s">
        <v>4315</v>
      </c>
      <c r="C112" s="30" t="s">
        <v>4047</v>
      </c>
      <c r="D112" s="30" t="s">
        <v>4048</v>
      </c>
      <c r="E112" s="30" t="s">
        <v>1459</v>
      </c>
      <c r="F112" s="30" t="s">
        <v>1459</v>
      </c>
      <c r="G112" s="30" t="s">
        <v>237</v>
      </c>
      <c r="H112" s="1363">
        <v>0.31914999999999999</v>
      </c>
      <c r="I112" s="1363">
        <v>3.678571428571429E-5</v>
      </c>
      <c r="J112" s="1363">
        <v>8.6037735849056608E-6</v>
      </c>
      <c r="K112" s="30">
        <v>5.629E-2</v>
      </c>
      <c r="L112" s="1190">
        <f>H112+(I112*GWPs!$C$4)+(J112*GWPs!$C$5)</f>
        <v>0.32259504447439352</v>
      </c>
    </row>
    <row r="113" spans="2:12">
      <c r="B113" s="30" t="s">
        <v>4315</v>
      </c>
      <c r="C113" s="30" t="s">
        <v>4047</v>
      </c>
      <c r="D113" s="30" t="s">
        <v>4048</v>
      </c>
      <c r="E113" s="30" t="s">
        <v>1459</v>
      </c>
      <c r="F113" s="30" t="s">
        <v>1459</v>
      </c>
      <c r="G113" s="30" t="s">
        <v>1609</v>
      </c>
      <c r="H113" s="1363">
        <v>0.33595000000000003</v>
      </c>
      <c r="I113" s="1363">
        <v>3.892857142857143E-5</v>
      </c>
      <c r="J113" s="1363">
        <v>9.0566037735849049E-6</v>
      </c>
      <c r="K113" s="30">
        <v>5.9249999999999997E-2</v>
      </c>
      <c r="L113" s="1190">
        <f>H113+(I113*GWPs!$C$4)+(J113*GWPs!$C$5)</f>
        <v>0.33958252425876012</v>
      </c>
    </row>
    <row r="114" spans="2:12">
      <c r="B114" s="30" t="s">
        <v>4315</v>
      </c>
      <c r="C114" s="30" t="s">
        <v>4047</v>
      </c>
      <c r="D114" s="30" t="s">
        <v>4048</v>
      </c>
      <c r="E114" s="30" t="s">
        <v>1459</v>
      </c>
      <c r="F114" s="30" t="s">
        <v>1459</v>
      </c>
      <c r="G114" s="30" t="s">
        <v>1607</v>
      </c>
      <c r="H114" s="1363">
        <v>2370.7199999999998</v>
      </c>
      <c r="I114" s="1363">
        <v>0.27279999999999999</v>
      </c>
      <c r="J114" s="1363">
        <v>6.3892603773584897E-2</v>
      </c>
      <c r="K114" s="30">
        <v>418.14963999999998</v>
      </c>
      <c r="L114" s="1190">
        <f>H114+(I114*GWPs!$C$4)+(J114*GWPs!$C$5)</f>
        <v>2396.2921208301887</v>
      </c>
    </row>
    <row r="115" spans="2:12">
      <c r="B115" s="30" t="s">
        <v>4315</v>
      </c>
      <c r="C115" s="30" t="s">
        <v>4047</v>
      </c>
      <c r="D115" s="30" t="s">
        <v>4051</v>
      </c>
      <c r="E115" s="30" t="s">
        <v>1459</v>
      </c>
      <c r="F115" s="30" t="s">
        <v>1459</v>
      </c>
      <c r="G115" s="30" t="s">
        <v>237</v>
      </c>
      <c r="H115" s="1363">
        <v>0.35559000000000002</v>
      </c>
      <c r="I115" s="1363">
        <v>3.392857142857143E-5</v>
      </c>
      <c r="J115" s="1363">
        <v>5.1320754716981136E-6</v>
      </c>
      <c r="K115" s="30">
        <v>5.629E-2</v>
      </c>
      <c r="L115" s="1190">
        <f>H115+(I115*GWPs!$C$4)+(J115*GWPs!$C$5)</f>
        <v>0.35800212803234505</v>
      </c>
    </row>
    <row r="116" spans="2:12">
      <c r="B116" s="30" t="s">
        <v>4315</v>
      </c>
      <c r="C116" s="30" t="s">
        <v>4047</v>
      </c>
      <c r="D116" s="30" t="s">
        <v>4051</v>
      </c>
      <c r="E116" s="30" t="s">
        <v>1459</v>
      </c>
      <c r="F116" s="30" t="s">
        <v>1459</v>
      </c>
      <c r="G116" s="30" t="s">
        <v>1609</v>
      </c>
      <c r="H116" s="1363">
        <v>0.37430999999999998</v>
      </c>
      <c r="I116" s="1363">
        <v>3.607142857142857E-5</v>
      </c>
      <c r="J116" s="1363">
        <v>5.3962264150943399E-6</v>
      </c>
      <c r="K116" s="30">
        <v>5.9249999999999997E-2</v>
      </c>
      <c r="L116" s="1190">
        <f>H116+(I116*GWPs!$C$4)+(J116*GWPs!$C$5)</f>
        <v>0.37685809838274925</v>
      </c>
    </row>
    <row r="117" spans="2:12">
      <c r="B117" s="30" t="s">
        <v>4315</v>
      </c>
      <c r="C117" s="30" t="s">
        <v>4047</v>
      </c>
      <c r="D117" s="30" t="s">
        <v>4051</v>
      </c>
      <c r="E117" s="30" t="s">
        <v>1459</v>
      </c>
      <c r="F117" s="30" t="s">
        <v>1459</v>
      </c>
      <c r="G117" s="30" t="s">
        <v>1607</v>
      </c>
      <c r="H117" s="1363">
        <v>3144.16</v>
      </c>
      <c r="I117" s="1363">
        <v>0.3024</v>
      </c>
      <c r="J117" s="1363">
        <v>4.5369132075471698E-2</v>
      </c>
      <c r="K117" s="30">
        <v>497.73658</v>
      </c>
      <c r="L117" s="1190">
        <f>H117+(I117*GWPs!$C$4)+(J117*GWPs!$C$5)</f>
        <v>3165.5572930566036</v>
      </c>
    </row>
    <row r="118" spans="2:12">
      <c r="B118" s="30" t="s">
        <v>4315</v>
      </c>
      <c r="C118" s="30" t="s">
        <v>4047</v>
      </c>
      <c r="D118" s="30" t="s">
        <v>4052</v>
      </c>
      <c r="E118" s="30" t="s">
        <v>1459</v>
      </c>
      <c r="F118" s="30" t="s">
        <v>1459</v>
      </c>
      <c r="G118" s="30" t="s">
        <v>237</v>
      </c>
      <c r="H118" s="1363">
        <v>0.33996999999999999</v>
      </c>
      <c r="I118" s="1363">
        <v>1.3571428571428572E-5</v>
      </c>
      <c r="J118" s="1363">
        <v>2.1509433962264152E-6</v>
      </c>
      <c r="K118" s="30">
        <v>4.0529999999999997E-2</v>
      </c>
      <c r="L118" s="1190">
        <f>H118+(I118*GWPs!$C$4)+(J118*GWPs!$C$5)</f>
        <v>0.34096163611859837</v>
      </c>
    </row>
    <row r="119" spans="2:12">
      <c r="B119" s="30" t="s">
        <v>4315</v>
      </c>
      <c r="C119" s="30" t="s">
        <v>4047</v>
      </c>
      <c r="D119" s="30" t="s">
        <v>4052</v>
      </c>
      <c r="E119" s="30" t="s">
        <v>1459</v>
      </c>
      <c r="F119" s="30" t="s">
        <v>1459</v>
      </c>
      <c r="G119" s="30" t="s">
        <v>1609</v>
      </c>
      <c r="H119" s="1363">
        <v>0.35786000000000001</v>
      </c>
      <c r="I119" s="1363">
        <v>1.4285714285714287E-5</v>
      </c>
      <c r="J119" s="1363">
        <v>2.2641509433962262E-6</v>
      </c>
      <c r="K119" s="30">
        <v>4.267E-2</v>
      </c>
      <c r="L119" s="1190">
        <f>H119+(I119*GWPs!$C$4)+(J119*GWPs!$C$5)</f>
        <v>0.3589038274932615</v>
      </c>
    </row>
    <row r="120" spans="2:12">
      <c r="B120" s="30" t="s">
        <v>4315</v>
      </c>
      <c r="C120" s="30" t="s">
        <v>4047</v>
      </c>
      <c r="D120" s="30" t="s">
        <v>4052</v>
      </c>
      <c r="E120" s="30" t="s">
        <v>1459</v>
      </c>
      <c r="F120" s="30" t="s">
        <v>1459</v>
      </c>
      <c r="G120" s="30" t="s">
        <v>1607</v>
      </c>
      <c r="H120" s="1363">
        <v>3377.05</v>
      </c>
      <c r="I120" s="1363">
        <v>0.1368</v>
      </c>
      <c r="J120" s="1363">
        <v>2.1476528301886792E-2</v>
      </c>
      <c r="K120" s="30">
        <v>402.62468000000001</v>
      </c>
      <c r="L120" s="1190">
        <f>H120+(I120*GWPs!$C$4)+(J120*GWPs!$C$5)</f>
        <v>3386.9897322264155</v>
      </c>
    </row>
  </sheetData>
  <sheetProtection algorithmName="SHA-512" hashValue="AuYj9AA8gtIIzs2jISK7kirHJjKt+PGRHSaPWVeIFROZob1v6YatmvLo+gs6bRZPMfa/K7M/C/cZoTyaU1XguQ==" saltValue="b8EUS7sefTVVoRb1WGkWLg==" spinCount="100000" sheet="1" objects="1" scenarios="1" selectLockedCells="1" selectUnlockedCell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2F99-845D-4EFD-85E2-DAF8F78BC20D}">
  <sheetPr codeName="Sheet36"/>
  <dimension ref="A2:Q13"/>
  <sheetViews>
    <sheetView showGridLines="0" workbookViewId="0">
      <selection sqref="A1:XFD1048576"/>
    </sheetView>
  </sheetViews>
  <sheetFormatPr defaultColWidth="9.125" defaultRowHeight="14.25"/>
  <cols>
    <col min="1" max="1" width="21" style="104" customWidth="1"/>
    <col min="2" max="2" width="25.625" style="104" customWidth="1"/>
    <col min="3" max="3" width="12.625" style="1368" customWidth="1"/>
    <col min="4" max="11" width="9.125" style="104"/>
    <col min="12" max="12" width="12.625" style="104" bestFit="1" customWidth="1"/>
    <col min="13" max="15" width="9.125" style="104" customWidth="1"/>
    <col min="16" max="16384" width="9.125" style="104"/>
  </cols>
  <sheetData>
    <row r="2" spans="1:17" ht="41.45" customHeight="1">
      <c r="A2" s="1364" t="s">
        <v>1581</v>
      </c>
      <c r="B2" s="1365" t="s">
        <v>1582</v>
      </c>
      <c r="C2" s="1366" t="s">
        <v>24</v>
      </c>
    </row>
    <row r="3" spans="1:17">
      <c r="B3" s="1367" t="s">
        <v>1583</v>
      </c>
      <c r="C3" s="1368" cm="1">
        <f t="array" ref="C3">_xlfn.IFS($B$2="SAR",M4,$B$2="AR4",N4,$B$2="AR5",O4,$B$2="AR6",P4)</f>
        <v>1</v>
      </c>
      <c r="M3" s="104" t="s">
        <v>25</v>
      </c>
      <c r="N3" s="104" t="s">
        <v>1584</v>
      </c>
      <c r="O3" s="104" t="s">
        <v>1585</v>
      </c>
      <c r="P3" s="104" t="s">
        <v>1582</v>
      </c>
    </row>
    <row r="4" spans="1:17">
      <c r="B4" s="1367" t="s">
        <v>1586</v>
      </c>
      <c r="C4" s="1368" cm="1">
        <f t="array" ref="C4">_xlfn.IFS($B$2="SAR",M5,$B$2="AR4",N5,$B$2="AR5",O5,$B$2="AR6",P5)</f>
        <v>29.8</v>
      </c>
      <c r="L4" s="1367" t="s">
        <v>1583</v>
      </c>
      <c r="M4" s="104">
        <v>1</v>
      </c>
      <c r="N4" s="104">
        <v>1</v>
      </c>
      <c r="O4" s="104">
        <v>1</v>
      </c>
      <c r="P4" s="1369">
        <v>1</v>
      </c>
    </row>
    <row r="5" spans="1:17">
      <c r="B5" s="1367" t="s">
        <v>1587</v>
      </c>
      <c r="C5" s="1368" cm="1">
        <f t="array" ref="C5">_xlfn.IFS($B$2="SAR",M6,$B$2="AR4",N6,$B$2="AR5",O6,$B$2="AR6",P6)</f>
        <v>273</v>
      </c>
      <c r="L5" s="1367" t="s">
        <v>1586</v>
      </c>
      <c r="M5" s="104">
        <v>21</v>
      </c>
      <c r="N5" s="104">
        <v>25</v>
      </c>
      <c r="O5" s="104">
        <v>28</v>
      </c>
      <c r="P5" s="1369">
        <v>29.8</v>
      </c>
      <c r="Q5" s="1370" t="s">
        <v>1588</v>
      </c>
    </row>
    <row r="6" spans="1:17" ht="15">
      <c r="B6" s="1371" t="s">
        <v>37</v>
      </c>
      <c r="C6" s="1368" cm="1">
        <f t="array" ref="C6">_xlfn.IFS($B$2="SAR",M7,$B$2="AR4",N7,$B$2="AR5",O7,$B$2="AR6",P7)</f>
        <v>3600</v>
      </c>
      <c r="L6" s="1367" t="s">
        <v>1587</v>
      </c>
      <c r="M6" s="104">
        <v>310</v>
      </c>
      <c r="N6" s="104">
        <v>298</v>
      </c>
      <c r="O6" s="104">
        <v>265</v>
      </c>
      <c r="P6" s="1369">
        <v>273</v>
      </c>
    </row>
    <row r="7" spans="1:17" ht="15">
      <c r="B7" s="1371" t="s">
        <v>34</v>
      </c>
      <c r="C7" s="1368" cm="1">
        <f t="array" ref="C7">_xlfn.IFS($B$2="SAR",M8,$B$2="AR4",N8,$B$2="AR5",O8,$B$2="AR6",P8)</f>
        <v>1530</v>
      </c>
      <c r="L7" s="1371" t="s">
        <v>37</v>
      </c>
      <c r="M7" s="30">
        <v>2900</v>
      </c>
      <c r="N7" s="104">
        <v>3220</v>
      </c>
      <c r="O7" s="30">
        <v>3350</v>
      </c>
      <c r="P7" s="1372">
        <v>3600</v>
      </c>
    </row>
    <row r="8" spans="1:17" ht="15">
      <c r="L8" s="1371" t="s">
        <v>34</v>
      </c>
      <c r="M8" s="30">
        <v>1300</v>
      </c>
      <c r="N8" s="30">
        <v>1300</v>
      </c>
      <c r="O8" s="30">
        <v>1430</v>
      </c>
      <c r="P8" s="1372">
        <v>1530</v>
      </c>
    </row>
    <row r="9" spans="1:17" ht="46.5" customHeight="1">
      <c r="B9" s="1373"/>
      <c r="C9" s="1374"/>
    </row>
    <row r="10" spans="1:17" ht="15">
      <c r="A10" s="1375" t="s">
        <v>1589</v>
      </c>
    </row>
    <row r="11" spans="1:17">
      <c r="A11" s="104" t="s">
        <v>1590</v>
      </c>
    </row>
    <row r="12" spans="1:17">
      <c r="A12" s="104" t="s">
        <v>1591</v>
      </c>
    </row>
    <row r="13" spans="1:17">
      <c r="A13" s="1376" t="s">
        <v>1592</v>
      </c>
    </row>
  </sheetData>
  <sheetProtection algorithmName="SHA-512" hashValue="CuDwpN4KyI1krLrxZeccnAmZ3Qw8nopWZL3LbXvtn620XlhfdWqbI5jvDOBYIjTd/Ug2j/Km0FK8MrVO9Na92A==" saltValue="70Cw/mKletyJA4sn1oEhjg==" spinCount="100000" sheet="1" objects="1" scenarios="1" selectLockedCells="1" selectUnlockedCells="1"/>
  <dataValidations count="1">
    <dataValidation type="list" showInputMessage="1" showErrorMessage="1" sqref="B2" xr:uid="{5533282D-A8BA-4EA7-9E19-8D7BB0B76C95}">
      <formula1>$M$3:$P$3</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7BD7-40C0-4B56-A6A5-9519AE1DE572}">
  <sheetPr codeName="Sheet37"/>
  <dimension ref="A1:E186"/>
  <sheetViews>
    <sheetView zoomScale="85" zoomScaleNormal="85" workbookViewId="0">
      <selection sqref="A1:XFD1048576"/>
    </sheetView>
  </sheetViews>
  <sheetFormatPr defaultRowHeight="14.25"/>
  <cols>
    <col min="1" max="1" width="84.25" style="30" bestFit="1" customWidth="1"/>
    <col min="2" max="2" width="79.125" style="30" bestFit="1" customWidth="1"/>
    <col min="3" max="3" width="20.125" style="42" customWidth="1"/>
    <col min="4" max="4" width="42.125" style="30" bestFit="1" customWidth="1"/>
    <col min="5" max="16384" width="9" style="30"/>
  </cols>
  <sheetData>
    <row r="1" spans="1:5" s="1380" customFormat="1" ht="63">
      <c r="A1" s="1377" t="s">
        <v>3912</v>
      </c>
      <c r="B1" s="1377" t="s">
        <v>3913</v>
      </c>
      <c r="C1" s="1378" t="s">
        <v>3911</v>
      </c>
      <c r="D1" s="1379" t="s">
        <v>4269</v>
      </c>
      <c r="E1" s="30"/>
    </row>
    <row r="2" spans="1:5">
      <c r="A2" s="30" t="s">
        <v>985</v>
      </c>
      <c r="B2" s="30" t="s">
        <v>3886</v>
      </c>
      <c r="C2" s="42">
        <v>5.1040409437033758E-2</v>
      </c>
    </row>
    <row r="3" spans="1:5">
      <c r="A3" s="30" t="s">
        <v>1651</v>
      </c>
      <c r="B3" s="30" t="s">
        <v>3892</v>
      </c>
      <c r="C3" s="42">
        <v>7.990387797281108E-2</v>
      </c>
    </row>
    <row r="4" spans="1:5">
      <c r="A4" s="30" t="s">
        <v>802</v>
      </c>
      <c r="B4" s="30" t="s">
        <v>3829</v>
      </c>
      <c r="C4" s="42">
        <v>0.18357870343512098</v>
      </c>
    </row>
    <row r="5" spans="1:5">
      <c r="A5" s="30" t="s">
        <v>960</v>
      </c>
      <c r="B5" s="30" t="s">
        <v>3879</v>
      </c>
      <c r="C5" s="42">
        <v>2.5908728671845224E-2</v>
      </c>
    </row>
    <row r="6" spans="1:5">
      <c r="A6" s="30" t="s">
        <v>681</v>
      </c>
      <c r="B6" s="30" t="s">
        <v>3809</v>
      </c>
      <c r="C6" s="42">
        <v>0.17841151165367372</v>
      </c>
    </row>
    <row r="7" spans="1:5">
      <c r="A7" s="30" t="s">
        <v>626</v>
      </c>
      <c r="B7" s="30" t="s">
        <v>3797</v>
      </c>
      <c r="C7" s="42">
        <v>0.91182658241602332</v>
      </c>
    </row>
    <row r="8" spans="1:5">
      <c r="A8" s="30" t="s">
        <v>441</v>
      </c>
      <c r="B8" s="30" t="s">
        <v>3756</v>
      </c>
      <c r="C8" s="42">
        <v>0.28259786835996981</v>
      </c>
    </row>
    <row r="9" spans="1:5">
      <c r="A9" s="30" t="s">
        <v>466</v>
      </c>
      <c r="B9" s="30" t="s">
        <v>3761</v>
      </c>
      <c r="C9" s="42">
        <v>0.87330696027888088</v>
      </c>
    </row>
    <row r="10" spans="1:5">
      <c r="A10" s="30" t="s">
        <v>511</v>
      </c>
      <c r="B10" s="30" t="s">
        <v>3772</v>
      </c>
      <c r="C10" s="42">
        <v>0.1122367954298099</v>
      </c>
    </row>
    <row r="11" spans="1:5">
      <c r="A11" s="30" t="s">
        <v>649</v>
      </c>
      <c r="B11" s="30" t="s">
        <v>3802</v>
      </c>
      <c r="C11" s="42">
        <v>0.22476480370445998</v>
      </c>
    </row>
    <row r="12" spans="1:5">
      <c r="A12" s="30" t="s">
        <v>988</v>
      </c>
      <c r="B12" s="30" t="s">
        <v>3887</v>
      </c>
      <c r="C12" s="42">
        <v>9.7224280655303433E-2</v>
      </c>
    </row>
    <row r="13" spans="1:5">
      <c r="A13" s="30" t="s">
        <v>736</v>
      </c>
      <c r="B13" s="30" t="s">
        <v>3818</v>
      </c>
      <c r="C13" s="42">
        <v>7.6061902574695153E-2</v>
      </c>
    </row>
    <row r="14" spans="1:5">
      <c r="A14" s="30" t="s">
        <v>883</v>
      </c>
      <c r="B14" s="30" t="s">
        <v>3846</v>
      </c>
      <c r="C14" s="42">
        <v>0.10458992791546914</v>
      </c>
    </row>
    <row r="15" spans="1:5">
      <c r="A15" s="30" t="s">
        <v>970</v>
      </c>
      <c r="B15" s="30" t="s">
        <v>3881</v>
      </c>
      <c r="C15" s="42">
        <v>0.10351735071676278</v>
      </c>
    </row>
    <row r="16" spans="1:5">
      <c r="A16" s="30" t="s">
        <v>1099</v>
      </c>
      <c r="B16" s="30" t="s">
        <v>3909</v>
      </c>
      <c r="C16" s="42">
        <v>0.84351110652189398</v>
      </c>
    </row>
    <row r="17" spans="1:3">
      <c r="A17" s="30" t="s">
        <v>474</v>
      </c>
      <c r="B17" s="30" t="s">
        <v>3763</v>
      </c>
      <c r="C17" s="42">
        <v>0.28386354216361959</v>
      </c>
    </row>
    <row r="18" spans="1:3">
      <c r="A18" s="30" t="s">
        <v>550</v>
      </c>
      <c r="B18" s="30" t="s">
        <v>3781</v>
      </c>
      <c r="C18" s="42">
        <v>0.94789181700745229</v>
      </c>
    </row>
    <row r="19" spans="1:3">
      <c r="A19" s="30" t="s">
        <v>486</v>
      </c>
      <c r="B19" s="30" t="s">
        <v>3765</v>
      </c>
      <c r="C19" s="42">
        <v>0.21775735726786752</v>
      </c>
    </row>
    <row r="20" spans="1:3">
      <c r="A20" s="30" t="s">
        <v>653</v>
      </c>
      <c r="B20" s="30" t="s">
        <v>3803</v>
      </c>
      <c r="C20" s="42">
        <v>0.26143061380828253</v>
      </c>
    </row>
    <row r="21" spans="1:3">
      <c r="A21" s="30" t="s">
        <v>887</v>
      </c>
      <c r="B21" s="30" t="s">
        <v>3847</v>
      </c>
      <c r="C21" s="42">
        <v>8.8082618697473317E-2</v>
      </c>
    </row>
    <row r="22" spans="1:3">
      <c r="A22" s="30" t="s">
        <v>1016</v>
      </c>
      <c r="B22" s="30" t="s">
        <v>3898</v>
      </c>
      <c r="C22" s="42">
        <v>0.10157431237502258</v>
      </c>
    </row>
    <row r="23" spans="1:3">
      <c r="A23" s="30" t="s">
        <v>924</v>
      </c>
      <c r="B23" s="30" t="s">
        <v>3868</v>
      </c>
      <c r="C23" s="42">
        <v>9.2676347630373926E-2</v>
      </c>
    </row>
    <row r="24" spans="1:3">
      <c r="A24" s="30" t="s">
        <v>350</v>
      </c>
      <c r="B24" s="30" t="s">
        <v>3740</v>
      </c>
      <c r="C24" s="42">
        <v>2.7093040936204345</v>
      </c>
    </row>
    <row r="25" spans="1:3">
      <c r="A25" s="30" t="s">
        <v>604</v>
      </c>
      <c r="B25" s="30" t="s">
        <v>3792</v>
      </c>
      <c r="C25" s="42">
        <v>0.96153400661189647</v>
      </c>
    </row>
    <row r="26" spans="1:3">
      <c r="A26" s="30" t="s">
        <v>598</v>
      </c>
      <c r="B26" s="30" t="s">
        <v>3790</v>
      </c>
      <c r="C26" s="42">
        <v>0.39325359968995316</v>
      </c>
    </row>
    <row r="27" spans="1:3">
      <c r="A27" s="30" t="s">
        <v>896</v>
      </c>
      <c r="B27" s="30" t="s">
        <v>3851</v>
      </c>
      <c r="C27" s="42">
        <v>0.13978711492247869</v>
      </c>
    </row>
    <row r="28" spans="1:3">
      <c r="A28" s="30" t="s">
        <v>374</v>
      </c>
      <c r="B28" s="30" t="s">
        <v>3746</v>
      </c>
      <c r="C28" s="42">
        <v>0.74426651982932934</v>
      </c>
    </row>
    <row r="29" spans="1:3">
      <c r="A29" s="30" t="s">
        <v>668</v>
      </c>
      <c r="B29" s="30" t="s">
        <v>3807</v>
      </c>
      <c r="C29" s="42">
        <v>0.35547450244075307</v>
      </c>
    </row>
    <row r="30" spans="1:3">
      <c r="A30" s="30" t="s">
        <v>1032</v>
      </c>
      <c r="B30" s="30" t="s">
        <v>1032</v>
      </c>
      <c r="C30" s="42">
        <v>18.042957150748691</v>
      </c>
    </row>
    <row r="31" spans="1:3">
      <c r="A31" s="30" t="s">
        <v>975</v>
      </c>
      <c r="B31" s="30" t="s">
        <v>3883</v>
      </c>
      <c r="C31" s="42">
        <v>9.9869019288866004E-2</v>
      </c>
    </row>
    <row r="32" spans="1:3">
      <c r="A32" s="30" t="s">
        <v>692</v>
      </c>
      <c r="B32" s="30" t="s">
        <v>3811</v>
      </c>
      <c r="C32" s="42">
        <v>0.1519375117896565</v>
      </c>
    </row>
    <row r="33" spans="1:3">
      <c r="A33" s="30" t="s">
        <v>731</v>
      </c>
      <c r="B33" s="30" t="s">
        <v>3817</v>
      </c>
      <c r="C33" s="42">
        <v>8.9608670602305124E-2</v>
      </c>
    </row>
    <row r="34" spans="1:3">
      <c r="A34" s="30" t="s">
        <v>726</v>
      </c>
      <c r="B34" s="30" t="s">
        <v>3816</v>
      </c>
      <c r="C34" s="42">
        <v>8.5016001075034667E-2</v>
      </c>
    </row>
    <row r="35" spans="1:3">
      <c r="A35" s="30" t="s">
        <v>994</v>
      </c>
      <c r="B35" s="30" t="s">
        <v>3889</v>
      </c>
      <c r="C35" s="42">
        <v>8.6852900020517862E-2</v>
      </c>
    </row>
    <row r="36" spans="1:3">
      <c r="A36" s="30" t="s">
        <v>973</v>
      </c>
      <c r="B36" s="30" t="s">
        <v>3882</v>
      </c>
      <c r="C36" s="42">
        <v>9.5335778944943592E-2</v>
      </c>
    </row>
    <row r="37" spans="1:3">
      <c r="A37" s="30" t="s">
        <v>533</v>
      </c>
      <c r="B37" s="30" t="s">
        <v>3778</v>
      </c>
      <c r="C37" s="42">
        <v>0.37557390385625394</v>
      </c>
    </row>
    <row r="38" spans="1:3">
      <c r="A38" s="30" t="s">
        <v>1647</v>
      </c>
      <c r="B38" s="30" t="s">
        <v>3861</v>
      </c>
      <c r="C38" s="42">
        <v>0.29607438888046844</v>
      </c>
    </row>
    <row r="39" spans="1:3">
      <c r="A39" s="30" t="s">
        <v>646</v>
      </c>
      <c r="B39" s="30" t="s">
        <v>3801</v>
      </c>
      <c r="C39" s="42">
        <v>0.20726801262309477</v>
      </c>
    </row>
    <row r="40" spans="1:3">
      <c r="A40" s="30" t="s">
        <v>459</v>
      </c>
      <c r="B40" s="30" t="s">
        <v>3760</v>
      </c>
      <c r="C40" s="42">
        <v>0.70770364549558396</v>
      </c>
    </row>
    <row r="41" spans="1:3">
      <c r="A41" s="30" t="s">
        <v>935</v>
      </c>
      <c r="B41" s="30" t="s">
        <v>3872</v>
      </c>
      <c r="C41" s="42">
        <v>9.5265356997078082E-2</v>
      </c>
    </row>
    <row r="42" spans="1:3">
      <c r="A42" s="30" t="s">
        <v>1642</v>
      </c>
      <c r="B42" s="30" t="s">
        <v>3856</v>
      </c>
      <c r="C42" s="42">
        <v>0.84013965909058808</v>
      </c>
    </row>
    <row r="43" spans="1:3">
      <c r="A43" s="30" t="s">
        <v>870</v>
      </c>
      <c r="B43" s="30" t="s">
        <v>3842</v>
      </c>
      <c r="C43" s="42">
        <v>8.3090886937079472E-2</v>
      </c>
    </row>
    <row r="44" spans="1:3">
      <c r="A44" s="30" t="s">
        <v>760</v>
      </c>
      <c r="B44" s="30" t="s">
        <v>3822</v>
      </c>
      <c r="C44" s="42">
        <v>0.16546328018089171</v>
      </c>
    </row>
    <row r="45" spans="1:3">
      <c r="A45" s="30" t="s">
        <v>767</v>
      </c>
      <c r="B45" s="30" t="s">
        <v>3824</v>
      </c>
      <c r="C45" s="42">
        <v>0.14898203191532886</v>
      </c>
    </row>
    <row r="46" spans="1:3">
      <c r="A46" s="30" t="s">
        <v>1102</v>
      </c>
      <c r="B46" s="30" t="s">
        <v>3910</v>
      </c>
      <c r="C46" s="42">
        <v>0.84351110652189398</v>
      </c>
    </row>
    <row r="47" spans="1:3">
      <c r="A47" s="30" t="s">
        <v>901</v>
      </c>
      <c r="B47" s="30" t="s">
        <v>3853</v>
      </c>
      <c r="C47" s="42">
        <v>8.9748819258554921E-2</v>
      </c>
    </row>
    <row r="48" spans="1:3">
      <c r="A48" s="30" t="s">
        <v>1031</v>
      </c>
      <c r="B48" s="30" t="s">
        <v>3903</v>
      </c>
      <c r="C48" s="42">
        <v>0.17222753317781581</v>
      </c>
    </row>
    <row r="49" spans="1:3">
      <c r="A49" s="30" t="s">
        <v>1013</v>
      </c>
      <c r="B49" s="30" t="s">
        <v>3897</v>
      </c>
      <c r="C49" s="42">
        <v>4.6594288466174652E-2</v>
      </c>
    </row>
    <row r="50" spans="1:3">
      <c r="A50" s="30" t="s">
        <v>709</v>
      </c>
      <c r="B50" s="30" t="s">
        <v>3814</v>
      </c>
      <c r="C50" s="42">
        <v>0.19604619931334985</v>
      </c>
    </row>
    <row r="51" spans="1:3">
      <c r="A51" s="30" t="s">
        <v>498</v>
      </c>
      <c r="B51" s="30" t="s">
        <v>3768</v>
      </c>
      <c r="C51" s="42">
        <v>0.49816299180115869</v>
      </c>
    </row>
    <row r="52" spans="1:3">
      <c r="A52" s="30" t="s">
        <v>1010</v>
      </c>
      <c r="B52" s="30" t="s">
        <v>3896</v>
      </c>
      <c r="C52" s="42">
        <v>0.18151323473441147</v>
      </c>
    </row>
    <row r="53" spans="1:3">
      <c r="A53" s="30" t="s">
        <v>495</v>
      </c>
      <c r="B53" s="30" t="s">
        <v>3767</v>
      </c>
      <c r="C53" s="42">
        <v>0.64777454226298636</v>
      </c>
    </row>
    <row r="54" spans="1:3">
      <c r="A54" s="30" t="s">
        <v>364</v>
      </c>
      <c r="B54" s="30" t="s">
        <v>89</v>
      </c>
      <c r="C54" s="42">
        <v>0.15123438834904507</v>
      </c>
    </row>
    <row r="55" spans="1:3">
      <c r="A55" s="30" t="s">
        <v>640</v>
      </c>
      <c r="B55" s="30" t="s">
        <v>3800</v>
      </c>
      <c r="C55" s="42">
        <v>0.40129398023863294</v>
      </c>
    </row>
    <row r="56" spans="1:3">
      <c r="A56" s="30" t="s">
        <v>636</v>
      </c>
      <c r="B56" s="30" t="s">
        <v>3799</v>
      </c>
      <c r="C56" s="42">
        <v>0.46264689217818089</v>
      </c>
    </row>
    <row r="57" spans="1:3">
      <c r="A57" s="30" t="s">
        <v>341</v>
      </c>
      <c r="B57" s="30" t="s">
        <v>3737</v>
      </c>
      <c r="C57" s="42">
        <v>0.51178627603681748</v>
      </c>
    </row>
    <row r="58" spans="1:3">
      <c r="A58" s="30" t="s">
        <v>455</v>
      </c>
      <c r="B58" s="30" t="s">
        <v>3759</v>
      </c>
      <c r="C58" s="42">
        <v>0.3515497272629019</v>
      </c>
    </row>
    <row r="59" spans="1:3">
      <c r="A59" s="30" t="s">
        <v>894</v>
      </c>
      <c r="B59" s="30" t="s">
        <v>3850</v>
      </c>
      <c r="C59" s="42">
        <v>0.1852876399452234</v>
      </c>
    </row>
    <row r="60" spans="1:3">
      <c r="A60" s="30" t="s">
        <v>1643</v>
      </c>
      <c r="B60" s="30" t="s">
        <v>3857</v>
      </c>
      <c r="C60" s="42">
        <v>0.61301120062175607</v>
      </c>
    </row>
    <row r="61" spans="1:3">
      <c r="A61" s="30" t="s">
        <v>899</v>
      </c>
      <c r="B61" s="30" t="s">
        <v>3852</v>
      </c>
      <c r="C61" s="42">
        <v>0.14608494602854927</v>
      </c>
    </row>
    <row r="62" spans="1:3">
      <c r="A62" s="30" t="s">
        <v>601</v>
      </c>
      <c r="B62" s="30" t="s">
        <v>3791</v>
      </c>
      <c r="C62" s="42">
        <v>0.5215272934117785</v>
      </c>
    </row>
    <row r="63" spans="1:3">
      <c r="A63" s="30" t="s">
        <v>445</v>
      </c>
      <c r="B63" s="30" t="s">
        <v>3757</v>
      </c>
      <c r="C63" s="42">
        <v>0.43172671035390303</v>
      </c>
    </row>
    <row r="64" spans="1:3">
      <c r="A64" s="30" t="s">
        <v>344</v>
      </c>
      <c r="B64" s="30" t="s">
        <v>3738</v>
      </c>
      <c r="C64" s="42">
        <v>0.32207045223992981</v>
      </c>
    </row>
    <row r="65" spans="1:3">
      <c r="A65" s="30" t="s">
        <v>873</v>
      </c>
      <c r="B65" s="30" t="s">
        <v>3843</v>
      </c>
      <c r="C65" s="42">
        <v>0.1394347042932732</v>
      </c>
    </row>
    <row r="66" spans="1:3">
      <c r="A66" s="30" t="s">
        <v>890</v>
      </c>
      <c r="B66" s="30" t="s">
        <v>3848</v>
      </c>
      <c r="C66" s="42">
        <v>0.16017125530488893</v>
      </c>
    </row>
    <row r="67" spans="1:3">
      <c r="A67" s="30" t="s">
        <v>658</v>
      </c>
      <c r="B67" s="30" t="s">
        <v>3804</v>
      </c>
      <c r="C67" s="42">
        <v>0.17693815070269164</v>
      </c>
    </row>
    <row r="68" spans="1:3">
      <c r="A68" s="30" t="s">
        <v>892</v>
      </c>
      <c r="B68" s="30" t="s">
        <v>3849</v>
      </c>
      <c r="C68" s="42">
        <v>0.13142710647710371</v>
      </c>
    </row>
    <row r="69" spans="1:3">
      <c r="A69" s="30" t="s">
        <v>1639</v>
      </c>
      <c r="B69" s="30" t="s">
        <v>3755</v>
      </c>
      <c r="C69" s="42">
        <v>0.23585781525796312</v>
      </c>
    </row>
    <row r="70" spans="1:3">
      <c r="A70" s="30" t="s">
        <v>822</v>
      </c>
      <c r="B70" s="30" t="s">
        <v>3833</v>
      </c>
      <c r="C70" s="42">
        <v>0.18905828504424835</v>
      </c>
    </row>
    <row r="71" spans="1:3">
      <c r="A71" s="30" t="s">
        <v>764</v>
      </c>
      <c r="B71" s="30" t="s">
        <v>3823</v>
      </c>
      <c r="C71" s="42">
        <v>0.14320652718436636</v>
      </c>
    </row>
    <row r="72" spans="1:3">
      <c r="A72" s="30" t="s">
        <v>862</v>
      </c>
      <c r="B72" s="30" t="s">
        <v>3840</v>
      </c>
      <c r="C72" s="42">
        <v>7.2844888134668287E-2</v>
      </c>
    </row>
    <row r="73" spans="1:3">
      <c r="A73" s="30" t="s">
        <v>687</v>
      </c>
      <c r="B73" s="30" t="s">
        <v>3810</v>
      </c>
      <c r="C73" s="42">
        <v>0.15770855760025318</v>
      </c>
    </row>
    <row r="74" spans="1:3">
      <c r="A74" s="30" t="s">
        <v>963</v>
      </c>
      <c r="B74" s="30" t="s">
        <v>3880</v>
      </c>
      <c r="C74" s="42">
        <v>0.19638685353411536</v>
      </c>
    </row>
    <row r="75" spans="1:3">
      <c r="A75" s="30" t="s">
        <v>957</v>
      </c>
      <c r="B75" s="30" t="s">
        <v>3878</v>
      </c>
      <c r="C75" s="42">
        <v>3.2030029317057257E-2</v>
      </c>
    </row>
    <row r="76" spans="1:3">
      <c r="A76" s="30" t="s">
        <v>1021</v>
      </c>
      <c r="B76" s="30" t="s">
        <v>3900</v>
      </c>
      <c r="C76" s="42">
        <v>6.7519546947366629E-2</v>
      </c>
    </row>
    <row r="77" spans="1:3">
      <c r="A77" s="30" t="s">
        <v>620</v>
      </c>
      <c r="B77" s="30" t="s">
        <v>3795</v>
      </c>
      <c r="C77" s="42">
        <v>0.87565666222288985</v>
      </c>
    </row>
    <row r="78" spans="1:3">
      <c r="A78" s="30" t="s">
        <v>514</v>
      </c>
      <c r="B78" s="30" t="s">
        <v>3773</v>
      </c>
      <c r="C78" s="42">
        <v>0.26280814447919126</v>
      </c>
    </row>
    <row r="79" spans="1:3">
      <c r="A79" s="30" t="s">
        <v>982</v>
      </c>
      <c r="B79" s="30" t="s">
        <v>3885</v>
      </c>
      <c r="C79" s="42">
        <v>3.449646633762745E-2</v>
      </c>
    </row>
    <row r="80" spans="1:3">
      <c r="A80" s="30" t="s">
        <v>978</v>
      </c>
      <c r="B80" s="30" t="s">
        <v>3884</v>
      </c>
      <c r="C80" s="42">
        <v>4.9060407076315114E-2</v>
      </c>
    </row>
    <row r="81" spans="1:3">
      <c r="A81" s="30" t="s">
        <v>3733</v>
      </c>
      <c r="B81" s="30" t="s">
        <v>3733</v>
      </c>
      <c r="C81" s="42">
        <v>4.2927895840233905</v>
      </c>
    </row>
    <row r="82" spans="1:3">
      <c r="A82" s="30" t="s">
        <v>610</v>
      </c>
      <c r="B82" s="30" t="s">
        <v>3793</v>
      </c>
      <c r="C82" s="42">
        <v>1.4140889217241495</v>
      </c>
    </row>
    <row r="83" spans="1:3">
      <c r="A83" s="30" t="s">
        <v>664</v>
      </c>
      <c r="B83" s="30" t="s">
        <v>3806</v>
      </c>
      <c r="C83" s="42">
        <v>0.23958641643871489</v>
      </c>
    </row>
    <row r="84" spans="1:3">
      <c r="A84" s="30" t="s">
        <v>865</v>
      </c>
      <c r="B84" s="30" t="s">
        <v>3841</v>
      </c>
      <c r="C84" s="42">
        <v>0.10054321369470946</v>
      </c>
    </row>
    <row r="85" spans="1:3">
      <c r="A85" s="30" t="s">
        <v>1653</v>
      </c>
      <c r="B85" s="30" t="s">
        <v>3894</v>
      </c>
      <c r="C85" s="42">
        <v>7.6518824601260527E-2</v>
      </c>
    </row>
    <row r="86" spans="1:3">
      <c r="A86" s="30" t="s">
        <v>1649</v>
      </c>
      <c r="B86" s="30" t="s">
        <v>3890</v>
      </c>
      <c r="C86" s="42">
        <v>7.6336099837735427E-2</v>
      </c>
    </row>
    <row r="87" spans="1:3">
      <c r="A87" s="30" t="s">
        <v>757</v>
      </c>
      <c r="B87" s="30" t="s">
        <v>3821</v>
      </c>
      <c r="C87" s="42">
        <v>5.928897157100621E-2</v>
      </c>
    </row>
    <row r="88" spans="1:3">
      <c r="A88" s="30" t="s">
        <v>838</v>
      </c>
      <c r="B88" s="30" t="s">
        <v>3836</v>
      </c>
      <c r="C88" s="42">
        <v>0.13236007266134769</v>
      </c>
    </row>
    <row r="89" spans="1:3">
      <c r="A89" s="30" t="s">
        <v>377</v>
      </c>
      <c r="B89" s="30" t="s">
        <v>3747</v>
      </c>
      <c r="C89" s="42">
        <v>0.4847240511035022</v>
      </c>
    </row>
    <row r="90" spans="1:3">
      <c r="A90" s="30" t="s">
        <v>702</v>
      </c>
      <c r="B90" s="30" t="s">
        <v>3813</v>
      </c>
      <c r="C90" s="42">
        <v>0.19224868474261997</v>
      </c>
    </row>
    <row r="91" spans="1:3">
      <c r="A91" s="30" t="s">
        <v>944</v>
      </c>
      <c r="B91" s="30" t="s">
        <v>3874</v>
      </c>
      <c r="C91" s="42">
        <v>5.210589944559129E-2</v>
      </c>
    </row>
    <row r="92" spans="1:3">
      <c r="A92" s="30" t="s">
        <v>915</v>
      </c>
      <c r="B92" s="30" t="s">
        <v>3865</v>
      </c>
      <c r="C92" s="42">
        <v>5.1153030971859692E-2</v>
      </c>
    </row>
    <row r="93" spans="1:3">
      <c r="A93" s="30" t="s">
        <v>854</v>
      </c>
      <c r="B93" s="30" t="s">
        <v>3838</v>
      </c>
      <c r="C93" s="42">
        <v>0.1003622436779939</v>
      </c>
    </row>
    <row r="94" spans="1:3">
      <c r="A94" s="30" t="s">
        <v>786</v>
      </c>
      <c r="B94" s="30" t="s">
        <v>3827</v>
      </c>
      <c r="C94" s="42">
        <v>0.17035056850156868</v>
      </c>
    </row>
    <row r="95" spans="1:3">
      <c r="A95" s="30" t="s">
        <v>781</v>
      </c>
      <c r="B95" s="30" t="s">
        <v>3826</v>
      </c>
      <c r="C95" s="42">
        <v>0.24627628136883406</v>
      </c>
    </row>
    <row r="96" spans="1:3">
      <c r="A96" s="30" t="s">
        <v>792</v>
      </c>
      <c r="B96" s="30" t="s">
        <v>3828</v>
      </c>
      <c r="C96" s="42">
        <v>0.28259855488754793</v>
      </c>
    </row>
    <row r="97" spans="1:3">
      <c r="A97" s="30" t="s">
        <v>392</v>
      </c>
      <c r="B97" s="30" t="s">
        <v>3750</v>
      </c>
      <c r="C97" s="42">
        <v>0.56545636459237858</v>
      </c>
    </row>
    <row r="98" spans="1:3">
      <c r="A98" s="30" t="s">
        <v>745</v>
      </c>
      <c r="B98" s="30" t="s">
        <v>3820</v>
      </c>
      <c r="C98" s="42">
        <v>8.5639702923242425E-2</v>
      </c>
    </row>
    <row r="99" spans="1:3">
      <c r="A99" s="30" t="s">
        <v>905</v>
      </c>
      <c r="B99" s="30" t="s">
        <v>3863</v>
      </c>
      <c r="C99" s="42">
        <v>9.8968705995702788E-2</v>
      </c>
    </row>
    <row r="100" spans="1:3">
      <c r="A100" s="30" t="s">
        <v>947</v>
      </c>
      <c r="B100" s="30" t="s">
        <v>3875</v>
      </c>
      <c r="C100" s="42">
        <v>6.2699615391574273E-2</v>
      </c>
    </row>
    <row r="101" spans="1:3">
      <c r="A101" s="30" t="s">
        <v>631</v>
      </c>
      <c r="B101" s="30" t="s">
        <v>3798</v>
      </c>
      <c r="C101" s="42">
        <v>0.45052981852705776</v>
      </c>
    </row>
    <row r="102" spans="1:3">
      <c r="A102" s="30" t="s">
        <v>382</v>
      </c>
      <c r="B102" s="30" t="s">
        <v>3748</v>
      </c>
      <c r="C102" s="42">
        <v>0.26452040277196848</v>
      </c>
    </row>
    <row r="103" spans="1:3">
      <c r="A103" s="30" t="s">
        <v>403</v>
      </c>
      <c r="B103" s="30" t="s">
        <v>3753</v>
      </c>
      <c r="C103" s="42">
        <v>0.20463545150551543</v>
      </c>
    </row>
    <row r="104" spans="1:3">
      <c r="A104" s="30" t="s">
        <v>1007</v>
      </c>
      <c r="B104" s="30" t="s">
        <v>3895</v>
      </c>
      <c r="C104" s="42">
        <v>9.1370075375055093E-2</v>
      </c>
    </row>
    <row r="105" spans="1:3">
      <c r="A105" s="30" t="s">
        <v>830</v>
      </c>
      <c r="B105" s="30" t="s">
        <v>3834</v>
      </c>
      <c r="C105" s="42">
        <v>0.22219265463185472</v>
      </c>
    </row>
    <row r="106" spans="1:3">
      <c r="A106" s="30" t="s">
        <v>1042</v>
      </c>
      <c r="B106" s="30" t="s">
        <v>3905</v>
      </c>
      <c r="C106" s="42">
        <v>5.3230199626021789E-2</v>
      </c>
    </row>
    <row r="107" spans="1:3">
      <c r="A107" s="30" t="s">
        <v>1045</v>
      </c>
      <c r="B107" s="30" t="s">
        <v>3906</v>
      </c>
      <c r="C107" s="42">
        <v>9.8788224914930653E-2</v>
      </c>
    </row>
    <row r="108" spans="1:3">
      <c r="A108" s="30" t="s">
        <v>1039</v>
      </c>
      <c r="B108" s="30" t="s">
        <v>3904</v>
      </c>
      <c r="C108" s="42">
        <v>7.8403567730306004E-2</v>
      </c>
    </row>
    <row r="109" spans="1:3">
      <c r="A109" s="30" t="s">
        <v>372</v>
      </c>
      <c r="B109" s="30" t="s">
        <v>3745</v>
      </c>
      <c r="C109" s="42">
        <v>0.64687192603541832</v>
      </c>
    </row>
    <row r="110" spans="1:3">
      <c r="A110" s="30" t="s">
        <v>333</v>
      </c>
      <c r="B110" s="30" t="s">
        <v>3735</v>
      </c>
      <c r="C110" s="42">
        <v>0.8067879852310843</v>
      </c>
    </row>
    <row r="111" spans="1:3">
      <c r="A111" s="30" t="s">
        <v>355</v>
      </c>
      <c r="B111" s="30" t="s">
        <v>3742</v>
      </c>
      <c r="C111" s="42">
        <v>1.1753847250806608</v>
      </c>
    </row>
    <row r="112" spans="1:3">
      <c r="A112" s="30" t="s">
        <v>579</v>
      </c>
      <c r="B112" s="30" t="s">
        <v>3787</v>
      </c>
      <c r="C112" s="42">
        <v>0.45157218783987285</v>
      </c>
    </row>
    <row r="113" spans="1:3">
      <c r="A113" s="30" t="s">
        <v>347</v>
      </c>
      <c r="B113" s="30" t="s">
        <v>3739</v>
      </c>
      <c r="C113" s="42">
        <v>0.77594533923334241</v>
      </c>
    </row>
    <row r="114" spans="1:3">
      <c r="A114" s="30" t="s">
        <v>855</v>
      </c>
      <c r="B114" s="30" t="s">
        <v>855</v>
      </c>
      <c r="C114" s="42">
        <v>13.888985547600251</v>
      </c>
    </row>
    <row r="115" spans="1:3">
      <c r="A115" s="30" t="s">
        <v>1034</v>
      </c>
      <c r="B115" s="30" t="s">
        <v>1034</v>
      </c>
      <c r="C115" s="42">
        <v>13.917715364982449</v>
      </c>
    </row>
    <row r="116" spans="1:3">
      <c r="A116" s="30" t="s">
        <v>773</v>
      </c>
      <c r="B116" s="30" t="s">
        <v>3825</v>
      </c>
      <c r="C116" s="42">
        <v>0.18790288127690313</v>
      </c>
    </row>
    <row r="117" spans="1:3">
      <c r="A117" s="30" t="s">
        <v>671</v>
      </c>
      <c r="B117" s="30" t="s">
        <v>3808</v>
      </c>
      <c r="C117" s="42">
        <v>0.17739061857726438</v>
      </c>
    </row>
    <row r="118" spans="1:3">
      <c r="A118" s="30" t="s">
        <v>953</v>
      </c>
      <c r="B118" s="30" t="s">
        <v>3877</v>
      </c>
      <c r="C118" s="42">
        <v>5.7767771287606011E-2</v>
      </c>
    </row>
    <row r="119" spans="1:3">
      <c r="A119" s="30" t="s">
        <v>479</v>
      </c>
      <c r="B119" s="30" t="s">
        <v>3764</v>
      </c>
      <c r="C119" s="42">
        <v>0.32627060870537666</v>
      </c>
    </row>
    <row r="120" spans="1:3">
      <c r="A120" s="30" t="s">
        <v>835</v>
      </c>
      <c r="B120" s="30" t="s">
        <v>3835</v>
      </c>
      <c r="C120" s="42">
        <v>0.15968740740460041</v>
      </c>
    </row>
    <row r="121" spans="1:3">
      <c r="A121" s="30" t="s">
        <v>715</v>
      </c>
      <c r="B121" s="30" t="s">
        <v>3815</v>
      </c>
      <c r="C121" s="42">
        <v>0.19168941784695961</v>
      </c>
    </row>
    <row r="122" spans="1:3">
      <c r="A122" s="30" t="s">
        <v>938</v>
      </c>
      <c r="B122" s="30" t="s">
        <v>3873</v>
      </c>
      <c r="C122" s="42">
        <v>6.6167778490209592E-2</v>
      </c>
    </row>
    <row r="123" spans="1:3">
      <c r="A123" s="30" t="s">
        <v>845</v>
      </c>
      <c r="B123" s="30" t="s">
        <v>3837</v>
      </c>
      <c r="C123" s="42">
        <v>0.16782966789096548</v>
      </c>
    </row>
    <row r="124" spans="1:3">
      <c r="A124" s="30" t="s">
        <v>866</v>
      </c>
      <c r="B124" s="30" t="s">
        <v>866</v>
      </c>
      <c r="C124" s="42">
        <v>18.55743869165811</v>
      </c>
    </row>
    <row r="125" spans="1:3">
      <c r="A125" s="30" t="s">
        <v>613</v>
      </c>
      <c r="B125" s="30" t="s">
        <v>3794</v>
      </c>
      <c r="C125" s="42">
        <v>0.3593425731332443</v>
      </c>
    </row>
    <row r="126" spans="1:3">
      <c r="A126" s="30" t="s">
        <v>1645</v>
      </c>
      <c r="B126" s="30" t="s">
        <v>3859</v>
      </c>
      <c r="C126" s="42">
        <v>1.4877070603367648</v>
      </c>
    </row>
    <row r="127" spans="1:3">
      <c r="A127" s="30" t="s">
        <v>1652</v>
      </c>
      <c r="B127" s="30" t="s">
        <v>3893</v>
      </c>
      <c r="C127" s="42">
        <v>9.6117174860469681E-2</v>
      </c>
    </row>
    <row r="128" spans="1:3">
      <c r="A128" s="30" t="s">
        <v>966</v>
      </c>
      <c r="B128" s="30" t="s">
        <v>966</v>
      </c>
      <c r="C128" s="42">
        <v>31.670935481294688</v>
      </c>
    </row>
    <row r="129" spans="1:3">
      <c r="A129" s="30" t="s">
        <v>884</v>
      </c>
      <c r="B129" s="30" t="s">
        <v>884</v>
      </c>
      <c r="C129" s="42">
        <v>14.23997190945912</v>
      </c>
    </row>
    <row r="130" spans="1:3">
      <c r="A130" s="30" t="s">
        <v>1027</v>
      </c>
      <c r="B130" s="30" t="s">
        <v>3902</v>
      </c>
      <c r="C130" s="42">
        <v>0.11524766980660348</v>
      </c>
    </row>
    <row r="131" spans="1:3">
      <c r="A131" s="30" t="s">
        <v>932</v>
      </c>
      <c r="B131" s="30" t="s">
        <v>3871</v>
      </c>
      <c r="C131" s="42">
        <v>7.7141729318222704E-2</v>
      </c>
    </row>
    <row r="132" spans="1:3">
      <c r="A132" s="30" t="s">
        <v>508</v>
      </c>
      <c r="B132" s="30" t="s">
        <v>3771</v>
      </c>
      <c r="C132" s="42">
        <v>0.23836246596716806</v>
      </c>
    </row>
    <row r="133" spans="1:3">
      <c r="A133" s="30" t="s">
        <v>1644</v>
      </c>
      <c r="B133" s="30" t="s">
        <v>3858</v>
      </c>
      <c r="C133" s="42">
        <v>0.56258724703301022</v>
      </c>
    </row>
    <row r="134" spans="1:3">
      <c r="A134" s="30" t="s">
        <v>817</v>
      </c>
      <c r="B134" s="30" t="s">
        <v>3832</v>
      </c>
      <c r="C134" s="42">
        <v>0.2645432506047396</v>
      </c>
    </row>
    <row r="135" spans="1:3">
      <c r="A135" s="30" t="s">
        <v>523</v>
      </c>
      <c r="B135" s="30" t="s">
        <v>3776</v>
      </c>
      <c r="C135" s="42">
        <v>0.18062885205933349</v>
      </c>
    </row>
    <row r="136" spans="1:3">
      <c r="A136" s="30" t="s">
        <v>1048</v>
      </c>
      <c r="B136" s="30" t="s">
        <v>3907</v>
      </c>
      <c r="C136" s="42">
        <v>9.0493636490256324E-2</v>
      </c>
    </row>
    <row r="137" spans="1:3">
      <c r="A137" s="30" t="s">
        <v>571</v>
      </c>
      <c r="B137" s="30" t="s">
        <v>3785</v>
      </c>
      <c r="C137" s="42">
        <v>0.38869719320199753</v>
      </c>
    </row>
    <row r="138" spans="1:3">
      <c r="A138" s="30" t="s">
        <v>561</v>
      </c>
      <c r="B138" s="30" t="s">
        <v>3783</v>
      </c>
      <c r="C138" s="42">
        <v>0.91580673530408829</v>
      </c>
    </row>
    <row r="139" spans="1:3">
      <c r="A139" s="30" t="s">
        <v>544</v>
      </c>
      <c r="B139" s="30" t="s">
        <v>3780</v>
      </c>
      <c r="C139" s="42">
        <v>0.5259315614215303</v>
      </c>
    </row>
    <row r="140" spans="1:3">
      <c r="A140" s="30" t="s">
        <v>876</v>
      </c>
      <c r="B140" s="30" t="s">
        <v>3844</v>
      </c>
      <c r="C140" s="42">
        <v>8.905702166160738E-2</v>
      </c>
    </row>
    <row r="141" spans="1:3">
      <c r="A141" s="30" t="s">
        <v>565</v>
      </c>
      <c r="B141" s="30" t="s">
        <v>3784</v>
      </c>
      <c r="C141" s="42">
        <v>0.14687544316686987</v>
      </c>
    </row>
    <row r="142" spans="1:3">
      <c r="A142" s="30" t="s">
        <v>584</v>
      </c>
      <c r="B142" s="30" t="s">
        <v>3788</v>
      </c>
      <c r="C142" s="42">
        <v>0.40804309612188228</v>
      </c>
    </row>
    <row r="143" spans="1:3">
      <c r="A143" s="30" t="s">
        <v>1646</v>
      </c>
      <c r="B143" s="30" t="s">
        <v>3860</v>
      </c>
      <c r="C143" s="42">
        <v>7.205521246643018E-2</v>
      </c>
    </row>
    <row r="144" spans="1:3">
      <c r="A144" s="30" t="s">
        <v>358</v>
      </c>
      <c r="B144" s="30" t="s">
        <v>3741</v>
      </c>
      <c r="C144" s="42">
        <v>0.45643853825986691</v>
      </c>
    </row>
    <row r="145" spans="1:3">
      <c r="A145" s="30" t="s">
        <v>540</v>
      </c>
      <c r="B145" s="30" t="s">
        <v>3779</v>
      </c>
      <c r="C145" s="42">
        <v>0.22334786888384645</v>
      </c>
    </row>
    <row r="146" spans="1:3">
      <c r="A146" s="30" t="s">
        <v>859</v>
      </c>
      <c r="B146" s="30" t="s">
        <v>3839</v>
      </c>
      <c r="C146" s="42">
        <v>6.5016727498690627E-2</v>
      </c>
    </row>
    <row r="147" spans="1:3">
      <c r="A147" s="30" t="s">
        <v>528</v>
      </c>
      <c r="B147" s="30" t="s">
        <v>3777</v>
      </c>
      <c r="C147" s="42">
        <v>0.73976072013633121</v>
      </c>
    </row>
    <row r="148" spans="1:3">
      <c r="A148" s="30" t="s">
        <v>921</v>
      </c>
      <c r="B148" s="30" t="s">
        <v>3867</v>
      </c>
      <c r="C148" s="42">
        <v>7.7803397214795317E-2</v>
      </c>
    </row>
    <row r="149" spans="1:3">
      <c r="A149" s="30" t="s">
        <v>1641</v>
      </c>
      <c r="B149" s="30" t="s">
        <v>3855</v>
      </c>
      <c r="C149" s="42">
        <v>0.44093628227177761</v>
      </c>
    </row>
    <row r="150" spans="1:3">
      <c r="A150" s="30" t="s">
        <v>810</v>
      </c>
      <c r="B150" s="30" t="s">
        <v>3830</v>
      </c>
      <c r="C150" s="42">
        <v>0.40974657404318326</v>
      </c>
    </row>
    <row r="151" spans="1:3">
      <c r="A151" s="30" t="s">
        <v>398</v>
      </c>
      <c r="B151" s="30" t="s">
        <v>3752</v>
      </c>
      <c r="C151" s="42">
        <v>0.19950971024409947</v>
      </c>
    </row>
    <row r="152" spans="1:3">
      <c r="A152" s="30" t="s">
        <v>556</v>
      </c>
      <c r="B152" s="30" t="s">
        <v>3782</v>
      </c>
      <c r="C152" s="42">
        <v>0.89836970528170801</v>
      </c>
    </row>
    <row r="153" spans="1:3">
      <c r="A153" s="30" t="s">
        <v>593</v>
      </c>
      <c r="B153" s="30" t="s">
        <v>3789</v>
      </c>
      <c r="C153" s="42">
        <v>0.29243348097476518</v>
      </c>
    </row>
    <row r="154" spans="1:3">
      <c r="A154" s="30" t="s">
        <v>517</v>
      </c>
      <c r="B154" s="30" t="s">
        <v>3774</v>
      </c>
      <c r="C154" s="42">
        <v>0.29911601647669256</v>
      </c>
    </row>
    <row r="155" spans="1:3">
      <c r="A155" s="30" t="s">
        <v>3734</v>
      </c>
      <c r="B155" s="30" t="s">
        <v>3734</v>
      </c>
      <c r="C155" s="42">
        <v>20.862493841357455</v>
      </c>
    </row>
    <row r="156" spans="1:3">
      <c r="A156" s="30" t="s">
        <v>1640</v>
      </c>
      <c r="B156" s="30" t="s">
        <v>3854</v>
      </c>
      <c r="C156" s="42">
        <v>0.61430175086944783</v>
      </c>
    </row>
    <row r="157" spans="1:3">
      <c r="A157" s="30" t="s">
        <v>1650</v>
      </c>
      <c r="B157" s="30" t="s">
        <v>3891</v>
      </c>
      <c r="C157" s="42">
        <v>0.14708560139184146</v>
      </c>
    </row>
    <row r="158" spans="1:3">
      <c r="A158" s="30" t="s">
        <v>471</v>
      </c>
      <c r="B158" s="30" t="s">
        <v>3762</v>
      </c>
      <c r="C158" s="42">
        <v>0.24788681568942864</v>
      </c>
    </row>
    <row r="159" spans="1:3">
      <c r="A159" s="30" t="s">
        <v>950</v>
      </c>
      <c r="B159" s="30" t="s">
        <v>3876</v>
      </c>
      <c r="C159" s="42">
        <v>3.7613747055800568E-2</v>
      </c>
    </row>
    <row r="160" spans="1:3">
      <c r="A160" s="30" t="s">
        <v>739</v>
      </c>
      <c r="B160" s="30" t="s">
        <v>3819</v>
      </c>
      <c r="C160" s="42">
        <v>0.11023682259801572</v>
      </c>
    </row>
    <row r="161" spans="1:3">
      <c r="A161" s="30" t="s">
        <v>1024</v>
      </c>
      <c r="B161" s="30" t="s">
        <v>3901</v>
      </c>
      <c r="C161" s="42">
        <v>0.19430454032725403</v>
      </c>
    </row>
    <row r="162" spans="1:3">
      <c r="A162" s="30" t="s">
        <v>813</v>
      </c>
      <c r="B162" s="30" t="s">
        <v>3831</v>
      </c>
      <c r="C162" s="42">
        <v>0.17416496246977098</v>
      </c>
    </row>
    <row r="163" spans="1:3">
      <c r="A163" s="30" t="s">
        <v>575</v>
      </c>
      <c r="B163" s="30" t="s">
        <v>3786</v>
      </c>
      <c r="C163" s="42">
        <v>0.29753215114052683</v>
      </c>
    </row>
    <row r="164" spans="1:3">
      <c r="A164" s="30" t="s">
        <v>912</v>
      </c>
      <c r="B164" s="30" t="s">
        <v>3864</v>
      </c>
      <c r="C164" s="42">
        <v>7.7457296033295958E-2</v>
      </c>
    </row>
    <row r="165" spans="1:3">
      <c r="A165" s="30" t="s">
        <v>918</v>
      </c>
      <c r="B165" s="30" t="s">
        <v>3866</v>
      </c>
      <c r="C165" s="42">
        <v>4.3823242382235297E-2</v>
      </c>
    </row>
    <row r="166" spans="1:3">
      <c r="A166" s="30" t="s">
        <v>1092</v>
      </c>
      <c r="B166" s="30" t="s">
        <v>3908</v>
      </c>
      <c r="C166" s="42">
        <v>0.2080505680046395</v>
      </c>
    </row>
    <row r="167" spans="1:3">
      <c r="A167" s="30" t="s">
        <v>991</v>
      </c>
      <c r="B167" s="30" t="s">
        <v>3888</v>
      </c>
      <c r="C167" s="42">
        <v>8.8538578902404769E-2</v>
      </c>
    </row>
    <row r="168" spans="1:3">
      <c r="A168" s="30" t="s">
        <v>661</v>
      </c>
      <c r="B168" s="30" t="s">
        <v>3805</v>
      </c>
      <c r="C168" s="42">
        <v>0.21626016473832246</v>
      </c>
    </row>
    <row r="169" spans="1:3">
      <c r="A169" s="30" t="s">
        <v>623</v>
      </c>
      <c r="B169" s="30" t="s">
        <v>3796</v>
      </c>
      <c r="C169" s="42">
        <v>0.40006026270076295</v>
      </c>
    </row>
    <row r="170" spans="1:3">
      <c r="A170" s="30" t="s">
        <v>452</v>
      </c>
      <c r="B170" s="30" t="s">
        <v>3758</v>
      </c>
      <c r="C170" s="42">
        <v>0.33534039488687023</v>
      </c>
    </row>
    <row r="171" spans="1:3">
      <c r="A171" s="30" t="s">
        <v>368</v>
      </c>
      <c r="B171" s="30" t="s">
        <v>3744</v>
      </c>
      <c r="C171" s="42">
        <v>0.37673605589818909</v>
      </c>
    </row>
    <row r="172" spans="1:3">
      <c r="A172" s="30" t="s">
        <v>387</v>
      </c>
      <c r="B172" s="30" t="s">
        <v>3749</v>
      </c>
      <c r="C172" s="42">
        <v>0.39207218597081628</v>
      </c>
    </row>
    <row r="173" spans="1:3">
      <c r="A173" s="30" t="s">
        <v>501</v>
      </c>
      <c r="B173" s="30" t="s">
        <v>3769</v>
      </c>
      <c r="C173" s="42">
        <v>0.38973956339844928</v>
      </c>
    </row>
    <row r="174" spans="1:3">
      <c r="A174" s="30" t="s">
        <v>504</v>
      </c>
      <c r="B174" s="30" t="s">
        <v>3770</v>
      </c>
      <c r="C174" s="42">
        <v>0.27482845180803916</v>
      </c>
    </row>
    <row r="175" spans="1:3">
      <c r="A175" s="30" t="s">
        <v>361</v>
      </c>
      <c r="B175" s="30" t="s">
        <v>3743</v>
      </c>
      <c r="C175" s="42">
        <v>0.23832852645087088</v>
      </c>
    </row>
    <row r="176" spans="1:3">
      <c r="A176" s="30" t="s">
        <v>492</v>
      </c>
      <c r="B176" s="30" t="s">
        <v>3766</v>
      </c>
      <c r="C176" s="42">
        <v>9.3829383926760462E-2</v>
      </c>
    </row>
    <row r="177" spans="1:3">
      <c r="A177" s="30" t="s">
        <v>1018</v>
      </c>
      <c r="B177" s="30" t="s">
        <v>3899</v>
      </c>
      <c r="C177" s="42">
        <v>8.0070878735500201E-2</v>
      </c>
    </row>
    <row r="178" spans="1:3">
      <c r="A178" s="30" t="s">
        <v>406</v>
      </c>
      <c r="B178" s="30" t="s">
        <v>3754</v>
      </c>
      <c r="C178" s="42">
        <v>0.24412718628486599</v>
      </c>
    </row>
    <row r="179" spans="1:3">
      <c r="A179" s="30" t="s">
        <v>338</v>
      </c>
      <c r="B179" s="30" t="s">
        <v>3736</v>
      </c>
      <c r="C179" s="42">
        <v>0.6613056120630999</v>
      </c>
    </row>
    <row r="180" spans="1:3">
      <c r="A180" s="30" t="s">
        <v>520</v>
      </c>
      <c r="B180" s="30" t="s">
        <v>3775</v>
      </c>
      <c r="C180" s="42">
        <v>0.23497920002412789</v>
      </c>
    </row>
    <row r="181" spans="1:3">
      <c r="A181" s="30" t="s">
        <v>697</v>
      </c>
      <c r="B181" s="30" t="s">
        <v>3812</v>
      </c>
      <c r="C181" s="42">
        <v>0.1680909658515074</v>
      </c>
    </row>
    <row r="182" spans="1:3">
      <c r="A182" s="30" t="s">
        <v>1648</v>
      </c>
      <c r="B182" s="30" t="s">
        <v>3862</v>
      </c>
      <c r="C182" s="42">
        <v>0.20617692603288112</v>
      </c>
    </row>
    <row r="183" spans="1:3">
      <c r="A183" s="30" t="s">
        <v>395</v>
      </c>
      <c r="B183" s="30" t="s">
        <v>3751</v>
      </c>
      <c r="C183" s="42">
        <v>0.61511518685400701</v>
      </c>
    </row>
    <row r="184" spans="1:3">
      <c r="A184" s="30" t="s">
        <v>879</v>
      </c>
      <c r="B184" s="30" t="s">
        <v>3845</v>
      </c>
      <c r="C184" s="42">
        <v>8.0151605572322232E-2</v>
      </c>
    </row>
    <row r="185" spans="1:3">
      <c r="A185" s="30" t="s">
        <v>926</v>
      </c>
      <c r="B185" s="30" t="s">
        <v>3869</v>
      </c>
      <c r="C185" s="42">
        <v>7.4669356955627028E-2</v>
      </c>
    </row>
    <row r="186" spans="1:3">
      <c r="A186" s="30" t="s">
        <v>929</v>
      </c>
      <c r="B186" s="30" t="s">
        <v>3870</v>
      </c>
      <c r="C186" s="42">
        <v>9.5475059328143444E-2</v>
      </c>
    </row>
  </sheetData>
  <sheetProtection algorithmName="SHA-512" hashValue="HqkB2GEzKohAvkVMXHA28/6yklu2MatmtYdub3mCKkgHnhrRJvH2dSgmVU+8hxjpQ7H07oOfK/mSHsJmR6G3TQ==" saltValue="aoXKQEj7A5P3sCaxf2k5MA==" spinCount="100000" sheet="1" objects="1" scenarios="1" selectLockedCells="1" selectUnlockedCells="1"/>
  <autoFilter ref="A1:E186" xr:uid="{25DA7BD7-40C0-4B56-A6A5-9519AE1DE572}">
    <sortState xmlns:xlrd2="http://schemas.microsoft.com/office/spreadsheetml/2017/richdata2" ref="A2:E186">
      <sortCondition ref="B1:B186"/>
    </sortState>
  </autoFilter>
  <sortState xmlns:xlrd2="http://schemas.microsoft.com/office/spreadsheetml/2017/richdata2" ref="A2:C186">
    <sortCondition ref="B2:B186"/>
  </sortState>
  <conditionalFormatting sqref="B2:B186">
    <cfRule type="duplicateValues" dxfId="0"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FCF7-3C3A-4DC5-B088-1927F6D118B2}">
  <sheetPr codeName="Sheet4">
    <tabColor rgb="FF94E494"/>
  </sheetPr>
  <dimension ref="A1:G24"/>
  <sheetViews>
    <sheetView showGridLines="0" zoomScale="96" zoomScaleNormal="96" zoomScaleSheetLayoutView="100" workbookViewId="0">
      <selection activeCell="C11" sqref="C11"/>
    </sheetView>
  </sheetViews>
  <sheetFormatPr defaultColWidth="10.5" defaultRowHeight="14.25"/>
  <cols>
    <col min="1" max="1" width="21.5" style="4" customWidth="1"/>
    <col min="2" max="2" width="49.375" style="4" customWidth="1"/>
    <col min="3" max="3" width="65.875" style="4" bestFit="1" customWidth="1"/>
    <col min="4" max="4" width="3" style="4" customWidth="1"/>
    <col min="5" max="6" width="13.125" style="4" customWidth="1"/>
    <col min="7" max="16384" width="10.5" style="4"/>
  </cols>
  <sheetData>
    <row r="1" spans="1:7" ht="102.95" customHeight="1">
      <c r="C1" s="383" t="str">
        <f>+Instructions!B2</f>
        <v>Health Care Emissions Impact Calculator-Facility</v>
      </c>
    </row>
    <row r="2" spans="1:7" ht="15" thickBot="1"/>
    <row r="3" spans="1:7" ht="18" customHeight="1">
      <c r="A3" s="1452" t="s">
        <v>1789</v>
      </c>
      <c r="B3" s="384" t="s">
        <v>1790</v>
      </c>
      <c r="C3" s="385"/>
    </row>
    <row r="4" spans="1:7" ht="18" customHeight="1">
      <c r="A4" s="1453"/>
      <c r="B4" s="387" t="s">
        <v>1791</v>
      </c>
      <c r="C4" s="388"/>
    </row>
    <row r="5" spans="1:7" ht="18" customHeight="1">
      <c r="A5" s="1453"/>
      <c r="B5" s="387" t="s">
        <v>1792</v>
      </c>
      <c r="C5" s="388"/>
    </row>
    <row r="6" spans="1:7" ht="18" customHeight="1">
      <c r="A6" s="1453"/>
      <c r="B6" s="387" t="s">
        <v>1793</v>
      </c>
      <c r="C6" s="388"/>
    </row>
    <row r="7" spans="1:7" ht="18" customHeight="1">
      <c r="A7" s="1453"/>
      <c r="B7" s="387" t="s">
        <v>1794</v>
      </c>
      <c r="C7" s="388"/>
      <c r="D7"/>
    </row>
    <row r="8" spans="1:7" ht="18" customHeight="1">
      <c r="A8" s="1453"/>
      <c r="B8" s="387" t="s">
        <v>1795</v>
      </c>
      <c r="C8" s="388"/>
      <c r="D8"/>
    </row>
    <row r="9" spans="1:7" ht="18" customHeight="1">
      <c r="A9" s="1453"/>
      <c r="B9" s="387" t="s">
        <v>1796</v>
      </c>
      <c r="C9" s="388"/>
      <c r="D9"/>
    </row>
    <row r="10" spans="1:7" ht="63" customHeight="1">
      <c r="A10" s="386"/>
      <c r="B10" s="389" t="s">
        <v>1797</v>
      </c>
      <c r="C10" s="390"/>
      <c r="E10" s="1454" t="s">
        <v>1798</v>
      </c>
      <c r="F10" s="1454"/>
      <c r="G10" s="1454"/>
    </row>
    <row r="11" spans="1:7" ht="18" customHeight="1">
      <c r="A11" s="1453" t="s">
        <v>1799</v>
      </c>
      <c r="B11" s="387" t="s">
        <v>1800</v>
      </c>
      <c r="C11" s="391"/>
      <c r="D11"/>
    </row>
    <row r="12" spans="1:7" ht="18" customHeight="1">
      <c r="A12" s="1453"/>
      <c r="B12" s="387" t="s">
        <v>1801</v>
      </c>
      <c r="C12" s="391"/>
      <c r="D12" s="392" t="s">
        <v>1737</v>
      </c>
    </row>
    <row r="13" spans="1:7" ht="18" customHeight="1">
      <c r="A13" s="1453"/>
      <c r="B13" s="387" t="s">
        <v>1802</v>
      </c>
      <c r="C13" s="391"/>
      <c r="D13"/>
    </row>
    <row r="14" spans="1:7" ht="18" customHeight="1">
      <c r="A14" s="1453"/>
      <c r="B14" s="387" t="s">
        <v>1803</v>
      </c>
      <c r="C14" s="391"/>
      <c r="D14"/>
    </row>
    <row r="15" spans="1:7" ht="18" customHeight="1">
      <c r="A15" s="1453"/>
      <c r="B15" s="387" t="s">
        <v>1804</v>
      </c>
      <c r="C15" s="391"/>
      <c r="D15"/>
    </row>
    <row r="16" spans="1:7" ht="18" customHeight="1">
      <c r="A16" s="1453"/>
      <c r="B16" s="389" t="s">
        <v>1805</v>
      </c>
      <c r="C16" s="391"/>
      <c r="D16"/>
    </row>
    <row r="17" spans="1:4" ht="18" customHeight="1">
      <c r="A17" s="1453"/>
      <c r="B17" s="387" t="s">
        <v>1806</v>
      </c>
      <c r="C17" s="391"/>
      <c r="D17" t="s">
        <v>1737</v>
      </c>
    </row>
    <row r="18" spans="1:4" ht="18" customHeight="1" thickBot="1">
      <c r="A18" s="1455"/>
      <c r="B18" s="393" t="s">
        <v>1807</v>
      </c>
      <c r="C18" s="394"/>
      <c r="D18"/>
    </row>
    <row r="19" spans="1:4" ht="15">
      <c r="A19" s="395"/>
      <c r="B19" s="369"/>
      <c r="C19" s="396"/>
      <c r="D19"/>
    </row>
    <row r="20" spans="1:4" ht="15">
      <c r="A20" s="395"/>
      <c r="B20" s="369"/>
      <c r="C20" s="397"/>
      <c r="D20"/>
    </row>
    <row r="21" spans="1:4">
      <c r="B21" s="365"/>
      <c r="C21" s="6"/>
    </row>
    <row r="22" spans="1:4">
      <c r="B22" s="398"/>
      <c r="C22" s="399"/>
    </row>
    <row r="23" spans="1:4">
      <c r="B23" s="400"/>
      <c r="C23" s="401"/>
    </row>
    <row r="24" spans="1:4">
      <c r="B24" s="402"/>
    </row>
  </sheetData>
  <sheetProtection algorithmName="SHA-512" hashValue="Dhv5PK0lEJhUgx5udAg3TjofCnNnrwb6wIXoEAL8eLbbWYz6cKUHiJD7RvNLUZdvyEiAnSZ2lN3YpwT+avvewQ==" saltValue="E1QBbykB6DugnnWYobEpCA==" spinCount="100000" sheet="1" selectLockedCells="1"/>
  <mergeCells count="3">
    <mergeCell ref="A3:A9"/>
    <mergeCell ref="E10:G10"/>
    <mergeCell ref="A11:A18"/>
  </mergeCells>
  <dataValidations count="1">
    <dataValidation type="decimal" operator="greaterThanOrEqual" allowBlank="1" showInputMessage="1" showErrorMessage="1" sqref="C11:C17" xr:uid="{C9AE1D8A-480C-4ED6-A345-1AB0ECAF3308}">
      <formula1>0</formula1>
    </dataValidation>
  </dataValidations>
  <hyperlinks>
    <hyperlink ref="E10:G10" r:id="rId1" display="Click here for more information on determining an organizational boundary for GHG inventory" xr:uid="{4B8AC323-42EE-4CDF-9132-05F17F11B110}"/>
  </hyperlinks>
  <pageMargins left="0.7" right="0.7" top="0.75" bottom="0.75" header="0.3" footer="0.3"/>
  <pageSetup paperSize="9" orientation="landscape" r:id="rId2"/>
  <headerFooter>
    <oddHeader>&amp;L&amp;G&amp;R
&amp;"-,Negrita"&amp;8Herramienta para el cálculo de la huella de carbono en hospitales</oddHead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638C8AA-7EF4-4AA9-8819-45B602B06549}">
          <x14:formula1>
            <xm:f>'S1&amp;2 Lists'!$AL$3:$AL$7</xm:f>
          </x14:formula1>
          <xm:sqref>C18</xm:sqref>
        </x14:dataValidation>
        <x14:dataValidation type="list" allowBlank="1" showInputMessage="1" showErrorMessage="1" xr:uid="{B197DAA2-E07B-4DA9-8386-5BD28B343E0B}">
          <x14:formula1>
            <xm:f>'S1&amp;2 Lists'!$DN$3:$DN$161</xm:f>
          </x14:formula1>
          <xm:sqref>C19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9F94-92EC-477D-BF41-359C09AB2D5B}">
  <sheetPr codeName="Sheet5">
    <tabColor rgb="FF94E494"/>
    <outlinePr summaryBelow="0"/>
  </sheetPr>
  <dimension ref="A1:N284"/>
  <sheetViews>
    <sheetView showGridLines="0" zoomScale="90" zoomScaleNormal="90" zoomScaleSheetLayoutView="50" workbookViewId="0">
      <selection activeCell="G78" sqref="G78"/>
    </sheetView>
  </sheetViews>
  <sheetFormatPr defaultColWidth="10.5" defaultRowHeight="14.25" outlineLevelRow="2"/>
  <cols>
    <col min="1" max="1" width="45.125" customWidth="1"/>
    <col min="2" max="2" width="48.375" customWidth="1"/>
    <col min="3" max="3" width="21.625" customWidth="1"/>
    <col min="4" max="4" width="20.125" customWidth="1"/>
    <col min="5" max="5" width="16.875" customWidth="1"/>
    <col min="6" max="6" width="17.875" customWidth="1"/>
    <col min="7" max="7" width="17.75" customWidth="1"/>
    <col min="8" max="8" width="15.875" customWidth="1"/>
    <col min="9" max="9" width="19.25" customWidth="1"/>
    <col min="10" max="10" width="28.125" customWidth="1"/>
    <col min="12" max="12" width="27.75" customWidth="1"/>
    <col min="13" max="13" width="24.375" bestFit="1" customWidth="1"/>
  </cols>
  <sheetData>
    <row r="1" spans="1:7" s="4" customFormat="1" ht="95.25" customHeight="1">
      <c r="C1" s="403"/>
      <c r="D1" s="404" t="str">
        <f>+Instructions!B2</f>
        <v>Health Care Emissions Impact Calculator-Facility</v>
      </c>
      <c r="F1" s="405"/>
      <c r="G1" s="405"/>
    </row>
    <row r="2" spans="1:7" s="4" customFormat="1" ht="5.0999999999999996" customHeight="1"/>
    <row r="3" spans="1:7" s="4" customFormat="1" ht="15.75">
      <c r="A3" s="406" t="s">
        <v>1808</v>
      </c>
    </row>
    <row r="4" spans="1:7" s="4" customFormat="1" ht="33.75" customHeight="1">
      <c r="A4" s="1457" t="s">
        <v>3285</v>
      </c>
      <c r="B4" s="1457"/>
      <c r="C4" s="1457"/>
      <c r="D4" s="1457"/>
      <c r="E4" s="1457"/>
    </row>
    <row r="5" spans="1:7" s="4" customFormat="1"/>
    <row r="6" spans="1:7" s="4" customFormat="1" ht="15">
      <c r="A6" s="407" t="s">
        <v>1809</v>
      </c>
      <c r="B6" s="408" t="s">
        <v>1810</v>
      </c>
      <c r="C6" t="s">
        <v>1811</v>
      </c>
    </row>
    <row r="7" spans="1:7" s="4" customFormat="1" ht="15">
      <c r="A7" s="407" t="s">
        <v>1812</v>
      </c>
      <c r="B7" s="408" t="s">
        <v>1813</v>
      </c>
      <c r="C7" t="s">
        <v>1814</v>
      </c>
    </row>
    <row r="8" spans="1:7" s="4" customFormat="1" ht="15">
      <c r="A8" s="407" t="s">
        <v>1815</v>
      </c>
      <c r="B8" s="408" t="s">
        <v>1816</v>
      </c>
      <c r="C8" t="s">
        <v>1817</v>
      </c>
    </row>
    <row r="9" spans="1:7" s="4" customFormat="1" ht="15">
      <c r="A9" s="407" t="s">
        <v>1818</v>
      </c>
      <c r="B9" s="408" t="s">
        <v>1819</v>
      </c>
      <c r="C9" s="4" t="s">
        <v>1820</v>
      </c>
    </row>
    <row r="10" spans="1:7" s="4" customFormat="1" ht="8.1" customHeight="1"/>
    <row r="11" spans="1:7" s="4" customFormat="1" ht="5.45" customHeight="1"/>
    <row r="12" spans="1:7" s="410" customFormat="1" ht="20.25">
      <c r="A12" s="409" t="s">
        <v>6</v>
      </c>
    </row>
    <row r="13" spans="1:7" ht="48" customHeight="1">
      <c r="A13" s="1446" t="s">
        <v>1821</v>
      </c>
      <c r="B13" s="1446"/>
      <c r="C13" s="1446"/>
      <c r="D13" s="1446"/>
      <c r="E13" s="1446"/>
      <c r="F13" s="1446"/>
      <c r="G13" s="1446"/>
    </row>
    <row r="14" spans="1:7" ht="13.5" customHeight="1">
      <c r="A14" s="411"/>
      <c r="B14" s="412"/>
      <c r="C14" s="412"/>
      <c r="D14" s="412"/>
      <c r="E14" s="412"/>
      <c r="F14" s="412"/>
    </row>
    <row r="15" spans="1:7" s="415" customFormat="1" ht="18">
      <c r="A15" s="413">
        <v>1.1000000000000001</v>
      </c>
      <c r="B15" s="414" t="s">
        <v>1822</v>
      </c>
    </row>
    <row r="16" spans="1:7" outlineLevel="1"/>
    <row r="17" spans="1:12" ht="29.25" customHeight="1" outlineLevel="1">
      <c r="A17" s="1458" t="s">
        <v>1823</v>
      </c>
      <c r="B17" s="1458"/>
      <c r="C17" s="1458"/>
      <c r="D17" s="1458"/>
      <c r="E17" s="1458"/>
      <c r="F17" s="1458"/>
      <c r="G17" s="1458"/>
    </row>
    <row r="18" spans="1:12" ht="7.5" customHeight="1" outlineLevel="1">
      <c r="B18" s="15"/>
      <c r="C18" s="15"/>
      <c r="D18" s="15"/>
      <c r="E18" s="15"/>
      <c r="F18" s="15"/>
    </row>
    <row r="19" spans="1:12" ht="34.5" customHeight="1" outlineLevel="1">
      <c r="A19" s="1459" t="s">
        <v>1824</v>
      </c>
      <c r="B19" s="1459"/>
      <c r="C19" s="1459"/>
      <c r="D19" s="1459"/>
      <c r="E19" s="1459"/>
      <c r="F19" s="1459"/>
      <c r="G19" s="1459"/>
    </row>
    <row r="20" spans="1:12" outlineLevel="1">
      <c r="B20" s="416"/>
      <c r="C20" s="417" t="s">
        <v>1825</v>
      </c>
      <c r="D20" s="416"/>
      <c r="E20" s="416"/>
      <c r="F20" s="416"/>
    </row>
    <row r="21" spans="1:12" ht="15" outlineLevel="1">
      <c r="B21" s="418" t="s">
        <v>1826</v>
      </c>
      <c r="C21" s="1460"/>
      <c r="D21" s="1461"/>
      <c r="E21" s="416"/>
      <c r="F21" s="416"/>
    </row>
    <row r="22" spans="1:12" outlineLevel="1">
      <c r="B22" s="416"/>
      <c r="C22" s="416"/>
      <c r="D22" s="416"/>
      <c r="E22" s="416"/>
      <c r="F22" s="416"/>
    </row>
    <row r="23" spans="1:12" ht="24" customHeight="1" outlineLevel="1">
      <c r="A23" s="1456" t="s">
        <v>1827</v>
      </c>
      <c r="B23" s="1456"/>
      <c r="C23" s="15"/>
      <c r="D23" s="15"/>
      <c r="E23" s="15"/>
      <c r="F23" s="15"/>
    </row>
    <row r="24" spans="1:12" outlineLevel="1">
      <c r="A24" s="1463" t="s">
        <v>1828</v>
      </c>
      <c r="B24" s="1463"/>
      <c r="C24" s="1463"/>
      <c r="D24" s="1463"/>
      <c r="E24" s="1463"/>
      <c r="F24" s="1463"/>
      <c r="G24" s="1463"/>
    </row>
    <row r="25" spans="1:12" outlineLevel="1">
      <c r="A25" s="1463" t="s">
        <v>1829</v>
      </c>
      <c r="B25" s="1463"/>
      <c r="C25" s="1463"/>
      <c r="D25" s="1463"/>
      <c r="E25" s="1463"/>
      <c r="F25" s="1463"/>
      <c r="G25" s="1463"/>
      <c r="H25" s="730"/>
    </row>
    <row r="26" spans="1:12" outlineLevel="1"/>
    <row r="27" spans="1:12" outlineLevel="1">
      <c r="D27" s="1464" t="s">
        <v>1830</v>
      </c>
      <c r="E27" s="1465"/>
      <c r="F27" s="1465"/>
      <c r="G27" s="1466"/>
      <c r="I27" s="2"/>
    </row>
    <row r="28" spans="1:12" ht="18.75" outlineLevel="1">
      <c r="A28" s="423" t="s">
        <v>1831</v>
      </c>
      <c r="B28" s="423" t="s">
        <v>1832</v>
      </c>
      <c r="C28" s="423" t="s">
        <v>0</v>
      </c>
      <c r="D28" s="423" t="s">
        <v>1833</v>
      </c>
      <c r="E28" s="423" t="s">
        <v>1834</v>
      </c>
      <c r="F28" s="423" t="s">
        <v>1835</v>
      </c>
      <c r="G28" s="423" t="s">
        <v>1836</v>
      </c>
      <c r="I28" s="423" t="s">
        <v>1832</v>
      </c>
      <c r="J28" s="423" t="s">
        <v>0</v>
      </c>
    </row>
    <row r="29" spans="1:12" ht="20.25" customHeight="1" outlineLevel="1">
      <c r="A29" s="424" t="s">
        <v>8</v>
      </c>
      <c r="B29" s="425"/>
      <c r="C29" s="425"/>
      <c r="D29" s="426">
        <f>ROUND(+SUM(D30:D38),3)</f>
        <v>0</v>
      </c>
      <c r="E29" s="426">
        <f>ROUND(+SUM(E30:E38),3)</f>
        <v>0</v>
      </c>
      <c r="F29" s="426">
        <f>ROUND(+SUM(F30:F38),3)</f>
        <v>0</v>
      </c>
      <c r="G29" s="426">
        <f>ROUND(+SUM(G30:G38),3)</f>
        <v>0</v>
      </c>
      <c r="I29" s="427"/>
      <c r="J29" s="428"/>
    </row>
    <row r="30" spans="1:12" ht="16.5" outlineLevel="1">
      <c r="A30" s="429" t="str">
        <f>'S1&amp;2 Lists'!L3</f>
        <v>Natural gas</v>
      </c>
      <c r="B30" s="430"/>
      <c r="C30" s="430"/>
      <c r="D30" s="1399">
        <f>ROUND(+$I30*'S1&amp;2 Lists'!$N3*'S1&amp;2 Lists'!$O3*'S1&amp;2 Lists'!P3/1000,3)</f>
        <v>0</v>
      </c>
      <c r="E30" s="431">
        <f>ROUND(+$I30*'S1&amp;2 Lists'!$N3*'S1&amp;2 Lists'!$O3*'S1&amp;2 Lists'!Q3/1000,3)</f>
        <v>0</v>
      </c>
      <c r="F30" s="431">
        <f>ROUND(+$I30*'S1&amp;2 Lists'!$N3*'S1&amp;2 Lists'!$O3*'S1&amp;2 Lists'!R3/1000,3)</f>
        <v>0</v>
      </c>
      <c r="G30" s="431">
        <f>+D30+$E30*VLOOKUP($E$28,'S1&amp;2 Lists'!$C$1:$G$109,3,FALSE)+F30*VLOOKUP($F$28,'S1&amp;2 Lists'!$C$1:$G$109,3,FALSE)</f>
        <v>0</v>
      </c>
      <c r="I30" s="431">
        <f>+ROUND(IF(C30='S1&amp;2 Lists'!$CU$3,B30,IF(C30='S1&amp;2 Lists'!$CU$4,B30/'S1&amp;2 Lists'!$CQ$3,IF(C30='S1&amp;2 Lists'!$CU$5,B30/'S1&amp;2 Lists'!$CQ$4,IF(C30='S1&amp;2 Lists'!$CU$6,B30/'S1&amp;2 Lists'!$CQ$5,IF(C30='S1&amp;2 Lists'!$CU$7,B30*'S1&amp;2 Lists'!$CQ$9,IF(C30='S1&amp;2 Lists'!$CU$8,B30*'S1&amp;2 Lists'!$CQ$10,0)))))),3)</f>
        <v>0</v>
      </c>
      <c r="J30" s="432" t="s">
        <v>1837</v>
      </c>
      <c r="L30" s="731"/>
    </row>
    <row r="31" spans="1:12" outlineLevel="1">
      <c r="A31" s="429" t="str">
        <f>+'S1&amp;2 Lists'!L5</f>
        <v>Fuel Oil #2</v>
      </c>
      <c r="B31" s="433"/>
      <c r="C31" s="433"/>
      <c r="D31" s="1399">
        <f>ROUND(+$I31*'S1&amp;2 Lists'!$N5*'S1&amp;2 Lists'!$O5*'S1&amp;2 Lists'!P5/1000,3)</f>
        <v>0</v>
      </c>
      <c r="E31" s="431">
        <f>ROUND(+$I31*'S1&amp;2 Lists'!$N5*'S1&amp;2 Lists'!$O5*'S1&amp;2 Lists'!Q5/1000,3)</f>
        <v>0</v>
      </c>
      <c r="F31" s="431">
        <f>ROUND(+$I31*'S1&amp;2 Lists'!$N5*'S1&amp;2 Lists'!$O5*'S1&amp;2 Lists'!R5/1000,3)</f>
        <v>0</v>
      </c>
      <c r="G31" s="431">
        <f>+D31+$E31*VLOOKUP($E$28,'S1&amp;2 Lists'!$C$1:$G$109,3,FALSE)+F31*VLOOKUP($F$28,'S1&amp;2 Lists'!$C$1:$G$109,3,FALSE)</f>
        <v>0</v>
      </c>
      <c r="I31" s="431">
        <f>+ROUND(IF(C31='S1&amp;2 Lists'!$CW$3,B31,IF(C31='S1&amp;2 Lists'!$CW$4,B31/'S1&amp;2 Lists'!$CQ$8,0)),3)</f>
        <v>0</v>
      </c>
      <c r="J31" s="10" t="s">
        <v>1838</v>
      </c>
      <c r="L31" s="731"/>
    </row>
    <row r="32" spans="1:12" outlineLevel="1">
      <c r="A32" s="429" t="str">
        <f>+'S1&amp;2 Lists'!L4</f>
        <v>Diesel</v>
      </c>
      <c r="B32" s="433"/>
      <c r="C32" s="433"/>
      <c r="D32" s="1399">
        <f>ROUND(+$I32*'S1&amp;2 Lists'!$N4*'S1&amp;2 Lists'!$O4*'S1&amp;2 Lists'!P4/1000,3)</f>
        <v>0</v>
      </c>
      <c r="E32" s="431">
        <f>ROUND(+$I32*'S1&amp;2 Lists'!$N4*'S1&amp;2 Lists'!$O4*'S1&amp;2 Lists'!Q4/1000,3)</f>
        <v>0</v>
      </c>
      <c r="F32" s="431">
        <f>ROUND(+$I32*'S1&amp;2 Lists'!$N4*'S1&amp;2 Lists'!$O4*'S1&amp;2 Lists'!R4/1000,3)</f>
        <v>0</v>
      </c>
      <c r="G32" s="431">
        <f>+D32+$E32*VLOOKUP($E$28,'S1&amp;2 Lists'!$C$1:$G$109,3,FALSE)+F32*VLOOKUP($F$28,'S1&amp;2 Lists'!$C$1:$G$109,3,FALSE)</f>
        <v>0</v>
      </c>
      <c r="I32" s="431">
        <f>+ROUND(IF(C32='S1&amp;2 Lists'!$CW$3,B32,IF(C32='S1&amp;2 Lists'!$CW$4,B32/'S1&amp;2 Lists'!$CQ$8,0)),3)</f>
        <v>0</v>
      </c>
      <c r="J32" s="10" t="s">
        <v>1838</v>
      </c>
      <c r="L32" s="731"/>
    </row>
    <row r="33" spans="1:10" outlineLevel="1">
      <c r="A33" s="429" t="str">
        <f>+'S1&amp;2 Lists'!L6</f>
        <v>Gasoline</v>
      </c>
      <c r="B33" s="433"/>
      <c r="C33" s="433"/>
      <c r="D33" s="1399">
        <f>ROUND(+$I33*'S1&amp;2 Lists'!$N6*'S1&amp;2 Lists'!$O6*'S1&amp;2 Lists'!P6/1000,3)</f>
        <v>0</v>
      </c>
      <c r="E33" s="431">
        <f>ROUND(+$I33*'S1&amp;2 Lists'!$N6*'S1&amp;2 Lists'!$O6*'S1&amp;2 Lists'!Q6/1000,3)</f>
        <v>0</v>
      </c>
      <c r="F33" s="431">
        <f>ROUND(+$I33*'S1&amp;2 Lists'!$N6*'S1&amp;2 Lists'!$O6*'S1&amp;2 Lists'!R6/1000,3)</f>
        <v>0</v>
      </c>
      <c r="G33" s="431">
        <f>+D33+$E33*VLOOKUP($E$28,'S1&amp;2 Lists'!$C$1:$G$109,3,FALSE)+F33*VLOOKUP($F$28,'S1&amp;2 Lists'!$C$1:$G$109,3,FALSE)</f>
        <v>0</v>
      </c>
      <c r="I33" s="431">
        <f>+ROUND(IF(C33='S1&amp;2 Lists'!$CW$3,B33,IF(C33='S1&amp;2 Lists'!$CW$4,B33/'S1&amp;2 Lists'!$CQ$8,0)),3)</f>
        <v>0</v>
      </c>
      <c r="J33" s="10" t="s">
        <v>1838</v>
      </c>
    </row>
    <row r="34" spans="1:10" outlineLevel="1">
      <c r="A34" s="429" t="str">
        <f>+'S1&amp;2 Lists'!L7</f>
        <v>Liquefied Petroleum Gases (LPG)</v>
      </c>
      <c r="B34" s="433"/>
      <c r="C34" s="433"/>
      <c r="D34" s="1399">
        <f>ROUND(+$I34*'S1&amp;2 Lists'!$O7*'S1&amp;2 Lists'!P7/1000,3)</f>
        <v>0</v>
      </c>
      <c r="E34" s="431">
        <f>ROUND(+$I34*'S1&amp;2 Lists'!$O7*'S1&amp;2 Lists'!Q7/1000,3)</f>
        <v>0</v>
      </c>
      <c r="F34" s="431">
        <f>ROUND(+$I34*'S1&amp;2 Lists'!$O7*'S1&amp;2 Lists'!R7/1000,3)</f>
        <v>0</v>
      </c>
      <c r="G34" s="431">
        <f>+D34+$E34*VLOOKUP($E$28,'S1&amp;2 Lists'!$C$1:$G$109,3,FALSE)+F34*VLOOKUP($F$28,'S1&amp;2 Lists'!$C$1:$G$109,3,FALSE)</f>
        <v>0</v>
      </c>
      <c r="I34" s="431">
        <f>+ROUND(IF(C34='S1&amp;2 Lists'!CV3,B34,IF(C34='S1&amp;2 Lists'!CV4,B34/'S1&amp;2 Lists'!CQ6,IF(C34='S1&amp;2 Lists'!CV5,B34/'S1&amp;2 Lists'!CQ12,IF(C34='S1&amp;2 Lists'!CV6,B34/'S1&amp;2 Lists'!CQ11,IF(C34='S1&amp;2 Lists'!CV7,B34*'S1&amp;2 Lists'!CQ13,0))))),3)</f>
        <v>0</v>
      </c>
      <c r="J34" s="10" t="s">
        <v>12</v>
      </c>
    </row>
    <row r="35" spans="1:10" outlineLevel="1">
      <c r="A35" s="429" t="str">
        <f>+'S1&amp;2 Lists'!L8</f>
        <v>Kerosene</v>
      </c>
      <c r="B35" s="433"/>
      <c r="C35" s="433"/>
      <c r="D35" s="1399">
        <f>ROUND(+$I35*'S1&amp;2 Lists'!$N8*'S1&amp;2 Lists'!$O8*'S1&amp;2 Lists'!P8/1000,3)</f>
        <v>0</v>
      </c>
      <c r="E35" s="431">
        <f>ROUND(+$I35*'S1&amp;2 Lists'!$N8*'S1&amp;2 Lists'!$O8*'S1&amp;2 Lists'!Q8/1000,3)</f>
        <v>0</v>
      </c>
      <c r="F35" s="431">
        <f>ROUND(+$I35*'S1&amp;2 Lists'!$N8*'S1&amp;2 Lists'!$O8*'S1&amp;2 Lists'!R8/1000,3)</f>
        <v>0</v>
      </c>
      <c r="G35" s="431">
        <f>+D35+$E35*VLOOKUP($E$28,'S1&amp;2 Lists'!$C$1:$G$109,3,FALSE)+F35*VLOOKUP($F$28,'S1&amp;2 Lists'!$C$1:$G$109,3,FALSE)</f>
        <v>0</v>
      </c>
      <c r="I35" s="431">
        <f>+ROUND(IF(C35='S1&amp;2 Lists'!$CW$3,B35,IF(C35='S1&amp;2 Lists'!$CW$4,B35/'S1&amp;2 Lists'!$CQ$8,0)),3)</f>
        <v>0</v>
      </c>
      <c r="J35" s="10" t="s">
        <v>1838</v>
      </c>
    </row>
    <row r="36" spans="1:10" outlineLevel="1">
      <c r="A36" s="429" t="str">
        <f>+'S1&amp;2 Lists'!L9</f>
        <v>Coal</v>
      </c>
      <c r="B36" s="433"/>
      <c r="C36" s="433"/>
      <c r="D36" s="1399">
        <f>ROUND(+$I36*'S1&amp;2 Lists'!$O9*'S1&amp;2 Lists'!P9/1000,3)</f>
        <v>0</v>
      </c>
      <c r="E36" s="431">
        <f>ROUND(+$I36*'S1&amp;2 Lists'!$O9*'S1&amp;2 Lists'!Q9/1000,3)</f>
        <v>0</v>
      </c>
      <c r="F36" s="431">
        <f>ROUND(+$I36*'S1&amp;2 Lists'!$O9*'S1&amp;2 Lists'!R9/1000,3)</f>
        <v>0</v>
      </c>
      <c r="G36" s="431">
        <f>+D36+$E36*VLOOKUP($E$28,'S1&amp;2 Lists'!$C$1:$G$109,3,FALSE)+F36*VLOOKUP($F$28,'S1&amp;2 Lists'!$C$1:$G$109,3,FALSE)</f>
        <v>0</v>
      </c>
      <c r="I36" s="431">
        <f>+ROUND(IF(C36='S1&amp;2 Lists'!$CX$3,B36,IF(C36='S1&amp;2 Lists'!$CX$4,B36/'S1&amp;2 Lists'!$CQ$6,IF(C36='S1&amp;2 Lists'!$CX$5,B36/'S1&amp;2 Lists'!$CQ$7,0))),3)</f>
        <v>0</v>
      </c>
      <c r="J36" s="10" t="s">
        <v>1839</v>
      </c>
    </row>
    <row r="37" spans="1:10" outlineLevel="1">
      <c r="A37" s="429" t="str">
        <f>+'S1&amp;2 Lists'!L10</f>
        <v>Wood</v>
      </c>
      <c r="B37" s="433"/>
      <c r="C37" s="433"/>
      <c r="D37" s="1399">
        <f>ROUND(+$I37*'S1&amp;2 Lists'!$O10*'S1&amp;2 Lists'!P10/1000,3)</f>
        <v>0</v>
      </c>
      <c r="E37" s="431">
        <f>ROUND(+$I37*'S1&amp;2 Lists'!$O10*'S1&amp;2 Lists'!Q10/1000,3)</f>
        <v>0</v>
      </c>
      <c r="F37" s="431">
        <f>ROUND(+$I37*'S1&amp;2 Lists'!$O10*'S1&amp;2 Lists'!R10/1000,3)</f>
        <v>0</v>
      </c>
      <c r="G37" s="431">
        <f>+D37+$E37*VLOOKUP($E$28,'S1&amp;2 Lists'!$C$1:$G$109,3,FALSE)+F37*VLOOKUP($F$28,'S1&amp;2 Lists'!$C$1:$G$109,3,FALSE)</f>
        <v>0</v>
      </c>
      <c r="I37" s="431">
        <f>+ROUND(IF(C37='S1&amp;2 Lists'!$CX$3,B37,IF(C37='S1&amp;2 Lists'!$CX$4,B37/'S1&amp;2 Lists'!$CQ$6,IF(C37='S1&amp;2 Lists'!$CX$5,B37/'S1&amp;2 Lists'!$CQ$7,0))),3)</f>
        <v>0</v>
      </c>
      <c r="J37" s="10" t="s">
        <v>1839</v>
      </c>
    </row>
    <row r="38" spans="1:10" outlineLevel="1">
      <c r="A38" s="429" t="str">
        <f>+'S1&amp;2 Lists'!L11</f>
        <v>Biodiesel</v>
      </c>
      <c r="B38" s="434"/>
      <c r="C38" s="434"/>
      <c r="D38" s="1399">
        <f>ROUND(+$I38*'S1&amp;2 Lists'!$N11*'S1&amp;2 Lists'!$O11*'S1&amp;2 Lists'!P11/1000,3)</f>
        <v>0</v>
      </c>
      <c r="E38" s="431">
        <f>ROUND(+$I38*'S1&amp;2 Lists'!$N11*'S1&amp;2 Lists'!$O11*'S1&amp;2 Lists'!Q11/1000,3)</f>
        <v>0</v>
      </c>
      <c r="F38" s="431">
        <f>ROUND(+$I38*'S1&amp;2 Lists'!$N11*'S1&amp;2 Lists'!$O11*'S1&amp;2 Lists'!R11/1000,3)</f>
        <v>0</v>
      </c>
      <c r="G38" s="431">
        <f>+D38+$E38*VLOOKUP($E$28,'S1&amp;2 Lists'!$C$1:$G$109,3,FALSE)+F38*VLOOKUP($F$28,'S1&amp;2 Lists'!$C$1:$G$109,3,FALSE)</f>
        <v>0</v>
      </c>
      <c r="I38" s="431">
        <f>+ROUND(IF(C38='S1&amp;2 Lists'!$CW$3,B38,IF(C38='S1&amp;2 Lists'!$CW$4,B38/'S1&amp;2 Lists'!$CQ$8,0)),3)</f>
        <v>0</v>
      </c>
      <c r="J38" s="10" t="s">
        <v>1838</v>
      </c>
    </row>
    <row r="39" spans="1:10" outlineLevel="1"/>
    <row r="40" spans="1:10" s="415" customFormat="1" ht="18">
      <c r="A40" s="413" t="s">
        <v>1840</v>
      </c>
      <c r="B40" s="414" t="s">
        <v>1841</v>
      </c>
      <c r="F40" s="435"/>
    </row>
    <row r="41" spans="1:10" outlineLevel="1">
      <c r="F41" s="16"/>
    </row>
    <row r="42" spans="1:10" ht="45.75" customHeight="1" outlineLevel="1">
      <c r="A42" s="1446" t="s">
        <v>1842</v>
      </c>
      <c r="B42" s="1446"/>
      <c r="C42" s="1446"/>
      <c r="D42" s="1446"/>
      <c r="E42" s="1446"/>
      <c r="F42" s="1446"/>
      <c r="G42" s="1446"/>
    </row>
    <row r="43" spans="1:10" ht="54" customHeight="1" outlineLevel="1">
      <c r="A43" s="1467" t="s">
        <v>1843</v>
      </c>
      <c r="B43" s="1468"/>
      <c r="C43" s="1468"/>
      <c r="D43" s="1468"/>
      <c r="E43" s="1468"/>
      <c r="F43" s="1468"/>
      <c r="G43" s="1468"/>
    </row>
    <row r="44" spans="1:10" ht="6" customHeight="1" outlineLevel="1">
      <c r="B44" s="436"/>
      <c r="C44" s="436"/>
      <c r="D44" s="436"/>
      <c r="E44" s="436"/>
      <c r="F44" s="436"/>
      <c r="G44" s="436"/>
    </row>
    <row r="45" spans="1:10" ht="15" customHeight="1" outlineLevel="1">
      <c r="A45" s="1469" t="s">
        <v>1826</v>
      </c>
      <c r="B45" s="1470"/>
      <c r="C45" s="1471"/>
      <c r="D45" s="1472"/>
      <c r="E45" s="416"/>
      <c r="F45" s="416"/>
    </row>
    <row r="46" spans="1:10" ht="8.25" customHeight="1" outlineLevel="1">
      <c r="B46" s="436"/>
      <c r="C46" s="436"/>
      <c r="D46" s="436"/>
      <c r="E46" s="436"/>
      <c r="F46" s="436"/>
      <c r="G46" s="436"/>
    </row>
    <row r="47" spans="1:10" ht="6" customHeight="1" outlineLevel="1">
      <c r="B47" s="416"/>
      <c r="C47" s="416"/>
      <c r="D47" s="416"/>
      <c r="E47" s="416"/>
    </row>
    <row r="48" spans="1:10" outlineLevel="1">
      <c r="A48" s="437" t="s">
        <v>1844</v>
      </c>
      <c r="C48" s="15"/>
      <c r="D48" s="15"/>
      <c r="F48" s="438"/>
      <c r="G48" s="438"/>
    </row>
    <row r="49" spans="1:11" ht="69.75" customHeight="1" outlineLevel="1">
      <c r="A49" s="1463" t="s">
        <v>1845</v>
      </c>
      <c r="B49" s="1463"/>
      <c r="C49" s="1463"/>
      <c r="D49" s="1463"/>
      <c r="F49" s="439"/>
      <c r="G49" s="439"/>
      <c r="H49" s="439"/>
    </row>
    <row r="50" spans="1:11" ht="33" customHeight="1" outlineLevel="1">
      <c r="A50" s="1463" t="s">
        <v>1846</v>
      </c>
      <c r="B50" s="1463"/>
      <c r="C50" s="1463"/>
      <c r="D50" s="1463"/>
      <c r="F50" s="440"/>
      <c r="G50" s="441"/>
      <c r="H50" s="442"/>
    </row>
    <row r="51" spans="1:11" ht="35.25" customHeight="1" outlineLevel="1">
      <c r="A51" s="1463" t="s">
        <v>1847</v>
      </c>
      <c r="B51" s="1463"/>
      <c r="C51" s="1463"/>
      <c r="D51" s="1463"/>
      <c r="F51" s="16"/>
    </row>
    <row r="52" spans="1:11" ht="22.5" customHeight="1" outlineLevel="1">
      <c r="A52" s="1463" t="s">
        <v>1848</v>
      </c>
      <c r="B52" s="1463"/>
      <c r="C52" s="1463"/>
      <c r="D52" s="1463"/>
      <c r="F52" s="16"/>
    </row>
    <row r="53" spans="1:11" ht="6.95" customHeight="1" outlineLevel="1">
      <c r="F53" s="16"/>
    </row>
    <row r="54" spans="1:11" ht="1.5" customHeight="1" outlineLevel="1">
      <c r="F54" s="16"/>
    </row>
    <row r="55" spans="1:11" ht="31.5" customHeight="1" outlineLevel="1">
      <c r="C55" s="443" t="s">
        <v>1849</v>
      </c>
      <c r="E55" s="16"/>
    </row>
    <row r="56" spans="1:11" outlineLevel="1">
      <c r="A56" s="444" t="s">
        <v>1850</v>
      </c>
      <c r="B56" s="445">
        <v>0.05</v>
      </c>
      <c r="C56" s="446"/>
      <c r="D56" t="s">
        <v>1737</v>
      </c>
    </row>
    <row r="57" spans="1:11" outlineLevel="1">
      <c r="A57" s="444" t="s">
        <v>1851</v>
      </c>
      <c r="B57" s="445">
        <v>0.1</v>
      </c>
      <c r="C57" s="446"/>
      <c r="D57" t="s">
        <v>1737</v>
      </c>
    </row>
    <row r="58" spans="1:11" outlineLevel="1">
      <c r="E58" s="420" t="s">
        <v>1830</v>
      </c>
      <c r="F58" s="421"/>
      <c r="G58" s="421"/>
      <c r="H58" s="422"/>
    </row>
    <row r="59" spans="1:11" ht="42.75" outlineLevel="1">
      <c r="A59" s="423" t="s">
        <v>1831</v>
      </c>
      <c r="B59" s="423" t="s">
        <v>1832</v>
      </c>
      <c r="C59" s="443" t="s">
        <v>1852</v>
      </c>
      <c r="D59" s="423" t="s">
        <v>0</v>
      </c>
      <c r="E59" s="423" t="s">
        <v>1833</v>
      </c>
      <c r="F59" s="423" t="s">
        <v>1834</v>
      </c>
      <c r="G59" s="423" t="s">
        <v>1835</v>
      </c>
      <c r="H59" s="423" t="s">
        <v>1836</v>
      </c>
      <c r="J59" s="423" t="s">
        <v>1832</v>
      </c>
      <c r="K59" s="423" t="s">
        <v>0</v>
      </c>
    </row>
    <row r="60" spans="1:11" ht="15" outlineLevel="1">
      <c r="A60" s="447" t="s">
        <v>8</v>
      </c>
      <c r="B60" s="425"/>
      <c r="C60" s="448"/>
      <c r="D60" s="425"/>
      <c r="E60" s="449">
        <f>ROUND(+SUM(E61:E65),3)</f>
        <v>0</v>
      </c>
      <c r="F60" s="449">
        <f>ROUND(+SUM(F61:F65),3)</f>
        <v>0</v>
      </c>
      <c r="G60" s="449">
        <f>ROUND(+SUM(G61:G65),3)</f>
        <v>0</v>
      </c>
      <c r="H60" s="449">
        <f>ROUND(+SUM(H61:H65),3)</f>
        <v>0</v>
      </c>
      <c r="J60" s="448"/>
      <c r="K60" s="448"/>
    </row>
    <row r="61" spans="1:11" outlineLevel="1">
      <c r="A61" s="429" t="str">
        <f>+'S1&amp;2 Lists'!L6</f>
        <v>Gasoline</v>
      </c>
      <c r="B61" s="372"/>
      <c r="C61" s="450">
        <f>B61*(1-IF($C$57=0,$B$57,$C$57))</f>
        <v>0</v>
      </c>
      <c r="D61" s="372"/>
      <c r="E61" s="431">
        <f>ROUND(+$J61*'S1&amp;2 Lists'!$N6*'S1&amp;2 Lists'!$O6*'S1&amp;2 Lists'!S6/1000,3)</f>
        <v>0</v>
      </c>
      <c r="F61" s="431">
        <f>ROUND(+$J61*'S1&amp;2 Lists'!$N6*'S1&amp;2 Lists'!$O6*'S1&amp;2 Lists'!T6/1000,3)</f>
        <v>0</v>
      </c>
      <c r="G61" s="431">
        <f>ROUND(+$J61*'S1&amp;2 Lists'!$N6*'S1&amp;2 Lists'!$O6*'S1&amp;2 Lists'!U6/1000,3)</f>
        <v>0</v>
      </c>
      <c r="H61" s="431">
        <f>ROUND(+E61+$F61*VLOOKUP($F$59,'S1&amp;2 Lists'!$C$1:$G$109,3,FALSE)+G61*VLOOKUP($G$59,'S1&amp;2 Lists'!$C$1:$G$109,3,FALSE),3)</f>
        <v>0</v>
      </c>
      <c r="J61" s="431">
        <f>+ROUND(IF(D61='S1&amp;2 Lists'!$CW$3,C61,IF(D61='S1&amp;2 Lists'!$CW$4,C61/'S1&amp;2 Lists'!$CQ$8,0)),3)</f>
        <v>0</v>
      </c>
      <c r="K61" s="451" t="s">
        <v>1838</v>
      </c>
    </row>
    <row r="62" spans="1:11" outlineLevel="1">
      <c r="A62" s="429" t="str">
        <f>+'S1&amp;2 Lists'!L4</f>
        <v>Diesel</v>
      </c>
      <c r="B62" s="372"/>
      <c r="C62" s="450">
        <f>B62*(1-IF($C$56=0,$B$56,$C$56))</f>
        <v>0</v>
      </c>
      <c r="D62" s="372"/>
      <c r="E62" s="431">
        <f>ROUND(+$J62*'S1&amp;2 Lists'!$N4*'S1&amp;2 Lists'!$O4*'S1&amp;2 Lists'!S4/1000,3)</f>
        <v>0</v>
      </c>
      <c r="F62" s="431">
        <f>ROUND(+$J62*'S1&amp;2 Lists'!$N4*'S1&amp;2 Lists'!$O4*'S1&amp;2 Lists'!T4/1000,3)</f>
        <v>0</v>
      </c>
      <c r="G62" s="431">
        <f>ROUND(+$J62*'S1&amp;2 Lists'!$N4*'S1&amp;2 Lists'!$O4*'S1&amp;2 Lists'!U4/1000,3)</f>
        <v>0</v>
      </c>
      <c r="H62" s="431">
        <f>ROUND(+E62+$F62*VLOOKUP($F$59,'S1&amp;2 Lists'!$C$1:$G$109,3,FALSE)+G62*VLOOKUP($G$59,'S1&amp;2 Lists'!$C$1:$G$109,3,FALSE),3)</f>
        <v>0</v>
      </c>
      <c r="J62" s="431">
        <f>+ROUND(IF(D62='S1&amp;2 Lists'!$CW$3,C62,IF(D62='S1&amp;2 Lists'!$CW$4,C62/'S1&amp;2 Lists'!$CQ$8,0)),3)</f>
        <v>0</v>
      </c>
      <c r="K62" s="451" t="s">
        <v>1838</v>
      </c>
    </row>
    <row r="63" spans="1:11" ht="17.25" outlineLevel="1">
      <c r="A63" s="429" t="str">
        <f>+'S1&amp;2 Lists'!L3</f>
        <v>Natural gas</v>
      </c>
      <c r="B63" s="372"/>
      <c r="C63" s="448"/>
      <c r="D63" s="372"/>
      <c r="E63" s="431">
        <f>ROUND(+$J63*'S1&amp;2 Lists'!$N3*'S1&amp;2 Lists'!$O3*'S1&amp;2 Lists'!S3/1000,3)</f>
        <v>0</v>
      </c>
      <c r="F63" s="431">
        <f>ROUND(+$J63*'S1&amp;2 Lists'!$N3*'S1&amp;2 Lists'!$O3*'S1&amp;2 Lists'!T3/1000,3)</f>
        <v>0</v>
      </c>
      <c r="G63" s="431">
        <f>ROUND(+$J63*'S1&amp;2 Lists'!$N3*'S1&amp;2 Lists'!$O3*'S1&amp;2 Lists'!U3/1000,3)</f>
        <v>0</v>
      </c>
      <c r="H63" s="431">
        <f>ROUND(+E63+$F63*VLOOKUP($F$59,'S1&amp;2 Lists'!$C$1:$G$109,3,FALSE)+G63*VLOOKUP($G$59,'S1&amp;2 Lists'!$C$1:$G$109,3,FALSE),3)</f>
        <v>0</v>
      </c>
      <c r="J63" s="431">
        <f>+ROUND(IF(D63='S1&amp;2 Lists'!$CU$3,B63,IF(D63='S1&amp;2 Lists'!$CU$4,B63/'S1&amp;2 Lists'!$CQ$3,IF(D63='S1&amp;2 Lists'!$CU$5,B63/'S1&amp;2 Lists'!$CQ$4,IF(D63='S1&amp;2 Lists'!$CU$6,B63/'S1&amp;2 Lists'!$CQ$5,0)))),3)</f>
        <v>0</v>
      </c>
      <c r="K63" s="451" t="s">
        <v>1837</v>
      </c>
    </row>
    <row r="64" spans="1:11" ht="15" outlineLevel="1">
      <c r="A64" s="429" t="str">
        <f>+'S1&amp;2 Lists'!L11</f>
        <v>Biodiesel</v>
      </c>
      <c r="B64" s="425"/>
      <c r="C64" s="450">
        <f>B62*(IF($C$56=0,$B$56,$C$56))</f>
        <v>0</v>
      </c>
      <c r="D64" s="450">
        <f>D62</f>
        <v>0</v>
      </c>
      <c r="E64" s="431">
        <f>ROUND(+$J64*'S1&amp;2 Lists'!$N11*'S1&amp;2 Lists'!$O11*'S1&amp;2 Lists'!S11/1000,3)</f>
        <v>0</v>
      </c>
      <c r="F64" s="431">
        <f>ROUND(+$J64*'S1&amp;2 Lists'!$N11*'S1&amp;2 Lists'!$O11*'S1&amp;2 Lists'!T11/1000,3)</f>
        <v>0</v>
      </c>
      <c r="G64" s="452">
        <f>ROUND(+$J64*'S1&amp;2 Lists'!$N11*'S1&amp;2 Lists'!$O11*'S1&amp;2 Lists'!U11/1000,3)</f>
        <v>0</v>
      </c>
      <c r="H64" s="431">
        <f>ROUND(+E64+$F64*VLOOKUP($F$59,'S1&amp;2 Lists'!$C$1:$G$109,3,FALSE)+G64*VLOOKUP($G$59,'S1&amp;2 Lists'!$C$1:$G$109,3,FALSE),3)</f>
        <v>0</v>
      </c>
      <c r="J64" s="431">
        <f>+ROUND(IF(D64='S1&amp;2 Lists'!$CW$3,C64,IF(D64='S1&amp;2 Lists'!$CW$4,C64/'S1&amp;2 Lists'!$CQ$8,0)),3)</f>
        <v>0</v>
      </c>
      <c r="K64" s="451" t="s">
        <v>1838</v>
      </c>
    </row>
    <row r="65" spans="1:11" ht="15" outlineLevel="1">
      <c r="A65" s="429" t="str">
        <f>+'S1&amp;2 Lists'!L12</f>
        <v>Biogasoline/Bioethanol</v>
      </c>
      <c r="B65" s="425"/>
      <c r="C65" s="450">
        <f>B61*(IF($C$57=0,$B$57,$C$57))</f>
        <v>0</v>
      </c>
      <c r="D65" s="450">
        <f>D61</f>
        <v>0</v>
      </c>
      <c r="E65" s="431">
        <f>ROUND(+$J65*'S1&amp;2 Lists'!$N12*'S1&amp;2 Lists'!$O12*'S1&amp;2 Lists'!S12/1000,3)</f>
        <v>0</v>
      </c>
      <c r="F65" s="431">
        <f>ROUND(+$J65*'S1&amp;2 Lists'!$N12*'S1&amp;2 Lists'!$O12*'S1&amp;2 Lists'!T12/1000,3)</f>
        <v>0</v>
      </c>
      <c r="G65" s="452">
        <f>ROUND(+$J65*'S1&amp;2 Lists'!$N12*'S1&amp;2 Lists'!$O12*'S1&amp;2 Lists'!U12/1000,3)</f>
        <v>0</v>
      </c>
      <c r="H65" s="431">
        <f>ROUND(+E65+$F65*VLOOKUP($F$59,'S1&amp;2 Lists'!$C$1:$G$109,3,FALSE)+G65*VLOOKUP($G$59,'S1&amp;2 Lists'!$C$1:$G$109,3,FALSE),3)</f>
        <v>0</v>
      </c>
      <c r="J65" s="431">
        <f>+ROUND(IF(D65='S1&amp;2 Lists'!$CW$3,C65,IF(D65='S1&amp;2 Lists'!$CW$4,C65/'S1&amp;2 Lists'!$CQ$8,0)),3)</f>
        <v>0</v>
      </c>
      <c r="K65" s="451" t="s">
        <v>1838</v>
      </c>
    </row>
    <row r="66" spans="1:11" outlineLevel="1"/>
    <row r="67" spans="1:11" s="415" customFormat="1" ht="18">
      <c r="A67" s="413" t="s">
        <v>1853</v>
      </c>
      <c r="B67" s="414" t="s">
        <v>1854</v>
      </c>
    </row>
    <row r="68" spans="1:11" s="415" customFormat="1" ht="17.25" customHeight="1">
      <c r="A68" s="453" t="s">
        <v>1855</v>
      </c>
      <c r="B68" s="1473" t="s">
        <v>1856</v>
      </c>
      <c r="C68" s="1473"/>
    </row>
    <row r="69" spans="1:11" ht="18" outlineLevel="1">
      <c r="A69" s="454"/>
    </row>
    <row r="70" spans="1:11" outlineLevel="1">
      <c r="A70" s="1462" t="s">
        <v>1857</v>
      </c>
      <c r="B70" s="1462"/>
      <c r="C70" s="1462"/>
      <c r="D70" s="1462"/>
      <c r="E70" s="1462"/>
      <c r="F70" s="1462"/>
      <c r="G70" s="1462"/>
      <c r="H70" s="1462"/>
    </row>
    <row r="71" spans="1:11" ht="15" customHeight="1" outlineLevel="1">
      <c r="B71" s="436"/>
      <c r="C71" s="436"/>
      <c r="D71" s="436"/>
      <c r="E71" s="436"/>
      <c r="F71" s="436"/>
      <c r="G71" s="436"/>
    </row>
    <row r="72" spans="1:11" ht="15" customHeight="1" outlineLevel="1">
      <c r="A72" s="1469" t="s">
        <v>1826</v>
      </c>
      <c r="B72" s="1470"/>
      <c r="C72" s="1474"/>
      <c r="D72" s="1474"/>
      <c r="E72" s="416"/>
      <c r="F72" s="416"/>
    </row>
    <row r="73" spans="1:11" ht="18" outlineLevel="1">
      <c r="A73" s="454"/>
      <c r="F73" s="15"/>
    </row>
    <row r="74" spans="1:11" ht="15" outlineLevel="1" thickBot="1">
      <c r="A74" s="437" t="s">
        <v>1844</v>
      </c>
      <c r="C74" s="15"/>
      <c r="D74" s="15"/>
      <c r="E74" s="15"/>
      <c r="F74" s="15"/>
    </row>
    <row r="75" spans="1:11" ht="45.75" customHeight="1" outlineLevel="1" thickTop="1" thickBot="1">
      <c r="A75" s="1446" t="s">
        <v>1858</v>
      </c>
      <c r="B75" s="1446"/>
      <c r="C75" s="1446"/>
      <c r="D75" s="1446"/>
      <c r="E75" s="456"/>
      <c r="F75" s="457" t="s">
        <v>1859</v>
      </c>
      <c r="G75" s="419"/>
    </row>
    <row r="76" spans="1:11" ht="15" outlineLevel="1" thickTop="1"/>
    <row r="77" spans="1:11" ht="51.95" customHeight="1" outlineLevel="1">
      <c r="B77" s="423" t="s">
        <v>1860</v>
      </c>
      <c r="C77" s="443" t="s">
        <v>1861</v>
      </c>
      <c r="D77" s="443" t="s">
        <v>1862</v>
      </c>
      <c r="E77" s="443" t="s">
        <v>1863</v>
      </c>
    </row>
    <row r="78" spans="1:11" ht="15" outlineLevel="1" collapsed="1">
      <c r="B78" s="447" t="s">
        <v>8</v>
      </c>
      <c r="C78" s="458"/>
      <c r="D78" s="459">
        <f>ROUND(+SUM($D$79:$D$200),3)</f>
        <v>0</v>
      </c>
      <c r="E78" s="426">
        <f>ROUND(+SUM($E$79:$E$200),3)</f>
        <v>0</v>
      </c>
    </row>
    <row r="79" spans="1:11" hidden="1" outlineLevel="2">
      <c r="B79" s="5" t="str">
        <f>+'S1&amp;2 Lists'!C7</f>
        <v>Carbon Dioxide (CO2​)</v>
      </c>
      <c r="C79" s="460">
        <f>+VLOOKUP(B79,'S1&amp;2 Lists'!$C$7:$G$128,3,FALSE)</f>
        <v>1</v>
      </c>
      <c r="D79" s="460">
        <f>ROUND(+SUMIF(Refrigerants!$G$10:$G$654,'Scope 1 and 2 Data'!B79,Refrigerants!$P$10:$P$654),3)</f>
        <v>0</v>
      </c>
      <c r="E79" s="460">
        <f t="shared" ref="E79:E80" si="0">+C79*D79</f>
        <v>0</v>
      </c>
    </row>
    <row r="80" spans="1:11" hidden="1" outlineLevel="2">
      <c r="B80" s="5" t="str">
        <f>+'S1&amp;2 Lists'!C8</f>
        <v>HCFO-1233zd(E)</v>
      </c>
      <c r="C80" s="460">
        <f>+VLOOKUP(B80,'S1&amp;2 Lists'!$C$7:$G$128,3,FALSE)</f>
        <v>3.88</v>
      </c>
      <c r="D80" s="460">
        <f>ROUND(+SUMIF(Refrigerants!$G$10:$G$654,'Scope 1 and 2 Data'!B80,Refrigerants!$P$10:$P$654),3)</f>
        <v>0</v>
      </c>
      <c r="E80" s="460">
        <f t="shared" si="0"/>
        <v>0</v>
      </c>
    </row>
    <row r="81" spans="2:5" hidden="1" outlineLevel="2">
      <c r="B81" s="5" t="str">
        <f>+'S1&amp;2 Lists'!C9</f>
        <v>HFC-125 (CHF2​CF3​)</v>
      </c>
      <c r="C81" s="460">
        <f>+VLOOKUP(B81,'S1&amp;2 Lists'!$C$7:$G$128,3,FALSE)</f>
        <v>3740</v>
      </c>
      <c r="D81" s="460">
        <f>ROUND(+SUMIF(Refrigerants!$G$10:$G$654,'Scope 1 and 2 Data'!B81,Refrigerants!$P$10:$P$654),3)</f>
        <v>0</v>
      </c>
      <c r="E81" s="460">
        <f t="shared" ref="E81:E139" si="1">+C81*D81</f>
        <v>0</v>
      </c>
    </row>
    <row r="82" spans="2:5" hidden="1" outlineLevel="2">
      <c r="B82" s="5" t="str">
        <f>+'S1&amp;2 Lists'!C10</f>
        <v>HFC-134 (CHF2​CHF2​)</v>
      </c>
      <c r="C82" s="460">
        <f>+VLOOKUP(B82,'S1&amp;2 Lists'!$C$7:$G$128,3,FALSE)</f>
        <v>1260</v>
      </c>
      <c r="D82" s="460">
        <f>ROUND(+SUMIF(Refrigerants!$G$10:$G$654,'Scope 1 and 2 Data'!B82,Refrigerants!$P$10:$P$654),3)</f>
        <v>0</v>
      </c>
      <c r="E82" s="460">
        <f t="shared" si="1"/>
        <v>0</v>
      </c>
    </row>
    <row r="83" spans="2:5" hidden="1" outlineLevel="2">
      <c r="B83" s="5" t="str">
        <f>+'S1&amp;2 Lists'!C11</f>
        <v>HFC-134a (CH2​FCF3​)</v>
      </c>
      <c r="C83" s="460">
        <f>+VLOOKUP(B83,'S1&amp;2 Lists'!$C$7:$G$128,3,FALSE)</f>
        <v>1530</v>
      </c>
      <c r="D83" s="460">
        <f>ROUND(+SUMIF(Refrigerants!$G$10:$G$654,'Scope 1 and 2 Data'!B83,Refrigerants!$P$10:$P$654),3)</f>
        <v>0</v>
      </c>
      <c r="E83" s="460">
        <f t="shared" si="1"/>
        <v>0</v>
      </c>
    </row>
    <row r="84" spans="2:5" hidden="1" outlineLevel="2">
      <c r="B84" s="5" t="str">
        <f>+'S1&amp;2 Lists'!C12</f>
        <v>HFC-143 (CH2​FCHF2​)</v>
      </c>
      <c r="C84" s="460">
        <f>+VLOOKUP(B84,'S1&amp;2 Lists'!$C$7:$G$128,3,FALSE)</f>
        <v>364</v>
      </c>
      <c r="D84" s="460">
        <f>ROUND(+SUMIF(Refrigerants!$G$10:$G$654,'Scope 1 and 2 Data'!B84,Refrigerants!$P$10:$P$654),3)</f>
        <v>0</v>
      </c>
      <c r="E84" s="460">
        <f t="shared" si="1"/>
        <v>0</v>
      </c>
    </row>
    <row r="85" spans="2:5" hidden="1" outlineLevel="2">
      <c r="B85" s="5" t="str">
        <f>+'S1&amp;2 Lists'!C13</f>
        <v>HFC-143a (CH3​CF3​)</v>
      </c>
      <c r="C85" s="460">
        <f>+VLOOKUP(B85,'S1&amp;2 Lists'!$C$7:$G$128,3,FALSE)</f>
        <v>5810</v>
      </c>
      <c r="D85" s="460">
        <f>ROUND(+SUMIF(Refrigerants!$G$10:$G$654,'Scope 1 and 2 Data'!B85,Refrigerants!$P$10:$P$654),3)</f>
        <v>0</v>
      </c>
      <c r="E85" s="460">
        <f t="shared" si="1"/>
        <v>0</v>
      </c>
    </row>
    <row r="86" spans="2:5" hidden="1" outlineLevel="2">
      <c r="B86" s="5" t="str">
        <f>+'S1&amp;2 Lists'!C14</f>
        <v>HFC-152a (CH3​CHF2​)</v>
      </c>
      <c r="C86" s="460">
        <f>+VLOOKUP(B86,'S1&amp;2 Lists'!$C$7:$G$128,3,FALSE)</f>
        <v>164</v>
      </c>
      <c r="D86" s="460">
        <f>ROUND(+SUMIF(Refrigerants!$G$10:$G$654,'Scope 1 and 2 Data'!B86,Refrigerants!$P$10:$P$654),3)</f>
        <v>0</v>
      </c>
      <c r="E86" s="460">
        <f t="shared" si="1"/>
        <v>0</v>
      </c>
    </row>
    <row r="87" spans="2:5" hidden="1" outlineLevel="2">
      <c r="B87" s="5" t="str">
        <f>+'S1&amp;2 Lists'!C15</f>
        <v>HFC-161</v>
      </c>
      <c r="C87" s="460">
        <f>+VLOOKUP(B87,'S1&amp;2 Lists'!$C$7:$G$128,3,FALSE)</f>
        <v>4.84</v>
      </c>
      <c r="D87" s="460">
        <f>ROUND(+SUMIF(Refrigerants!$G$10:$G$654,'Scope 1 and 2 Data'!B87,Refrigerants!$P$10:$P$654),3)</f>
        <v>0</v>
      </c>
      <c r="E87" s="460">
        <f t="shared" si="1"/>
        <v>0</v>
      </c>
    </row>
    <row r="88" spans="2:5" hidden="1" outlineLevel="2">
      <c r="B88" s="5" t="str">
        <f>+'S1&amp;2 Lists'!C16</f>
        <v>HFC-227ea (CF3​CHFCF3​)</v>
      </c>
      <c r="C88" s="460">
        <f>+VLOOKUP(B88,'S1&amp;2 Lists'!$C$7:$G$128,3,FALSE)</f>
        <v>3600</v>
      </c>
      <c r="D88" s="460">
        <f>ROUND(+SUMIF(Refrigerants!$G$10:$G$654,'Scope 1 and 2 Data'!B88,Refrigerants!$P$10:$P$654),3)</f>
        <v>0</v>
      </c>
      <c r="E88" s="460">
        <f t="shared" si="1"/>
        <v>0</v>
      </c>
    </row>
    <row r="89" spans="2:5" hidden="1" outlineLevel="2">
      <c r="B89" s="5" t="str">
        <f>+'S1&amp;2 Lists'!C17</f>
        <v>HFC-23 (CHF3​)</v>
      </c>
      <c r="C89" s="460">
        <f>+VLOOKUP(B89,'S1&amp;2 Lists'!$C$7:$G$128,3,FALSE)</f>
        <v>14600</v>
      </c>
      <c r="D89" s="460">
        <f>ROUND(+SUMIF(Refrigerants!$G$10:$G$654,'Scope 1 and 2 Data'!B89,Refrigerants!$P$10:$P$654),3)</f>
        <v>0</v>
      </c>
      <c r="E89" s="460">
        <f t="shared" si="1"/>
        <v>0</v>
      </c>
    </row>
    <row r="90" spans="2:5" hidden="1" outlineLevel="2">
      <c r="B90" s="5" t="str">
        <f>+'S1&amp;2 Lists'!C18</f>
        <v>HFC-236cb</v>
      </c>
      <c r="C90" s="460">
        <f>+VLOOKUP(B90,'S1&amp;2 Lists'!$C$7:$G$128,3,FALSE)</f>
        <v>1350</v>
      </c>
      <c r="D90" s="460">
        <f>ROUND(+SUMIF(Refrigerants!$G$10:$G$654,'Scope 1 and 2 Data'!B90,Refrigerants!$P$10:$P$654),3)</f>
        <v>0</v>
      </c>
      <c r="E90" s="460">
        <f t="shared" si="1"/>
        <v>0</v>
      </c>
    </row>
    <row r="91" spans="2:5" hidden="1" outlineLevel="2">
      <c r="B91" s="5" t="str">
        <f>+'S1&amp;2 Lists'!C19</f>
        <v>HFC-236ea</v>
      </c>
      <c r="C91" s="460">
        <f>+VLOOKUP(B91,'S1&amp;2 Lists'!$C$7:$G$128,3,FALSE)</f>
        <v>1500</v>
      </c>
      <c r="D91" s="460">
        <f>ROUND(+SUMIF(Refrigerants!$G$10:$G$654,'Scope 1 and 2 Data'!B91,Refrigerants!$P$10:$P$654),3)</f>
        <v>0</v>
      </c>
      <c r="E91" s="460">
        <f t="shared" si="1"/>
        <v>0</v>
      </c>
    </row>
    <row r="92" spans="2:5" hidden="1" outlineLevel="2">
      <c r="B92" s="5" t="str">
        <f>+'S1&amp;2 Lists'!C20</f>
        <v>HFC-236fa</v>
      </c>
      <c r="C92" s="460">
        <f>+VLOOKUP(B92,'S1&amp;2 Lists'!$C$7:$G$128,3,FALSE)</f>
        <v>8690</v>
      </c>
      <c r="D92" s="460">
        <f>ROUND(+SUMIF(Refrigerants!$G$10:$G$654,'Scope 1 and 2 Data'!B92,Refrigerants!$P$10:$P$654),3)</f>
        <v>0</v>
      </c>
      <c r="E92" s="460">
        <f t="shared" si="1"/>
        <v>0</v>
      </c>
    </row>
    <row r="93" spans="2:5" hidden="1" outlineLevel="2">
      <c r="B93" s="5" t="str">
        <f>+'S1&amp;2 Lists'!C21</f>
        <v>HFC-245ca</v>
      </c>
      <c r="C93" s="460">
        <f>+VLOOKUP(B93,'S1&amp;2 Lists'!$C$7:$G$128,3,FALSE)</f>
        <v>787</v>
      </c>
      <c r="D93" s="460">
        <f>ROUND(+SUMIF(Refrigerants!$G$10:$G$654,'Scope 1 and 2 Data'!B93,Refrigerants!$P$10:$P$654),3)</f>
        <v>0</v>
      </c>
      <c r="E93" s="460">
        <f t="shared" si="1"/>
        <v>0</v>
      </c>
    </row>
    <row r="94" spans="2:5" hidden="1" outlineLevel="2">
      <c r="B94" s="5" t="str">
        <f>+'S1&amp;2 Lists'!C22</f>
        <v>HFC-245fa</v>
      </c>
      <c r="C94" s="460">
        <f>+VLOOKUP(B94,'S1&amp;2 Lists'!$C$7:$G$128,3,FALSE)</f>
        <v>962</v>
      </c>
      <c r="D94" s="460">
        <f>ROUND(+SUMIF(Refrigerants!$G$10:$G$654,'Scope 1 and 2 Data'!B94,Refrigerants!$P$10:$P$654),3)</f>
        <v>0</v>
      </c>
      <c r="E94" s="460">
        <f t="shared" si="1"/>
        <v>0</v>
      </c>
    </row>
    <row r="95" spans="2:5" hidden="1" outlineLevel="2">
      <c r="B95" s="5" t="str">
        <f>+'S1&amp;2 Lists'!C23</f>
        <v>HFC-32 (CH2​F2​)</v>
      </c>
      <c r="C95" s="460">
        <f>+VLOOKUP(B95,'S1&amp;2 Lists'!$C$7:$G$128,3,FALSE)</f>
        <v>771</v>
      </c>
      <c r="D95" s="460">
        <f>ROUND(+SUMIF(Refrigerants!$G$10:$G$654,'Scope 1 and 2 Data'!B95,Refrigerants!$P$10:$P$654),3)</f>
        <v>0</v>
      </c>
      <c r="E95" s="460">
        <f t="shared" si="1"/>
        <v>0</v>
      </c>
    </row>
    <row r="96" spans="2:5" hidden="1" outlineLevel="2">
      <c r="B96" s="5" t="str">
        <f>+'S1&amp;2 Lists'!C24</f>
        <v>HFC-365mfc</v>
      </c>
      <c r="C96" s="460">
        <f>+VLOOKUP(B96,'S1&amp;2 Lists'!$C$7:$G$128,3,FALSE)</f>
        <v>914</v>
      </c>
      <c r="D96" s="460">
        <f>ROUND(+SUMIF(Refrigerants!$G$10:$G$654,'Scope 1 and 2 Data'!B96,Refrigerants!$P$10:$P$654),3)</f>
        <v>0</v>
      </c>
      <c r="E96" s="460">
        <f t="shared" si="1"/>
        <v>0</v>
      </c>
    </row>
    <row r="97" spans="2:5" hidden="1" outlineLevel="2">
      <c r="B97" s="5" t="str">
        <f>+'S1&amp;2 Lists'!C25</f>
        <v>HFC-41 (CH3​F)</v>
      </c>
      <c r="C97" s="460">
        <f>+VLOOKUP(B97,'S1&amp;2 Lists'!$C$7:$G$128,3,FALSE)</f>
        <v>135</v>
      </c>
      <c r="D97" s="460">
        <f>ROUND(+SUMIF(Refrigerants!$G$10:$G$654,'Scope 1 and 2 Data'!B97,Refrigerants!$P$10:$P$654),3)</f>
        <v>0</v>
      </c>
      <c r="E97" s="460">
        <f t="shared" si="1"/>
        <v>0</v>
      </c>
    </row>
    <row r="98" spans="2:5" hidden="1" outlineLevel="2">
      <c r="B98" s="5" t="str">
        <f>+'S1&amp;2 Lists'!C26</f>
        <v>HFC-43-10mee</v>
      </c>
      <c r="C98" s="460">
        <f>+VLOOKUP(B98,'S1&amp;2 Lists'!$C$7:$G$128,3,FALSE)</f>
        <v>1600</v>
      </c>
      <c r="D98" s="460">
        <f>ROUND(+SUMIF(Refrigerants!$G$10:$G$654,'Scope 1 and 2 Data'!B98,Refrigerants!$P$10:$P$654),3)</f>
        <v>0</v>
      </c>
      <c r="E98" s="460">
        <f t="shared" si="1"/>
        <v>0</v>
      </c>
    </row>
    <row r="99" spans="2:5" hidden="1" outlineLevel="2">
      <c r="B99" s="5" t="str">
        <f>+'S1&amp;2 Lists'!C27</f>
        <v>HFO-1234yf</v>
      </c>
      <c r="C99" s="460">
        <f>+VLOOKUP(B99,'S1&amp;2 Lists'!$C$7:$G$128,3,FALSE)</f>
        <v>0.5</v>
      </c>
      <c r="D99" s="460">
        <f>ROUND(+SUMIF(Refrigerants!$G$10:$G$654,'Scope 1 and 2 Data'!B99,Refrigerants!$P$10:$P$654),3)</f>
        <v>0</v>
      </c>
      <c r="E99" s="460">
        <f t="shared" si="1"/>
        <v>0</v>
      </c>
    </row>
    <row r="100" spans="2:5" hidden="1" outlineLevel="2">
      <c r="B100" s="5" t="str">
        <f>+'S1&amp;2 Lists'!C28</f>
        <v>HFO-1234ze(E)</v>
      </c>
      <c r="C100" s="460">
        <f>+VLOOKUP(B100,'S1&amp;2 Lists'!$C$7:$G$128,3,FALSE)</f>
        <v>1.37</v>
      </c>
      <c r="D100" s="460">
        <f>ROUND(+SUMIF(Refrigerants!$G$10:$G$654,'Scope 1 and 2 Data'!B100,Refrigerants!$P$10:$P$654),3)</f>
        <v>0</v>
      </c>
      <c r="E100" s="460">
        <f t="shared" si="1"/>
        <v>0</v>
      </c>
    </row>
    <row r="101" spans="2:5" hidden="1" outlineLevel="2">
      <c r="B101" s="5" t="str">
        <f>+'S1&amp;2 Lists'!C29</f>
        <v>HFO-1336mzz(E)</v>
      </c>
      <c r="C101" s="460">
        <f>+VLOOKUP(B101,'S1&amp;2 Lists'!$C$7:$G$128,3,FALSE)</f>
        <v>26</v>
      </c>
      <c r="D101" s="460">
        <f>ROUND(+SUMIF(Refrigerants!$G$10:$G$654,'Scope 1 and 2 Data'!B101,Refrigerants!$P$10:$P$654),3)</f>
        <v>0</v>
      </c>
      <c r="E101" s="460">
        <f t="shared" si="1"/>
        <v>0</v>
      </c>
    </row>
    <row r="102" spans="2:5" hidden="1" outlineLevel="2">
      <c r="B102" s="5" t="str">
        <f>+'S1&amp;2 Lists'!C30</f>
        <v>HFO-1336mzz(Z)</v>
      </c>
      <c r="C102" s="460">
        <f>+VLOOKUP(B102,'S1&amp;2 Lists'!$C$7:$G$128,3,FALSE)</f>
        <v>2.08</v>
      </c>
      <c r="D102" s="460">
        <f>ROUND(+SUMIF(Refrigerants!$G$10:$G$654,'Scope 1 and 2 Data'!B102,Refrigerants!$P$10:$P$654),3)</f>
        <v>0</v>
      </c>
      <c r="E102" s="460">
        <f t="shared" si="1"/>
        <v>0</v>
      </c>
    </row>
    <row r="103" spans="2:5" hidden="1" outlineLevel="2">
      <c r="B103" s="5" t="str">
        <f>+'S1&amp;2 Lists'!C31</f>
        <v>CH4</v>
      </c>
      <c r="C103" s="460">
        <f>+VLOOKUP(B103,'S1&amp;2 Lists'!$C$7:$G$128,3,FALSE)</f>
        <v>29.8</v>
      </c>
      <c r="D103" s="460">
        <f>ROUND(+SUMIF(Refrigerants!$G$10:$G$654,'Scope 1 and 2 Data'!B103,Refrigerants!$P$10:$P$654),3)</f>
        <v>0</v>
      </c>
      <c r="E103" s="460">
        <f t="shared" si="1"/>
        <v>0</v>
      </c>
    </row>
    <row r="104" spans="2:5" hidden="1" outlineLevel="2">
      <c r="B104" s="5" t="str">
        <f>+'S1&amp;2 Lists'!C32</f>
        <v>Methane (Non-Fossil / Biogenic) (CH4​)</v>
      </c>
      <c r="C104" s="460">
        <f>+VLOOKUP(B104,'S1&amp;2 Lists'!$C$7:$G$128,3,FALSE)</f>
        <v>27</v>
      </c>
      <c r="D104" s="460">
        <f>ROUND(+SUMIF(Refrigerants!$G$10:$G$654,'Scope 1 and 2 Data'!B104,Refrigerants!$P$10:$P$654),3)</f>
        <v>0</v>
      </c>
      <c r="E104" s="460">
        <f t="shared" si="1"/>
        <v>0</v>
      </c>
    </row>
    <row r="105" spans="2:5" hidden="1" outlineLevel="2">
      <c r="B105" s="5" t="str">
        <f>+'S1&amp;2 Lists'!C33</f>
        <v>Nitrogen Trifluoride (NF3​)</v>
      </c>
      <c r="C105" s="460">
        <f>+VLOOKUP(B105,'S1&amp;2 Lists'!$C$7:$G$128,3,FALSE)</f>
        <v>17400</v>
      </c>
      <c r="D105" s="460">
        <f>ROUND(+SUMIF(Refrigerants!$G$10:$G$654,'Scope 1 and 2 Data'!B105,Refrigerants!$P$10:$P$654),3)</f>
        <v>0</v>
      </c>
      <c r="E105" s="460">
        <f t="shared" si="1"/>
        <v>0</v>
      </c>
    </row>
    <row r="106" spans="2:5" hidden="1" outlineLevel="2">
      <c r="B106" s="5" t="str">
        <f>+'S1&amp;2 Lists'!C34</f>
        <v>Nitrous Oxide (N2​O)</v>
      </c>
      <c r="C106" s="460">
        <f>+VLOOKUP(B106,'S1&amp;2 Lists'!$C$7:$G$128,3,FALSE)</f>
        <v>273</v>
      </c>
      <c r="D106" s="460">
        <f>ROUND(+SUMIF(Refrigerants!$G$10:$G$654,'Scope 1 and 2 Data'!B106,Refrigerants!$P$10:$P$654),3)</f>
        <v>0</v>
      </c>
      <c r="E106" s="460">
        <f t="shared" si="1"/>
        <v>0</v>
      </c>
    </row>
    <row r="107" spans="2:5" hidden="1" outlineLevel="2">
      <c r="B107" s="5" t="str">
        <f>+'S1&amp;2 Lists'!C35</f>
        <v>PFC-116</v>
      </c>
      <c r="C107" s="460">
        <f>+VLOOKUP(B107,'S1&amp;2 Lists'!$C$7:$G$128,3,FALSE)</f>
        <v>12400</v>
      </c>
      <c r="D107" s="460">
        <f>ROUND(+SUMIF(Refrigerants!$G$10:$G$654,'Scope 1 and 2 Data'!B107,Refrigerants!$P$10:$P$654),3)</f>
        <v>0</v>
      </c>
      <c r="E107" s="460">
        <f t="shared" si="1"/>
        <v>0</v>
      </c>
    </row>
    <row r="108" spans="2:5" hidden="1" outlineLevel="2">
      <c r="B108" s="5" t="str">
        <f>+'S1&amp;2 Lists'!C36</f>
        <v>PFC-14</v>
      </c>
      <c r="C108" s="460">
        <f>+VLOOKUP(B108,'S1&amp;2 Lists'!$C$7:$G$128,3,FALSE)</f>
        <v>7380</v>
      </c>
      <c r="D108" s="460">
        <f>ROUND(+SUMIF(Refrigerants!$G$10:$G$654,'Scope 1 and 2 Data'!B108,Refrigerants!$P$10:$P$654),3)</f>
        <v>0</v>
      </c>
      <c r="E108" s="460">
        <f t="shared" si="1"/>
        <v>0</v>
      </c>
    </row>
    <row r="109" spans="2:5" hidden="1" outlineLevel="2">
      <c r="B109" s="5" t="str">
        <f>+'S1&amp;2 Lists'!C37</f>
        <v>PFC-218</v>
      </c>
      <c r="C109" s="460">
        <f>+VLOOKUP(B109,'S1&amp;2 Lists'!$C$7:$G$128,3,FALSE)</f>
        <v>9290</v>
      </c>
      <c r="D109" s="460">
        <f>ROUND(+SUMIF(Refrigerants!$G$10:$G$654,'Scope 1 and 2 Data'!B109,Refrigerants!$P$10:$P$654),3)</f>
        <v>0</v>
      </c>
      <c r="E109" s="460">
        <f t="shared" si="1"/>
        <v>0</v>
      </c>
    </row>
    <row r="110" spans="2:5" hidden="1" outlineLevel="2">
      <c r="B110" s="5" t="str">
        <f>+'S1&amp;2 Lists'!C38</f>
        <v>PFC-31-10</v>
      </c>
      <c r="C110" s="460">
        <f>+VLOOKUP(B110,'S1&amp;2 Lists'!$C$7:$G$128,3,FALSE)</f>
        <v>10000</v>
      </c>
      <c r="D110" s="460">
        <f>ROUND(+SUMIF(Refrigerants!$G$10:$G$654,'Scope 1 and 2 Data'!B110,Refrigerants!$P$10:$P$654),3)</f>
        <v>0</v>
      </c>
      <c r="E110" s="460">
        <f t="shared" si="1"/>
        <v>0</v>
      </c>
    </row>
    <row r="111" spans="2:5" hidden="1" outlineLevel="2">
      <c r="B111" s="5" t="str">
        <f>+'S1&amp;2 Lists'!C39</f>
        <v>PFC-318</v>
      </c>
      <c r="C111" s="460">
        <f>+VLOOKUP(B111,'S1&amp;2 Lists'!$C$7:$G$128,3,FALSE)</f>
        <v>10200</v>
      </c>
      <c r="D111" s="460">
        <f>ROUND(+SUMIF(Refrigerants!$G$10:$G$654,'Scope 1 and 2 Data'!B111,Refrigerants!$P$10:$P$654),3)</f>
        <v>0</v>
      </c>
      <c r="E111" s="460">
        <f t="shared" si="1"/>
        <v>0</v>
      </c>
    </row>
    <row r="112" spans="2:5" hidden="1" outlineLevel="2">
      <c r="B112" s="5" t="str">
        <f>+'S1&amp;2 Lists'!C40</f>
        <v>PFC-41-12</v>
      </c>
      <c r="C112" s="460">
        <f>+VLOOKUP(B112,'S1&amp;2 Lists'!$C$7:$G$128,3,FALSE)</f>
        <v>9220</v>
      </c>
      <c r="D112" s="460">
        <f>ROUND(+SUMIF(Refrigerants!$G$10:$G$654,'Scope 1 and 2 Data'!B112,Refrigerants!$P$10:$P$654),3)</f>
        <v>0</v>
      </c>
      <c r="E112" s="460">
        <f t="shared" si="1"/>
        <v>0</v>
      </c>
    </row>
    <row r="113" spans="2:5" hidden="1" outlineLevel="2">
      <c r="B113" s="5" t="str">
        <f>+'S1&amp;2 Lists'!C41</f>
        <v>PFC-51-14</v>
      </c>
      <c r="C113" s="460">
        <f>+VLOOKUP(B113,'S1&amp;2 Lists'!$C$7:$G$128,3,FALSE)</f>
        <v>8620</v>
      </c>
      <c r="D113" s="460">
        <f>ROUND(+SUMIF(Refrigerants!$G$10:$G$654,'Scope 1 and 2 Data'!B113,Refrigerants!$P$10:$P$654),3)</f>
        <v>0</v>
      </c>
      <c r="E113" s="460">
        <f t="shared" si="1"/>
        <v>0</v>
      </c>
    </row>
    <row r="114" spans="2:5" hidden="1" outlineLevel="2">
      <c r="B114" s="5" t="str">
        <f>+'S1&amp;2 Lists'!C42</f>
        <v>PFC-91-18</v>
      </c>
      <c r="C114" s="460">
        <f>+VLOOKUP(B114,'S1&amp;2 Lists'!$C$7:$G$128,3,FALSE)</f>
        <v>7480</v>
      </c>
      <c r="D114" s="460">
        <f>ROUND(+SUMIF(Refrigerants!$G$10:$G$654,'Scope 1 and 2 Data'!B114,Refrigerants!$P$10:$P$654),3)</f>
        <v>0</v>
      </c>
      <c r="E114" s="460">
        <f t="shared" si="1"/>
        <v>0</v>
      </c>
    </row>
    <row r="115" spans="2:5" hidden="1" outlineLevel="2">
      <c r="B115" s="5" t="str">
        <f>+'S1&amp;2 Lists'!C43</f>
        <v>R-11</v>
      </c>
      <c r="C115" s="460">
        <f>+VLOOKUP(B115,'S1&amp;2 Lists'!$C$7:$G$128,3,FALSE)</f>
        <v>6230</v>
      </c>
      <c r="D115" s="460">
        <f>ROUND(+SUMIF(Refrigerants!$G$10:$G$654,'Scope 1 and 2 Data'!B115,Refrigerants!$P$10:$P$654),3)</f>
        <v>0</v>
      </c>
      <c r="E115" s="460">
        <f t="shared" si="1"/>
        <v>0</v>
      </c>
    </row>
    <row r="116" spans="2:5" hidden="1" outlineLevel="2">
      <c r="B116" s="5" t="str">
        <f>+'S1&amp;2 Lists'!C44</f>
        <v>R-12</v>
      </c>
      <c r="C116" s="460">
        <f>+VLOOKUP(B116,'S1&amp;2 Lists'!$C$7:$G$128,3,FALSE)</f>
        <v>12500</v>
      </c>
      <c r="D116" s="460">
        <f>ROUND(+SUMIF(Refrigerants!$G$10:$G$654,'Scope 1 and 2 Data'!B116,Refrigerants!$P$10:$P$654),3)</f>
        <v>0</v>
      </c>
      <c r="E116" s="460">
        <f t="shared" si="1"/>
        <v>0</v>
      </c>
    </row>
    <row r="117" spans="2:5" hidden="1" outlineLevel="2">
      <c r="B117" s="5" t="str">
        <f>+'S1&amp;2 Lists'!C45</f>
        <v>R-123</v>
      </c>
      <c r="C117" s="460">
        <f>+VLOOKUP(B117,'S1&amp;2 Lists'!$C$7:$G$128,3,FALSE)</f>
        <v>90</v>
      </c>
      <c r="D117" s="460">
        <f>ROUND(+SUMIF(Refrigerants!$G$10:$G$654,'Scope 1 and 2 Data'!B117,Refrigerants!$P$10:$P$654),3)</f>
        <v>0</v>
      </c>
      <c r="E117" s="460">
        <f t="shared" si="1"/>
        <v>0</v>
      </c>
    </row>
    <row r="118" spans="2:5" hidden="1" outlineLevel="2">
      <c r="B118" s="5" t="str">
        <f>+'S1&amp;2 Lists'!C46</f>
        <v>R-22</v>
      </c>
      <c r="C118" s="460">
        <f>+VLOOKUP(B118,'S1&amp;2 Lists'!$C$7:$G$128,3,FALSE)</f>
        <v>1960</v>
      </c>
      <c r="D118" s="460">
        <f>ROUND(+SUMIF(Refrigerants!$G$10:$G$654,'Scope 1 and 2 Data'!B118,Refrigerants!$P$10:$P$654),3)</f>
        <v>0</v>
      </c>
      <c r="E118" s="460">
        <f t="shared" si="1"/>
        <v>0</v>
      </c>
    </row>
    <row r="119" spans="2:5" hidden="1" outlineLevel="2">
      <c r="B119" s="5" t="str">
        <f>+'S1&amp;2 Lists'!C47</f>
        <v>R-290</v>
      </c>
      <c r="C119" s="460">
        <f>+VLOOKUP(B119,'S1&amp;2 Lists'!$C$7:$G$128,3,FALSE)</f>
        <v>0.02</v>
      </c>
      <c r="D119" s="460">
        <f>ROUND(+SUMIF(Refrigerants!$G$10:$G$654,'Scope 1 and 2 Data'!B119,Refrigerants!$P$10:$P$654),3)</f>
        <v>0</v>
      </c>
      <c r="E119" s="460">
        <f t="shared" si="1"/>
        <v>0</v>
      </c>
    </row>
    <row r="120" spans="2:5" hidden="1" outlineLevel="2">
      <c r="B120" s="5" t="str">
        <f>+'S1&amp;2 Lists'!C48</f>
        <v>R-401A</v>
      </c>
      <c r="C120" s="460">
        <f>+VLOOKUP(B120,'S1&amp;2 Lists'!$C$7:$G$128,3,FALSE)</f>
        <v>1263</v>
      </c>
      <c r="D120" s="460">
        <f>ROUND(+SUMIF(Refrigerants!$G$10:$G$654,'Scope 1 and 2 Data'!B120,Refrigerants!$P$10:$P$654),3)</f>
        <v>0</v>
      </c>
      <c r="E120" s="460">
        <f t="shared" si="1"/>
        <v>0</v>
      </c>
    </row>
    <row r="121" spans="2:5" hidden="1" outlineLevel="2">
      <c r="B121" s="5" t="str">
        <f>+'S1&amp;2 Lists'!C49</f>
        <v>R-401B</v>
      </c>
      <c r="C121" s="460">
        <f>+VLOOKUP(B121,'S1&amp;2 Lists'!$C$7:$G$128,3,FALSE)</f>
        <v>1382</v>
      </c>
      <c r="D121" s="460">
        <f>ROUND(+SUMIF(Refrigerants!$G$10:$G$654,'Scope 1 and 2 Data'!B121,Refrigerants!$P$10:$P$654),3)</f>
        <v>0</v>
      </c>
      <c r="E121" s="460">
        <f t="shared" si="1"/>
        <v>0</v>
      </c>
    </row>
    <row r="122" spans="2:5" hidden="1" outlineLevel="2">
      <c r="B122" s="5" t="str">
        <f>+'S1&amp;2 Lists'!C50</f>
        <v>R-401C</v>
      </c>
      <c r="C122" s="460">
        <f>+VLOOKUP(B122,'S1&amp;2 Lists'!$C$7:$G$128,3,FALSE)</f>
        <v>942</v>
      </c>
      <c r="D122" s="460">
        <f>ROUND(+SUMIF(Refrigerants!$G$10:$G$654,'Scope 1 and 2 Data'!B122,Refrigerants!$P$10:$P$654),3)</f>
        <v>0</v>
      </c>
      <c r="E122" s="460">
        <f t="shared" si="1"/>
        <v>0</v>
      </c>
    </row>
    <row r="123" spans="2:5" hidden="1" outlineLevel="2">
      <c r="B123" s="5" t="str">
        <f>+'S1&amp;2 Lists'!C51</f>
        <v>R-402A</v>
      </c>
      <c r="C123" s="460">
        <f>+VLOOKUP(B123,'S1&amp;2 Lists'!$C$7:$G$128,3,FALSE)</f>
        <v>2244</v>
      </c>
      <c r="D123" s="460">
        <f>ROUND(+SUMIF(Refrigerants!$G$10:$G$654,'Scope 1 and 2 Data'!B123,Refrigerants!$P$10:$P$654),3)</f>
        <v>0</v>
      </c>
      <c r="E123" s="460">
        <f t="shared" si="1"/>
        <v>0</v>
      </c>
    </row>
    <row r="124" spans="2:5" hidden="1" outlineLevel="2">
      <c r="B124" s="5" t="str">
        <f>+'S1&amp;2 Lists'!C52</f>
        <v>R-402B</v>
      </c>
      <c r="C124" s="460">
        <f>+VLOOKUP(B124,'S1&amp;2 Lists'!$C$7:$G$128,3,FALSE)</f>
        <v>1421</v>
      </c>
      <c r="D124" s="460">
        <f>ROUND(+SUMIF(Refrigerants!$G$10:$G$654,'Scope 1 and 2 Data'!B124,Refrigerants!$P$10:$P$654),3)</f>
        <v>0</v>
      </c>
      <c r="E124" s="460">
        <f t="shared" si="1"/>
        <v>0</v>
      </c>
    </row>
    <row r="125" spans="2:5" hidden="1" outlineLevel="2">
      <c r="B125" s="5" t="str">
        <f>+'S1&amp;2 Lists'!C53</f>
        <v>R-403A</v>
      </c>
      <c r="C125" s="460">
        <f>+VLOOKUP(B125,'S1&amp;2 Lists'!$C$7:$G$128,3,FALSE)</f>
        <v>1858</v>
      </c>
      <c r="D125" s="460">
        <f>ROUND(+SUMIF(Refrigerants!$G$10:$G$654,'Scope 1 and 2 Data'!B125,Refrigerants!$P$10:$P$654),3)</f>
        <v>0</v>
      </c>
      <c r="E125" s="460">
        <f t="shared" si="1"/>
        <v>0</v>
      </c>
    </row>
    <row r="126" spans="2:5" hidden="1" outlineLevel="2">
      <c r="B126" s="5" t="str">
        <f>+'S1&amp;2 Lists'!C54</f>
        <v>R-403B</v>
      </c>
      <c r="C126" s="460">
        <f>+VLOOKUP(B126,'S1&amp;2 Lists'!$C$7:$G$128,3,FALSE)</f>
        <v>3623</v>
      </c>
      <c r="D126" s="460">
        <f>ROUND(+SUMIF(Refrigerants!$G$10:$G$654,'Scope 1 and 2 Data'!B126,Refrigerants!$P$10:$P$654),3)</f>
        <v>0</v>
      </c>
      <c r="E126" s="460">
        <f t="shared" si="1"/>
        <v>0</v>
      </c>
    </row>
    <row r="127" spans="2:5" hidden="1" outlineLevel="2">
      <c r="B127" s="5" t="str">
        <f>+'S1&amp;2 Lists'!C55</f>
        <v>R-404A</v>
      </c>
      <c r="C127" s="460">
        <f>+VLOOKUP(B127,'S1&amp;2 Lists'!$C$7:$G$128,3,FALSE)</f>
        <v>4728</v>
      </c>
      <c r="D127" s="460">
        <f>ROUND(+SUMIF(Refrigerants!$G$10:$G$654,'Scope 1 and 2 Data'!B127,Refrigerants!$P$10:$P$654),3)</f>
        <v>0</v>
      </c>
      <c r="E127" s="460">
        <f t="shared" si="1"/>
        <v>0</v>
      </c>
    </row>
    <row r="128" spans="2:5" hidden="1" outlineLevel="2">
      <c r="B128" s="5" t="str">
        <f>+'S1&amp;2 Lists'!C56</f>
        <v>R-406A</v>
      </c>
      <c r="C128" s="460">
        <f>+VLOOKUP(B128,'S1&amp;2 Lists'!$C$7:$G$128,3,FALSE)</f>
        <v>1780</v>
      </c>
      <c r="D128" s="460">
        <f>ROUND(+SUMIF(Refrigerants!$G$10:$G$654,'Scope 1 and 2 Data'!B128,Refrigerants!$P$10:$P$654),3)</f>
        <v>0</v>
      </c>
      <c r="E128" s="460">
        <f t="shared" si="1"/>
        <v>0</v>
      </c>
    </row>
    <row r="129" spans="2:5" hidden="1" outlineLevel="2">
      <c r="B129" s="5" t="str">
        <f>+'S1&amp;2 Lists'!C57</f>
        <v>R-407A</v>
      </c>
      <c r="C129" s="460">
        <f>+VLOOKUP(B129,'S1&amp;2 Lists'!$C$7:$G$128,3,FALSE)</f>
        <v>2262</v>
      </c>
      <c r="D129" s="460">
        <f>ROUND(+SUMIF(Refrigerants!$G$10:$G$654,'Scope 1 and 2 Data'!B129,Refrigerants!$P$10:$P$654),3)</f>
        <v>0</v>
      </c>
      <c r="E129" s="460">
        <f t="shared" si="1"/>
        <v>0</v>
      </c>
    </row>
    <row r="130" spans="2:5" hidden="1" outlineLevel="2">
      <c r="B130" s="5" t="str">
        <f>+'S1&amp;2 Lists'!C58</f>
        <v>R-407B</v>
      </c>
      <c r="C130" s="460">
        <f>+VLOOKUP(B130,'S1&amp;2 Lists'!$C$7:$G$128,3,FALSE)</f>
        <v>2934</v>
      </c>
      <c r="D130" s="460">
        <f>ROUND(+SUMIF(Refrigerants!$G$10:$G$654,'Scope 1 and 2 Data'!B130,Refrigerants!$P$10:$P$654),3)</f>
        <v>0</v>
      </c>
      <c r="E130" s="460">
        <f t="shared" si="1"/>
        <v>0</v>
      </c>
    </row>
    <row r="131" spans="2:5" hidden="1" outlineLevel="2">
      <c r="B131" s="5" t="str">
        <f>+'S1&amp;2 Lists'!C59</f>
        <v>R-407C</v>
      </c>
      <c r="C131" s="460">
        <f>+VLOOKUP(B131,'S1&amp;2 Lists'!$C$7:$G$128,3,FALSE)</f>
        <v>1908</v>
      </c>
      <c r="D131" s="460">
        <f>ROUND(+SUMIF(Refrigerants!$G$10:$G$654,'Scope 1 and 2 Data'!B131,Refrigerants!$P$10:$P$654),3)</f>
        <v>0</v>
      </c>
      <c r="E131" s="460">
        <f t="shared" si="1"/>
        <v>0</v>
      </c>
    </row>
    <row r="132" spans="2:5" hidden="1" outlineLevel="2">
      <c r="B132" s="5" t="str">
        <f>+'S1&amp;2 Lists'!C60</f>
        <v>R-407D</v>
      </c>
      <c r="C132" s="460">
        <f>+VLOOKUP(B132,'S1&amp;2 Lists'!$C$7:$G$128,3,FALSE)</f>
        <v>1748</v>
      </c>
      <c r="D132" s="460">
        <f>ROUND(+SUMIF(Refrigerants!$G$10:$G$654,'Scope 1 and 2 Data'!B132,Refrigerants!$P$10:$P$654),3)</f>
        <v>0</v>
      </c>
      <c r="E132" s="460">
        <f t="shared" si="1"/>
        <v>0</v>
      </c>
    </row>
    <row r="133" spans="2:5" hidden="1" outlineLevel="2">
      <c r="B133" s="5" t="str">
        <f>+'S1&amp;2 Lists'!C61</f>
        <v>R-407E</v>
      </c>
      <c r="C133" s="460">
        <f>+VLOOKUP(B133,'S1&amp;2 Lists'!$C$7:$G$128,3,FALSE)</f>
        <v>1672</v>
      </c>
      <c r="D133" s="460">
        <f>ROUND(+SUMIF(Refrigerants!$G$10:$G$654,'Scope 1 and 2 Data'!B133,Refrigerants!$P$10:$P$654),3)</f>
        <v>0</v>
      </c>
      <c r="E133" s="460">
        <f t="shared" si="1"/>
        <v>0</v>
      </c>
    </row>
    <row r="134" spans="2:5" hidden="1" outlineLevel="2">
      <c r="B134" s="5" t="str">
        <f>+'S1&amp;2 Lists'!C62</f>
        <v>R-407F</v>
      </c>
      <c r="C134" s="460">
        <f>+VLOOKUP(B134,'S1&amp;2 Lists'!$C$7:$G$128,3,FALSE)</f>
        <v>1965</v>
      </c>
      <c r="D134" s="460">
        <f>ROUND(+SUMIF(Refrigerants!$G$10:$G$654,'Scope 1 and 2 Data'!B134,Refrigerants!$P$10:$P$654),3)</f>
        <v>0</v>
      </c>
      <c r="E134" s="460">
        <f t="shared" si="1"/>
        <v>0</v>
      </c>
    </row>
    <row r="135" spans="2:5" hidden="1" outlineLevel="2">
      <c r="B135" s="5" t="str">
        <f>+'S1&amp;2 Lists'!C63</f>
        <v>R-408A</v>
      </c>
      <c r="C135" s="460">
        <f>+VLOOKUP(B135,'S1&amp;2 Lists'!$C$7:$G$128,3,FALSE)</f>
        <v>3856</v>
      </c>
      <c r="D135" s="460">
        <f>ROUND(+SUMIF(Refrigerants!$G$10:$G$654,'Scope 1 and 2 Data'!B135,Refrigerants!$P$10:$P$654),3)</f>
        <v>0</v>
      </c>
      <c r="E135" s="460">
        <f t="shared" si="1"/>
        <v>0</v>
      </c>
    </row>
    <row r="136" spans="2:5" hidden="1" outlineLevel="2">
      <c r="B136" s="5" t="str">
        <f>+'S1&amp;2 Lists'!C64</f>
        <v>R-409A</v>
      </c>
      <c r="C136" s="460">
        <f>+VLOOKUP(B136,'S1&amp;2 Lists'!$C$7:$G$128,3,FALSE)</f>
        <v>1670</v>
      </c>
      <c r="D136" s="460">
        <f>ROUND(+SUMIF(Refrigerants!$G$10:$G$654,'Scope 1 and 2 Data'!B136,Refrigerants!$P$10:$P$654),3)</f>
        <v>0</v>
      </c>
      <c r="E136" s="460">
        <f t="shared" si="1"/>
        <v>0</v>
      </c>
    </row>
    <row r="137" spans="2:5" hidden="1" outlineLevel="2">
      <c r="B137" s="5" t="str">
        <f>+'S1&amp;2 Lists'!C65</f>
        <v>R-409B</v>
      </c>
      <c r="C137" s="460">
        <f>+VLOOKUP(B137,'S1&amp;2 Lists'!$C$7:$G$128,3,FALSE)</f>
        <v>0</v>
      </c>
      <c r="D137" s="460">
        <f>ROUND(+SUMIF(Refrigerants!$G$10:$G$654,'Scope 1 and 2 Data'!B137,Refrigerants!$P$10:$P$654),3)</f>
        <v>0</v>
      </c>
      <c r="E137" s="460">
        <f t="shared" si="1"/>
        <v>0</v>
      </c>
    </row>
    <row r="138" spans="2:5" hidden="1" outlineLevel="2">
      <c r="B138" s="5" t="str">
        <f>+'S1&amp;2 Lists'!C66</f>
        <v>R-410A</v>
      </c>
      <c r="C138" s="460">
        <f>+VLOOKUP(B138,'S1&amp;2 Lists'!$C$7:$G$128,3,FALSE)</f>
        <v>2256</v>
      </c>
      <c r="D138" s="460">
        <f>ROUND(+SUMIF(Refrigerants!$G$10:$G$654,'Scope 1 and 2 Data'!B138,Refrigerants!$P$10:$P$654),3)</f>
        <v>0</v>
      </c>
      <c r="E138" s="460">
        <f t="shared" si="1"/>
        <v>0</v>
      </c>
    </row>
    <row r="139" spans="2:5" hidden="1" outlineLevel="2">
      <c r="B139" s="5" t="str">
        <f>+'S1&amp;2 Lists'!C67</f>
        <v>R-410B</v>
      </c>
      <c r="C139" s="460">
        <f>+VLOOKUP(B139,'S1&amp;2 Lists'!$C$7:$G$128,3,FALSE)</f>
        <v>2404</v>
      </c>
      <c r="D139" s="460">
        <f>ROUND(+SUMIF(Refrigerants!$G$10:$G$654,'Scope 1 and 2 Data'!B139,Refrigerants!$P$10:$P$654),3)</f>
        <v>0</v>
      </c>
      <c r="E139" s="460">
        <f t="shared" si="1"/>
        <v>0</v>
      </c>
    </row>
    <row r="140" spans="2:5" hidden="1" outlineLevel="2">
      <c r="B140" s="5" t="str">
        <f>+'S1&amp;2 Lists'!C68</f>
        <v>R-411A</v>
      </c>
      <c r="C140" s="460">
        <f>+VLOOKUP(B140,'S1&amp;2 Lists'!$C$7:$G$128,3,FALSE)</f>
        <v>1733</v>
      </c>
      <c r="D140" s="460">
        <f>ROUND(+SUMIF(Refrigerants!$G$10:$G$654,'Scope 1 and 2 Data'!B140,Refrigerants!$P$10:$P$654),3)</f>
        <v>0</v>
      </c>
      <c r="E140" s="460">
        <f t="shared" ref="E140:E175" si="2">+C140*D140</f>
        <v>0</v>
      </c>
    </row>
    <row r="141" spans="2:5" hidden="1" outlineLevel="2">
      <c r="B141" s="5" t="str">
        <f>+'S1&amp;2 Lists'!C69</f>
        <v>R-411B</v>
      </c>
      <c r="C141" s="460">
        <f>+VLOOKUP(B141,'S1&amp;2 Lists'!$C$7:$G$128,3,FALSE)</f>
        <v>1847</v>
      </c>
      <c r="D141" s="460">
        <f>ROUND(+SUMIF(Refrigerants!$G$10:$G$654,'Scope 1 and 2 Data'!B141,Refrigerants!$P$10:$P$654),3)</f>
        <v>0</v>
      </c>
      <c r="E141" s="460">
        <f t="shared" si="2"/>
        <v>0</v>
      </c>
    </row>
    <row r="142" spans="2:5" hidden="1" outlineLevel="2">
      <c r="B142" s="5" t="str">
        <f>+'S1&amp;2 Lists'!C70</f>
        <v>R-412A</v>
      </c>
      <c r="C142" s="460">
        <f>+VLOOKUP(B142,'S1&amp;2 Lists'!$C$7:$G$128,3,FALSE)</f>
        <v>465</v>
      </c>
      <c r="D142" s="460">
        <f>ROUND(+SUMIF(Refrigerants!$G$10:$G$654,'Scope 1 and 2 Data'!B142,Refrigerants!$P$10:$P$654),3)</f>
        <v>0</v>
      </c>
      <c r="E142" s="460">
        <f t="shared" si="2"/>
        <v>0</v>
      </c>
    </row>
    <row r="143" spans="2:5" hidden="1" outlineLevel="2">
      <c r="B143" s="5" t="str">
        <f>+'S1&amp;2 Lists'!C71</f>
        <v>R-415A</v>
      </c>
      <c r="C143" s="460">
        <f>+VLOOKUP(B143,'S1&amp;2 Lists'!$C$7:$G$128,3,FALSE)</f>
        <v>1635</v>
      </c>
      <c r="D143" s="460">
        <f>ROUND(+SUMIF(Refrigerants!$G$10:$G$654,'Scope 1 and 2 Data'!B143,Refrigerants!$P$10:$P$654),3)</f>
        <v>0</v>
      </c>
      <c r="E143" s="460">
        <f t="shared" si="2"/>
        <v>0</v>
      </c>
    </row>
    <row r="144" spans="2:5" hidden="1" outlineLevel="2">
      <c r="B144" s="5" t="str">
        <f>+'S1&amp;2 Lists'!C72</f>
        <v>R-415B</v>
      </c>
      <c r="C144" s="460">
        <f>+VLOOKUP(B144,'S1&amp;2 Lists'!$C$7:$G$128,3,FALSE)</f>
        <v>605</v>
      </c>
      <c r="D144" s="460">
        <f>ROUND(+SUMIF(Refrigerants!$G$10:$G$654,'Scope 1 and 2 Data'!B144,Refrigerants!$P$10:$P$654),3)</f>
        <v>0</v>
      </c>
      <c r="E144" s="460">
        <f t="shared" si="2"/>
        <v>0</v>
      </c>
    </row>
    <row r="145" spans="2:5" hidden="1" outlineLevel="2">
      <c r="B145" s="5" t="str">
        <f>+'S1&amp;2 Lists'!C73</f>
        <v>R-416A</v>
      </c>
      <c r="C145" s="460">
        <f>+VLOOKUP(B145,'S1&amp;2 Lists'!$C$7:$G$128,3,FALSE)</f>
        <v>903</v>
      </c>
      <c r="D145" s="460">
        <f>ROUND(+SUMIF(Refrigerants!$G$10:$G$654,'Scope 1 and 2 Data'!B145,Refrigerants!$P$10:$P$654),3)</f>
        <v>0</v>
      </c>
      <c r="E145" s="460">
        <f t="shared" si="2"/>
        <v>0</v>
      </c>
    </row>
    <row r="146" spans="2:5" hidden="1" outlineLevel="2">
      <c r="B146" s="5" t="str">
        <f>+'S1&amp;2 Lists'!C74</f>
        <v>R-417A</v>
      </c>
      <c r="C146" s="460">
        <f>+VLOOKUP(B146,'S1&amp;2 Lists'!$C$7:$G$128,3,FALSE)</f>
        <v>2508</v>
      </c>
      <c r="D146" s="460">
        <f>ROUND(+SUMIF(Refrigerants!$G$10:$G$654,'Scope 1 and 2 Data'!B146,Refrigerants!$P$10:$P$654),3)</f>
        <v>0</v>
      </c>
      <c r="E146" s="460">
        <f t="shared" si="2"/>
        <v>0</v>
      </c>
    </row>
    <row r="147" spans="2:5" hidden="1" outlineLevel="2">
      <c r="B147" s="5" t="str">
        <f>+'S1&amp;2 Lists'!C75</f>
        <v>R-417B</v>
      </c>
      <c r="C147" s="460">
        <f>+VLOOKUP(B147,'S1&amp;2 Lists'!$C$7:$G$128,3,FALSE)</f>
        <v>3235</v>
      </c>
      <c r="D147" s="460">
        <f>ROUND(+SUMIF(Refrigerants!$G$10:$G$654,'Scope 1 and 2 Data'!B147,Refrigerants!$P$10:$P$654),3)</f>
        <v>0</v>
      </c>
      <c r="E147" s="460">
        <f t="shared" si="2"/>
        <v>0</v>
      </c>
    </row>
    <row r="148" spans="2:5" hidden="1" outlineLevel="2">
      <c r="B148" s="5" t="str">
        <f>+'S1&amp;2 Lists'!C76</f>
        <v>R-417C</v>
      </c>
      <c r="C148" s="460">
        <f>+VLOOKUP(B148,'S1&amp;2 Lists'!$C$7:$G$128,3,FALSE)</f>
        <v>1935</v>
      </c>
      <c r="D148" s="460">
        <f>ROUND(+SUMIF(Refrigerants!$G$10:$G$654,'Scope 1 and 2 Data'!B148,Refrigerants!$P$10:$P$654),3)</f>
        <v>0</v>
      </c>
      <c r="E148" s="460">
        <f t="shared" si="2"/>
        <v>0</v>
      </c>
    </row>
    <row r="149" spans="2:5" hidden="1" outlineLevel="2">
      <c r="B149" s="5" t="str">
        <f>+'S1&amp;2 Lists'!C77</f>
        <v>R-418A</v>
      </c>
      <c r="C149" s="460">
        <f>+VLOOKUP(B149,'S1&amp;2 Lists'!$C$7:$G$128,3,FALSE)</f>
        <v>1885</v>
      </c>
      <c r="D149" s="460">
        <f>ROUND(+SUMIF(Refrigerants!$G$10:$G$654,'Scope 1 and 2 Data'!B149,Refrigerants!$P$10:$P$654),3)</f>
        <v>0</v>
      </c>
      <c r="E149" s="460">
        <f t="shared" si="2"/>
        <v>0</v>
      </c>
    </row>
    <row r="150" spans="2:5" hidden="1" outlineLevel="2">
      <c r="B150" s="5" t="str">
        <f>+'S1&amp;2 Lists'!C78</f>
        <v>R-419A</v>
      </c>
      <c r="C150" s="460">
        <f>+VLOOKUP(B150,'S1&amp;2 Lists'!$C$7:$G$128,3,FALSE)</f>
        <v>3171</v>
      </c>
      <c r="D150" s="460">
        <f>ROUND(+SUMIF(Refrigerants!$G$10:$G$654,'Scope 1 and 2 Data'!B150,Refrigerants!$P$10:$P$654),3)</f>
        <v>0</v>
      </c>
      <c r="E150" s="460">
        <f t="shared" si="2"/>
        <v>0</v>
      </c>
    </row>
    <row r="151" spans="2:5" hidden="1" outlineLevel="2">
      <c r="B151" s="5" t="str">
        <f>+'S1&amp;2 Lists'!C79</f>
        <v>R-419B</v>
      </c>
      <c r="C151" s="460">
        <f>+VLOOKUP(B151,'S1&amp;2 Lists'!$C$7:$G$128,3,FALSE)</f>
        <v>2548</v>
      </c>
      <c r="D151" s="460">
        <f>ROUND(+SUMIF(Refrigerants!$G$10:$G$654,'Scope 1 and 2 Data'!B151,Refrigerants!$P$10:$P$654),3)</f>
        <v>0</v>
      </c>
      <c r="E151" s="460">
        <f t="shared" si="2"/>
        <v>0</v>
      </c>
    </row>
    <row r="152" spans="2:5" hidden="1" outlineLevel="2">
      <c r="B152" s="5" t="str">
        <f>+'S1&amp;2 Lists'!C80</f>
        <v>R-420A</v>
      </c>
      <c r="C152" s="460">
        <f>+VLOOKUP(B152,'S1&amp;2 Lists'!$C$7:$G$128,3,FALSE)</f>
        <v>1258</v>
      </c>
      <c r="D152" s="460">
        <f>ROUND(+SUMIF(Refrigerants!$G$10:$G$654,'Scope 1 and 2 Data'!B152,Refrigerants!$P$10:$P$654),3)</f>
        <v>0</v>
      </c>
      <c r="E152" s="460">
        <f t="shared" si="2"/>
        <v>0</v>
      </c>
    </row>
    <row r="153" spans="2:5" hidden="1" outlineLevel="2">
      <c r="B153" s="5" t="str">
        <f>+'S1&amp;2 Lists'!C81</f>
        <v>R-421A</v>
      </c>
      <c r="C153" s="460">
        <f>+VLOOKUP(B153,'S1&amp;2 Lists'!$C$7:$G$128,3,FALSE)</f>
        <v>2631</v>
      </c>
      <c r="D153" s="460">
        <f>ROUND(+SUMIF(Refrigerants!$G$10:$G$654,'Scope 1 and 2 Data'!B153,Refrigerants!$P$10:$P$654),3)</f>
        <v>0</v>
      </c>
      <c r="E153" s="460">
        <f t="shared" si="2"/>
        <v>0</v>
      </c>
    </row>
    <row r="154" spans="2:5" hidden="1" outlineLevel="2">
      <c r="B154" s="5" t="str">
        <f>+'S1&amp;2 Lists'!C82</f>
        <v>R-421B</v>
      </c>
      <c r="C154" s="460">
        <f>+VLOOKUP(B154,'S1&amp;2 Lists'!$C$7:$G$128,3,FALSE)</f>
        <v>3190</v>
      </c>
      <c r="D154" s="460">
        <f>ROUND(+SUMIF(Refrigerants!$G$10:$G$654,'Scope 1 and 2 Data'!B154,Refrigerants!$P$10:$P$654),3)</f>
        <v>0</v>
      </c>
      <c r="E154" s="460">
        <f t="shared" si="2"/>
        <v>0</v>
      </c>
    </row>
    <row r="155" spans="2:5" hidden="1" outlineLevel="2">
      <c r="B155" s="5" t="str">
        <f>+'S1&amp;2 Lists'!C83</f>
        <v>R-422A</v>
      </c>
      <c r="C155" s="460">
        <f>+VLOOKUP(B155,'S1&amp;2 Lists'!$C$7:$G$128,3,FALSE)</f>
        <v>3143</v>
      </c>
      <c r="D155" s="460">
        <f>ROUND(+SUMIF(Refrigerants!$G$10:$G$654,'Scope 1 and 2 Data'!B155,Refrigerants!$P$10:$P$654),3)</f>
        <v>0</v>
      </c>
      <c r="E155" s="460">
        <f t="shared" si="2"/>
        <v>0</v>
      </c>
    </row>
    <row r="156" spans="2:5" hidden="1" outlineLevel="2">
      <c r="B156" s="5" t="str">
        <f>+'S1&amp;2 Lists'!C84</f>
        <v>R-422B</v>
      </c>
      <c r="C156" s="460">
        <f>+VLOOKUP(B156,'S1&amp;2 Lists'!$C$7:$G$128,3,FALSE)</f>
        <v>2526</v>
      </c>
      <c r="D156" s="460">
        <f>ROUND(+SUMIF(Refrigerants!$G$10:$G$654,'Scope 1 and 2 Data'!B156,Refrigerants!$P$10:$P$654),3)</f>
        <v>0</v>
      </c>
      <c r="E156" s="460">
        <f t="shared" si="2"/>
        <v>0</v>
      </c>
    </row>
    <row r="157" spans="2:5" hidden="1" outlineLevel="2">
      <c r="B157" s="5" t="str">
        <f>+'S1&amp;2 Lists'!C85</f>
        <v>R-422C</v>
      </c>
      <c r="C157" s="460">
        <f>+VLOOKUP(B157,'S1&amp;2 Lists'!$C$7:$G$128,3,FALSE)</f>
        <v>3085</v>
      </c>
      <c r="D157" s="460">
        <f>ROUND(+SUMIF(Refrigerants!$G$10:$G$654,'Scope 1 and 2 Data'!B157,Refrigerants!$P$10:$P$654),3)</f>
        <v>0</v>
      </c>
      <c r="E157" s="460">
        <f t="shared" si="2"/>
        <v>0</v>
      </c>
    </row>
    <row r="158" spans="2:5" hidden="1" outlineLevel="2">
      <c r="B158" s="5" t="str">
        <f>+'S1&amp;2 Lists'!C86</f>
        <v>R-422D</v>
      </c>
      <c r="C158" s="460">
        <f>+VLOOKUP(B158,'S1&amp;2 Lists'!$C$7:$G$128,3,FALSE)</f>
        <v>2917</v>
      </c>
      <c r="D158" s="460">
        <f>ROUND(+SUMIF(Refrigerants!$G$10:$G$654,'Scope 1 and 2 Data'!B158,Refrigerants!$P$10:$P$654),3)</f>
        <v>0</v>
      </c>
      <c r="E158" s="460">
        <f t="shared" si="2"/>
        <v>0</v>
      </c>
    </row>
    <row r="159" spans="2:5" hidden="1" outlineLevel="2">
      <c r="B159" s="5" t="str">
        <f>+'S1&amp;2 Lists'!C87</f>
        <v>R-422E</v>
      </c>
      <c r="C159" s="460">
        <f>+VLOOKUP(B159,'S1&amp;2 Lists'!$C$7:$G$128,3,FALSE)</f>
        <v>2770</v>
      </c>
      <c r="D159" s="460">
        <f>ROUND(+SUMIF(Refrigerants!$G$10:$G$654,'Scope 1 and 2 Data'!B159,Refrigerants!$P$10:$P$654),3)</f>
        <v>0</v>
      </c>
      <c r="E159" s="460">
        <f t="shared" si="2"/>
        <v>0</v>
      </c>
    </row>
    <row r="160" spans="2:5" hidden="1" outlineLevel="2">
      <c r="B160" s="5" t="str">
        <f>+'S1&amp;2 Lists'!C88</f>
        <v>R-423A</v>
      </c>
      <c r="C160" s="460">
        <f>+VLOOKUP(B160,'S1&amp;2 Lists'!$C$7:$G$128,3,FALSE)</f>
        <v>2513</v>
      </c>
      <c r="D160" s="460">
        <f>ROUND(+SUMIF(Refrigerants!$G$10:$G$654,'Scope 1 and 2 Data'!B160,Refrigerants!$P$10:$P$654),3)</f>
        <v>0</v>
      </c>
      <c r="E160" s="460">
        <f t="shared" si="2"/>
        <v>0</v>
      </c>
    </row>
    <row r="161" spans="2:5" hidden="1" outlineLevel="2">
      <c r="B161" s="5" t="str">
        <f>+'S1&amp;2 Lists'!C89</f>
        <v>R-424A</v>
      </c>
      <c r="C161" s="460">
        <f>+VLOOKUP(B161,'S1&amp;2 Lists'!$C$7:$G$128,3,FALSE)</f>
        <v>2608</v>
      </c>
      <c r="D161" s="460">
        <f>ROUND(+SUMIF(Refrigerants!$G$10:$G$654,'Scope 1 and 2 Data'!B161,Refrigerants!$P$10:$P$654),3)</f>
        <v>0</v>
      </c>
      <c r="E161" s="460">
        <f t="shared" si="2"/>
        <v>0</v>
      </c>
    </row>
    <row r="162" spans="2:5" hidden="1" outlineLevel="2">
      <c r="B162" s="5" t="str">
        <f>+'S1&amp;2 Lists'!C90</f>
        <v>R-425A</v>
      </c>
      <c r="C162" s="460">
        <f>+VLOOKUP(B162,'S1&amp;2 Lists'!$C$7:$G$128,3,FALSE)</f>
        <v>1505</v>
      </c>
      <c r="D162" s="460">
        <f>ROUND(+SUMIF(Refrigerants!$G$10:$G$654,'Scope 1 and 2 Data'!B162,Refrigerants!$P$10:$P$654),3)</f>
        <v>0</v>
      </c>
      <c r="E162" s="460">
        <f t="shared" si="2"/>
        <v>0</v>
      </c>
    </row>
    <row r="163" spans="2:5" hidden="1" outlineLevel="2">
      <c r="B163" s="5" t="str">
        <f>+'S1&amp;2 Lists'!C91</f>
        <v>R-426A</v>
      </c>
      <c r="C163" s="460">
        <f>+VLOOKUP(B163,'S1&amp;2 Lists'!$C$7:$G$128,3,FALSE)</f>
        <v>1508</v>
      </c>
      <c r="D163" s="460">
        <f>ROUND(+SUMIF(Refrigerants!$G$10:$G$654,'Scope 1 and 2 Data'!B163,Refrigerants!$P$10:$P$654),3)</f>
        <v>0</v>
      </c>
      <c r="E163" s="460">
        <f t="shared" si="2"/>
        <v>0</v>
      </c>
    </row>
    <row r="164" spans="2:5" hidden="1" outlineLevel="2">
      <c r="B164" s="5" t="str">
        <f>+'S1&amp;2 Lists'!C92</f>
        <v>R-427A</v>
      </c>
      <c r="C164" s="460">
        <f>+VLOOKUP(B164,'S1&amp;2 Lists'!$C$7:$G$128,3,FALSE)</f>
        <v>2397</v>
      </c>
      <c r="D164" s="460">
        <f>ROUND(+SUMIF(Refrigerants!$G$10:$G$654,'Scope 1 and 2 Data'!B164,Refrigerants!$P$10:$P$654),3)</f>
        <v>0</v>
      </c>
      <c r="E164" s="460">
        <f t="shared" si="2"/>
        <v>0</v>
      </c>
    </row>
    <row r="165" spans="2:5" hidden="1" outlineLevel="2">
      <c r="B165" s="5" t="str">
        <f>+'S1&amp;2 Lists'!C93</f>
        <v>R-428A</v>
      </c>
      <c r="C165" s="460">
        <f>+VLOOKUP(B165,'S1&amp;2 Lists'!$C$7:$G$128,3,FALSE)</f>
        <v>4061</v>
      </c>
      <c r="D165" s="460">
        <f>ROUND(+SUMIF(Refrigerants!$G$10:$G$654,'Scope 1 and 2 Data'!B165,Refrigerants!$P$10:$P$654),3)</f>
        <v>0</v>
      </c>
      <c r="E165" s="460">
        <f t="shared" si="2"/>
        <v>0</v>
      </c>
    </row>
    <row r="166" spans="2:5" hidden="1" outlineLevel="2">
      <c r="B166" s="5" t="str">
        <f>+'S1&amp;2 Lists'!C94</f>
        <v>R-429A</v>
      </c>
      <c r="C166" s="460">
        <f>+VLOOKUP(B166,'S1&amp;2 Lists'!$C$7:$G$128,3,FALSE)</f>
        <v>16</v>
      </c>
      <c r="D166" s="460">
        <f>ROUND(+SUMIF(Refrigerants!$G$10:$G$654,'Scope 1 and 2 Data'!B166,Refrigerants!$P$10:$P$654),3)</f>
        <v>0</v>
      </c>
      <c r="E166" s="460">
        <f t="shared" si="2"/>
        <v>0</v>
      </c>
    </row>
    <row r="167" spans="2:5" hidden="1" outlineLevel="2">
      <c r="B167" s="5" t="str">
        <f>+'S1&amp;2 Lists'!C95</f>
        <v>R-430A</v>
      </c>
      <c r="C167" s="460">
        <f>+VLOOKUP(B167,'S1&amp;2 Lists'!$C$7:$G$128,3,FALSE)</f>
        <v>116</v>
      </c>
      <c r="D167" s="460">
        <f>ROUND(+SUMIF(Refrigerants!$G$10:$G$654,'Scope 1 and 2 Data'!B167,Refrigerants!$P$10:$P$654),3)</f>
        <v>0</v>
      </c>
      <c r="E167" s="460">
        <f t="shared" si="2"/>
        <v>0</v>
      </c>
    </row>
    <row r="168" spans="2:5" hidden="1" outlineLevel="2">
      <c r="B168" s="5" t="str">
        <f>+'S1&amp;2 Lists'!C96</f>
        <v>R-431A</v>
      </c>
      <c r="C168" s="460">
        <f>+VLOOKUP(B168,'S1&amp;2 Lists'!$C$7:$G$128,3,FALSE)</f>
        <v>44</v>
      </c>
      <c r="D168" s="460">
        <f>ROUND(+SUMIF(Refrigerants!$G$10:$G$654,'Scope 1 and 2 Data'!B168,Refrigerants!$P$10:$P$654),3)</f>
        <v>0</v>
      </c>
      <c r="E168" s="460">
        <f t="shared" si="2"/>
        <v>0</v>
      </c>
    </row>
    <row r="169" spans="2:5" hidden="1" outlineLevel="2">
      <c r="B169" s="5" t="str">
        <f>+'S1&amp;2 Lists'!C97</f>
        <v>R-434A</v>
      </c>
      <c r="C169" s="460">
        <f>+VLOOKUP(B169,'S1&amp;2 Lists'!$C$7:$G$128,3,FALSE)</f>
        <v>3654</v>
      </c>
      <c r="D169" s="460">
        <f>ROUND(+SUMIF(Refrigerants!$G$10:$G$654,'Scope 1 and 2 Data'!B169,Refrigerants!$P$10:$P$654),3)</f>
        <v>0</v>
      </c>
      <c r="E169" s="460">
        <f t="shared" si="2"/>
        <v>0</v>
      </c>
    </row>
    <row r="170" spans="2:5" hidden="1" outlineLevel="2">
      <c r="B170" s="5" t="str">
        <f>+'S1&amp;2 Lists'!C98</f>
        <v>R-435A</v>
      </c>
      <c r="C170" s="460">
        <f>+VLOOKUP(B170,'S1&amp;2 Lists'!$C$7:$G$128,3,FALSE)</f>
        <v>31</v>
      </c>
      <c r="D170" s="460">
        <f>ROUND(+SUMIF(Refrigerants!$G$10:$G$654,'Scope 1 and 2 Data'!B170,Refrigerants!$P$10:$P$654),3)</f>
        <v>0</v>
      </c>
      <c r="E170" s="460">
        <f t="shared" si="2"/>
        <v>0</v>
      </c>
    </row>
    <row r="171" spans="2:5" hidden="1" outlineLevel="2">
      <c r="B171" s="5" t="str">
        <f>+'S1&amp;2 Lists'!C99</f>
        <v>R-437A</v>
      </c>
      <c r="C171" s="460">
        <f>+VLOOKUP(B171,'S1&amp;2 Lists'!$C$7:$G$128,3,FALSE)</f>
        <v>1930</v>
      </c>
      <c r="D171" s="460">
        <f>ROUND(+SUMIF(Refrigerants!$G$10:$G$654,'Scope 1 and 2 Data'!B171,Refrigerants!$P$10:$P$654),3)</f>
        <v>0</v>
      </c>
      <c r="E171" s="460">
        <f t="shared" si="2"/>
        <v>0</v>
      </c>
    </row>
    <row r="172" spans="2:5" hidden="1" outlineLevel="2">
      <c r="B172" s="5" t="str">
        <f>+'S1&amp;2 Lists'!C100</f>
        <v>R-438A</v>
      </c>
      <c r="C172" s="460">
        <f>+VLOOKUP(B172,'S1&amp;2 Lists'!$C$7:$G$128,3,FALSE)</f>
        <v>2425</v>
      </c>
      <c r="D172" s="460">
        <f>ROUND(+SUMIF(Refrigerants!$G$10:$G$654,'Scope 1 and 2 Data'!B172,Refrigerants!$P$10:$P$654),3)</f>
        <v>0</v>
      </c>
      <c r="E172" s="460">
        <f t="shared" si="2"/>
        <v>0</v>
      </c>
    </row>
    <row r="173" spans="2:5" hidden="1" outlineLevel="2">
      <c r="B173" s="5" t="str">
        <f>+'S1&amp;2 Lists'!C101</f>
        <v>R-439A</v>
      </c>
      <c r="C173" s="460">
        <f>+VLOOKUP(B173,'S1&amp;2 Lists'!$C$7:$G$128,3,FALSE)</f>
        <v>2143</v>
      </c>
      <c r="D173" s="460">
        <f>ROUND(+SUMIF(Refrigerants!$G$10:$G$654,'Scope 1 and 2 Data'!B173,Refrigerants!$P$10:$P$654),3)</f>
        <v>0</v>
      </c>
      <c r="E173" s="460">
        <f t="shared" si="2"/>
        <v>0</v>
      </c>
    </row>
    <row r="174" spans="2:5" hidden="1" outlineLevel="2">
      <c r="B174" s="5" t="str">
        <f>+'S1&amp;2 Lists'!C102</f>
        <v>R-44</v>
      </c>
      <c r="C174" s="460">
        <f>+VLOOKUP(B174,'S1&amp;2 Lists'!$C$7:$G$128,3,FALSE)</f>
        <v>1</v>
      </c>
      <c r="D174" s="460">
        <f>ROUND(+SUMIF(Refrigerants!$G$10:$G$654,'Scope 1 and 2 Data'!B174,Refrigerants!$P$10:$P$654),3)</f>
        <v>0</v>
      </c>
      <c r="E174" s="460">
        <f t="shared" si="2"/>
        <v>0</v>
      </c>
    </row>
    <row r="175" spans="2:5" hidden="1" outlineLevel="2">
      <c r="B175" s="5" t="str">
        <f>+'S1&amp;2 Lists'!C103</f>
        <v>R-440A</v>
      </c>
      <c r="C175" s="460">
        <f>+VLOOKUP(B175,'S1&amp;2 Lists'!$C$7:$G$128,3,FALSE)</f>
        <v>24</v>
      </c>
      <c r="D175" s="460">
        <f>ROUND(+SUMIF(Refrigerants!$G$10:$G$654,'Scope 1 and 2 Data'!B175,Refrigerants!$P$10:$P$654),3)</f>
        <v>0</v>
      </c>
      <c r="E175" s="460">
        <f t="shared" si="2"/>
        <v>0</v>
      </c>
    </row>
    <row r="176" spans="2:5" hidden="1" outlineLevel="2">
      <c r="B176" s="5" t="str">
        <f>+'S1&amp;2 Lists'!C104</f>
        <v>R-442A</v>
      </c>
      <c r="C176" s="460">
        <f>+VLOOKUP(B176,'S1&amp;2 Lists'!$C$7:$G$128,3,FALSE)</f>
        <v>2042</v>
      </c>
      <c r="D176" s="460">
        <f>ROUND(+SUMIF(Refrigerants!$G$10:$G$654,'Scope 1 and 2 Data'!B176,Refrigerants!$P$10:$P$654),3)</f>
        <v>0</v>
      </c>
      <c r="E176" s="460">
        <f t="shared" ref="E176:E182" si="3">+C176*D176</f>
        <v>0</v>
      </c>
    </row>
    <row r="177" spans="2:5" hidden="1" outlineLevel="2">
      <c r="B177" s="5" t="str">
        <f>+'S1&amp;2 Lists'!C105</f>
        <v>R-444A</v>
      </c>
      <c r="C177" s="460">
        <f>+VLOOKUP(B177,'S1&amp;2 Lists'!$C$7:$G$128,3,FALSE)</f>
        <v>101</v>
      </c>
      <c r="D177" s="460">
        <f>ROUND(+SUMIF(Refrigerants!$G$10:$G$654,'Scope 1 and 2 Data'!B177,Refrigerants!$P$10:$P$654),3)</f>
        <v>0</v>
      </c>
      <c r="E177" s="460">
        <f t="shared" si="3"/>
        <v>0</v>
      </c>
    </row>
    <row r="178" spans="2:5" hidden="1" outlineLevel="2">
      <c r="B178" s="5" t="str">
        <f>+'S1&amp;2 Lists'!C106</f>
        <v>R-445A</v>
      </c>
      <c r="C178" s="460">
        <f>+VLOOKUP(B178,'S1&amp;2 Lists'!$C$7:$G$128,3,FALSE)</f>
        <v>138</v>
      </c>
      <c r="D178" s="460">
        <f>ROUND(+SUMIF(Refrigerants!$G$10:$G$654,'Scope 1 and 2 Data'!B178,Refrigerants!$P$10:$P$654),3)</f>
        <v>0</v>
      </c>
      <c r="E178" s="460">
        <f t="shared" si="3"/>
        <v>0</v>
      </c>
    </row>
    <row r="179" spans="2:5" hidden="1" outlineLevel="2">
      <c r="B179" s="5" t="str">
        <f>+'S1&amp;2 Lists'!C107</f>
        <v>R-448A</v>
      </c>
      <c r="C179" s="460">
        <f>+VLOOKUP(B179,'S1&amp;2 Lists'!$C$7:$G$128,3,FALSE)</f>
        <v>1494</v>
      </c>
      <c r="D179" s="460">
        <f>ROUND(+SUMIF(Refrigerants!$G$10:$G$654,'Scope 1 and 2 Data'!B179,Refrigerants!$P$10:$P$654),3)</f>
        <v>0</v>
      </c>
      <c r="E179" s="460">
        <f t="shared" si="3"/>
        <v>0</v>
      </c>
    </row>
    <row r="180" spans="2:5" hidden="1" outlineLevel="2">
      <c r="B180" s="5" t="str">
        <f>+'S1&amp;2 Lists'!C108</f>
        <v>R-449A</v>
      </c>
      <c r="C180" s="460">
        <f>+VLOOKUP(B180,'S1&amp;2 Lists'!$C$7:$G$128,3,FALSE)</f>
        <v>1504</v>
      </c>
      <c r="D180" s="460">
        <f>ROUND(+SUMIF(Refrigerants!$G$10:$G$654,'Scope 1 and 2 Data'!B180,Refrigerants!$P$10:$P$654),3)</f>
        <v>0</v>
      </c>
      <c r="E180" s="460">
        <f t="shared" si="3"/>
        <v>0</v>
      </c>
    </row>
    <row r="181" spans="2:5" hidden="1" outlineLevel="2">
      <c r="B181" s="5" t="str">
        <f>+'S1&amp;2 Lists'!C109</f>
        <v>R-450A</v>
      </c>
      <c r="C181" s="460">
        <f>+VLOOKUP(B181,'S1&amp;2 Lists'!$C$7:$G$128,3,FALSE)</f>
        <v>601</v>
      </c>
      <c r="D181" s="460">
        <f>ROUND(+SUMIF(Refrigerants!$G$10:$G$654,'Scope 1 and 2 Data'!B181,Refrigerants!$P$10:$P$654),3)</f>
        <v>0</v>
      </c>
      <c r="E181" s="460">
        <f t="shared" si="3"/>
        <v>0</v>
      </c>
    </row>
    <row r="182" spans="2:5" hidden="1" outlineLevel="2">
      <c r="B182" s="5" t="str">
        <f>+'S1&amp;2 Lists'!C110</f>
        <v>R-452A</v>
      </c>
      <c r="C182" s="460">
        <f>+VLOOKUP(B182,'S1&amp;2 Lists'!$C$7:$G$128,3,FALSE)</f>
        <v>2292</v>
      </c>
      <c r="D182" s="460">
        <f>ROUND(+SUMIF(Refrigerants!$G$10:$G$654,'Scope 1 and 2 Data'!B182,Refrigerants!$P$10:$P$654),3)</f>
        <v>0</v>
      </c>
      <c r="E182" s="460">
        <f t="shared" si="3"/>
        <v>0</v>
      </c>
    </row>
    <row r="183" spans="2:5" hidden="1" outlineLevel="2">
      <c r="B183" s="5" t="str">
        <f>+'S1&amp;2 Lists'!C111</f>
        <v>R-454A</v>
      </c>
      <c r="C183" s="460">
        <f>+VLOOKUP(B183,'S1&amp;2 Lists'!$C$7:$G$128,3,FALSE)</f>
        <v>237</v>
      </c>
      <c r="D183" s="460">
        <f>ROUND(+SUMIF(Refrigerants!$G$10:$G$654,'Scope 1 and 2 Data'!B183,Refrigerants!$P$10:$P$654),3)</f>
        <v>0</v>
      </c>
      <c r="E183" s="460">
        <f t="shared" ref="E183:E200" si="4">+C183*D183</f>
        <v>0</v>
      </c>
    </row>
    <row r="184" spans="2:5" hidden="1" outlineLevel="2">
      <c r="B184" s="5" t="str">
        <f>+'S1&amp;2 Lists'!C112</f>
        <v>R-454B</v>
      </c>
      <c r="C184" s="460">
        <f>+VLOOKUP(B184,'S1&amp;2 Lists'!$C$7:$G$128,3,FALSE)</f>
        <v>531</v>
      </c>
      <c r="D184" s="460">
        <f>ROUND(+SUMIF(Refrigerants!$G$10:$G$654,'Scope 1 and 2 Data'!B184,Refrigerants!$P$10:$P$654),3)</f>
        <v>0</v>
      </c>
      <c r="E184" s="460">
        <f t="shared" si="4"/>
        <v>0</v>
      </c>
    </row>
    <row r="185" spans="2:5" hidden="1" outlineLevel="2">
      <c r="B185" s="5" t="str">
        <f>+'S1&amp;2 Lists'!C113</f>
        <v>R-454C</v>
      </c>
      <c r="C185" s="460">
        <f>+VLOOKUP(B185,'S1&amp;2 Lists'!$C$7:$G$128,3,FALSE)</f>
        <v>166</v>
      </c>
      <c r="D185" s="460">
        <f>ROUND(+SUMIF(Refrigerants!$G$10:$G$654,'Scope 1 and 2 Data'!B185,Refrigerants!$P$10:$P$654),3)</f>
        <v>0</v>
      </c>
      <c r="E185" s="460">
        <f t="shared" si="4"/>
        <v>0</v>
      </c>
    </row>
    <row r="186" spans="2:5" hidden="1" outlineLevel="2">
      <c r="B186" s="5" t="str">
        <f>+'S1&amp;2 Lists'!C114</f>
        <v>R-455A</v>
      </c>
      <c r="C186" s="460">
        <f>+VLOOKUP(B186,'S1&amp;2 Lists'!$C$7:$G$128,3,FALSE)</f>
        <v>169</v>
      </c>
      <c r="D186" s="460">
        <f>ROUND(+SUMIF(Refrigerants!$G$10:$G$654,'Scope 1 and 2 Data'!B186,Refrigerants!$P$10:$P$654),3)</f>
        <v>0</v>
      </c>
      <c r="E186" s="460">
        <f t="shared" si="4"/>
        <v>0</v>
      </c>
    </row>
    <row r="187" spans="2:5" hidden="1" outlineLevel="2">
      <c r="B187" s="5" t="str">
        <f>+'S1&amp;2 Lists'!C115</f>
        <v>R-500</v>
      </c>
      <c r="C187" s="460">
        <f>+VLOOKUP(B187,'S1&amp;2 Lists'!$C$7:$G$128,3,FALSE)</f>
        <v>9000</v>
      </c>
      <c r="D187" s="460">
        <f>ROUND(+SUMIF(Refrigerants!$G$10:$G$654,'Scope 1 and 2 Data'!B187,Refrigerants!$P$10:$P$654),3)</f>
        <v>0</v>
      </c>
      <c r="E187" s="460">
        <f t="shared" si="4"/>
        <v>0</v>
      </c>
    </row>
    <row r="188" spans="2:5" hidden="1" outlineLevel="2">
      <c r="B188" s="5" t="str">
        <f>+'S1&amp;2 Lists'!C116</f>
        <v>R-503</v>
      </c>
      <c r="C188" s="460">
        <f>+VLOOKUP(B188,'S1&amp;2 Lists'!$C$7:$G$128,3,FALSE)</f>
        <v>14000</v>
      </c>
      <c r="D188" s="460">
        <f>ROUND(+SUMIF(Refrigerants!$G$10:$G$654,'Scope 1 and 2 Data'!B188,Refrigerants!$P$10:$P$654),3)</f>
        <v>0</v>
      </c>
      <c r="E188" s="460">
        <f t="shared" si="4"/>
        <v>0</v>
      </c>
    </row>
    <row r="189" spans="2:5" hidden="1" outlineLevel="2">
      <c r="B189" s="5" t="str">
        <f>+'S1&amp;2 Lists'!C117</f>
        <v>R-504</v>
      </c>
      <c r="C189" s="460">
        <f>+VLOOKUP(B189,'S1&amp;2 Lists'!$C$7:$G$128,3,FALSE)</f>
        <v>372</v>
      </c>
      <c r="D189" s="460">
        <f>ROUND(+SUMIF(Refrigerants!$G$10:$G$654,'Scope 1 and 2 Data'!B189,Refrigerants!$P$10:$P$654),3)</f>
        <v>0</v>
      </c>
      <c r="E189" s="460">
        <f t="shared" si="4"/>
        <v>0</v>
      </c>
    </row>
    <row r="190" spans="2:5" hidden="1" outlineLevel="2">
      <c r="B190" s="5" t="str">
        <f>+'S1&amp;2 Lists'!C118</f>
        <v>R-507 o R-507A</v>
      </c>
      <c r="C190" s="460">
        <f>+VLOOKUP(B190,'S1&amp;2 Lists'!$C$7:$G$128,3,FALSE)</f>
        <v>4775</v>
      </c>
      <c r="D190" s="460">
        <f>ROUND(+SUMIF(Refrigerants!$G$10:$G$654,'Scope 1 and 2 Data'!B190,Refrigerants!$P$10:$P$654),3)</f>
        <v>0</v>
      </c>
      <c r="E190" s="460">
        <f t="shared" si="4"/>
        <v>0</v>
      </c>
    </row>
    <row r="191" spans="2:5" hidden="1" outlineLevel="2">
      <c r="B191" s="5" t="str">
        <f>+'S1&amp;2 Lists'!C119</f>
        <v>R-509 o R-509A</v>
      </c>
      <c r="C191" s="460">
        <f>+VLOOKUP(B191,'S1&amp;2 Lists'!$C$7:$G$128,3,FALSE)</f>
        <v>5202</v>
      </c>
      <c r="D191" s="460">
        <f>ROUND(+SUMIF(Refrigerants!$G$10:$G$654,'Scope 1 and 2 Data'!B191,Refrigerants!$P$10:$P$654),3)</f>
        <v>0</v>
      </c>
      <c r="E191" s="460">
        <f t="shared" si="4"/>
        <v>0</v>
      </c>
    </row>
    <row r="192" spans="2:5" hidden="1" outlineLevel="2">
      <c r="B192" s="5" t="str">
        <f>+'S1&amp;2 Lists'!C120</f>
        <v>R-512A</v>
      </c>
      <c r="C192" s="460">
        <f>+VLOOKUP(B192,'S1&amp;2 Lists'!$C$7:$G$128,3,FALSE)</f>
        <v>232</v>
      </c>
      <c r="D192" s="460">
        <f>ROUND(+SUMIF(Refrigerants!$G$10:$G$654,'Scope 1 and 2 Data'!B192,Refrigerants!$P$10:$P$654),3)</f>
        <v>0</v>
      </c>
      <c r="E192" s="460">
        <f t="shared" si="4"/>
        <v>0</v>
      </c>
    </row>
    <row r="193" spans="2:5" hidden="1" outlineLevel="2">
      <c r="B193" s="5" t="str">
        <f>+'S1&amp;2 Lists'!C121</f>
        <v>R-513A</v>
      </c>
      <c r="C193" s="460">
        <f>+VLOOKUP(B193,'S1&amp;2 Lists'!$C$7:$G$128,3,FALSE)</f>
        <v>673</v>
      </c>
      <c r="D193" s="460">
        <f>ROUND(+SUMIF(Refrigerants!$G$10:$G$654,'Scope 1 and 2 Data'!B193,Refrigerants!$P$10:$P$654),3)</f>
        <v>0</v>
      </c>
      <c r="E193" s="460">
        <f t="shared" si="4"/>
        <v>0</v>
      </c>
    </row>
    <row r="194" spans="2:5" hidden="1" outlineLevel="2">
      <c r="B194" s="5" t="str">
        <f>+'S1&amp;2 Lists'!C122</f>
        <v>R-515B</v>
      </c>
      <c r="C194" s="460">
        <f>+VLOOKUP(B194,'S1&amp;2 Lists'!$C$7:$G$128,3,FALSE)</f>
        <v>316</v>
      </c>
      <c r="D194" s="460">
        <f>ROUND(+SUMIF(Refrigerants!$G$10:$G$654,'Scope 1 and 2 Data'!B194,Refrigerants!$P$10:$P$654),3)</f>
        <v>0</v>
      </c>
      <c r="E194" s="460">
        <f t="shared" si="4"/>
        <v>0</v>
      </c>
    </row>
    <row r="195" spans="2:5" hidden="1" outlineLevel="2">
      <c r="B195" s="5" t="str">
        <f>+'S1&amp;2 Lists'!C123</f>
        <v>R-600</v>
      </c>
      <c r="C195" s="460">
        <f>+VLOOKUP(B195,'S1&amp;2 Lists'!$C$7:$G$128,3,FALSE)</f>
        <v>0.01</v>
      </c>
      <c r="D195" s="460">
        <f>ROUND(+SUMIF(Refrigerants!$G$10:$G$654,'Scope 1 and 2 Data'!B195,Refrigerants!$P$10:$P$654),3)</f>
        <v>0</v>
      </c>
      <c r="E195" s="460">
        <f t="shared" si="4"/>
        <v>0</v>
      </c>
    </row>
    <row r="196" spans="2:5" hidden="1" outlineLevel="2">
      <c r="B196" s="5" t="str">
        <f>+'S1&amp;2 Lists'!C124</f>
        <v>R-600a</v>
      </c>
      <c r="C196" s="460">
        <f>+VLOOKUP(B196,'S1&amp;2 Lists'!$C$7:$G$128,3,FALSE)</f>
        <v>0.01</v>
      </c>
      <c r="D196" s="460">
        <f>ROUND(+SUMIF(Refrigerants!$G$10:$G$654,'Scope 1 and 2 Data'!B196,Refrigerants!$P$10:$P$654),3)</f>
        <v>0</v>
      </c>
      <c r="E196" s="460">
        <f t="shared" si="4"/>
        <v>0</v>
      </c>
    </row>
    <row r="197" spans="2:5" hidden="1" outlineLevel="2">
      <c r="B197" s="5" t="str">
        <f>+'S1&amp;2 Lists'!C125</f>
        <v>R-717</v>
      </c>
      <c r="C197" s="460">
        <f>+VLOOKUP(B197,'S1&amp;2 Lists'!$C$7:$G$128,3,FALSE)</f>
        <v>0</v>
      </c>
      <c r="D197" s="460">
        <f>ROUND(+SUMIF(Refrigerants!$G$10:$G$654,'Scope 1 and 2 Data'!B197,Refrigerants!$P$10:$P$654),3)</f>
        <v>0</v>
      </c>
      <c r="E197" s="460">
        <f t="shared" si="4"/>
        <v>0</v>
      </c>
    </row>
    <row r="198" spans="2:5" hidden="1" outlineLevel="2">
      <c r="B198" s="5" t="str">
        <f>+'S1&amp;2 Lists'!C126</f>
        <v>R-718</v>
      </c>
      <c r="C198" s="460">
        <f>+VLOOKUP(B198,'S1&amp;2 Lists'!$C$7:$G$128,3,FALSE)</f>
        <v>0</v>
      </c>
      <c r="D198" s="460">
        <f>ROUND(+SUMIF(Refrigerants!$G$10:$G$654,'Scope 1 and 2 Data'!B198,Refrigerants!$P$10:$P$654),3)</f>
        <v>0</v>
      </c>
      <c r="E198" s="460">
        <f t="shared" si="4"/>
        <v>0</v>
      </c>
    </row>
    <row r="199" spans="2:5" hidden="1" outlineLevel="2">
      <c r="B199" s="5" t="str">
        <f>+'S1&amp;2 Lists'!C127</f>
        <v>Sulfur Hexafluoride (SF6​)</v>
      </c>
      <c r="C199" s="460">
        <f>+VLOOKUP(B199,'S1&amp;2 Lists'!$C$7:$G$128,3,FALSE)</f>
        <v>24300</v>
      </c>
      <c r="D199" s="460">
        <f>ROUND(+SUMIF(Refrigerants!$G$10:$G$654,'Scope 1 and 2 Data'!B199,Refrigerants!$P$10:$P$654),3)</f>
        <v>0</v>
      </c>
      <c r="E199" s="460">
        <f t="shared" si="4"/>
        <v>0</v>
      </c>
    </row>
    <row r="200" spans="2:5" hidden="1" outlineLevel="2">
      <c r="B200" s="5" t="str">
        <f>+'S1&amp;2 Lists'!C128</f>
        <v>Trifluoromethyl Sulfur pentafluoride (SF5CF3)</v>
      </c>
      <c r="C200" s="460">
        <f>+VLOOKUP(B200,'S1&amp;2 Lists'!$C$7:$G$128,3,FALSE)</f>
        <v>18500</v>
      </c>
      <c r="D200" s="460">
        <f>ROUND(+SUMIF(Refrigerants!$G$10:$G$654,'Scope 1 and 2 Data'!B200,Refrigerants!$P$10:$P$654),3)</f>
        <v>0</v>
      </c>
      <c r="E200" s="460">
        <f t="shared" si="4"/>
        <v>0</v>
      </c>
    </row>
    <row r="201" spans="2:5" outlineLevel="1">
      <c r="C201" s="461"/>
      <c r="D201" s="461"/>
      <c r="E201" s="461"/>
    </row>
    <row r="202" spans="2:5" ht="18.75" outlineLevel="1">
      <c r="B202" s="423" t="s">
        <v>1864</v>
      </c>
      <c r="C202" s="443" t="s">
        <v>1863</v>
      </c>
      <c r="D202" s="443" t="s">
        <v>1865</v>
      </c>
    </row>
    <row r="203" spans="2:5" ht="15" outlineLevel="1">
      <c r="B203" s="447" t="s">
        <v>8</v>
      </c>
      <c r="C203" s="459">
        <f>+SUM(C204:C213)</f>
        <v>0</v>
      </c>
      <c r="D203" s="462">
        <f>+IFERROR(SUM(D204:D213),"-")</f>
        <v>0</v>
      </c>
    </row>
    <row r="204" spans="2:5" outlineLevel="1">
      <c r="B204" s="463" t="str">
        <f>+'S1&amp;2 Lists'!AU3</f>
        <v>Centralized equipment</v>
      </c>
      <c r="C204" s="460">
        <f>+SUMIF(Refrigerants!$B$10:$B$654,'Scope 1 and 2 Data'!B204,Refrigerants!$N$10:$N$654)</f>
        <v>0</v>
      </c>
      <c r="D204" s="464" t="str">
        <f>+IFERROR(C204/$C$203,"-")</f>
        <v>-</v>
      </c>
    </row>
    <row r="205" spans="2:5" outlineLevel="1">
      <c r="B205" s="463" t="str">
        <f>+'S1&amp;2 Lists'!AU4</f>
        <v>Extinguisher</v>
      </c>
      <c r="C205" s="460">
        <f>+SUMIF(Refrigerants!$B$10:$B$654,'Scope 1 and 2 Data'!B205,Refrigerants!$N$10:$N$654)</f>
        <v>0</v>
      </c>
      <c r="D205" s="464" t="str">
        <f t="shared" ref="D205:D213" si="5">+IFERROR(C205/$C$203,"-")</f>
        <v>-</v>
      </c>
    </row>
    <row r="206" spans="2:5" outlineLevel="1">
      <c r="B206" s="463" t="str">
        <f>+'S1&amp;2 Lists'!AU5</f>
        <v>Freezer</v>
      </c>
      <c r="C206" s="460">
        <f>+SUMIF(Refrigerants!$B$10:$B$654,'Scope 1 and 2 Data'!B206,Refrigerants!$N$10:$N$654)</f>
        <v>0</v>
      </c>
      <c r="D206" s="464" t="str">
        <f t="shared" si="5"/>
        <v>-</v>
      </c>
    </row>
    <row r="207" spans="2:5" outlineLevel="1">
      <c r="B207" s="463" t="str">
        <f>+'S1&amp;2 Lists'!AU6</f>
        <v>Freezer / Vaccines</v>
      </c>
      <c r="C207" s="460">
        <f>+SUMIF(Refrigerants!$B$10:$B$654,'Scope 1 and 2 Data'!B207,Refrigerants!$N$10:$N$654)</f>
        <v>0</v>
      </c>
      <c r="D207" s="464" t="str">
        <f t="shared" si="5"/>
        <v>-</v>
      </c>
    </row>
    <row r="208" spans="2:5" outlineLevel="1">
      <c r="B208" s="463" t="s">
        <v>4399</v>
      </c>
      <c r="C208" s="460">
        <f>+SUMIF(Refrigerants!$B$10:$B$654,'Scope 1 and 2 Data'!B208,Refrigerants!$N$10:$N$654)</f>
        <v>0</v>
      </c>
      <c r="D208" s="464" t="str">
        <f t="shared" si="5"/>
        <v>-</v>
      </c>
    </row>
    <row r="209" spans="1:7" outlineLevel="1">
      <c r="B209" s="463" t="str">
        <f>+'S1&amp;2 Lists'!AU8</f>
        <v>Mini split</v>
      </c>
      <c r="C209" s="460">
        <f>+SUMIF(Refrigerants!$B$10:$B$654,'Scope 1 and 2 Data'!B209,Refrigerants!$N$10:$N$654)</f>
        <v>0</v>
      </c>
      <c r="D209" s="464" t="str">
        <f t="shared" si="5"/>
        <v>-</v>
      </c>
    </row>
    <row r="210" spans="1:7" outlineLevel="1">
      <c r="B210" s="463" t="str">
        <f>+'S1&amp;2 Lists'!AU9</f>
        <v>Multi Split</v>
      </c>
      <c r="C210" s="460">
        <f>+SUMIF(Refrigerants!$B$10:$B$654,'Scope 1 and 2 Data'!B210,Refrigerants!$N$10:$N$654)</f>
        <v>0</v>
      </c>
      <c r="D210" s="464" t="str">
        <f t="shared" si="5"/>
        <v>-</v>
      </c>
    </row>
    <row r="211" spans="1:7" outlineLevel="1">
      <c r="B211" s="463" t="str">
        <f>+'S1&amp;2 Lists'!AU10</f>
        <v>Refrigerator</v>
      </c>
      <c r="C211" s="460">
        <f>+SUMIF(Refrigerants!$B$10:$B$654,'Scope 1 and 2 Data'!B211,Refrigerants!$N$10:$N$654)</f>
        <v>0</v>
      </c>
      <c r="D211" s="464" t="str">
        <f t="shared" si="5"/>
        <v>-</v>
      </c>
    </row>
    <row r="212" spans="1:7" outlineLevel="1">
      <c r="B212" s="463" t="str">
        <f>+'S1&amp;2 Lists'!AU11</f>
        <v>Refrigerator / Vaccines</v>
      </c>
      <c r="C212" s="460">
        <f>+SUMIF(Refrigerants!$B$10:$B$654,'Scope 1 and 2 Data'!B212,Refrigerants!$N$10:$N$654)</f>
        <v>0</v>
      </c>
      <c r="D212" s="464" t="str">
        <f t="shared" si="5"/>
        <v>-</v>
      </c>
    </row>
    <row r="213" spans="1:7" outlineLevel="1">
      <c r="B213" s="463" t="str">
        <f>+'S1&amp;2 Lists'!AU12</f>
        <v>Vending machine</v>
      </c>
      <c r="C213" s="460">
        <f>+SUMIF(Refrigerants!$B$10:$B$654,'Scope 1 and 2 Data'!B213,Refrigerants!$N$10:$N$654)</f>
        <v>0</v>
      </c>
      <c r="D213" s="464" t="str">
        <f t="shared" si="5"/>
        <v>-</v>
      </c>
    </row>
    <row r="214" spans="1:7" outlineLevel="1">
      <c r="C214" s="461"/>
      <c r="D214" s="461"/>
      <c r="E214" s="461"/>
    </row>
    <row r="215" spans="1:7" s="415" customFormat="1" ht="17.25" customHeight="1">
      <c r="A215" s="453" t="s">
        <v>1866</v>
      </c>
      <c r="B215" s="465" t="s">
        <v>1867</v>
      </c>
    </row>
    <row r="216" spans="1:7" ht="18" outlineLevel="1">
      <c r="A216" s="454"/>
    </row>
    <row r="217" spans="1:7" ht="14.45" customHeight="1" outlineLevel="1">
      <c r="A217" s="1446" t="s">
        <v>1868</v>
      </c>
      <c r="B217" s="1446"/>
      <c r="C217" s="1446"/>
      <c r="D217" s="1446"/>
      <c r="E217" s="1446"/>
      <c r="F217" s="1446"/>
      <c r="G217" s="1446"/>
    </row>
    <row r="218" spans="1:7" ht="15" customHeight="1" outlineLevel="1">
      <c r="B218" s="436"/>
      <c r="C218" s="436"/>
      <c r="D218" s="436"/>
      <c r="E218" s="436"/>
      <c r="F218" s="436"/>
      <c r="G218" s="436"/>
    </row>
    <row r="219" spans="1:7" ht="15" customHeight="1" outlineLevel="1">
      <c r="A219" s="1469" t="s">
        <v>1826</v>
      </c>
      <c r="B219" s="1470"/>
      <c r="C219" s="1474"/>
      <c r="D219" s="1474"/>
      <c r="E219" s="416"/>
      <c r="F219" s="416"/>
    </row>
    <row r="220" spans="1:7" ht="18" outlineLevel="1">
      <c r="A220" s="454"/>
      <c r="B220" s="15"/>
      <c r="C220" s="15"/>
      <c r="D220" s="15"/>
      <c r="E220" s="15"/>
      <c r="F220" s="15"/>
    </row>
    <row r="221" spans="1:7" ht="15" outlineLevel="1" thickBot="1">
      <c r="A221" s="437" t="s">
        <v>1844</v>
      </c>
      <c r="C221" s="15"/>
      <c r="D221" s="15"/>
      <c r="E221" s="15"/>
      <c r="F221" s="15"/>
    </row>
    <row r="222" spans="1:7" ht="50.25" customHeight="1" outlineLevel="1" thickTop="1" thickBot="1">
      <c r="A222" s="1446" t="s">
        <v>1869</v>
      </c>
      <c r="B222" s="1446"/>
      <c r="C222" s="1446"/>
      <c r="D222" s="1446"/>
      <c r="F222" s="466" t="s">
        <v>1870</v>
      </c>
      <c r="G222" s="467"/>
    </row>
    <row r="223" spans="1:7" ht="15" outlineLevel="1" thickTop="1"/>
    <row r="224" spans="1:7" ht="15" customHeight="1" outlineLevel="1">
      <c r="B224" s="468"/>
      <c r="C224" s="1475" t="s">
        <v>1861</v>
      </c>
      <c r="D224" s="1475" t="s">
        <v>1871</v>
      </c>
      <c r="E224" s="1475" t="s">
        <v>1865</v>
      </c>
    </row>
    <row r="225" spans="1:7" ht="9.9499999999999993" customHeight="1" outlineLevel="1">
      <c r="B225" s="469" t="s">
        <v>1860</v>
      </c>
      <c r="C225" s="1476"/>
      <c r="D225" s="1476"/>
      <c r="E225" s="1476"/>
    </row>
    <row r="226" spans="1:7" outlineLevel="1">
      <c r="B226" s="470"/>
      <c r="C226" s="1477"/>
      <c r="D226" s="1477"/>
      <c r="E226" s="1477"/>
      <c r="G226" s="770"/>
    </row>
    <row r="227" spans="1:7" ht="15" outlineLevel="1">
      <c r="B227" s="447" t="s">
        <v>8</v>
      </c>
      <c r="C227" s="458"/>
      <c r="D227" s="471">
        <f>+ROUND(SUM(D230:D233),3)</f>
        <v>0</v>
      </c>
      <c r="E227" s="462">
        <f>+IFERROR(SUM(E230:E233),"-")</f>
        <v>0</v>
      </c>
    </row>
    <row r="228" spans="1:7" outlineLevel="1">
      <c r="B228" s="472" t="str">
        <f>+'S1&amp;2 Lists'!C3</f>
        <v>N2O</v>
      </c>
      <c r="C228" s="460">
        <f>IF(B228="","",VLOOKUP(B228,'S1&amp;2 Lists'!$C$3:$G$113,3,FALSE))</f>
        <v>273</v>
      </c>
      <c r="D228" s="473">
        <f>ROUND('Anesthetic Gases'!$M$31,3)</f>
        <v>0</v>
      </c>
      <c r="E228" s="464" t="str">
        <f t="shared" ref="E228" si="6">+IFERROR(D228/$D$227,"-")</f>
        <v>-</v>
      </c>
    </row>
    <row r="229" spans="1:7" outlineLevel="1">
      <c r="B229" s="472" t="str">
        <f>+'S1&amp;2 Lists'!C4</f>
        <v>Isoflurane</v>
      </c>
      <c r="C229" s="460">
        <f>IF(B229="","",VLOOKUP(B229,'S1&amp;2 Lists'!$C$3:$G$113,3,FALSE))</f>
        <v>539</v>
      </c>
      <c r="D229" s="473">
        <f>ROUND('Anesthetic Gases'!$M$31,3)</f>
        <v>0</v>
      </c>
      <c r="E229" s="464" t="str">
        <f t="shared" ref="E229" si="7">+IFERROR(D229/$D$227,"-")</f>
        <v>-</v>
      </c>
      <c r="F229" s="770"/>
      <c r="G229" s="770"/>
    </row>
    <row r="230" spans="1:7" outlineLevel="1">
      <c r="B230" s="472" t="str">
        <f>+'S1&amp;2 Lists'!C5</f>
        <v>Sevoflurane</v>
      </c>
      <c r="C230" s="460">
        <f>IF(B230="","",VLOOKUP(B230,'S1&amp;2 Lists'!$C$3:$G$113,3,FALSE))</f>
        <v>195</v>
      </c>
      <c r="D230" s="473">
        <f>ROUND(+'Anesthetic Gases'!$M$14,3)</f>
        <v>0</v>
      </c>
      <c r="E230" s="464" t="str">
        <f>+IFERROR(D230/$D$227,"-")</f>
        <v>-</v>
      </c>
      <c r="G230" s="770"/>
    </row>
    <row r="231" spans="1:7" outlineLevel="1">
      <c r="B231" s="472" t="str">
        <f>+'S1&amp;2 Lists'!C6</f>
        <v>Desflurane</v>
      </c>
      <c r="C231" s="460">
        <f>IF(B231="","",VLOOKUP(B231,'S1&amp;2 Lists'!$C$3:$G$113,3,FALSE))</f>
        <v>2590</v>
      </c>
      <c r="D231" s="473">
        <f>ROUND(+'Anesthetic Gases'!$M$20,3)</f>
        <v>0</v>
      </c>
      <c r="E231" s="464" t="str">
        <f t="shared" ref="E231:E233" si="8">+IFERROR(D231/$D$227,"-")</f>
        <v>-</v>
      </c>
      <c r="G231" s="770"/>
    </row>
    <row r="232" spans="1:7" outlineLevel="1">
      <c r="B232" s="472" t="str">
        <f>+'S1&amp;2 Lists'!C7</f>
        <v>Carbon Dioxide (CO2​)</v>
      </c>
      <c r="C232" s="460">
        <f>IF(B232="","",VLOOKUP(B232,'S1&amp;2 Lists'!$C$3:$G$113,3,FALSE))</f>
        <v>1</v>
      </c>
      <c r="D232" s="473">
        <f>ROUND(+'Anesthetic Gases'!$M$27,3)</f>
        <v>0</v>
      </c>
      <c r="E232" s="464" t="str">
        <f t="shared" si="8"/>
        <v>-</v>
      </c>
      <c r="F232" s="770"/>
      <c r="G232" s="770"/>
    </row>
    <row r="233" spans="1:7" outlineLevel="1">
      <c r="B233" s="463" t="s">
        <v>1872</v>
      </c>
      <c r="C233" s="460" t="s">
        <v>4402</v>
      </c>
      <c r="D233" s="473">
        <f>ROUND(+'Anesthetic Gases'!$M$35,3)</f>
        <v>0</v>
      </c>
      <c r="E233" s="464" t="str">
        <f t="shared" si="8"/>
        <v>-</v>
      </c>
      <c r="G233" s="770"/>
    </row>
    <row r="235" spans="1:7" s="476" customFormat="1" ht="20.25">
      <c r="A235" s="474" t="s">
        <v>7</v>
      </c>
      <c r="B235" s="475"/>
    </row>
    <row r="236" spans="1:7" ht="38.25" customHeight="1">
      <c r="A236" s="1478" t="s">
        <v>1873</v>
      </c>
      <c r="B236" s="1478"/>
      <c r="C236" s="1478"/>
      <c r="D236" s="1478"/>
      <c r="E236" s="1478"/>
      <c r="F236" s="1478"/>
      <c r="G236" s="1478"/>
    </row>
    <row r="237" spans="1:7" ht="17.25" customHeight="1">
      <c r="A237" s="411"/>
      <c r="B237" s="412"/>
      <c r="C237" s="412"/>
      <c r="D237" s="412"/>
      <c r="E237" s="412"/>
      <c r="F237" s="412"/>
    </row>
    <row r="238" spans="1:7" s="479" customFormat="1" ht="18">
      <c r="A238" s="477" t="s">
        <v>1874</v>
      </c>
      <c r="B238" s="478" t="s">
        <v>1875</v>
      </c>
    </row>
    <row r="239" spans="1:7" outlineLevel="1"/>
    <row r="240" spans="1:7" ht="60.75" customHeight="1" outlineLevel="1">
      <c r="A240" s="1458" t="s">
        <v>1876</v>
      </c>
      <c r="B240" s="1458"/>
      <c r="C240" s="1458"/>
      <c r="D240" s="1458"/>
      <c r="E240" s="15"/>
      <c r="F240" s="15"/>
      <c r="G240" s="15"/>
    </row>
    <row r="241" spans="1:14" ht="15" customHeight="1" outlineLevel="1">
      <c r="B241" s="436"/>
      <c r="C241" s="436"/>
      <c r="D241" s="436"/>
      <c r="E241" s="436"/>
      <c r="F241" s="436"/>
      <c r="G241" s="436"/>
    </row>
    <row r="242" spans="1:14" ht="15" customHeight="1" outlineLevel="1">
      <c r="A242" s="1469" t="s">
        <v>1826</v>
      </c>
      <c r="B242" s="1470"/>
      <c r="C242" s="1474"/>
      <c r="D242" s="1474"/>
      <c r="E242" s="416"/>
      <c r="F242" s="416"/>
    </row>
    <row r="243" spans="1:14" ht="18" outlineLevel="1">
      <c r="A243" s="454"/>
      <c r="B243" s="15"/>
      <c r="C243" s="15"/>
      <c r="D243" s="15"/>
      <c r="E243" s="15"/>
      <c r="F243" s="15"/>
    </row>
    <row r="244" spans="1:14" outlineLevel="1">
      <c r="A244" s="437" t="s">
        <v>1844</v>
      </c>
      <c r="C244" s="15"/>
      <c r="D244" s="15"/>
      <c r="E244" s="15"/>
      <c r="F244" s="15"/>
    </row>
    <row r="245" spans="1:14" ht="30" customHeight="1" outlineLevel="1">
      <c r="A245" s="1463" t="s">
        <v>3292</v>
      </c>
      <c r="B245" s="1463"/>
      <c r="C245" s="1463"/>
      <c r="D245" s="1463"/>
      <c r="E245" s="419"/>
      <c r="F245" s="419"/>
      <c r="G245" s="419"/>
    </row>
    <row r="246" spans="1:14" hidden="1" outlineLevel="1"/>
    <row r="247" spans="1:14" ht="57" outlineLevel="1">
      <c r="B247" s="480" t="s">
        <v>1875</v>
      </c>
      <c r="C247" s="481" t="s">
        <v>3298</v>
      </c>
      <c r="D247" s="481" t="s">
        <v>3297</v>
      </c>
      <c r="E247" s="481" t="s">
        <v>3296</v>
      </c>
      <c r="F247" s="481" t="s">
        <v>1878</v>
      </c>
      <c r="G247" s="731"/>
      <c r="H247" s="481" t="s">
        <v>3298</v>
      </c>
      <c r="I247" s="481" t="s">
        <v>0</v>
      </c>
    </row>
    <row r="248" spans="1:14" ht="24" outlineLevel="1">
      <c r="B248" s="11" t="s">
        <v>3283</v>
      </c>
      <c r="C248" s="1393"/>
      <c r="D248" s="778"/>
      <c r="E248" s="10" t="s">
        <v>1737</v>
      </c>
      <c r="F248" s="1420" t="str">
        <f>IFERROR(ROUND(H248*VLOOKUP(Instructions!$C$5,'S1&amp;2 Lists'!$AW$3:$AZ$241,4,FALSE)/1000,3),"Choose Grid on Instructions Page")</f>
        <v>Choose Grid on Instructions Page</v>
      </c>
      <c r="G248" s="779"/>
      <c r="H248" s="780">
        <f>IF(D248=I248,C248,IF(D248="kBtu",C248*0.000293071,IF(D248="Mmbtu",C248*293.07107,IF(D248="MWh",C248*1000,0))))</f>
        <v>0</v>
      </c>
      <c r="I248" s="780" t="s">
        <v>1719</v>
      </c>
      <c r="N248" s="731"/>
    </row>
    <row r="249" spans="1:14" outlineLevel="1">
      <c r="B249" s="11" t="s">
        <v>3284</v>
      </c>
      <c r="C249" s="1393"/>
      <c r="D249" s="778"/>
      <c r="E249" s="778"/>
      <c r="F249" s="1398">
        <f>C249*E249</f>
        <v>0</v>
      </c>
      <c r="G249" s="779"/>
      <c r="H249" s="780">
        <f>IF(D249=I249,C249,IF(D249="kBtu",C249*0.000293071,IF(D249="Mmbtu",C249*293.07107,IF(D249="MWh",C249*1000, 0))))</f>
        <v>0</v>
      </c>
      <c r="I249" s="780" t="s">
        <v>1719</v>
      </c>
    </row>
    <row r="250" spans="1:14" outlineLevel="1">
      <c r="B250" s="416"/>
      <c r="C250" s="416"/>
      <c r="D250" s="416"/>
      <c r="E250" s="416"/>
      <c r="F250" s="416"/>
    </row>
    <row r="251" spans="1:14" s="479" customFormat="1" ht="18">
      <c r="A251" s="477" t="s">
        <v>1879</v>
      </c>
      <c r="B251" s="478" t="s">
        <v>1880</v>
      </c>
    </row>
    <row r="252" spans="1:14" outlineLevel="1">
      <c r="B252" s="437"/>
      <c r="C252" s="15"/>
      <c r="D252" s="15"/>
      <c r="E252" s="15"/>
    </row>
    <row r="253" spans="1:14" ht="15" customHeight="1" outlineLevel="1">
      <c r="A253" s="1458" t="s">
        <v>1881</v>
      </c>
      <c r="B253" s="1458"/>
      <c r="C253" s="1458"/>
      <c r="D253" s="1458"/>
      <c r="E253" s="15"/>
      <c r="F253" s="15"/>
      <c r="G253" s="15"/>
    </row>
    <row r="254" spans="1:14" ht="15" customHeight="1" outlineLevel="1">
      <c r="A254" s="15"/>
      <c r="B254" s="15"/>
      <c r="C254" s="15"/>
      <c r="D254" s="15"/>
      <c r="E254" s="15"/>
      <c r="F254" s="15"/>
      <c r="G254" s="15"/>
    </row>
    <row r="255" spans="1:14" ht="15" customHeight="1" outlineLevel="1">
      <c r="A255" s="1469" t="s">
        <v>1826</v>
      </c>
      <c r="B255" s="1470"/>
      <c r="C255" s="1474"/>
      <c r="D255" s="1474"/>
      <c r="E255" s="416"/>
      <c r="F255" s="416"/>
    </row>
    <row r="256" spans="1:14" outlineLevel="1"/>
    <row r="257" spans="1:14" outlineLevel="1">
      <c r="A257" s="437" t="s">
        <v>1844</v>
      </c>
      <c r="C257" s="15"/>
      <c r="D257" s="15"/>
      <c r="E257" s="15"/>
      <c r="F257" s="15"/>
    </row>
    <row r="258" spans="1:14" outlineLevel="1">
      <c r="A258" s="1463" t="s">
        <v>1882</v>
      </c>
      <c r="B258" s="1463"/>
      <c r="C258" s="1463"/>
      <c r="D258" s="1463"/>
      <c r="E258" s="419"/>
      <c r="F258" s="419"/>
      <c r="G258" s="419"/>
    </row>
    <row r="259" spans="1:14" ht="12" customHeight="1" outlineLevel="1">
      <c r="A259" s="483"/>
      <c r="B259" s="419"/>
      <c r="C259" s="419"/>
      <c r="D259" s="419"/>
      <c r="E259" s="419"/>
      <c r="F259" s="419"/>
      <c r="G259" s="419"/>
    </row>
    <row r="260" spans="1:14" outlineLevel="1">
      <c r="A260" s="483"/>
      <c r="B260" s="484" t="s">
        <v>1883</v>
      </c>
      <c r="C260" s="419"/>
      <c r="D260" s="419"/>
      <c r="E260" s="419"/>
      <c r="F260" s="419"/>
      <c r="G260" s="419"/>
    </row>
    <row r="261" spans="1:14" ht="28.5" outlineLevel="1">
      <c r="A261" s="483"/>
      <c r="B261" s="419" t="s">
        <v>1884</v>
      </c>
      <c r="C261" s="419"/>
      <c r="D261" s="419"/>
      <c r="E261" s="419"/>
      <c r="F261" s="419"/>
      <c r="G261" s="419"/>
    </row>
    <row r="262" spans="1:14" ht="28.5" outlineLevel="1">
      <c r="A262" s="483"/>
      <c r="B262" s="480" t="s">
        <v>1885</v>
      </c>
      <c r="C262" s="480" t="s">
        <v>1877</v>
      </c>
      <c r="D262" s="480" t="s">
        <v>0</v>
      </c>
      <c r="E262" s="481" t="s">
        <v>1878</v>
      </c>
      <c r="F262" s="419"/>
      <c r="G262" s="480" t="s">
        <v>1832</v>
      </c>
      <c r="H262" s="480" t="s">
        <v>0</v>
      </c>
    </row>
    <row r="263" spans="1:14" ht="15" outlineLevel="1">
      <c r="A263" s="483"/>
      <c r="B263" s="485" t="s">
        <v>8</v>
      </c>
      <c r="C263" s="486"/>
      <c r="D263" s="487"/>
      <c r="E263" s="488">
        <f>+IFERROR(SUM(E264:E268),"")</f>
        <v>0</v>
      </c>
      <c r="F263" s="419"/>
      <c r="G263" s="448"/>
      <c r="H263" s="448"/>
    </row>
    <row r="264" spans="1:14" ht="15" customHeight="1" outlineLevel="1">
      <c r="A264" s="489"/>
      <c r="B264" s="490" t="s">
        <v>1886</v>
      </c>
      <c r="C264" s="482"/>
      <c r="D264" s="491"/>
      <c r="E264" s="1400" t="str">
        <f>IFERROR($G264*VLOOKUP(Instructions!$C$5,'S1&amp;2 Lists'!$AW$3:$BV$280,22,TRUE),"")</f>
        <v/>
      </c>
      <c r="F264" s="492"/>
      <c r="G264" s="431">
        <f>IF($D264="1000 pounds",$C264*1194,
IF($D264="kbtu",$C264,
IF($D264="therms",$C264*100,
IF($D264="ton-hour",$C264*12,0))))</f>
        <v>0</v>
      </c>
      <c r="H264" s="451" t="s">
        <v>1887</v>
      </c>
      <c r="J264" s="731"/>
      <c r="L264" s="731"/>
    </row>
    <row r="265" spans="1:14" ht="15" customHeight="1" outlineLevel="1">
      <c r="A265" s="489"/>
      <c r="B265" s="490" t="s">
        <v>1888</v>
      </c>
      <c r="C265" s="482"/>
      <c r="D265" s="491"/>
      <c r="E265" s="1400" t="str">
        <f>IFERROR($G265*VLOOKUP(Instructions!$C$5,'S1&amp;2 Lists'!$AW$3:$BV$280,22,TRUE),"")</f>
        <v/>
      </c>
      <c r="F265" s="492"/>
      <c r="G265" s="431">
        <f>IF($D265="1000 pounds",$C265*1000,
IF($D265="kbtu",$C265,
IF($D265="therms",$C265*100,
IF($D265="ton-hour",$C265*12,0))))</f>
        <v>0</v>
      </c>
      <c r="H265" s="451" t="s">
        <v>1887</v>
      </c>
      <c r="J265" s="731"/>
      <c r="L265" s="731"/>
    </row>
    <row r="266" spans="1:14" ht="15" customHeight="1" outlineLevel="1">
      <c r="A266" s="493"/>
      <c r="B266" s="490" t="s">
        <v>1889</v>
      </c>
      <c r="C266" s="482"/>
      <c r="D266" s="491"/>
      <c r="E266" s="1400" t="str">
        <f>IFERROR($G266*VLOOKUP(Instructions!$C$5,'S1&amp;2 Lists'!$AW$3:$BV$280,22,TRUE),"")</f>
        <v/>
      </c>
      <c r="F266" s="492"/>
      <c r="G266" s="431">
        <f>IF($D266="1000 pounds",$C266*1000,
IF($D266="kbtu",$C266,
IF($D266="therms",$C266*100,
IF($D266="ton-hour",$C266*12,0))))</f>
        <v>0</v>
      </c>
      <c r="H266" s="451" t="s">
        <v>1887</v>
      </c>
      <c r="J266" s="731"/>
      <c r="L266" s="731"/>
    </row>
    <row r="267" spans="1:14" ht="15" customHeight="1" outlineLevel="1">
      <c r="A267" s="493"/>
      <c r="B267" s="490" t="s">
        <v>1890</v>
      </c>
      <c r="C267" s="482"/>
      <c r="D267" s="491"/>
      <c r="E267" s="1400" t="str">
        <f>IFERROR($G267*VLOOKUP(Instructions!$C$5,'S1&amp;2 Lists'!$AW$3:$BV$280,22,TRUE),"")</f>
        <v/>
      </c>
      <c r="F267" s="492"/>
      <c r="G267" s="431">
        <f>IF($D267="1000 pounds",$C267*1000,
IF($D267="kbtu",$C267,
IF($D267="therms",$C267*100,
IF($D267="ton-hour",$C267*12,0))))</f>
        <v>0</v>
      </c>
      <c r="H267" s="451" t="s">
        <v>1887</v>
      </c>
      <c r="J267" s="731"/>
      <c r="L267" s="731"/>
    </row>
    <row r="268" spans="1:14" ht="15" customHeight="1" outlineLevel="1">
      <c r="A268" s="493"/>
      <c r="B268" s="490" t="s">
        <v>1891</v>
      </c>
      <c r="C268" s="482"/>
      <c r="D268" s="491"/>
      <c r="E268" s="1400" t="str">
        <f>IFERROR($G268*VLOOKUP(Instructions!$C$5,'S1&amp;2 Lists'!$AW$3:$BV$280,22,TRUE),"")</f>
        <v/>
      </c>
      <c r="F268" s="492"/>
      <c r="G268" s="431">
        <f>IF($D268="1000 pounds",$C268*1000,
IF($D268="kbtu",$C268,
IF($D268="therms",$C268*100,
IF($D268="ton-hour",$C268*12,0))))</f>
        <v>0</v>
      </c>
      <c r="H268" s="451" t="s">
        <v>1887</v>
      </c>
      <c r="J268" s="731"/>
      <c r="L268" s="731"/>
    </row>
    <row r="269" spans="1:14" ht="15" customHeight="1" outlineLevel="1">
      <c r="A269" s="493"/>
      <c r="B269" s="493"/>
      <c r="C269" s="494"/>
      <c r="D269" s="494"/>
      <c r="E269" s="495"/>
      <c r="F269" s="492"/>
      <c r="G269" s="496"/>
    </row>
    <row r="270" spans="1:14" s="497" customFormat="1" ht="15" customHeight="1" outlineLevel="1">
      <c r="A270"/>
      <c r="B270"/>
      <c r="C270"/>
      <c r="D270"/>
      <c r="E270"/>
      <c r="F270"/>
      <c r="G270"/>
      <c r="H270"/>
      <c r="I270"/>
      <c r="J270"/>
      <c r="K270"/>
      <c r="L270"/>
      <c r="M270"/>
      <c r="N270"/>
    </row>
    <row r="271" spans="1:14" s="497" customFormat="1" ht="36" customHeight="1" outlineLevel="1">
      <c r="A271"/>
      <c r="B271"/>
      <c r="C271"/>
      <c r="D271"/>
      <c r="E271"/>
      <c r="F271"/>
      <c r="G271"/>
      <c r="H271"/>
      <c r="I271"/>
      <c r="J271"/>
      <c r="K271"/>
      <c r="L271"/>
      <c r="M271"/>
      <c r="N271"/>
    </row>
    <row r="272" spans="1:14" s="497" customFormat="1" ht="36" customHeight="1" outlineLevel="1">
      <c r="A272"/>
      <c r="B272"/>
      <c r="C272"/>
      <c r="D272"/>
      <c r="E272"/>
      <c r="F272"/>
      <c r="G272"/>
      <c r="H272"/>
      <c r="I272"/>
      <c r="J272"/>
      <c r="K272"/>
      <c r="L272"/>
      <c r="M272"/>
      <c r="N272"/>
    </row>
    <row r="273" spans="1:14" s="497" customFormat="1" ht="19.5" customHeight="1" outlineLevel="1">
      <c r="A273"/>
      <c r="B273"/>
      <c r="C273"/>
      <c r="D273"/>
      <c r="E273"/>
      <c r="F273"/>
      <c r="G273"/>
      <c r="H273"/>
      <c r="I273"/>
      <c r="J273"/>
      <c r="K273"/>
      <c r="L273"/>
      <c r="M273"/>
      <c r="N273"/>
    </row>
    <row r="274" spans="1:14" s="497" customFormat="1" ht="19.5" customHeight="1" outlineLevel="1">
      <c r="A274"/>
      <c r="B274"/>
      <c r="C274"/>
      <c r="D274"/>
      <c r="E274"/>
      <c r="F274"/>
      <c r="G274"/>
      <c r="H274"/>
      <c r="I274"/>
      <c r="J274"/>
      <c r="K274"/>
      <c r="L274"/>
      <c r="M274"/>
      <c r="N274"/>
    </row>
    <row r="275" spans="1:14" s="497" customFormat="1" ht="28.5" customHeight="1" outlineLevel="1">
      <c r="A275"/>
      <c r="B275"/>
      <c r="C275"/>
      <c r="D275"/>
      <c r="E275"/>
      <c r="F275"/>
      <c r="G275"/>
      <c r="H275"/>
      <c r="I275"/>
      <c r="J275"/>
      <c r="K275"/>
      <c r="L275"/>
      <c r="M275"/>
      <c r="N275"/>
    </row>
    <row r="276" spans="1:14" s="497" customFormat="1" ht="36" customHeight="1" outlineLevel="1">
      <c r="A276"/>
      <c r="B276"/>
      <c r="C276"/>
      <c r="D276"/>
      <c r="E276"/>
      <c r="F276"/>
      <c r="G276"/>
      <c r="H276"/>
      <c r="I276"/>
      <c r="J276"/>
      <c r="K276"/>
      <c r="L276"/>
      <c r="M276"/>
      <c r="N276"/>
    </row>
    <row r="277" spans="1:14" s="497" customFormat="1" ht="15" customHeight="1" outlineLevel="1">
      <c r="A277"/>
      <c r="B277"/>
      <c r="C277"/>
      <c r="D277"/>
      <c r="E277"/>
      <c r="F277"/>
      <c r="G277"/>
      <c r="H277"/>
      <c r="I277"/>
      <c r="J277"/>
      <c r="K277"/>
      <c r="L277"/>
      <c r="M277"/>
      <c r="N277"/>
    </row>
    <row r="278" spans="1:14" s="497" customFormat="1" ht="59.45" customHeight="1" outlineLevel="1">
      <c r="A278"/>
      <c r="B278"/>
      <c r="C278"/>
      <c r="D278"/>
      <c r="E278"/>
      <c r="F278"/>
      <c r="G278"/>
      <c r="H278"/>
      <c r="I278"/>
      <c r="J278"/>
      <c r="K278"/>
      <c r="L278"/>
      <c r="M278"/>
      <c r="N278"/>
    </row>
    <row r="279" spans="1:14" s="497" customFormat="1" outlineLevel="1">
      <c r="A279"/>
      <c r="B279"/>
      <c r="C279"/>
      <c r="D279"/>
      <c r="E279"/>
      <c r="F279"/>
      <c r="G279"/>
      <c r="H279"/>
      <c r="I279"/>
      <c r="J279"/>
      <c r="K279"/>
      <c r="L279"/>
      <c r="M279"/>
      <c r="N279"/>
    </row>
    <row r="280" spans="1:14" s="497" customFormat="1" ht="21.95" customHeight="1" outlineLevel="1">
      <c r="A280"/>
      <c r="B280"/>
      <c r="C280"/>
      <c r="D280"/>
      <c r="E280"/>
      <c r="F280"/>
      <c r="G280"/>
      <c r="H280"/>
      <c r="I280"/>
      <c r="J280"/>
      <c r="K280"/>
      <c r="L280"/>
      <c r="M280"/>
      <c r="N280"/>
    </row>
    <row r="281" spans="1:14" s="497" customFormat="1" ht="21.95" customHeight="1" outlineLevel="1">
      <c r="A281"/>
      <c r="B281"/>
      <c r="C281"/>
      <c r="D281"/>
      <c r="E281"/>
      <c r="F281"/>
      <c r="G281"/>
      <c r="H281"/>
      <c r="I281"/>
      <c r="J281"/>
      <c r="K281"/>
      <c r="L281"/>
      <c r="M281"/>
      <c r="N281"/>
    </row>
    <row r="282" spans="1:14" s="497" customFormat="1" ht="21.95" customHeight="1" outlineLevel="1">
      <c r="A282"/>
      <c r="B282"/>
      <c r="C282"/>
      <c r="D282"/>
      <c r="E282"/>
      <c r="F282"/>
      <c r="G282"/>
      <c r="H282"/>
      <c r="I282"/>
      <c r="J282"/>
      <c r="K282"/>
      <c r="L282"/>
      <c r="M282"/>
      <c r="N282"/>
    </row>
    <row r="283" spans="1:14" s="497" customFormat="1" outlineLevel="1">
      <c r="A283"/>
      <c r="B283"/>
      <c r="C283"/>
      <c r="D283"/>
      <c r="E283"/>
      <c r="F283"/>
      <c r="G283"/>
      <c r="H283"/>
      <c r="I283"/>
      <c r="J283"/>
      <c r="K283"/>
      <c r="L283"/>
      <c r="M283"/>
      <c r="N283"/>
    </row>
    <row r="284" spans="1:14" s="497" customFormat="1">
      <c r="A284"/>
      <c r="B284"/>
      <c r="C284"/>
      <c r="D284"/>
      <c r="E284"/>
      <c r="F284"/>
      <c r="G284"/>
      <c r="H284"/>
      <c r="I284"/>
      <c r="J284"/>
      <c r="K284"/>
      <c r="L284"/>
      <c r="M284"/>
      <c r="N284"/>
    </row>
  </sheetData>
  <sheetProtection algorithmName="SHA-512" hashValue="MCNdO7yFkmpXcQbaAI1VtP42hp9iPjv94ChJ/JavUkCnW7QjQ8zZj+yMYqytaGRGHzGfTtDsBKZJXvH2ToGzFw==" saltValue="v9rcBB/FprMnsZqJVp1U5g==" spinCount="100000" sheet="1" objects="1" scenarios="1"/>
  <mergeCells count="38">
    <mergeCell ref="A258:D258"/>
    <mergeCell ref="A242:B242"/>
    <mergeCell ref="C242:D242"/>
    <mergeCell ref="A245:D245"/>
    <mergeCell ref="A253:D253"/>
    <mergeCell ref="A255:B255"/>
    <mergeCell ref="C255:D255"/>
    <mergeCell ref="A240:D240"/>
    <mergeCell ref="A72:B72"/>
    <mergeCell ref="C72:D72"/>
    <mergeCell ref="A75:D75"/>
    <mergeCell ref="A217:G217"/>
    <mergeCell ref="A219:B219"/>
    <mergeCell ref="C219:D219"/>
    <mergeCell ref="A222:D222"/>
    <mergeCell ref="C224:C226"/>
    <mergeCell ref="D224:D226"/>
    <mergeCell ref="E224:E226"/>
    <mergeCell ref="A236:G236"/>
    <mergeCell ref="A70:H70"/>
    <mergeCell ref="A24:G24"/>
    <mergeCell ref="A25:G25"/>
    <mergeCell ref="D27:G27"/>
    <mergeCell ref="A42:G42"/>
    <mergeCell ref="A43:G43"/>
    <mergeCell ref="A45:B45"/>
    <mergeCell ref="C45:D45"/>
    <mergeCell ref="A49:D49"/>
    <mergeCell ref="A50:D50"/>
    <mergeCell ref="A51:D51"/>
    <mergeCell ref="A52:D52"/>
    <mergeCell ref="B68:C68"/>
    <mergeCell ref="A23:B23"/>
    <mergeCell ref="A4:E4"/>
    <mergeCell ref="A13:G13"/>
    <mergeCell ref="A17:G17"/>
    <mergeCell ref="A19:G19"/>
    <mergeCell ref="C21:D21"/>
  </mergeCells>
  <conditionalFormatting sqref="A27:D27">
    <cfRule type="expression" dxfId="20" priority="15">
      <formula>$C$21&lt;&gt;$B$6</formula>
    </cfRule>
  </conditionalFormatting>
  <conditionalFormatting sqref="A58:E58 J58:K65 A59:H65 H248:I249">
    <cfRule type="expression" dxfId="19" priority="18">
      <formula>$C$45&lt;&gt;$B$6</formula>
    </cfRule>
  </conditionalFormatting>
  <conditionalFormatting sqref="A28:G38">
    <cfRule type="expression" dxfId="18" priority="14">
      <formula>$C$21&lt;&gt;$B$6</formula>
    </cfRule>
  </conditionalFormatting>
  <conditionalFormatting sqref="A55:H57">
    <cfRule type="expression" dxfId="17" priority="1">
      <formula>$C$45&lt;&gt;$B$6</formula>
    </cfRule>
  </conditionalFormatting>
  <conditionalFormatting sqref="B77:E213">
    <cfRule type="expression" dxfId="16" priority="17">
      <formula>$C$72&lt;&gt;$B$6</formula>
    </cfRule>
  </conditionalFormatting>
  <conditionalFormatting sqref="B224:E233">
    <cfRule type="expression" dxfId="15" priority="16">
      <formula>$C$219&lt;&gt;$B$6</formula>
    </cfRule>
  </conditionalFormatting>
  <conditionalFormatting sqref="B262:E268 G262:H268">
    <cfRule type="expression" dxfId="14" priority="11">
      <formula>$C$255&lt;&gt;$B$6</formula>
    </cfRule>
  </conditionalFormatting>
  <conditionalFormatting sqref="B247:F249">
    <cfRule type="expression" dxfId="13" priority="5">
      <formula>$C$242&lt;&gt;$B$6</formula>
    </cfRule>
  </conditionalFormatting>
  <conditionalFormatting sqref="H247:I247">
    <cfRule type="expression" dxfId="11" priority="2">
      <formula>$C$242&lt;&gt;$B$6</formula>
    </cfRule>
  </conditionalFormatting>
  <conditionalFormatting sqref="I27:J28">
    <cfRule type="expression" dxfId="10" priority="13">
      <formula>$C$21&lt;&gt;$B$6</formula>
    </cfRule>
  </conditionalFormatting>
  <conditionalFormatting sqref="I30:J38">
    <cfRule type="expression" dxfId="9" priority="19">
      <formula>$C$21&lt;&gt;$B$6</formula>
    </cfRule>
  </conditionalFormatting>
  <dataValidations count="5">
    <dataValidation type="list" allowBlank="1" showInputMessage="1" showErrorMessage="1" sqref="C280:C283" xr:uid="{2E0F8977-BA73-4628-8BAF-C7A0770EFC47}">
      <formula1>$DR$3:$DR$9</formula1>
    </dataValidation>
    <dataValidation type="decimal" operator="greaterThanOrEqual" allowBlank="1" showInputMessage="1" showErrorMessage="1" error="You can only enter numbers in this cell" sqref="C264" xr:uid="{89D79575-BD37-4993-8CE1-4F4ACBD085C8}">
      <formula1>0</formula1>
    </dataValidation>
    <dataValidation type="decimal" operator="greaterThanOrEqual" allowBlank="1" showInputMessage="1" showErrorMessage="1" error="You can only enter numbers in this cell." sqref="C248 C265:C268 B30:B38" xr:uid="{9BFC378D-0861-4622-85C5-57C28C15CFE1}">
      <formula1>0</formula1>
    </dataValidation>
    <dataValidation type="decimal" operator="greaterThanOrEqual" allowBlank="1" showInputMessage="1" showErrorMessage="1" error="Solo puede ingresar números en esta celda." sqref="C39 C256 C249:C250 C252" xr:uid="{56E0E497-7165-407E-8773-0E4B66FE57E2}">
      <formula1>0</formula1>
    </dataValidation>
    <dataValidation type="list" allowBlank="1" showInputMessage="1" showErrorMessage="1" sqref="C21:D21 C242:D242 C219:D219 C45:D45 C72:D72 C255:D255" xr:uid="{4C21A8F7-B8E5-4189-9572-321D8F75E4F8}">
      <formula1>$B$6:$B$9</formula1>
    </dataValidation>
  </dataValidations>
  <hyperlinks>
    <hyperlink ref="F75" location="Refrigerants!A1" display="Complete &quot;Refrigerants&quot; sheet" xr:uid="{2C6622C7-5418-456A-BCE6-1DBB3237295B}"/>
    <hyperlink ref="F222" location="'Anesthetic Gases'!A1" display="Completar planilla &quot;Gases medicinales&quot;" xr:uid="{6CB642F0-953B-4508-B4CF-38D9AD70B582}"/>
  </hyperlinks>
  <pageMargins left="0.25" right="0.25" top="0.75" bottom="0.75" header="0.3" footer="0.3"/>
  <pageSetup paperSize="9" scale="47" orientation="landscape" r:id="rId1"/>
  <rowBreaks count="2" manualBreakCount="2">
    <brk id="38" max="16383" man="1"/>
    <brk id="213" max="16383" man="1"/>
  </rowBreaks>
  <ignoredErrors>
    <ignoredError sqref="I34" formula="1"/>
    <ignoredError sqref="A40"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2" id="{00000000-000E-0000-0400-000002000000}">
            <xm:f>AND(LEFT(Instructions!$C$5,3)&lt;&gt;"US-",LEFT(Instructions!$C$5,6)&lt;&gt;"Canada")</xm:f>
            <x14:dxf>
              <fill>
                <patternFill patternType="darkUp"/>
              </fill>
            </x14:dxf>
          </x14:cfRule>
          <xm:sqref>B262:H268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D3C36215-2950-49EE-8340-E4DE8FBE8377}">
          <x14:formula1>
            <xm:f>'S1&amp;2 Lists'!$CU$3:$CU$8</xm:f>
          </x14:formula1>
          <xm:sqref>C30</xm:sqref>
        </x14:dataValidation>
        <x14:dataValidation type="list" allowBlank="1" showInputMessage="1" showErrorMessage="1" xr:uid="{D3CFA993-7875-49CA-AEA7-CA9EB2268B83}">
          <x14:formula1>
            <xm:f>'S1&amp;2 Lists'!$DS$3:$DS$6</xm:f>
          </x14:formula1>
          <xm:sqref>D264:D268</xm:sqref>
        </x14:dataValidation>
        <x14:dataValidation type="list" allowBlank="1" showInputMessage="1" showErrorMessage="1" xr:uid="{0BED544C-68B3-4B57-84BE-E2371BD88917}">
          <x14:formula1>
            <xm:f>'S1&amp;2 Lists'!$CU$3:$CU$6</xm:f>
          </x14:formula1>
          <xm:sqref>D63</xm:sqref>
        </x14:dataValidation>
        <x14:dataValidation type="list" allowBlank="1" showInputMessage="1" showErrorMessage="1" xr:uid="{05855B0B-B9C8-4D8C-B831-410FCEA68170}">
          <x14:formula1>
            <xm:f>'S1&amp;2 Lists'!$CV$3:$CV$7</xm:f>
          </x14:formula1>
          <xm:sqref>C34</xm:sqref>
        </x14:dataValidation>
        <x14:dataValidation type="list" allowBlank="1" showInputMessage="1" showErrorMessage="1" xr:uid="{1262555C-D414-42E2-8026-F71E10B1554F}">
          <x14:formula1>
            <xm:f>'S1&amp;2 Lists'!$CX$3:$CX$5</xm:f>
          </x14:formula1>
          <xm:sqref>C36:C37</xm:sqref>
        </x14:dataValidation>
        <x14:dataValidation type="list" allowBlank="1" showInputMessage="1" showErrorMessage="1" xr:uid="{3376907F-3F7F-481A-B4CF-414750AA2CBC}">
          <x14:formula1>
            <xm:f>'S1&amp;2 Lists'!$DQ$3:$DQ$9</xm:f>
          </x14:formula1>
          <xm:sqref>D284</xm:sqref>
        </x14:dataValidation>
        <x14:dataValidation type="list" allowBlank="1" showInputMessage="1" showErrorMessage="1" xr:uid="{79B35216-B249-4F5C-AB46-10733F32E11D}">
          <x14:formula1>
            <xm:f>'S1&amp;2 Lists'!$CW$3:$CW$4</xm:f>
          </x14:formula1>
          <xm:sqref>D61:D62 C35 C38 C31:C33</xm:sqref>
        </x14:dataValidation>
        <x14:dataValidation type="list" allowBlank="1" showInputMessage="1" showErrorMessage="1" xr:uid="{B5412218-2EA8-4D09-937F-FAC23B6222F5}">
          <x14:formula1>
            <xm:f>'S1&amp;2 Lists'!$DV$3:$DV$6</xm:f>
          </x14:formula1>
          <xm:sqref>D248:D249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0F2-6341-40D0-B7F7-89B4B343CB53}">
  <sheetPr codeName="Sheet7">
    <tabColor theme="2" tint="-0.249977111117893"/>
  </sheetPr>
  <dimension ref="A1:DV281"/>
  <sheetViews>
    <sheetView topLeftCell="AO1" zoomScale="90" zoomScaleNormal="90" workbookViewId="0">
      <pane ySplit="2" topLeftCell="A93" activePane="bottomLeft" state="frozen"/>
      <selection activeCell="C8" sqref="C8"/>
      <selection pane="bottomLeft" activeCell="AW109" sqref="AW109"/>
    </sheetView>
  </sheetViews>
  <sheetFormatPr defaultColWidth="10.5" defaultRowHeight="12.75"/>
  <cols>
    <col min="1" max="1" width="5.875" style="509" customWidth="1"/>
    <col min="2" max="2" width="1.125" style="519" customWidth="1"/>
    <col min="3" max="3" width="30.875" style="540" customWidth="1"/>
    <col min="4" max="4" width="11.375" style="509" customWidth="1"/>
    <col min="5" max="5" width="13" style="540" customWidth="1"/>
    <col min="6" max="6" width="13" style="509" customWidth="1"/>
    <col min="7" max="7" width="10.125" style="561" customWidth="1"/>
    <col min="8" max="8" width="13" style="509" customWidth="1"/>
    <col min="9" max="9" width="10.125" style="561" customWidth="1"/>
    <col min="10" max="10" width="17.375" style="509" customWidth="1"/>
    <col min="11" max="11" width="1.125" style="519" customWidth="1"/>
    <col min="12" max="12" width="13.125" style="540" customWidth="1"/>
    <col min="13" max="13" width="14.125" style="540" customWidth="1"/>
    <col min="14" max="14" width="17.625" style="540" customWidth="1"/>
    <col min="15" max="21" width="14.125" style="540" customWidth="1"/>
    <col min="22" max="22" width="24.125" style="540" customWidth="1"/>
    <col min="23" max="23" width="1.125" style="519" customWidth="1"/>
    <col min="24" max="24" width="27" style="540" customWidth="1"/>
    <col min="25" max="25" width="18.125" style="540" customWidth="1"/>
    <col min="26" max="26" width="17.625" style="540" bestFit="1" customWidth="1"/>
    <col min="27" max="27" width="19" style="540" customWidth="1"/>
    <col min="28" max="28" width="9.375" style="540" bestFit="1" customWidth="1"/>
    <col min="29" max="29" width="16.875" style="540" customWidth="1"/>
    <col min="30" max="30" width="1.125" style="519" customWidth="1"/>
    <col min="31" max="31" width="9.375" style="540" bestFit="1" customWidth="1"/>
    <col min="32" max="32" width="15.125" style="540" customWidth="1"/>
    <col min="33" max="33" width="1.125" style="519" customWidth="1"/>
    <col min="34" max="34" width="25.875" style="540" customWidth="1"/>
    <col min="35" max="35" width="1.125" style="519" customWidth="1"/>
    <col min="36" max="36" width="25.875" style="540" customWidth="1"/>
    <col min="37" max="37" width="1.125" style="519" customWidth="1"/>
    <col min="38" max="38" width="10.5" style="540"/>
    <col min="39" max="39" width="1.125" style="519" customWidth="1"/>
    <col min="40" max="40" width="46.5" style="540" customWidth="1"/>
    <col min="41" max="41" width="1.125" style="519" customWidth="1"/>
    <col min="42" max="42" width="38.875" style="499" bestFit="1" customWidth="1"/>
    <col min="43" max="43" width="1.125" style="519" customWidth="1"/>
    <col min="44" max="44" width="10.5" style="509"/>
    <col min="45" max="45" width="11.375" style="509" customWidth="1"/>
    <col min="46" max="46" width="1.125" style="519" customWidth="1"/>
    <col min="47" max="47" width="22.375" style="540" bestFit="1" customWidth="1"/>
    <col min="48" max="48" width="1.125" style="519" customWidth="1"/>
    <col min="49" max="49" width="27.375" style="540" customWidth="1"/>
    <col min="50" max="51" width="26.375" style="540" customWidth="1"/>
    <col min="52" max="54" width="10.5" style="540" customWidth="1"/>
    <col min="55" max="55" width="20.625" style="540" customWidth="1"/>
    <col min="56" max="56" width="10.5" style="540" customWidth="1"/>
    <col min="57" max="57" width="12.625" style="540" customWidth="1"/>
    <col min="58" max="58" width="12.375" style="540" customWidth="1"/>
    <col min="59" max="59" width="10.5" style="540" customWidth="1"/>
    <col min="60" max="60" width="13" style="540" customWidth="1"/>
    <col min="61" max="61" width="8" style="540" customWidth="1"/>
    <col min="62" max="62" width="15.125" style="540" customWidth="1"/>
    <col min="63" max="63" width="6.625" style="540" customWidth="1"/>
    <col min="64" max="64" width="11.375" style="540" customWidth="1"/>
    <col min="65" max="66" width="9.625" style="540" customWidth="1"/>
    <col min="67" max="68" width="5.5" style="540" customWidth="1"/>
    <col min="69" max="69" width="11.625" style="540" customWidth="1"/>
    <col min="70" max="70" width="13.875" style="540" customWidth="1"/>
    <col min="71" max="71" width="17" style="540" customWidth="1"/>
    <col min="72" max="72" width="24.5" style="540" customWidth="1"/>
    <col min="73" max="73" width="26.625" style="540" customWidth="1"/>
    <col min="74" max="75" width="30.875" style="540" customWidth="1"/>
    <col min="76" max="76" width="24.625" style="540" bestFit="1" customWidth="1"/>
    <col min="77" max="77" width="1.125" style="519" customWidth="1"/>
    <col min="78" max="78" width="13.625" style="540" customWidth="1"/>
    <col min="79" max="87" width="10.5" style="540"/>
    <col min="88" max="88" width="1.125" style="519" customWidth="1"/>
    <col min="89" max="89" width="40.625" style="540" customWidth="1"/>
    <col min="90" max="90" width="1.125" style="519" customWidth="1"/>
    <col min="91" max="91" width="10.5" style="509"/>
    <col min="92" max="92" width="1.125" style="519" customWidth="1"/>
    <col min="93" max="93" width="6.625" style="509" customWidth="1"/>
    <col min="94" max="97" width="10.5" style="509"/>
    <col min="98" max="98" width="1.125" style="519" customWidth="1"/>
    <col min="99" max="99" width="12.375" style="509" customWidth="1"/>
    <col min="100" max="100" width="12" style="540" customWidth="1"/>
    <col min="101" max="101" width="26.125" style="540" customWidth="1"/>
    <col min="102" max="102" width="13.125" style="540" customWidth="1"/>
    <col min="103" max="103" width="1.125" style="519" customWidth="1"/>
    <col min="104" max="104" width="10.5" style="509"/>
    <col min="105" max="105" width="1.125" style="519" customWidth="1"/>
    <col min="106" max="106" width="10.5" style="540"/>
    <col min="107" max="107" width="21.375" style="540" customWidth="1"/>
    <col min="108" max="108" width="16" style="540" customWidth="1"/>
    <col min="109" max="109" width="1.125" style="519" customWidth="1"/>
    <col min="110" max="110" width="19.875" style="540" customWidth="1"/>
    <col min="111" max="111" width="1.125" style="519" customWidth="1"/>
    <col min="112" max="112" width="35.625" style="540" customWidth="1"/>
    <col min="113" max="113" width="15.125" style="540" bestFit="1" customWidth="1"/>
    <col min="114" max="114" width="23.625" style="540" bestFit="1" customWidth="1"/>
    <col min="115" max="116" width="10.5" style="540"/>
    <col min="117" max="117" width="1.125" style="519" customWidth="1"/>
    <col min="118" max="118" width="26.625" style="540" customWidth="1"/>
    <col min="119" max="119" width="13.5" style="540" customWidth="1"/>
    <col min="120" max="120" width="1.125" style="519" customWidth="1"/>
    <col min="121" max="121" width="36.125" style="540" customWidth="1"/>
    <col min="122" max="122" width="1.125" style="519" customWidth="1"/>
    <col min="123" max="124" width="20.875" style="540" customWidth="1"/>
    <col min="125" max="125" width="14.875" style="540" bestFit="1" customWidth="1"/>
    <col min="126" max="16384" width="10.5" style="540"/>
  </cols>
  <sheetData>
    <row r="1" spans="1:126" s="509" customFormat="1" ht="15" customHeight="1">
      <c r="A1" s="1479" t="s">
        <v>1</v>
      </c>
      <c r="B1" s="502"/>
      <c r="C1" s="737"/>
      <c r="D1" s="737"/>
      <c r="E1" s="737"/>
      <c r="F1" s="737"/>
      <c r="G1" s="1402"/>
      <c r="H1" s="1481" t="s">
        <v>1895</v>
      </c>
      <c r="I1" s="1483" t="s">
        <v>26</v>
      </c>
      <c r="J1" s="1484" t="s">
        <v>1896</v>
      </c>
      <c r="K1" s="502"/>
      <c r="L1" s="1481" t="s">
        <v>1897</v>
      </c>
      <c r="M1" s="1481" t="s">
        <v>1898</v>
      </c>
      <c r="N1" s="1481" t="s">
        <v>1899</v>
      </c>
      <c r="O1" s="1481" t="s">
        <v>1900</v>
      </c>
      <c r="P1" s="1481" t="s">
        <v>1901</v>
      </c>
      <c r="Q1" s="1481" t="s">
        <v>1902</v>
      </c>
      <c r="R1" s="1481" t="s">
        <v>1903</v>
      </c>
      <c r="S1" s="1481" t="s">
        <v>1904</v>
      </c>
      <c r="T1" s="1481" t="s">
        <v>1905</v>
      </c>
      <c r="U1" s="1481" t="s">
        <v>1906</v>
      </c>
      <c r="V1" s="1481" t="s">
        <v>1896</v>
      </c>
      <c r="W1" s="502"/>
      <c r="X1" s="1481" t="s">
        <v>1907</v>
      </c>
      <c r="Y1" s="1481" t="s">
        <v>1908</v>
      </c>
      <c r="Z1" s="1481" t="s">
        <v>1909</v>
      </c>
      <c r="AA1" s="1481" t="s">
        <v>1910</v>
      </c>
      <c r="AB1" s="1481" t="s">
        <v>26</v>
      </c>
      <c r="AC1" s="1481" t="s">
        <v>1896</v>
      </c>
      <c r="AD1" s="502"/>
      <c r="AE1" s="1481" t="s">
        <v>1911</v>
      </c>
      <c r="AF1" s="1481" t="s">
        <v>1912</v>
      </c>
      <c r="AG1" s="502"/>
      <c r="AH1" s="1481" t="s">
        <v>1913</v>
      </c>
      <c r="AI1" s="502"/>
      <c r="AJ1" s="1481" t="s">
        <v>1914</v>
      </c>
      <c r="AK1" s="502"/>
      <c r="AL1" s="1481" t="s">
        <v>1915</v>
      </c>
      <c r="AM1" s="502"/>
      <c r="AN1" s="1481" t="s">
        <v>1916</v>
      </c>
      <c r="AO1" s="502"/>
      <c r="AP1" s="1481" t="s">
        <v>1917</v>
      </c>
      <c r="AQ1" s="502"/>
      <c r="AR1" s="1481" t="s">
        <v>1918</v>
      </c>
      <c r="AS1" s="1481" t="s">
        <v>1919</v>
      </c>
      <c r="AT1" s="502"/>
      <c r="AU1" s="1481" t="s">
        <v>1920</v>
      </c>
      <c r="AV1" s="502"/>
      <c r="AW1" s="504"/>
      <c r="AX1" s="504"/>
      <c r="AY1" s="504"/>
      <c r="AZ1" s="1488" t="s">
        <v>1921</v>
      </c>
      <c r="BA1" s="1489"/>
      <c r="BB1" s="1488" t="s">
        <v>1922</v>
      </c>
      <c r="BC1" s="1489"/>
      <c r="BD1" s="1488" t="s">
        <v>1923</v>
      </c>
      <c r="BE1" s="1489"/>
      <c r="BF1" s="1489"/>
      <c r="BG1" s="1490"/>
      <c r="BH1" s="1491" t="s">
        <v>1924</v>
      </c>
      <c r="BI1" s="1492"/>
      <c r="BJ1" s="1492"/>
      <c r="BK1" s="1492"/>
      <c r="BL1" s="1492"/>
      <c r="BM1" s="1492"/>
      <c r="BN1" s="1492"/>
      <c r="BO1" s="1492"/>
      <c r="BP1" s="1492"/>
      <c r="BQ1" s="1493"/>
      <c r="BR1" s="1488" t="s">
        <v>1886</v>
      </c>
      <c r="BS1" s="1489"/>
      <c r="BT1" s="1489"/>
      <c r="BU1" s="1489"/>
      <c r="BV1" s="1489"/>
      <c r="BW1" s="1489"/>
      <c r="BX1" s="1489"/>
      <c r="BY1" s="505"/>
      <c r="BZ1" s="1486" t="s">
        <v>1925</v>
      </c>
      <c r="CA1" s="1506" t="s">
        <v>1924</v>
      </c>
      <c r="CB1" s="1507"/>
      <c r="CC1" s="1507"/>
      <c r="CD1" s="1507"/>
      <c r="CE1" s="1507"/>
      <c r="CF1" s="1507"/>
      <c r="CG1" s="1507"/>
      <c r="CH1" s="1507"/>
      <c r="CI1" s="1508"/>
      <c r="CJ1" s="506"/>
      <c r="CK1" s="1481" t="s">
        <v>1926</v>
      </c>
      <c r="CL1" s="502"/>
      <c r="CM1" s="1481" t="s">
        <v>1927</v>
      </c>
      <c r="CN1" s="502"/>
      <c r="CO1" s="1509" t="s">
        <v>1928</v>
      </c>
      <c r="CP1" s="1510"/>
      <c r="CQ1" s="1509" t="s">
        <v>1929</v>
      </c>
      <c r="CR1" s="1510"/>
      <c r="CS1" s="1511" t="s">
        <v>26</v>
      </c>
      <c r="CT1" s="502"/>
      <c r="CU1" s="1498" t="str">
        <f>+L3</f>
        <v>Natural gas</v>
      </c>
      <c r="CV1" s="1500" t="str">
        <f>+L7</f>
        <v>Liquefied Petroleum Gases (LPG)</v>
      </c>
      <c r="CW1" s="1500" t="s">
        <v>1930</v>
      </c>
      <c r="CX1" s="1501" t="s">
        <v>1931</v>
      </c>
      <c r="CY1" s="502"/>
      <c r="CZ1" s="1481" t="s">
        <v>1932</v>
      </c>
      <c r="DA1" s="502"/>
      <c r="DB1" s="1503" t="s">
        <v>1933</v>
      </c>
      <c r="DC1" s="1504"/>
      <c r="DD1" s="1505"/>
      <c r="DE1" s="502"/>
      <c r="DF1" s="1481" t="s">
        <v>1934</v>
      </c>
      <c r="DG1" s="502"/>
      <c r="DH1" s="504"/>
      <c r="DI1" s="504"/>
      <c r="DJ1" s="504"/>
      <c r="DK1" s="1488" t="s">
        <v>1935</v>
      </c>
      <c r="DL1" s="1489"/>
      <c r="DM1" s="502"/>
      <c r="DN1" s="504" t="s">
        <v>1936</v>
      </c>
      <c r="DO1" s="504"/>
      <c r="DP1" s="502"/>
      <c r="DQ1" s="504" t="s">
        <v>1937</v>
      </c>
      <c r="DR1" s="502"/>
      <c r="DS1" s="504" t="s">
        <v>1938</v>
      </c>
      <c r="DT1" s="1494" t="s">
        <v>1939</v>
      </c>
      <c r="DU1" s="504" t="s">
        <v>3290</v>
      </c>
      <c r="DV1" s="504" t="s">
        <v>3293</v>
      </c>
    </row>
    <row r="2" spans="1:126" s="439" customFormat="1" ht="27" customHeight="1" thickBot="1">
      <c r="A2" s="1480"/>
      <c r="B2" s="510"/>
      <c r="C2" s="737" t="s">
        <v>1860</v>
      </c>
      <c r="D2" s="737" t="s">
        <v>1892</v>
      </c>
      <c r="E2" s="737" t="s">
        <v>1893</v>
      </c>
      <c r="F2" s="737" t="s">
        <v>1894</v>
      </c>
      <c r="G2" s="1402" t="s">
        <v>26</v>
      </c>
      <c r="H2" s="1482"/>
      <c r="I2" s="1483"/>
      <c r="J2" s="1485"/>
      <c r="K2" s="510"/>
      <c r="L2" s="1482"/>
      <c r="M2" s="1482"/>
      <c r="N2" s="1482"/>
      <c r="O2" s="1482"/>
      <c r="P2" s="1482"/>
      <c r="Q2" s="1482"/>
      <c r="R2" s="1482"/>
      <c r="S2" s="1482"/>
      <c r="T2" s="1482"/>
      <c r="U2" s="1482"/>
      <c r="V2" s="1482"/>
      <c r="W2" s="510"/>
      <c r="X2" s="1482"/>
      <c r="Y2" s="1482"/>
      <c r="Z2" s="1482"/>
      <c r="AA2" s="1482"/>
      <c r="AB2" s="1482"/>
      <c r="AC2" s="1482"/>
      <c r="AD2" s="510"/>
      <c r="AE2" s="1482"/>
      <c r="AF2" s="1482"/>
      <c r="AG2" s="510"/>
      <c r="AH2" s="1482"/>
      <c r="AI2" s="510"/>
      <c r="AJ2" s="1482"/>
      <c r="AK2" s="510"/>
      <c r="AL2" s="1482"/>
      <c r="AM2" s="510"/>
      <c r="AN2" s="1482"/>
      <c r="AO2" s="510"/>
      <c r="AP2" s="1482"/>
      <c r="AQ2" s="510"/>
      <c r="AR2" s="1482"/>
      <c r="AS2" s="1482"/>
      <c r="AT2" s="510"/>
      <c r="AU2" s="1482"/>
      <c r="AV2" s="510"/>
      <c r="AW2" s="504" t="s">
        <v>4</v>
      </c>
      <c r="AX2" s="512" t="s">
        <v>1940</v>
      </c>
      <c r="AY2" s="512" t="s">
        <v>1941</v>
      </c>
      <c r="AZ2" s="504" t="s">
        <v>1942</v>
      </c>
      <c r="BA2" s="504" t="s">
        <v>1943</v>
      </c>
      <c r="BB2" s="511" t="s">
        <v>1944</v>
      </c>
      <c r="BC2" s="503" t="s">
        <v>1943</v>
      </c>
      <c r="BD2" s="511" t="s">
        <v>1945</v>
      </c>
      <c r="BE2" s="511" t="s">
        <v>1946</v>
      </c>
      <c r="BF2" s="503" t="s">
        <v>26</v>
      </c>
      <c r="BG2" s="511" t="s">
        <v>1896</v>
      </c>
      <c r="BH2" s="511" t="s">
        <v>1947</v>
      </c>
      <c r="BI2" s="511" t="s">
        <v>1948</v>
      </c>
      <c r="BJ2" s="511" t="s">
        <v>1949</v>
      </c>
      <c r="BK2" s="511" t="s">
        <v>30</v>
      </c>
      <c r="BL2" s="511" t="s">
        <v>1950</v>
      </c>
      <c r="BM2" s="511" t="s">
        <v>1951</v>
      </c>
      <c r="BN2" s="511" t="s">
        <v>20</v>
      </c>
      <c r="BO2" s="511" t="s">
        <v>1952</v>
      </c>
      <c r="BP2" s="507" t="s">
        <v>8</v>
      </c>
      <c r="BQ2" s="508" t="s">
        <v>26</v>
      </c>
      <c r="BR2" s="511" t="s">
        <v>1953</v>
      </c>
      <c r="BS2" s="511" t="s">
        <v>1954</v>
      </c>
      <c r="BT2" s="511" t="s">
        <v>1889</v>
      </c>
      <c r="BU2" s="511" t="s">
        <v>1890</v>
      </c>
      <c r="BV2" s="511" t="s">
        <v>1891</v>
      </c>
      <c r="BW2" s="507" t="s">
        <v>0</v>
      </c>
      <c r="BX2" s="508" t="s">
        <v>26</v>
      </c>
      <c r="BY2" s="513"/>
      <c r="BZ2" s="1487"/>
      <c r="CA2" s="514" t="str">
        <f t="shared" ref="CA2:CH2" si="0">+BH2</f>
        <v>Paper/cardboard</v>
      </c>
      <c r="CB2" s="514" t="str">
        <f t="shared" si="0"/>
        <v>Textiles</v>
      </c>
      <c r="CC2" s="514" t="str">
        <f t="shared" si="0"/>
        <v>Food waste</v>
      </c>
      <c r="CD2" s="514" t="str">
        <f t="shared" si="0"/>
        <v>Wood</v>
      </c>
      <c r="CE2" s="514" t="str">
        <f t="shared" si="0"/>
        <v>Garden and Park Waste</v>
      </c>
      <c r="CF2" s="514" t="str">
        <f t="shared" si="0"/>
        <v>Nappies</v>
      </c>
      <c r="CG2" s="514" t="str">
        <f t="shared" si="0"/>
        <v>Plastics</v>
      </c>
      <c r="CH2" s="514" t="str">
        <f t="shared" si="0"/>
        <v>Other</v>
      </c>
      <c r="CI2" s="515" t="s">
        <v>8</v>
      </c>
      <c r="CJ2" s="516"/>
      <c r="CK2" s="1482"/>
      <c r="CL2" s="510"/>
      <c r="CM2" s="1482" t="s">
        <v>1955</v>
      </c>
      <c r="CN2" s="510"/>
      <c r="CO2" s="508" t="s">
        <v>1956</v>
      </c>
      <c r="CP2" s="508" t="s">
        <v>0</v>
      </c>
      <c r="CQ2" s="508" t="s">
        <v>1956</v>
      </c>
      <c r="CR2" s="508" t="s">
        <v>1957</v>
      </c>
      <c r="CS2" s="1511"/>
      <c r="CT2" s="510"/>
      <c r="CU2" s="1499"/>
      <c r="CV2" s="1500"/>
      <c r="CW2" s="1500"/>
      <c r="CX2" s="1502"/>
      <c r="CY2" s="510"/>
      <c r="CZ2" s="1482" t="s">
        <v>1955</v>
      </c>
      <c r="DA2" s="510"/>
      <c r="DB2" s="517" t="s">
        <v>33</v>
      </c>
      <c r="DC2" s="517" t="s">
        <v>1958</v>
      </c>
      <c r="DD2" s="517" t="s">
        <v>26</v>
      </c>
      <c r="DE2" s="510"/>
      <c r="DF2" s="1482" t="s">
        <v>1955</v>
      </c>
      <c r="DG2" s="510"/>
      <c r="DH2" s="511" t="s">
        <v>4</v>
      </c>
      <c r="DI2" s="512" t="s">
        <v>1940</v>
      </c>
      <c r="DJ2" s="512" t="s">
        <v>1941</v>
      </c>
      <c r="DK2" s="511" t="s">
        <v>1959</v>
      </c>
      <c r="DL2" s="511" t="s">
        <v>1960</v>
      </c>
      <c r="DM2" s="510"/>
      <c r="DN2" s="511" t="s">
        <v>1961</v>
      </c>
      <c r="DO2" s="512" t="s">
        <v>1962</v>
      </c>
      <c r="DP2" s="510"/>
      <c r="DQ2" s="511" t="s">
        <v>1963</v>
      </c>
      <c r="DR2" s="510"/>
      <c r="DS2" s="511" t="s">
        <v>1964</v>
      </c>
      <c r="DT2" s="1494"/>
      <c r="DU2" s="511" t="s">
        <v>3287</v>
      </c>
      <c r="DV2" s="511" t="s">
        <v>3287</v>
      </c>
    </row>
    <row r="3" spans="1:126" ht="38.25" customHeight="1">
      <c r="A3" s="518">
        <v>2015</v>
      </c>
      <c r="C3" s="463" t="s">
        <v>1993</v>
      </c>
      <c r="D3" s="520" t="s">
        <v>1966</v>
      </c>
      <c r="E3" s="732">
        <v>273</v>
      </c>
      <c r="F3" s="521" t="s">
        <v>1994</v>
      </c>
      <c r="G3" s="522" t="s">
        <v>2929</v>
      </c>
      <c r="H3" s="521"/>
      <c r="I3" s="522"/>
      <c r="J3" s="521"/>
      <c r="L3" s="523" t="s">
        <v>10</v>
      </c>
      <c r="M3" s="524" t="s">
        <v>1967</v>
      </c>
      <c r="N3" s="524">
        <v>0.7</v>
      </c>
      <c r="O3" s="518">
        <v>48</v>
      </c>
      <c r="P3" s="524">
        <v>56.1</v>
      </c>
      <c r="Q3" s="518">
        <v>5.0000000000000001E-3</v>
      </c>
      <c r="R3" s="518">
        <v>1E-4</v>
      </c>
      <c r="S3" s="524">
        <v>56.1</v>
      </c>
      <c r="T3" s="524">
        <v>9.1999999999999998E-2</v>
      </c>
      <c r="U3" s="524">
        <v>3.0000000000000001E-3</v>
      </c>
      <c r="V3" s="524" t="s">
        <v>1968</v>
      </c>
      <c r="X3" s="525" t="s">
        <v>1969</v>
      </c>
      <c r="Y3" s="526">
        <f>451.11/$Y$25</f>
        <v>280.30745523009432</v>
      </c>
      <c r="Z3" s="527">
        <f>0.0005/$Y$25</f>
        <v>3.1068636832490336E-4</v>
      </c>
      <c r="AA3" s="527">
        <f>0.001/$Y$25</f>
        <v>6.2137273664980672E-4</v>
      </c>
      <c r="AB3" s="528" t="s">
        <v>1970</v>
      </c>
      <c r="AC3" s="527"/>
      <c r="AE3" s="529" t="s">
        <v>1965</v>
      </c>
      <c r="AF3" s="518">
        <v>4</v>
      </c>
      <c r="AH3" s="529" t="str">
        <f>+X3</f>
        <v>Private car (diesel)</v>
      </c>
      <c r="AJ3" s="529" t="str">
        <f>+X3</f>
        <v>Private car (diesel)</v>
      </c>
      <c r="AL3" s="529">
        <v>4</v>
      </c>
      <c r="AN3" s="530" t="s">
        <v>1971</v>
      </c>
      <c r="AP3" s="531" t="s">
        <v>1972</v>
      </c>
      <c r="AR3" s="532" t="s">
        <v>1973</v>
      </c>
      <c r="AS3" s="518">
        <v>52</v>
      </c>
      <c r="AU3" s="529" t="s">
        <v>1974</v>
      </c>
      <c r="AW3" s="1396" t="s">
        <v>2688</v>
      </c>
      <c r="AX3" s="1395" t="s">
        <v>2048</v>
      </c>
      <c r="AY3" s="1397" t="s">
        <v>2143</v>
      </c>
      <c r="AZ3" s="1396">
        <v>160</v>
      </c>
      <c r="BA3" s="528" t="s">
        <v>1977</v>
      </c>
      <c r="BB3" s="536">
        <v>13.490630673342661</v>
      </c>
      <c r="BC3" s="535" t="s">
        <v>1978</v>
      </c>
      <c r="BD3" s="537"/>
      <c r="BE3" s="537"/>
      <c r="BF3" s="535"/>
      <c r="BG3" s="537"/>
      <c r="BH3" s="538">
        <f t="shared" ref="BH3:BH10" si="1">+VLOOKUP($AY3,$BZ$3:$CH$21,2,FALSE)</f>
        <v>30</v>
      </c>
      <c r="BI3" s="538">
        <f t="shared" ref="BI3:BI10" si="2">+VLOOKUP($AY3,$BZ$3:$CH$21,3,FALSE)</f>
        <v>2</v>
      </c>
      <c r="BJ3" s="538">
        <f t="shared" ref="BJ3:BJ10" si="3">+VLOOKUP($AY3,$BZ$3:$CH$21,4,FALSE)</f>
        <v>36</v>
      </c>
      <c r="BK3" s="538">
        <f t="shared" ref="BK3:BK10" si="4">+VLOOKUP($AY3,$BZ$3:$CH$21,5,FALSE)</f>
        <v>24</v>
      </c>
      <c r="BL3" s="538">
        <f t="shared" ref="BL3:BL10" si="5">+VLOOKUP($AY3,$BZ$3:$CH$21,6,FALSE)</f>
        <v>2</v>
      </c>
      <c r="BM3" s="538">
        <f t="shared" ref="BM3:BM10" si="6">+VLOOKUP($AY3,$BZ$3:$CH$21,7,FALSE)</f>
        <v>2</v>
      </c>
      <c r="BN3" s="538">
        <f t="shared" ref="BN3:BN10" si="7">+VLOOKUP($AY3,$BZ$3:$CH$21,8,FALSE)</f>
        <v>2</v>
      </c>
      <c r="BO3" s="538">
        <f t="shared" ref="BO3:BO10" si="8">+VLOOKUP($AY3,$BZ$3:$CH$21,9,FALSE)</f>
        <v>2</v>
      </c>
      <c r="BP3" s="538">
        <f t="shared" ref="BP3:BP8" si="9">+SUM(BH3:BO3)</f>
        <v>100</v>
      </c>
      <c r="BQ3" s="535" t="s">
        <v>1979</v>
      </c>
      <c r="BR3" s="557">
        <v>8.8539999999999994E-2</v>
      </c>
      <c r="BS3" s="557">
        <v>8.8539999999999994E-2</v>
      </c>
      <c r="BT3" s="557">
        <v>1.719E-2</v>
      </c>
      <c r="BU3" s="557">
        <v>7.3859999999999995E-2</v>
      </c>
      <c r="BV3" s="557">
        <v>4.929E-2</v>
      </c>
      <c r="BW3" s="558" t="s">
        <v>2275</v>
      </c>
      <c r="BX3" s="535" t="s">
        <v>2276</v>
      </c>
      <c r="BZ3" s="539" t="s">
        <v>1980</v>
      </c>
      <c r="CA3" s="538">
        <v>18.8</v>
      </c>
      <c r="CB3" s="538">
        <v>3.5</v>
      </c>
      <c r="CC3" s="538">
        <v>26.2</v>
      </c>
      <c r="CD3" s="538">
        <v>3.5</v>
      </c>
      <c r="CE3" s="538">
        <v>9.5</v>
      </c>
      <c r="CF3" s="538">
        <v>5.6</v>
      </c>
      <c r="CG3" s="538">
        <v>14.3</v>
      </c>
      <c r="CH3" s="538">
        <f>100-SUM(CA3:CG3)</f>
        <v>18.600000000000009</v>
      </c>
      <c r="CI3" s="538">
        <f>+SUM(CA3:CH3)</f>
        <v>100</v>
      </c>
      <c r="CK3" s="540" t="str">
        <f>+'Results &amp; Summary'!B25</f>
        <v>Capital goods</v>
      </c>
      <c r="CM3" s="509" t="s">
        <v>1981</v>
      </c>
      <c r="CO3" s="509">
        <v>1</v>
      </c>
      <c r="CP3" s="509" t="s">
        <v>1982</v>
      </c>
      <c r="CQ3" s="541">
        <f>1/(+ROUND(1/0.001026,6)/CQ4)</f>
        <v>3.6228813574030939E-2</v>
      </c>
      <c r="CR3" s="509" t="s">
        <v>1983</v>
      </c>
      <c r="CS3" s="535" t="s">
        <v>1984</v>
      </c>
      <c r="CU3" s="509" t="s">
        <v>1982</v>
      </c>
      <c r="CV3" s="509" t="s">
        <v>12</v>
      </c>
      <c r="CW3" s="509" t="s">
        <v>1985</v>
      </c>
      <c r="CX3" s="509" t="s">
        <v>12</v>
      </c>
      <c r="CZ3" s="509" t="s">
        <v>1986</v>
      </c>
      <c r="DB3" s="509" t="s">
        <v>1987</v>
      </c>
      <c r="DC3" s="509">
        <v>0.5</v>
      </c>
      <c r="DD3" s="535" t="s">
        <v>1988</v>
      </c>
      <c r="DF3" s="509" t="s">
        <v>12</v>
      </c>
      <c r="DH3" s="540" t="str">
        <f t="shared" ref="DH3:DH34" si="10">AW3</f>
        <v>New Zealand</v>
      </c>
      <c r="DI3" s="540" t="str">
        <f t="shared" ref="DI3:DI34" si="11">AX3</f>
        <v>Oceania</v>
      </c>
      <c r="DJ3" s="540" t="str">
        <f t="shared" ref="DJ3:DJ34" si="12">AY3</f>
        <v>Australia and New Zealand</v>
      </c>
      <c r="DL3" s="540" t="s">
        <v>35</v>
      </c>
      <c r="DN3" s="540" t="s">
        <v>1989</v>
      </c>
      <c r="DO3" s="540" t="s">
        <v>1990</v>
      </c>
      <c r="DQ3" s="540" t="s">
        <v>1991</v>
      </c>
      <c r="DS3" s="542" t="s">
        <v>1887</v>
      </c>
      <c r="DT3" s="540" t="s">
        <v>1992</v>
      </c>
      <c r="DU3" s="540" t="s">
        <v>3288</v>
      </c>
      <c r="DV3" s="540" t="s">
        <v>1719</v>
      </c>
    </row>
    <row r="4" spans="1:126" ht="39" customHeight="1">
      <c r="A4" s="518">
        <f>+A3+1</f>
        <v>2016</v>
      </c>
      <c r="C4" s="463" t="s">
        <v>2018</v>
      </c>
      <c r="D4" s="520"/>
      <c r="E4" s="732">
        <v>539</v>
      </c>
      <c r="F4" s="521" t="s">
        <v>1994</v>
      </c>
      <c r="G4" s="522" t="s">
        <v>3280</v>
      </c>
      <c r="H4" s="543">
        <v>1.875</v>
      </c>
      <c r="I4" s="522" t="s">
        <v>1995</v>
      </c>
      <c r="J4" s="521" t="s">
        <v>1996</v>
      </c>
      <c r="L4" s="523" t="s">
        <v>16</v>
      </c>
      <c r="M4" s="524" t="s">
        <v>1997</v>
      </c>
      <c r="N4" s="524">
        <v>0.84</v>
      </c>
      <c r="O4" s="524">
        <v>43</v>
      </c>
      <c r="P4" s="518">
        <v>74.099999999999994</v>
      </c>
      <c r="Q4" s="518">
        <v>0.01</v>
      </c>
      <c r="R4" s="518">
        <v>5.9999999999999995E-4</v>
      </c>
      <c r="S4" s="524">
        <v>74.099999999999994</v>
      </c>
      <c r="T4" s="524">
        <v>3.8999999999999998E-3</v>
      </c>
      <c r="U4" s="524">
        <v>3.8999999999999998E-3</v>
      </c>
      <c r="V4" s="524" t="s">
        <v>1998</v>
      </c>
      <c r="X4" s="525" t="s">
        <v>1999</v>
      </c>
      <c r="Y4" s="526">
        <f>391.5/$Y$25</f>
        <v>243.26742639839935</v>
      </c>
      <c r="Z4" s="527">
        <f>0.0147/$Y$25</f>
        <v>9.1341792287521588E-3</v>
      </c>
      <c r="AA4" s="527">
        <f>0.0079/$Y$25</f>
        <v>4.9088446195334739E-3</v>
      </c>
      <c r="AB4" s="528" t="s">
        <v>1970</v>
      </c>
      <c r="AC4" s="527"/>
      <c r="AE4" s="529" t="s">
        <v>1993</v>
      </c>
      <c r="AF4" s="518">
        <v>0.3</v>
      </c>
      <c r="AH4" s="529" t="str">
        <f>+X4</f>
        <v>Private car (gasoline)</v>
      </c>
      <c r="AJ4" s="529" t="str">
        <f>+X4</f>
        <v>Private car (gasoline)</v>
      </c>
      <c r="AL4" s="529">
        <v>8</v>
      </c>
      <c r="AN4" s="530" t="s">
        <v>2000</v>
      </c>
      <c r="AP4" s="531" t="s">
        <v>2001</v>
      </c>
      <c r="AR4" s="532" t="s">
        <v>2002</v>
      </c>
      <c r="AS4" s="518">
        <v>12</v>
      </c>
      <c r="AU4" s="529" t="s">
        <v>2003</v>
      </c>
      <c r="AW4" s="1396" t="s">
        <v>2324</v>
      </c>
      <c r="AX4" s="1395" t="s">
        <v>2086</v>
      </c>
      <c r="AY4" s="1397" t="s">
        <v>2167</v>
      </c>
      <c r="AZ4" s="1396">
        <v>401</v>
      </c>
      <c r="BA4" s="528" t="s">
        <v>1977</v>
      </c>
      <c r="BB4" s="536">
        <v>23.69</v>
      </c>
      <c r="BC4" s="535" t="s">
        <v>2006</v>
      </c>
      <c r="BD4" s="537"/>
      <c r="BE4" s="537"/>
      <c r="BF4" s="535"/>
      <c r="BG4" s="537"/>
      <c r="BH4" s="538">
        <f t="shared" si="1"/>
        <v>17</v>
      </c>
      <c r="BI4" s="538">
        <f t="shared" si="2"/>
        <v>5.0999999999999996</v>
      </c>
      <c r="BJ4" s="538">
        <f t="shared" si="3"/>
        <v>46.9</v>
      </c>
      <c r="BK4" s="538">
        <f t="shared" si="4"/>
        <v>2.4</v>
      </c>
      <c r="BL4" s="538">
        <f t="shared" si="5"/>
        <v>9.5</v>
      </c>
      <c r="BM4" s="538">
        <f t="shared" si="6"/>
        <v>5.6</v>
      </c>
      <c r="BN4" s="538">
        <f t="shared" si="7"/>
        <v>9.9</v>
      </c>
      <c r="BO4" s="538">
        <f t="shared" si="8"/>
        <v>3.5999999999999943</v>
      </c>
      <c r="BP4" s="538">
        <f t="shared" si="9"/>
        <v>100</v>
      </c>
      <c r="BQ4" s="535" t="s">
        <v>1979</v>
      </c>
      <c r="BR4" s="557">
        <v>8.8539999999999994E-2</v>
      </c>
      <c r="BS4" s="557">
        <v>8.8539999999999994E-2</v>
      </c>
      <c r="BT4" s="557">
        <v>1.719E-2</v>
      </c>
      <c r="BU4" s="557">
        <v>7.3859999999999995E-2</v>
      </c>
      <c r="BV4" s="557">
        <v>4.929E-2</v>
      </c>
      <c r="BW4" s="558" t="s">
        <v>2275</v>
      </c>
      <c r="BX4" s="535" t="s">
        <v>2276</v>
      </c>
      <c r="BZ4" s="539" t="s">
        <v>2007</v>
      </c>
      <c r="CA4" s="538">
        <v>11.3</v>
      </c>
      <c r="CB4" s="538">
        <v>2.5</v>
      </c>
      <c r="CC4" s="538">
        <v>40.299999999999997</v>
      </c>
      <c r="CD4" s="538">
        <v>7.9</v>
      </c>
      <c r="CE4" s="538">
        <v>9.5</v>
      </c>
      <c r="CF4" s="538">
        <v>5.6</v>
      </c>
      <c r="CG4" s="538">
        <v>6.4</v>
      </c>
      <c r="CH4" s="538">
        <f t="shared" ref="CH4:CH13" si="13">100-SUM(CA4:CG4)</f>
        <v>16.5</v>
      </c>
      <c r="CI4" s="538">
        <f t="shared" ref="CI4:CI21" si="14">+SUM(CA4:CH4)</f>
        <v>100</v>
      </c>
      <c r="CK4" s="540" t="str">
        <f>+'Results &amp; Summary'!B34</f>
        <v>Use of sold products</v>
      </c>
      <c r="CM4" s="509" t="s">
        <v>2008</v>
      </c>
      <c r="CO4" s="509">
        <v>1</v>
      </c>
      <c r="CP4" s="509" t="s">
        <v>1982</v>
      </c>
      <c r="CQ4" s="544">
        <f>1/0.02832</f>
        <v>35.310734463276837</v>
      </c>
      <c r="CR4" s="509" t="s">
        <v>2009</v>
      </c>
      <c r="CS4" s="535" t="s">
        <v>1984</v>
      </c>
      <c r="CU4" s="509" t="s">
        <v>1983</v>
      </c>
      <c r="CV4" s="509" t="s">
        <v>13</v>
      </c>
      <c r="CW4" s="509" t="s">
        <v>2010</v>
      </c>
      <c r="CX4" s="509" t="s">
        <v>13</v>
      </c>
      <c r="CZ4" s="509" t="s">
        <v>2011</v>
      </c>
      <c r="DB4" s="509" t="s">
        <v>2012</v>
      </c>
      <c r="DC4" s="509">
        <v>0.02</v>
      </c>
      <c r="DD4" s="535" t="s">
        <v>1988</v>
      </c>
      <c r="DF4" s="509" t="s">
        <v>2010</v>
      </c>
      <c r="DH4" s="540" t="str">
        <f t="shared" si="10"/>
        <v>Cayman Islands</v>
      </c>
      <c r="DI4" s="540" t="str">
        <f t="shared" si="11"/>
        <v>Americas</v>
      </c>
      <c r="DJ4" s="540" t="str">
        <f t="shared" si="12"/>
        <v>Caribbean</v>
      </c>
      <c r="DL4" s="540" t="s">
        <v>35</v>
      </c>
      <c r="DN4" s="540" t="s">
        <v>2013</v>
      </c>
      <c r="DO4" s="540" t="s">
        <v>2014</v>
      </c>
      <c r="DQ4" s="540" t="s">
        <v>2015</v>
      </c>
      <c r="DS4" s="545" t="s">
        <v>2016</v>
      </c>
      <c r="DT4" s="540" t="s">
        <v>2017</v>
      </c>
      <c r="DU4" s="540" t="s">
        <v>3289</v>
      </c>
      <c r="DV4" s="540" t="s">
        <v>3294</v>
      </c>
    </row>
    <row r="5" spans="1:126" ht="63.75" customHeight="1">
      <c r="A5" s="518">
        <f>+A4+1</f>
        <v>2017</v>
      </c>
      <c r="C5" s="463" t="s">
        <v>2039</v>
      </c>
      <c r="D5" s="520"/>
      <c r="E5" s="732">
        <v>195</v>
      </c>
      <c r="F5" s="521" t="s">
        <v>1994</v>
      </c>
      <c r="G5" s="522" t="s">
        <v>3280</v>
      </c>
      <c r="H5" s="771">
        <v>1.496</v>
      </c>
      <c r="I5" s="522" t="s">
        <v>2019</v>
      </c>
      <c r="J5" s="521"/>
      <c r="L5" s="523" t="s">
        <v>2020</v>
      </c>
      <c r="M5" s="524" t="s">
        <v>1997</v>
      </c>
      <c r="N5" s="524">
        <v>0.94</v>
      </c>
      <c r="O5" s="524">
        <v>40.4</v>
      </c>
      <c r="P5" s="518">
        <v>77.400000000000006</v>
      </c>
      <c r="Q5" s="518">
        <v>0.01</v>
      </c>
      <c r="R5" s="518">
        <v>5.9999999999999995E-4</v>
      </c>
      <c r="S5" s="518" t="s">
        <v>1966</v>
      </c>
      <c r="T5" s="518" t="s">
        <v>1966</v>
      </c>
      <c r="U5" s="518" t="s">
        <v>1966</v>
      </c>
      <c r="V5" s="524" t="s">
        <v>2021</v>
      </c>
      <c r="X5" s="525" t="s">
        <v>2022</v>
      </c>
      <c r="Y5" s="526">
        <v>214.19</v>
      </c>
      <c r="Z5" s="527">
        <v>0</v>
      </c>
      <c r="AA5" s="527">
        <v>0</v>
      </c>
      <c r="AB5" s="535" t="s">
        <v>2023</v>
      </c>
      <c r="AC5" s="546" t="s">
        <v>2024</v>
      </c>
      <c r="AE5" s="522" t="s">
        <v>2025</v>
      </c>
      <c r="AF5" s="535" t="s">
        <v>2026</v>
      </c>
      <c r="AH5" s="525" t="str">
        <f>+X5</f>
        <v>Private car (CNG)</v>
      </c>
      <c r="AJ5" s="525" t="str">
        <f>+X5</f>
        <v>Private car (CNG)</v>
      </c>
      <c r="AL5" s="529">
        <v>12</v>
      </c>
      <c r="AN5" s="530" t="s">
        <v>2027</v>
      </c>
      <c r="AP5" s="531" t="s">
        <v>2028</v>
      </c>
      <c r="AR5" s="532" t="s">
        <v>2029</v>
      </c>
      <c r="AS5" s="518">
        <v>1</v>
      </c>
      <c r="AU5" s="529" t="s">
        <v>2030</v>
      </c>
      <c r="AW5" s="1396" t="s">
        <v>2379</v>
      </c>
      <c r="AX5" s="1395" t="s">
        <v>2086</v>
      </c>
      <c r="AY5" s="1397" t="s">
        <v>2167</v>
      </c>
      <c r="AZ5" s="1396">
        <v>598</v>
      </c>
      <c r="BA5" s="528" t="s">
        <v>1977</v>
      </c>
      <c r="BB5" s="536">
        <v>17.13</v>
      </c>
      <c r="BC5" s="535" t="s">
        <v>2006</v>
      </c>
      <c r="BD5" s="537"/>
      <c r="BE5" s="537"/>
      <c r="BF5" s="535"/>
      <c r="BG5" s="537"/>
      <c r="BH5" s="538">
        <f t="shared" si="1"/>
        <v>17</v>
      </c>
      <c r="BI5" s="538">
        <f t="shared" si="2"/>
        <v>5.0999999999999996</v>
      </c>
      <c r="BJ5" s="538">
        <f t="shared" si="3"/>
        <v>46.9</v>
      </c>
      <c r="BK5" s="538">
        <f t="shared" si="4"/>
        <v>2.4</v>
      </c>
      <c r="BL5" s="538">
        <f t="shared" si="5"/>
        <v>9.5</v>
      </c>
      <c r="BM5" s="538">
        <f t="shared" si="6"/>
        <v>5.6</v>
      </c>
      <c r="BN5" s="538">
        <f t="shared" si="7"/>
        <v>9.9</v>
      </c>
      <c r="BO5" s="538">
        <f t="shared" si="8"/>
        <v>3.5999999999999943</v>
      </c>
      <c r="BP5" s="538">
        <f t="shared" si="9"/>
        <v>100</v>
      </c>
      <c r="BQ5" s="535" t="s">
        <v>1979</v>
      </c>
      <c r="BR5" s="557">
        <v>8.8539999999999994E-2</v>
      </c>
      <c r="BS5" s="557">
        <v>8.8539999999999994E-2</v>
      </c>
      <c r="BT5" s="557">
        <v>1.719E-2</v>
      </c>
      <c r="BU5" s="557">
        <v>7.3859999999999995E-2</v>
      </c>
      <c r="BV5" s="557">
        <v>4.929E-2</v>
      </c>
      <c r="BW5" s="558" t="s">
        <v>2275</v>
      </c>
      <c r="BX5" s="535" t="s">
        <v>2276</v>
      </c>
      <c r="BZ5" s="539" t="s">
        <v>2033</v>
      </c>
      <c r="CA5" s="538">
        <v>12.9</v>
      </c>
      <c r="CB5" s="538">
        <v>2.7</v>
      </c>
      <c r="CC5" s="538">
        <v>43.5</v>
      </c>
      <c r="CD5" s="538">
        <v>9.9</v>
      </c>
      <c r="CE5" s="538">
        <v>9.5</v>
      </c>
      <c r="CF5" s="538">
        <v>5.6</v>
      </c>
      <c r="CG5" s="538">
        <v>7.2</v>
      </c>
      <c r="CH5" s="538">
        <f t="shared" si="13"/>
        <v>8.7000000000000028</v>
      </c>
      <c r="CI5" s="538">
        <f t="shared" si="14"/>
        <v>100</v>
      </c>
      <c r="CK5" s="540" t="str">
        <f>+'Results &amp; Summary'!B11</f>
        <v>Refrigerants and fire suppression</v>
      </c>
      <c r="CO5" s="509">
        <v>1</v>
      </c>
      <c r="CP5" s="509" t="s">
        <v>1982</v>
      </c>
      <c r="CQ5" s="541">
        <f>1/(+ROUND(1/0.001026,6)/10/CQ4)</f>
        <v>0.36228813574030932</v>
      </c>
      <c r="CR5" s="509" t="s">
        <v>15</v>
      </c>
      <c r="CS5" s="535" t="s">
        <v>1984</v>
      </c>
      <c r="CU5" s="509" t="s">
        <v>2009</v>
      </c>
      <c r="CV5" s="509" t="s">
        <v>1985</v>
      </c>
      <c r="CW5" s="509"/>
      <c r="CX5" s="509" t="s">
        <v>2034</v>
      </c>
      <c r="DF5" s="509" t="s">
        <v>1985</v>
      </c>
      <c r="DH5" s="540" t="str">
        <f t="shared" si="10"/>
        <v>Cuba</v>
      </c>
      <c r="DI5" s="540" t="str">
        <f t="shared" si="11"/>
        <v>Americas</v>
      </c>
      <c r="DJ5" s="540" t="str">
        <f t="shared" si="12"/>
        <v>Caribbean</v>
      </c>
      <c r="DL5" s="540" t="s">
        <v>35</v>
      </c>
      <c r="DN5" s="540" t="s">
        <v>2035</v>
      </c>
      <c r="DO5" s="540" t="s">
        <v>2036</v>
      </c>
      <c r="DQ5" s="540" t="s">
        <v>2037</v>
      </c>
      <c r="DS5" s="545" t="s">
        <v>11</v>
      </c>
      <c r="DT5" s="540" t="s">
        <v>2038</v>
      </c>
      <c r="DV5" s="540" t="s">
        <v>3295</v>
      </c>
    </row>
    <row r="6" spans="1:126" ht="25.5" customHeight="1">
      <c r="A6" s="518">
        <f>+A5+1</f>
        <v>2018</v>
      </c>
      <c r="C6" s="463" t="s">
        <v>2055</v>
      </c>
      <c r="D6" s="520"/>
      <c r="E6" s="732">
        <v>2590</v>
      </c>
      <c r="F6" s="521" t="s">
        <v>1994</v>
      </c>
      <c r="G6" s="522" t="s">
        <v>3280</v>
      </c>
      <c r="H6" s="771">
        <v>1.522</v>
      </c>
      <c r="I6" s="522" t="s">
        <v>2019</v>
      </c>
      <c r="J6" s="521"/>
      <c r="L6" s="523" t="s">
        <v>17</v>
      </c>
      <c r="M6" s="524" t="s">
        <v>1997</v>
      </c>
      <c r="N6" s="524">
        <v>0.74</v>
      </c>
      <c r="O6" s="524">
        <v>44.3</v>
      </c>
      <c r="P6" s="518">
        <v>69.3</v>
      </c>
      <c r="Q6" s="518">
        <v>0.01</v>
      </c>
      <c r="R6" s="518">
        <v>5.9999999999999995E-4</v>
      </c>
      <c r="S6" s="524">
        <v>69.3</v>
      </c>
      <c r="T6" s="524">
        <v>3.3000000000000002E-2</v>
      </c>
      <c r="U6" s="524">
        <v>3.2000000000000002E-3</v>
      </c>
      <c r="V6" s="524" t="s">
        <v>2040</v>
      </c>
      <c r="X6" s="525" t="s">
        <v>2041</v>
      </c>
      <c r="Y6" s="526">
        <f>296.36/1.9/1.08</f>
        <v>144.42495126705654</v>
      </c>
      <c r="Z6" s="547">
        <f>0.06/1.08/$E$3</f>
        <v>2.0350020350020349E-4</v>
      </c>
      <c r="AA6" s="547">
        <f>1.53/1.08/$E$4</f>
        <v>2.6283240568954853E-3</v>
      </c>
      <c r="AB6" s="528" t="s">
        <v>2042</v>
      </c>
      <c r="AC6" s="547"/>
      <c r="AH6" s="529" t="s">
        <v>2043</v>
      </c>
      <c r="AJ6" s="529" t="str">
        <f>+X9</f>
        <v>Bus</v>
      </c>
      <c r="AL6" s="529">
        <v>18</v>
      </c>
      <c r="AN6" s="530" t="s">
        <v>2044</v>
      </c>
      <c r="AP6" s="531" t="s">
        <v>2045</v>
      </c>
      <c r="AU6" s="529" t="s">
        <v>2046</v>
      </c>
      <c r="AW6" s="1396" t="s">
        <v>2383</v>
      </c>
      <c r="AX6" s="1395" t="s">
        <v>2086</v>
      </c>
      <c r="AY6" s="1397" t="s">
        <v>2167</v>
      </c>
      <c r="AZ6" s="1396">
        <v>466</v>
      </c>
      <c r="BA6" s="528" t="s">
        <v>1977</v>
      </c>
      <c r="BB6" s="536">
        <v>5.4123414965002699</v>
      </c>
      <c r="BC6" s="535" t="s">
        <v>2049</v>
      </c>
      <c r="BD6" s="537"/>
      <c r="BE6" s="537"/>
      <c r="BF6" s="535"/>
      <c r="BG6" s="537"/>
      <c r="BH6" s="538">
        <f t="shared" si="1"/>
        <v>17</v>
      </c>
      <c r="BI6" s="538">
        <f t="shared" si="2"/>
        <v>5.0999999999999996</v>
      </c>
      <c r="BJ6" s="538">
        <f t="shared" si="3"/>
        <v>46.9</v>
      </c>
      <c r="BK6" s="538">
        <f t="shared" si="4"/>
        <v>2.4</v>
      </c>
      <c r="BL6" s="538">
        <f t="shared" si="5"/>
        <v>9.5</v>
      </c>
      <c r="BM6" s="538">
        <f t="shared" si="6"/>
        <v>5.6</v>
      </c>
      <c r="BN6" s="538">
        <f t="shared" si="7"/>
        <v>9.9</v>
      </c>
      <c r="BO6" s="538">
        <f t="shared" si="8"/>
        <v>3.5999999999999943</v>
      </c>
      <c r="BP6" s="538">
        <f t="shared" si="9"/>
        <v>100</v>
      </c>
      <c r="BQ6" s="535" t="s">
        <v>1979</v>
      </c>
      <c r="BR6" s="557">
        <v>8.8539999999999994E-2</v>
      </c>
      <c r="BS6" s="557">
        <v>8.8539999999999994E-2</v>
      </c>
      <c r="BT6" s="557">
        <v>1.719E-2</v>
      </c>
      <c r="BU6" s="557">
        <v>7.3859999999999995E-2</v>
      </c>
      <c r="BV6" s="557">
        <v>4.929E-2</v>
      </c>
      <c r="BW6" s="558" t="s">
        <v>2275</v>
      </c>
      <c r="BX6" s="535" t="s">
        <v>2276</v>
      </c>
      <c r="BZ6" s="539" t="s">
        <v>2050</v>
      </c>
      <c r="CA6" s="538">
        <v>18</v>
      </c>
      <c r="CB6" s="538">
        <v>2.9</v>
      </c>
      <c r="CC6" s="538">
        <v>41.1</v>
      </c>
      <c r="CD6" s="538">
        <v>9.8000000000000007</v>
      </c>
      <c r="CE6" s="538">
        <v>9.5</v>
      </c>
      <c r="CF6" s="538">
        <v>5.6</v>
      </c>
      <c r="CG6" s="538">
        <v>6.3</v>
      </c>
      <c r="CH6" s="538">
        <f t="shared" si="13"/>
        <v>6.8000000000000114</v>
      </c>
      <c r="CI6" s="538">
        <f t="shared" si="14"/>
        <v>100</v>
      </c>
      <c r="CO6" s="509">
        <v>1</v>
      </c>
      <c r="CP6" s="509" t="s">
        <v>12</v>
      </c>
      <c r="CQ6" s="548">
        <v>2.2050000000000001</v>
      </c>
      <c r="CR6" s="509" t="s">
        <v>13</v>
      </c>
      <c r="CS6" s="535" t="s">
        <v>1984</v>
      </c>
      <c r="CU6" s="509" t="s">
        <v>2051</v>
      </c>
      <c r="CV6" s="509" t="s">
        <v>1982</v>
      </c>
      <c r="CW6" s="509"/>
      <c r="CX6" s="509"/>
      <c r="DH6" s="540" t="str">
        <f t="shared" si="10"/>
        <v>Curaçao (Netherlands)</v>
      </c>
      <c r="DI6" s="540" t="str">
        <f t="shared" si="11"/>
        <v>Americas</v>
      </c>
      <c r="DJ6" s="540" t="str">
        <f t="shared" si="12"/>
        <v>Caribbean</v>
      </c>
      <c r="DL6" s="540" t="s">
        <v>35</v>
      </c>
      <c r="DN6" s="540" t="s">
        <v>2052</v>
      </c>
      <c r="DO6" s="540" t="s">
        <v>2053</v>
      </c>
      <c r="DQ6" s="540" t="s">
        <v>10</v>
      </c>
      <c r="DS6" s="545" t="s">
        <v>2054</v>
      </c>
      <c r="DV6" s="540" t="s">
        <v>205</v>
      </c>
    </row>
    <row r="7" spans="1:126" ht="38.25" customHeight="1">
      <c r="A7" s="518">
        <f>+A6+1</f>
        <v>2019</v>
      </c>
      <c r="C7" s="463" t="s">
        <v>4369</v>
      </c>
      <c r="D7" s="520"/>
      <c r="E7" s="732">
        <v>1</v>
      </c>
      <c r="F7" s="521" t="s">
        <v>2079</v>
      </c>
      <c r="G7" s="522" t="s">
        <v>4368</v>
      </c>
      <c r="H7" s="771">
        <v>1.4650000000000001</v>
      </c>
      <c r="I7" s="522" t="s">
        <v>2019</v>
      </c>
      <c r="J7" s="521"/>
      <c r="L7" s="523" t="s">
        <v>2056</v>
      </c>
      <c r="M7" s="524" t="s">
        <v>12</v>
      </c>
      <c r="N7" s="524">
        <v>0.54</v>
      </c>
      <c r="O7" s="524">
        <v>47.3</v>
      </c>
      <c r="P7" s="518">
        <v>63.1</v>
      </c>
      <c r="Q7" s="518">
        <v>5.0000000000000001E-3</v>
      </c>
      <c r="R7" s="518">
        <v>1E-4</v>
      </c>
      <c r="S7" s="524">
        <v>63.1</v>
      </c>
      <c r="T7" s="524">
        <v>6.2E-2</v>
      </c>
      <c r="U7" s="524">
        <v>2.0000000000000001E-4</v>
      </c>
      <c r="V7" s="524"/>
      <c r="X7" s="525" t="s">
        <v>2057</v>
      </c>
      <c r="Y7" s="526">
        <f>168.85/1.9/1.08</f>
        <v>82.285575048732937</v>
      </c>
      <c r="Z7" s="547">
        <f>0.01/1.08/$E$3</f>
        <v>3.3916700583367251E-5</v>
      </c>
      <c r="AA7" s="547">
        <f>0.87/1.08/$E$4</f>
        <v>1.4945372088229229E-3</v>
      </c>
      <c r="AB7" s="528" t="s">
        <v>2042</v>
      </c>
      <c r="AC7" s="547"/>
      <c r="AH7" s="529" t="s">
        <v>9</v>
      </c>
      <c r="AJ7" s="525" t="str">
        <f t="shared" ref="AJ7:AJ13" si="15">+X11</f>
        <v>Private SUV or truck (diesel)</v>
      </c>
      <c r="AL7" s="529">
        <v>24</v>
      </c>
      <c r="AN7" s="530" t="s">
        <v>2058</v>
      </c>
      <c r="AP7" s="531" t="s">
        <v>2059</v>
      </c>
      <c r="AU7" s="529" t="s">
        <v>4399</v>
      </c>
      <c r="AW7" s="1396" t="s">
        <v>2403</v>
      </c>
      <c r="AX7" s="1395" t="s">
        <v>2086</v>
      </c>
      <c r="AY7" s="1397" t="s">
        <v>2167</v>
      </c>
      <c r="AZ7" s="1396">
        <v>551</v>
      </c>
      <c r="BA7" s="528" t="s">
        <v>1977</v>
      </c>
      <c r="BB7" s="536">
        <v>6.2171813834411278</v>
      </c>
      <c r="BC7" s="535" t="s">
        <v>2062</v>
      </c>
      <c r="BD7" s="537"/>
      <c r="BE7" s="537"/>
      <c r="BF7" s="535"/>
      <c r="BG7" s="537"/>
      <c r="BH7" s="538">
        <f t="shared" si="1"/>
        <v>17</v>
      </c>
      <c r="BI7" s="538">
        <f t="shared" si="2"/>
        <v>5.0999999999999996</v>
      </c>
      <c r="BJ7" s="538">
        <f t="shared" si="3"/>
        <v>46.9</v>
      </c>
      <c r="BK7" s="538">
        <f t="shared" si="4"/>
        <v>2.4</v>
      </c>
      <c r="BL7" s="538">
        <f t="shared" si="5"/>
        <v>9.5</v>
      </c>
      <c r="BM7" s="538">
        <f t="shared" si="6"/>
        <v>5.6</v>
      </c>
      <c r="BN7" s="538">
        <f t="shared" si="7"/>
        <v>9.9</v>
      </c>
      <c r="BO7" s="538">
        <f t="shared" si="8"/>
        <v>3.5999999999999943</v>
      </c>
      <c r="BP7" s="538">
        <f t="shared" si="9"/>
        <v>100</v>
      </c>
      <c r="BQ7" s="535" t="s">
        <v>1979</v>
      </c>
      <c r="BR7" s="557">
        <v>8.8539999999999994E-2</v>
      </c>
      <c r="BS7" s="557">
        <v>8.8539999999999994E-2</v>
      </c>
      <c r="BT7" s="557">
        <v>1.719E-2</v>
      </c>
      <c r="BU7" s="557">
        <v>7.3859999999999995E-2</v>
      </c>
      <c r="BV7" s="557">
        <v>4.929E-2</v>
      </c>
      <c r="BW7" s="558" t="s">
        <v>2275</v>
      </c>
      <c r="BX7" s="535" t="s">
        <v>2276</v>
      </c>
      <c r="BZ7" s="539" t="s">
        <v>2063</v>
      </c>
      <c r="CA7" s="538">
        <v>7.7</v>
      </c>
      <c r="CB7" s="538">
        <v>1.7</v>
      </c>
      <c r="CC7" s="538">
        <v>53.9</v>
      </c>
      <c r="CD7" s="538">
        <v>7</v>
      </c>
      <c r="CE7" s="538">
        <v>9.5</v>
      </c>
      <c r="CF7" s="538">
        <v>5.6</v>
      </c>
      <c r="CG7" s="538">
        <v>5.5</v>
      </c>
      <c r="CH7" s="538">
        <f t="shared" si="13"/>
        <v>9.1000000000000085</v>
      </c>
      <c r="CI7" s="538">
        <f t="shared" si="14"/>
        <v>100</v>
      </c>
      <c r="CK7" s="540" t="str">
        <f>+'Results &amp; Summary'!B26</f>
        <v>Fuel- &amp; energy-related emissions</v>
      </c>
      <c r="CO7" s="509">
        <v>1</v>
      </c>
      <c r="CP7" s="509" t="s">
        <v>12</v>
      </c>
      <c r="CQ7" s="509">
        <f>1/1000</f>
        <v>1E-3</v>
      </c>
      <c r="CR7" s="509" t="s">
        <v>2034</v>
      </c>
      <c r="CS7" s="535" t="s">
        <v>1984</v>
      </c>
      <c r="CU7" s="509" t="s">
        <v>2064</v>
      </c>
      <c r="CV7" s="509" t="s">
        <v>2010</v>
      </c>
      <c r="DH7" s="540" t="str">
        <f t="shared" si="10"/>
        <v>Dominica</v>
      </c>
      <c r="DI7" s="540" t="str">
        <f t="shared" si="11"/>
        <v>Americas</v>
      </c>
      <c r="DJ7" s="540" t="str">
        <f t="shared" si="12"/>
        <v>Caribbean</v>
      </c>
      <c r="DL7" s="540" t="s">
        <v>35</v>
      </c>
      <c r="DN7" s="540" t="s">
        <v>2065</v>
      </c>
      <c r="DO7" s="540" t="s">
        <v>2066</v>
      </c>
      <c r="DQ7" s="540" t="s">
        <v>2067</v>
      </c>
    </row>
    <row r="8" spans="1:126" ht="38.25" customHeight="1">
      <c r="A8" s="518">
        <f t="shared" ref="A8:A13" si="16">+A7+1</f>
        <v>2020</v>
      </c>
      <c r="C8" s="463" t="s">
        <v>4370</v>
      </c>
      <c r="D8" s="520"/>
      <c r="E8" s="732">
        <v>3.88</v>
      </c>
      <c r="F8" s="521" t="s">
        <v>2079</v>
      </c>
      <c r="G8" s="522" t="s">
        <v>4368</v>
      </c>
      <c r="H8" s="543">
        <v>1.8720000000000001</v>
      </c>
      <c r="I8" s="522" t="s">
        <v>2068</v>
      </c>
      <c r="J8" s="521" t="s">
        <v>1996</v>
      </c>
      <c r="L8" s="523" t="s">
        <v>2069</v>
      </c>
      <c r="M8" s="524" t="s">
        <v>1997</v>
      </c>
      <c r="N8" s="524">
        <v>0.8</v>
      </c>
      <c r="O8" s="524">
        <v>43.8</v>
      </c>
      <c r="P8" s="518">
        <v>71.900000000000006</v>
      </c>
      <c r="Q8" s="518">
        <v>0.01</v>
      </c>
      <c r="R8" s="518">
        <v>5.9999999999999995E-4</v>
      </c>
      <c r="S8" s="518" t="s">
        <v>1966</v>
      </c>
      <c r="T8" s="518" t="s">
        <v>1966</v>
      </c>
      <c r="U8" s="518" t="s">
        <v>1966</v>
      </c>
      <c r="V8" s="524" t="s">
        <v>2070</v>
      </c>
      <c r="X8" s="525" t="s">
        <v>2071</v>
      </c>
      <c r="Y8" s="526">
        <f>197.09/1.9/1.08</f>
        <v>96.047758284600391</v>
      </c>
      <c r="Z8" s="547">
        <f>0.01/1.08/$E$3</f>
        <v>3.3916700583367251E-5</v>
      </c>
      <c r="AA8" s="547">
        <f>1.03/1.08/$E$4</f>
        <v>1.7693946265374837E-3</v>
      </c>
      <c r="AB8" s="528" t="s">
        <v>2042</v>
      </c>
      <c r="AC8" s="547"/>
      <c r="AH8" s="525" t="str">
        <f t="shared" ref="AH8:AH14" si="17">+X11</f>
        <v>Private SUV or truck (diesel)</v>
      </c>
      <c r="AJ8" s="525" t="str">
        <f t="shared" si="15"/>
        <v>Private SUV (gasolina)</v>
      </c>
      <c r="AN8" s="530" t="s">
        <v>1791</v>
      </c>
      <c r="AP8" s="531" t="s">
        <v>2072</v>
      </c>
      <c r="AU8" s="529" t="s">
        <v>2060</v>
      </c>
      <c r="AW8" s="1396" t="s">
        <v>2407</v>
      </c>
      <c r="AX8" s="1395" t="s">
        <v>2086</v>
      </c>
      <c r="AY8" s="1397" t="s">
        <v>2167</v>
      </c>
      <c r="AZ8" s="1396">
        <v>460</v>
      </c>
      <c r="BA8" s="528" t="s">
        <v>1977</v>
      </c>
      <c r="BB8" s="536">
        <v>11.27</v>
      </c>
      <c r="BC8" s="535" t="s">
        <v>2006</v>
      </c>
      <c r="BD8" s="537"/>
      <c r="BE8" s="537"/>
      <c r="BF8" s="535"/>
      <c r="BG8" s="537"/>
      <c r="BH8" s="538">
        <f t="shared" si="1"/>
        <v>17</v>
      </c>
      <c r="BI8" s="538">
        <f t="shared" si="2"/>
        <v>5.0999999999999996</v>
      </c>
      <c r="BJ8" s="538">
        <f t="shared" si="3"/>
        <v>46.9</v>
      </c>
      <c r="BK8" s="538">
        <f t="shared" si="4"/>
        <v>2.4</v>
      </c>
      <c r="BL8" s="538">
        <f t="shared" si="5"/>
        <v>9.5</v>
      </c>
      <c r="BM8" s="538">
        <f t="shared" si="6"/>
        <v>5.6</v>
      </c>
      <c r="BN8" s="538">
        <f t="shared" si="7"/>
        <v>9.9</v>
      </c>
      <c r="BO8" s="538">
        <f t="shared" si="8"/>
        <v>3.5999999999999943</v>
      </c>
      <c r="BP8" s="538">
        <f t="shared" si="9"/>
        <v>100</v>
      </c>
      <c r="BQ8" s="535" t="s">
        <v>1979</v>
      </c>
      <c r="BR8" s="557">
        <v>8.8539999999999994E-2</v>
      </c>
      <c r="BS8" s="557">
        <v>8.8539999999999994E-2</v>
      </c>
      <c r="BT8" s="557">
        <v>1.719E-2</v>
      </c>
      <c r="BU8" s="557">
        <v>7.3859999999999995E-2</v>
      </c>
      <c r="BV8" s="557">
        <v>4.929E-2</v>
      </c>
      <c r="BW8" s="558" t="s">
        <v>2275</v>
      </c>
      <c r="BX8" s="535" t="s">
        <v>2276</v>
      </c>
      <c r="BZ8" s="539" t="s">
        <v>2075</v>
      </c>
      <c r="CA8" s="538">
        <v>16.8</v>
      </c>
      <c r="CB8" s="538">
        <v>2.5</v>
      </c>
      <c r="CC8" s="538">
        <v>43.4</v>
      </c>
      <c r="CD8" s="538">
        <v>6.5</v>
      </c>
      <c r="CE8" s="538">
        <v>9.5</v>
      </c>
      <c r="CF8" s="538">
        <v>5.6</v>
      </c>
      <c r="CG8" s="538">
        <v>4.5</v>
      </c>
      <c r="CH8" s="538">
        <f t="shared" si="13"/>
        <v>11.200000000000003</v>
      </c>
      <c r="CI8" s="538">
        <f t="shared" si="14"/>
        <v>100</v>
      </c>
      <c r="CO8" s="509">
        <v>1</v>
      </c>
      <c r="CP8" s="509" t="s">
        <v>1985</v>
      </c>
      <c r="CQ8" s="548">
        <v>0.26419999999999999</v>
      </c>
      <c r="CR8" s="509" t="s">
        <v>14</v>
      </c>
      <c r="CS8" s="535" t="s">
        <v>1984</v>
      </c>
      <c r="CU8" s="509" t="s">
        <v>2076</v>
      </c>
      <c r="DH8" s="540" t="str">
        <f t="shared" si="10"/>
        <v>Dominican Republic</v>
      </c>
      <c r="DI8" s="540" t="str">
        <f t="shared" si="11"/>
        <v>Americas</v>
      </c>
      <c r="DJ8" s="540" t="str">
        <f t="shared" si="12"/>
        <v>Caribbean</v>
      </c>
      <c r="DL8" s="540" t="s">
        <v>35</v>
      </c>
      <c r="DN8" s="540" t="s">
        <v>2077</v>
      </c>
      <c r="DO8" s="540" t="s">
        <v>2078</v>
      </c>
      <c r="DQ8" s="540" t="s">
        <v>1952</v>
      </c>
    </row>
    <row r="9" spans="1:126" ht="25.5">
      <c r="A9" s="518">
        <f t="shared" si="16"/>
        <v>2021</v>
      </c>
      <c r="C9" s="463" t="s">
        <v>4371</v>
      </c>
      <c r="D9" s="520"/>
      <c r="E9" s="732">
        <v>3740</v>
      </c>
      <c r="F9" s="521" t="s">
        <v>2079</v>
      </c>
      <c r="G9" s="522" t="s">
        <v>4368</v>
      </c>
      <c r="H9" s="521"/>
      <c r="I9" s="522"/>
      <c r="J9" s="521"/>
      <c r="L9" s="523" t="s">
        <v>19</v>
      </c>
      <c r="M9" s="524" t="s">
        <v>12</v>
      </c>
      <c r="N9" s="518" t="s">
        <v>1966</v>
      </c>
      <c r="O9" s="524">
        <v>25.8</v>
      </c>
      <c r="P9" s="518">
        <v>94.6</v>
      </c>
      <c r="Q9" s="518">
        <v>1E-3</v>
      </c>
      <c r="R9" s="518">
        <v>1.5E-3</v>
      </c>
      <c r="S9" s="518" t="s">
        <v>1966</v>
      </c>
      <c r="T9" s="518" t="s">
        <v>1966</v>
      </c>
      <c r="U9" s="518" t="s">
        <v>1966</v>
      </c>
      <c r="V9" s="524" t="s">
        <v>2080</v>
      </c>
      <c r="X9" s="525" t="s">
        <v>9</v>
      </c>
      <c r="Y9" s="526">
        <v>157.26</v>
      </c>
      <c r="Z9" s="547">
        <v>9.5200000000000007E-3</v>
      </c>
      <c r="AA9" s="547">
        <v>4.1000000000000003E-3</v>
      </c>
      <c r="AB9" s="528" t="s">
        <v>2081</v>
      </c>
      <c r="AC9" s="547"/>
      <c r="AH9" s="525" t="str">
        <f t="shared" si="17"/>
        <v>Private SUV (gasolina)</v>
      </c>
      <c r="AJ9" s="525" t="str">
        <f t="shared" si="15"/>
        <v>Private SUC or truck (CNG)</v>
      </c>
      <c r="AN9" s="530" t="s">
        <v>2082</v>
      </c>
      <c r="AP9" s="531" t="s">
        <v>2083</v>
      </c>
      <c r="AU9" s="529" t="s">
        <v>2073</v>
      </c>
      <c r="AW9" s="1396" t="s">
        <v>2488</v>
      </c>
      <c r="AX9" s="1395" t="s">
        <v>2086</v>
      </c>
      <c r="AY9" s="1397" t="s">
        <v>2167</v>
      </c>
      <c r="AZ9" s="1396">
        <v>557</v>
      </c>
      <c r="BA9" s="528" t="s">
        <v>1977</v>
      </c>
      <c r="BB9" s="536">
        <v>9.3894684857089938</v>
      </c>
      <c r="BC9" s="535" t="s">
        <v>2087</v>
      </c>
      <c r="BD9" s="537"/>
      <c r="BE9" s="537"/>
      <c r="BF9" s="535"/>
      <c r="BG9" s="537"/>
      <c r="BH9" s="538">
        <f t="shared" si="1"/>
        <v>17</v>
      </c>
      <c r="BI9" s="538">
        <f t="shared" si="2"/>
        <v>5.0999999999999996</v>
      </c>
      <c r="BJ9" s="538">
        <f t="shared" si="3"/>
        <v>46.9</v>
      </c>
      <c r="BK9" s="538">
        <f t="shared" si="4"/>
        <v>2.4</v>
      </c>
      <c r="BL9" s="538">
        <f t="shared" si="5"/>
        <v>9.5</v>
      </c>
      <c r="BM9" s="538">
        <f t="shared" si="6"/>
        <v>5.6</v>
      </c>
      <c r="BN9" s="538">
        <f t="shared" si="7"/>
        <v>9.9</v>
      </c>
      <c r="BO9" s="538">
        <f t="shared" si="8"/>
        <v>3.5999999999999943</v>
      </c>
      <c r="BP9" s="538">
        <f t="shared" ref="BP9:BP67" si="18">+SUM(BH9:BO9)</f>
        <v>100</v>
      </c>
      <c r="BQ9" s="535" t="s">
        <v>1979</v>
      </c>
      <c r="BR9" s="557">
        <v>8.8539999999999994E-2</v>
      </c>
      <c r="BS9" s="557">
        <v>8.8539999999999994E-2</v>
      </c>
      <c r="BT9" s="557">
        <v>1.719E-2</v>
      </c>
      <c r="BU9" s="557">
        <v>7.3859999999999995E-2</v>
      </c>
      <c r="BV9" s="557">
        <v>4.929E-2</v>
      </c>
      <c r="BW9" s="558" t="s">
        <v>2275</v>
      </c>
      <c r="BX9" s="535" t="s">
        <v>2276</v>
      </c>
      <c r="BZ9" s="539" t="s">
        <v>2088</v>
      </c>
      <c r="CA9" s="538">
        <v>16.5</v>
      </c>
      <c r="CB9" s="538">
        <v>2.5</v>
      </c>
      <c r="CC9" s="538">
        <v>51.1</v>
      </c>
      <c r="CD9" s="538">
        <v>2</v>
      </c>
      <c r="CE9" s="538">
        <v>9.5</v>
      </c>
      <c r="CF9" s="538">
        <v>5.6</v>
      </c>
      <c r="CG9" s="538">
        <v>4.5</v>
      </c>
      <c r="CH9" s="538">
        <f t="shared" si="13"/>
        <v>8.3000000000000114</v>
      </c>
      <c r="CI9" s="538">
        <f t="shared" si="14"/>
        <v>100</v>
      </c>
      <c r="CK9" s="540" t="str">
        <f>+'Results &amp; Summary'!B35</f>
        <v>End-of-life treatment of sold products</v>
      </c>
      <c r="CO9" s="509">
        <v>1</v>
      </c>
      <c r="CP9" s="509" t="s">
        <v>1982</v>
      </c>
      <c r="CQ9" s="544">
        <v>2.8316849999999998</v>
      </c>
      <c r="CR9" s="509" t="s">
        <v>2064</v>
      </c>
      <c r="CS9" s="535" t="s">
        <v>1984</v>
      </c>
      <c r="DH9" s="540" t="str">
        <f t="shared" si="10"/>
        <v>Grenada</v>
      </c>
      <c r="DI9" s="540" t="str">
        <f t="shared" si="11"/>
        <v>Americas</v>
      </c>
      <c r="DJ9" s="540" t="str">
        <f t="shared" si="12"/>
        <v>Caribbean</v>
      </c>
      <c r="DL9" s="540" t="s">
        <v>35</v>
      </c>
      <c r="DN9" s="540" t="s">
        <v>2090</v>
      </c>
      <c r="DO9" s="540" t="s">
        <v>2091</v>
      </c>
      <c r="DQ9" s="540" t="s">
        <v>2092</v>
      </c>
    </row>
    <row r="10" spans="1:126" ht="25.5">
      <c r="A10" s="518">
        <f t="shared" si="16"/>
        <v>2022</v>
      </c>
      <c r="C10" s="463" t="s">
        <v>4372</v>
      </c>
      <c r="D10" s="520"/>
      <c r="E10" s="732">
        <v>1260</v>
      </c>
      <c r="F10" s="521" t="s">
        <v>2079</v>
      </c>
      <c r="G10" s="522" t="s">
        <v>4368</v>
      </c>
      <c r="H10" s="521"/>
      <c r="I10" s="522"/>
      <c r="J10" s="521"/>
      <c r="L10" s="523" t="s">
        <v>30</v>
      </c>
      <c r="M10" s="524" t="s">
        <v>12</v>
      </c>
      <c r="N10" s="518" t="s">
        <v>1966</v>
      </c>
      <c r="O10" s="524">
        <v>15.6</v>
      </c>
      <c r="P10" s="729">
        <v>112</v>
      </c>
      <c r="Q10" s="518">
        <v>0.3</v>
      </c>
      <c r="R10" s="518">
        <v>4.0000000000000001E-3</v>
      </c>
      <c r="S10" s="518" t="s">
        <v>1966</v>
      </c>
      <c r="T10" s="518" t="s">
        <v>1966</v>
      </c>
      <c r="U10" s="518" t="s">
        <v>1966</v>
      </c>
      <c r="V10" s="524" t="s">
        <v>2093</v>
      </c>
      <c r="X10" s="525" t="s">
        <v>2094</v>
      </c>
      <c r="Y10" s="526">
        <v>30</v>
      </c>
      <c r="Z10" s="547">
        <v>3.81E-3</v>
      </c>
      <c r="AA10" s="547">
        <v>1.8E-3</v>
      </c>
      <c r="AB10" s="528" t="s">
        <v>2081</v>
      </c>
      <c r="AC10" s="547"/>
      <c r="AH10" s="525" t="str">
        <f t="shared" si="17"/>
        <v>Private SUC or truck (CNG)</v>
      </c>
      <c r="AJ10" s="529" t="str">
        <f t="shared" si="15"/>
        <v>Subway</v>
      </c>
      <c r="AN10" s="530" t="s">
        <v>2095</v>
      </c>
      <c r="AU10" s="529" t="s">
        <v>2084</v>
      </c>
      <c r="AW10" s="1396" t="s">
        <v>2492</v>
      </c>
      <c r="AX10" s="1395" t="s">
        <v>2086</v>
      </c>
      <c r="AY10" s="1397" t="s">
        <v>2167</v>
      </c>
      <c r="AZ10" s="1396">
        <v>454</v>
      </c>
      <c r="BA10" s="528" t="s">
        <v>1977</v>
      </c>
      <c r="BB10" s="536">
        <v>9.3894684857089938</v>
      </c>
      <c r="BC10" s="535" t="s">
        <v>2087</v>
      </c>
      <c r="BD10" s="537"/>
      <c r="BE10" s="537"/>
      <c r="BF10" s="535"/>
      <c r="BG10" s="537"/>
      <c r="BH10" s="538">
        <f t="shared" si="1"/>
        <v>17</v>
      </c>
      <c r="BI10" s="538">
        <f t="shared" si="2"/>
        <v>5.0999999999999996</v>
      </c>
      <c r="BJ10" s="538">
        <f t="shared" si="3"/>
        <v>46.9</v>
      </c>
      <c r="BK10" s="538">
        <f t="shared" si="4"/>
        <v>2.4</v>
      </c>
      <c r="BL10" s="538">
        <f t="shared" si="5"/>
        <v>9.5</v>
      </c>
      <c r="BM10" s="538">
        <f t="shared" si="6"/>
        <v>5.6</v>
      </c>
      <c r="BN10" s="538">
        <f t="shared" si="7"/>
        <v>9.9</v>
      </c>
      <c r="BO10" s="538">
        <f t="shared" si="8"/>
        <v>3.5999999999999943</v>
      </c>
      <c r="BP10" s="538">
        <f t="shared" si="18"/>
        <v>100</v>
      </c>
      <c r="BQ10" s="535" t="s">
        <v>1979</v>
      </c>
      <c r="BR10" s="557">
        <v>8.8539999999999994E-2</v>
      </c>
      <c r="BS10" s="557">
        <v>8.8539999999999994E-2</v>
      </c>
      <c r="BT10" s="557">
        <v>1.719E-2</v>
      </c>
      <c r="BU10" s="557">
        <v>7.3859999999999995E-2</v>
      </c>
      <c r="BV10" s="557">
        <v>4.929E-2</v>
      </c>
      <c r="BW10" s="558" t="s">
        <v>2275</v>
      </c>
      <c r="BX10" s="535" t="s">
        <v>2276</v>
      </c>
      <c r="BZ10" s="539" t="s">
        <v>2098</v>
      </c>
      <c r="CA10" s="538">
        <v>25</v>
      </c>
      <c r="CB10" s="538">
        <f>+(100-$CA10-$CC10-$CD10-$CE10-$CF10)/3</f>
        <v>7.3</v>
      </c>
      <c r="CC10" s="538">
        <v>23</v>
      </c>
      <c r="CD10" s="538">
        <v>15</v>
      </c>
      <c r="CE10" s="538">
        <v>9.5</v>
      </c>
      <c r="CF10" s="538">
        <v>5.6</v>
      </c>
      <c r="CG10" s="538">
        <f>+(100-$CA10-$CC10-$CD10-$CE10-$CF10)/3</f>
        <v>7.3</v>
      </c>
      <c r="CH10" s="538">
        <f>+(100-$CA10-$CC10-$CD10-$CE10-$CF10)/3</f>
        <v>7.3</v>
      </c>
      <c r="CI10" s="538">
        <f t="shared" si="14"/>
        <v>99.999999999999986</v>
      </c>
      <c r="CK10" s="540" t="e">
        <f>+'Scope 1 and 2 Data'!#REF!</f>
        <v>#REF!</v>
      </c>
      <c r="CO10" s="509">
        <v>1</v>
      </c>
      <c r="CP10" s="509" t="s">
        <v>1982</v>
      </c>
      <c r="CQ10" s="544">
        <v>28.316849999999999</v>
      </c>
      <c r="CR10" s="509" t="s">
        <v>2076</v>
      </c>
      <c r="CS10" s="535" t="s">
        <v>1984</v>
      </c>
      <c r="DH10" s="540" t="str">
        <f t="shared" si="10"/>
        <v>Guadeloupe (France)</v>
      </c>
      <c r="DI10" s="540" t="str">
        <f t="shared" si="11"/>
        <v>Americas</v>
      </c>
      <c r="DJ10" s="540" t="str">
        <f t="shared" si="12"/>
        <v>Caribbean</v>
      </c>
      <c r="DL10" s="540" t="s">
        <v>35</v>
      </c>
      <c r="DN10" s="540" t="s">
        <v>2099</v>
      </c>
      <c r="DO10" s="540" t="s">
        <v>2100</v>
      </c>
    </row>
    <row r="11" spans="1:126" ht="25.5">
      <c r="A11" s="518">
        <f t="shared" si="16"/>
        <v>2023</v>
      </c>
      <c r="C11" s="463" t="s">
        <v>4373</v>
      </c>
      <c r="D11" s="520"/>
      <c r="E11" s="732">
        <v>1530</v>
      </c>
      <c r="F11" s="521" t="s">
        <v>2079</v>
      </c>
      <c r="G11" s="522" t="s">
        <v>4368</v>
      </c>
      <c r="H11" s="521"/>
      <c r="I11" s="522"/>
      <c r="J11" s="521"/>
      <c r="L11" s="523" t="s">
        <v>18</v>
      </c>
      <c r="M11" s="524" t="s">
        <v>1997</v>
      </c>
      <c r="N11" s="524">
        <v>0.88</v>
      </c>
      <c r="O11" s="524">
        <v>27</v>
      </c>
      <c r="P11" s="518">
        <v>70.8</v>
      </c>
      <c r="Q11" s="518">
        <v>0.01</v>
      </c>
      <c r="R11" s="518">
        <v>5.9999999999999995E-4</v>
      </c>
      <c r="S11" s="518">
        <v>0</v>
      </c>
      <c r="T11" s="524">
        <v>3.8999999999999998E-3</v>
      </c>
      <c r="U11" s="524">
        <v>3.8999999999999998E-3</v>
      </c>
      <c r="X11" s="525" t="s">
        <v>2101</v>
      </c>
      <c r="Y11" s="526">
        <f>626.5/$Y$25</f>
        <v>389.29001951110394</v>
      </c>
      <c r="Z11" s="547">
        <f>0.001/$Y$25</f>
        <v>6.2137273664980672E-4</v>
      </c>
      <c r="AA11" s="547">
        <f>0.0015/$Y$25</f>
        <v>9.3205910497471019E-4</v>
      </c>
      <c r="AB11" s="528" t="s">
        <v>1970</v>
      </c>
      <c r="AC11" s="547"/>
      <c r="AH11" s="529" t="str">
        <f t="shared" si="17"/>
        <v>Subway</v>
      </c>
      <c r="AJ11" s="529" t="str">
        <f t="shared" si="15"/>
        <v>Motorbike</v>
      </c>
      <c r="AN11" s="530" t="s">
        <v>2102</v>
      </c>
      <c r="AU11" s="529" t="s">
        <v>2096</v>
      </c>
      <c r="AW11" s="1396" t="s">
        <v>2515</v>
      </c>
      <c r="AX11" s="1395" t="s">
        <v>2086</v>
      </c>
      <c r="AY11" s="1397" t="s">
        <v>2167</v>
      </c>
      <c r="AZ11" s="1396">
        <v>703</v>
      </c>
      <c r="BA11" s="528" t="s">
        <v>1977</v>
      </c>
      <c r="BB11" s="552">
        <v>14.66</v>
      </c>
      <c r="BC11" s="535" t="s">
        <v>2006</v>
      </c>
      <c r="BD11" s="549">
        <v>9.7000000000000003E-2</v>
      </c>
      <c r="BE11" s="549">
        <v>0.112</v>
      </c>
      <c r="BF11" s="535" t="s">
        <v>2106</v>
      </c>
      <c r="BG11" s="537"/>
      <c r="BH11" s="518">
        <v>13.99</v>
      </c>
      <c r="BI11" s="518">
        <v>3.08</v>
      </c>
      <c r="BJ11" s="518">
        <v>49.94</v>
      </c>
      <c r="BK11" s="518">
        <v>0.64</v>
      </c>
      <c r="BL11" s="518">
        <v>11.05</v>
      </c>
      <c r="BM11" s="518">
        <v>5.75</v>
      </c>
      <c r="BN11" s="518"/>
      <c r="BO11" s="518">
        <f>100-SUM(BH11:BN11)</f>
        <v>15.550000000000011</v>
      </c>
      <c r="BP11" s="538">
        <f t="shared" si="18"/>
        <v>100</v>
      </c>
      <c r="BQ11" s="535" t="s">
        <v>2107</v>
      </c>
      <c r="BR11" s="557">
        <v>8.8539999999999994E-2</v>
      </c>
      <c r="BS11" s="557">
        <v>8.8539999999999994E-2</v>
      </c>
      <c r="BT11" s="557">
        <v>1.719E-2</v>
      </c>
      <c r="BU11" s="557">
        <v>7.3859999999999995E-2</v>
      </c>
      <c r="BV11" s="557">
        <v>4.929E-2</v>
      </c>
      <c r="BW11" s="558" t="s">
        <v>2275</v>
      </c>
      <c r="BX11" s="535" t="s">
        <v>2276</v>
      </c>
      <c r="BZ11" s="539" t="s">
        <v>2108</v>
      </c>
      <c r="CA11" s="538">
        <v>9.8000000000000007</v>
      </c>
      <c r="CB11" s="538">
        <v>1</v>
      </c>
      <c r="CC11" s="538">
        <v>40.4</v>
      </c>
      <c r="CD11" s="538">
        <v>4.4000000000000004</v>
      </c>
      <c r="CE11" s="538">
        <v>9.5</v>
      </c>
      <c r="CF11" s="538">
        <v>5.6</v>
      </c>
      <c r="CG11" s="538">
        <v>3</v>
      </c>
      <c r="CH11" s="538">
        <f t="shared" si="13"/>
        <v>26.300000000000011</v>
      </c>
      <c r="CI11" s="538">
        <f t="shared" si="14"/>
        <v>100</v>
      </c>
      <c r="CK11" s="540" t="str">
        <f>+'Results &amp; Summary'!B12</f>
        <v>Inhaled anesthetic gases</v>
      </c>
      <c r="CO11" s="509">
        <v>1</v>
      </c>
      <c r="CP11" s="509" t="s">
        <v>12</v>
      </c>
      <c r="CQ11" s="550">
        <f>1/$N$7/1000</f>
        <v>1.8518518518518517E-3</v>
      </c>
      <c r="CR11" s="509" t="s">
        <v>1982</v>
      </c>
      <c r="CS11" s="535" t="s">
        <v>2089</v>
      </c>
      <c r="DH11" s="540" t="str">
        <f t="shared" si="10"/>
        <v>Haiti</v>
      </c>
      <c r="DI11" s="540" t="str">
        <f t="shared" si="11"/>
        <v>Americas</v>
      </c>
      <c r="DJ11" s="540" t="str">
        <f t="shared" si="12"/>
        <v>Caribbean</v>
      </c>
      <c r="DL11" s="540" t="s">
        <v>35</v>
      </c>
      <c r="DN11" s="540" t="s">
        <v>2109</v>
      </c>
      <c r="DO11" s="540" t="s">
        <v>2110</v>
      </c>
    </row>
    <row r="12" spans="1:126" ht="25.5">
      <c r="A12" s="518">
        <f t="shared" si="16"/>
        <v>2024</v>
      </c>
      <c r="C12" s="463" t="s">
        <v>4374</v>
      </c>
      <c r="D12" s="520"/>
      <c r="E12" s="732">
        <v>364</v>
      </c>
      <c r="F12" s="521" t="s">
        <v>2079</v>
      </c>
      <c r="G12" s="522" t="s">
        <v>4368</v>
      </c>
      <c r="H12" s="521"/>
      <c r="I12" s="522"/>
      <c r="J12" s="521"/>
      <c r="L12" s="529" t="s">
        <v>2111</v>
      </c>
      <c r="M12" s="524" t="s">
        <v>1997</v>
      </c>
      <c r="N12" s="524">
        <v>0.79200000000000004</v>
      </c>
      <c r="O12" s="524">
        <v>27</v>
      </c>
      <c r="P12" s="518">
        <v>70.8</v>
      </c>
      <c r="Q12" s="518">
        <v>0.01</v>
      </c>
      <c r="R12" s="518">
        <v>5.9999999999999995E-4</v>
      </c>
      <c r="S12" s="518">
        <v>0</v>
      </c>
      <c r="T12" s="524">
        <v>3.3000000000000002E-2</v>
      </c>
      <c r="U12" s="524">
        <v>3.2000000000000002E-3</v>
      </c>
      <c r="V12" s="524" t="s">
        <v>2112</v>
      </c>
      <c r="X12" s="525" t="s">
        <v>2113</v>
      </c>
      <c r="Y12" s="526">
        <f>543.8/$Y$25</f>
        <v>337.90249419016487</v>
      </c>
      <c r="Z12" s="527">
        <f>0.0157/$Y$25</f>
        <v>9.7555519654019644E-3</v>
      </c>
      <c r="AA12" s="527">
        <f>0.0101/$Y$25</f>
        <v>6.2758646401630484E-3</v>
      </c>
      <c r="AB12" s="528" t="s">
        <v>1970</v>
      </c>
      <c r="AC12" s="527"/>
      <c r="AH12" s="529" t="str">
        <f t="shared" si="17"/>
        <v>Motorbike</v>
      </c>
      <c r="AJ12" s="529" t="str">
        <f t="shared" si="15"/>
        <v>Taxi</v>
      </c>
      <c r="AN12" s="530" t="s">
        <v>2114</v>
      </c>
      <c r="AU12" s="529" t="s">
        <v>2103</v>
      </c>
      <c r="AW12" s="1396" t="s">
        <v>2559</v>
      </c>
      <c r="AX12" s="1395" t="s">
        <v>2086</v>
      </c>
      <c r="AY12" s="1397" t="s">
        <v>2167</v>
      </c>
      <c r="AZ12" s="1396">
        <v>543</v>
      </c>
      <c r="BA12" s="528" t="s">
        <v>1977</v>
      </c>
      <c r="BB12" s="536">
        <v>11.99</v>
      </c>
      <c r="BC12" s="535" t="s">
        <v>2006</v>
      </c>
      <c r="BD12" s="537"/>
      <c r="BE12" s="537"/>
      <c r="BF12" s="535"/>
      <c r="BG12" s="537"/>
      <c r="BH12" s="538">
        <f t="shared" ref="BH12:BH43" si="19">+VLOOKUP($AY12,$BZ$3:$CH$21,2,FALSE)</f>
        <v>17</v>
      </c>
      <c r="BI12" s="538">
        <f t="shared" ref="BI12:BI43" si="20">+VLOOKUP($AY12,$BZ$3:$CH$21,3,FALSE)</f>
        <v>5.0999999999999996</v>
      </c>
      <c r="BJ12" s="538">
        <f t="shared" ref="BJ12:BJ43" si="21">+VLOOKUP($AY12,$BZ$3:$CH$21,4,FALSE)</f>
        <v>46.9</v>
      </c>
      <c r="BK12" s="538">
        <f t="shared" ref="BK12:BK43" si="22">+VLOOKUP($AY12,$BZ$3:$CH$21,5,FALSE)</f>
        <v>2.4</v>
      </c>
      <c r="BL12" s="538">
        <f t="shared" ref="BL12:BL43" si="23">+VLOOKUP($AY12,$BZ$3:$CH$21,6,FALSE)</f>
        <v>9.5</v>
      </c>
      <c r="BM12" s="538">
        <f t="shared" ref="BM12:BM43" si="24">+VLOOKUP($AY12,$BZ$3:$CH$21,7,FALSE)</f>
        <v>5.6</v>
      </c>
      <c r="BN12" s="538">
        <f t="shared" ref="BN12:BN43" si="25">+VLOOKUP($AY12,$BZ$3:$CH$21,8,FALSE)</f>
        <v>9.9</v>
      </c>
      <c r="BO12" s="538">
        <f t="shared" ref="BO12:BO43" si="26">+VLOOKUP($AY12,$BZ$3:$CH$21,9,FALSE)</f>
        <v>3.5999999999999943</v>
      </c>
      <c r="BP12" s="538">
        <f t="shared" si="18"/>
        <v>100</v>
      </c>
      <c r="BQ12" s="535" t="s">
        <v>1979</v>
      </c>
      <c r="BR12" s="557">
        <v>8.8539999999999994E-2</v>
      </c>
      <c r="BS12" s="557">
        <v>8.8539999999999994E-2</v>
      </c>
      <c r="BT12" s="557">
        <v>1.719E-2</v>
      </c>
      <c r="BU12" s="557">
        <v>7.3859999999999995E-2</v>
      </c>
      <c r="BV12" s="557">
        <v>4.929E-2</v>
      </c>
      <c r="BW12" s="558" t="s">
        <v>2275</v>
      </c>
      <c r="BX12" s="535" t="s">
        <v>2276</v>
      </c>
      <c r="BZ12" s="539" t="s">
        <v>2116</v>
      </c>
      <c r="CA12" s="538">
        <v>21.8</v>
      </c>
      <c r="CB12" s="538">
        <v>4.7</v>
      </c>
      <c r="CC12" s="538">
        <v>30.1</v>
      </c>
      <c r="CD12" s="538">
        <v>7.5</v>
      </c>
      <c r="CE12" s="538">
        <v>9.5</v>
      </c>
      <c r="CF12" s="538">
        <v>5.6</v>
      </c>
      <c r="CG12" s="538">
        <v>6.2</v>
      </c>
      <c r="CH12" s="538">
        <f t="shared" si="13"/>
        <v>14.600000000000009</v>
      </c>
      <c r="CI12" s="538">
        <f t="shared" si="14"/>
        <v>100</v>
      </c>
      <c r="CK12" s="540" t="str">
        <f>+'Results &amp; Summary'!B9</f>
        <v>Mobile combustion</v>
      </c>
      <c r="CO12" s="509">
        <v>1</v>
      </c>
      <c r="CP12" s="509" t="s">
        <v>12</v>
      </c>
      <c r="CQ12" s="551">
        <f>1/N7</f>
        <v>1.8518518518518516</v>
      </c>
      <c r="CR12" s="509" t="s">
        <v>1985</v>
      </c>
      <c r="CS12" s="535" t="s">
        <v>2089</v>
      </c>
      <c r="DH12" s="540" t="str">
        <f t="shared" si="10"/>
        <v>Jamaica</v>
      </c>
      <c r="DI12" s="540" t="str">
        <f t="shared" si="11"/>
        <v>Americas</v>
      </c>
      <c r="DJ12" s="540" t="str">
        <f t="shared" si="12"/>
        <v>Caribbean</v>
      </c>
      <c r="DL12" s="540" t="s">
        <v>35</v>
      </c>
      <c r="DN12" s="540" t="s">
        <v>2117</v>
      </c>
      <c r="DO12" s="540" t="s">
        <v>2118</v>
      </c>
    </row>
    <row r="13" spans="1:126" ht="25.5">
      <c r="A13" s="518">
        <f t="shared" si="16"/>
        <v>2025</v>
      </c>
      <c r="C13" s="463" t="s">
        <v>4375</v>
      </c>
      <c r="D13" s="520"/>
      <c r="E13" s="732">
        <v>5810</v>
      </c>
      <c r="F13" s="521" t="s">
        <v>2079</v>
      </c>
      <c r="G13" s="522" t="s">
        <v>4368</v>
      </c>
      <c r="H13" s="521"/>
      <c r="I13" s="522"/>
      <c r="J13" s="521"/>
      <c r="L13" s="553" t="s">
        <v>26</v>
      </c>
      <c r="M13" s="554"/>
      <c r="N13" s="554" t="s">
        <v>2119</v>
      </c>
      <c r="O13" s="535" t="s">
        <v>2120</v>
      </c>
      <c r="P13" s="535" t="s">
        <v>2121</v>
      </c>
      <c r="Q13" s="535" t="s">
        <v>2121</v>
      </c>
      <c r="R13" s="535" t="s">
        <v>2121</v>
      </c>
      <c r="S13" s="535" t="s">
        <v>2122</v>
      </c>
      <c r="T13" s="535" t="s">
        <v>2123</v>
      </c>
      <c r="U13" s="535" t="s">
        <v>2123</v>
      </c>
      <c r="V13" s="535"/>
      <c r="X13" s="525" t="s">
        <v>2124</v>
      </c>
      <c r="Y13" s="526">
        <v>238.26</v>
      </c>
      <c r="Z13" s="527">
        <f>0.737/$Y$25</f>
        <v>0.45795170691090759</v>
      </c>
      <c r="AA13" s="527">
        <f>0.05/$Y$25</f>
        <v>3.1068636832490341E-2</v>
      </c>
      <c r="AB13" s="535" t="s">
        <v>2125</v>
      </c>
      <c r="AH13" s="529" t="str">
        <f t="shared" si="17"/>
        <v>Taxi</v>
      </c>
      <c r="AJ13" s="529" t="str">
        <f t="shared" si="15"/>
        <v>Train</v>
      </c>
      <c r="AN13" s="530" t="s">
        <v>2126</v>
      </c>
      <c r="AU13" s="529"/>
      <c r="AW13" s="1396" t="s">
        <v>2656</v>
      </c>
      <c r="AX13" s="1395" t="s">
        <v>2086</v>
      </c>
      <c r="AY13" s="1397" t="s">
        <v>2167</v>
      </c>
      <c r="AZ13" s="1396">
        <v>468</v>
      </c>
      <c r="BA13" s="528" t="s">
        <v>1977</v>
      </c>
      <c r="BB13" s="536">
        <v>9.3894684857089938</v>
      </c>
      <c r="BC13" s="535" t="s">
        <v>2087</v>
      </c>
      <c r="BD13" s="537"/>
      <c r="BE13" s="537"/>
      <c r="BF13" s="535"/>
      <c r="BG13" s="537"/>
      <c r="BH13" s="538">
        <f t="shared" si="19"/>
        <v>17</v>
      </c>
      <c r="BI13" s="538">
        <f t="shared" si="20"/>
        <v>5.0999999999999996</v>
      </c>
      <c r="BJ13" s="538">
        <f t="shared" si="21"/>
        <v>46.9</v>
      </c>
      <c r="BK13" s="538">
        <f t="shared" si="22"/>
        <v>2.4</v>
      </c>
      <c r="BL13" s="538">
        <f t="shared" si="23"/>
        <v>9.5</v>
      </c>
      <c r="BM13" s="538">
        <f t="shared" si="24"/>
        <v>5.6</v>
      </c>
      <c r="BN13" s="538">
        <f t="shared" si="25"/>
        <v>9.9</v>
      </c>
      <c r="BO13" s="538">
        <f t="shared" si="26"/>
        <v>3.5999999999999943</v>
      </c>
      <c r="BP13" s="538">
        <f t="shared" si="18"/>
        <v>100</v>
      </c>
      <c r="BQ13" s="535" t="s">
        <v>1979</v>
      </c>
      <c r="BR13" s="557">
        <v>8.8539999999999994E-2</v>
      </c>
      <c r="BS13" s="557">
        <v>8.8539999999999994E-2</v>
      </c>
      <c r="BT13" s="557">
        <v>1.719E-2</v>
      </c>
      <c r="BU13" s="557">
        <v>7.3859999999999995E-2</v>
      </c>
      <c r="BV13" s="557">
        <v>4.929E-2</v>
      </c>
      <c r="BW13" s="558" t="s">
        <v>2275</v>
      </c>
      <c r="BX13" s="535" t="s">
        <v>2276</v>
      </c>
      <c r="BZ13" s="539" t="s">
        <v>2128</v>
      </c>
      <c r="CA13" s="538">
        <v>30.6</v>
      </c>
      <c r="CB13" s="538">
        <v>2</v>
      </c>
      <c r="CC13" s="538">
        <v>23.8</v>
      </c>
      <c r="CD13" s="538">
        <v>10</v>
      </c>
      <c r="CE13" s="538">
        <v>9.5</v>
      </c>
      <c r="CF13" s="538">
        <v>5.6</v>
      </c>
      <c r="CG13" s="538">
        <v>13</v>
      </c>
      <c r="CH13" s="538">
        <f t="shared" si="13"/>
        <v>5.5</v>
      </c>
      <c r="CI13" s="538">
        <f t="shared" si="14"/>
        <v>100</v>
      </c>
      <c r="CK13" s="540" t="str">
        <f>+'Results &amp; Summary'!B27</f>
        <v>Upstream transportation &amp; distribution</v>
      </c>
      <c r="CO13" s="509">
        <v>1</v>
      </c>
      <c r="CP13" s="509" t="s">
        <v>12</v>
      </c>
      <c r="CQ13" s="509">
        <v>1.9187000000000001</v>
      </c>
      <c r="CR13" s="509" t="s">
        <v>2010</v>
      </c>
      <c r="CS13" s="509" t="s">
        <v>2089</v>
      </c>
      <c r="DH13" s="540" t="str">
        <f t="shared" si="10"/>
        <v>Martinique (France)</v>
      </c>
      <c r="DI13" s="540" t="str">
        <f t="shared" si="11"/>
        <v>Americas</v>
      </c>
      <c r="DJ13" s="540" t="str">
        <f t="shared" si="12"/>
        <v>Caribbean</v>
      </c>
      <c r="DL13" s="540" t="s">
        <v>35</v>
      </c>
      <c r="DN13" s="540" t="s">
        <v>2129</v>
      </c>
      <c r="DO13" s="540" t="s">
        <v>2130</v>
      </c>
    </row>
    <row r="14" spans="1:126">
      <c r="A14" s="518">
        <v>2026</v>
      </c>
      <c r="C14" s="463" t="s">
        <v>4376</v>
      </c>
      <c r="D14" s="520"/>
      <c r="E14" s="732">
        <v>164</v>
      </c>
      <c r="F14" s="521" t="s">
        <v>2079</v>
      </c>
      <c r="G14" s="522" t="s">
        <v>4368</v>
      </c>
      <c r="H14" s="521"/>
      <c r="I14" s="522"/>
      <c r="J14" s="521"/>
      <c r="M14" s="16"/>
      <c r="N14" s="16"/>
      <c r="O14" s="16"/>
      <c r="P14" s="16"/>
      <c r="Q14" s="16"/>
      <c r="R14" s="16"/>
      <c r="S14" s="16"/>
      <c r="T14" s="16"/>
      <c r="U14" s="16"/>
      <c r="V14" s="16"/>
      <c r="X14" s="525" t="s">
        <v>2131</v>
      </c>
      <c r="Y14" s="526">
        <v>74.14</v>
      </c>
      <c r="Z14" s="527">
        <v>1.9E-3</v>
      </c>
      <c r="AA14" s="527">
        <v>1.4E-3</v>
      </c>
      <c r="AB14" s="528" t="s">
        <v>2081</v>
      </c>
      <c r="AC14" s="527"/>
      <c r="AH14" s="529" t="str">
        <f t="shared" si="17"/>
        <v>Train</v>
      </c>
      <c r="AW14" s="1396" t="s">
        <v>2678</v>
      </c>
      <c r="AX14" s="1395" t="s">
        <v>2086</v>
      </c>
      <c r="AY14" s="1397" t="s">
        <v>2167</v>
      </c>
      <c r="AZ14" s="1396">
        <v>542</v>
      </c>
      <c r="BA14" s="528" t="s">
        <v>1977</v>
      </c>
      <c r="BB14" s="552">
        <v>4.78</v>
      </c>
      <c r="BC14" s="535" t="s">
        <v>2006</v>
      </c>
      <c r="BD14" s="537"/>
      <c r="BE14" s="537"/>
      <c r="BF14" s="535"/>
      <c r="BG14" s="537"/>
      <c r="BH14" s="538">
        <f t="shared" si="19"/>
        <v>17</v>
      </c>
      <c r="BI14" s="538">
        <f t="shared" si="20"/>
        <v>5.0999999999999996</v>
      </c>
      <c r="BJ14" s="538">
        <f t="shared" si="21"/>
        <v>46.9</v>
      </c>
      <c r="BK14" s="538">
        <f t="shared" si="22"/>
        <v>2.4</v>
      </c>
      <c r="BL14" s="538">
        <f t="shared" si="23"/>
        <v>9.5</v>
      </c>
      <c r="BM14" s="538">
        <f t="shared" si="24"/>
        <v>5.6</v>
      </c>
      <c r="BN14" s="538">
        <f t="shared" si="25"/>
        <v>9.9</v>
      </c>
      <c r="BO14" s="538">
        <f t="shared" si="26"/>
        <v>3.5999999999999943</v>
      </c>
      <c r="BP14" s="538">
        <f t="shared" si="18"/>
        <v>100</v>
      </c>
      <c r="BQ14" s="535" t="s">
        <v>1979</v>
      </c>
      <c r="BR14" s="557">
        <v>8.8539999999999994E-2</v>
      </c>
      <c r="BS14" s="557">
        <v>8.8539999999999994E-2</v>
      </c>
      <c r="BT14" s="557">
        <v>1.719E-2</v>
      </c>
      <c r="BU14" s="557">
        <v>7.3859999999999995E-2</v>
      </c>
      <c r="BV14" s="557">
        <v>4.929E-2</v>
      </c>
      <c r="BW14" s="558" t="s">
        <v>2275</v>
      </c>
      <c r="BX14" s="535" t="s">
        <v>2276</v>
      </c>
      <c r="BZ14" s="539" t="s">
        <v>2134</v>
      </c>
      <c r="CA14" s="538">
        <v>17</v>
      </c>
      <c r="CB14" s="538">
        <v>6.8</v>
      </c>
      <c r="CC14" s="538">
        <v>36.9</v>
      </c>
      <c r="CD14" s="538">
        <v>10.6</v>
      </c>
      <c r="CE14" s="538">
        <v>9.5</v>
      </c>
      <c r="CF14" s="538">
        <v>5.6</v>
      </c>
      <c r="CG14" s="538">
        <v>6.8</v>
      </c>
      <c r="CH14" s="538">
        <f>+(100-$CA14-$CC14-$CD14-$CE14-$CF14)/3</f>
        <v>6.8</v>
      </c>
      <c r="CI14" s="538">
        <f t="shared" si="14"/>
        <v>99.999999999999986</v>
      </c>
      <c r="CK14" s="540" t="str">
        <f>+'Results &amp; Summary'!B21</f>
        <v>Purchased electricity</v>
      </c>
      <c r="DH14" s="540" t="str">
        <f t="shared" si="10"/>
        <v>Montserrat</v>
      </c>
      <c r="DI14" s="540" t="str">
        <f t="shared" si="11"/>
        <v>Americas</v>
      </c>
      <c r="DJ14" s="540" t="str">
        <f t="shared" si="12"/>
        <v>Caribbean</v>
      </c>
      <c r="DK14" s="540" t="e">
        <f>VLOOKUP(DH14,#REF!,1)</f>
        <v>#REF!</v>
      </c>
      <c r="DL14" s="540" t="e">
        <f>VLOOKUP(DK14,#REF!,2,FALSE)</f>
        <v>#REF!</v>
      </c>
      <c r="DN14" s="540" t="s">
        <v>2135</v>
      </c>
      <c r="DO14" s="540" t="s">
        <v>2136</v>
      </c>
    </row>
    <row r="15" spans="1:126">
      <c r="C15" s="463" t="s">
        <v>2924</v>
      </c>
      <c r="D15" s="520"/>
      <c r="E15" s="732">
        <v>4.84</v>
      </c>
      <c r="F15" s="521" t="s">
        <v>2079</v>
      </c>
      <c r="G15" s="522" t="s">
        <v>4368</v>
      </c>
      <c r="H15" s="521"/>
      <c r="I15" s="522"/>
      <c r="J15" s="521"/>
      <c r="L15" s="16"/>
      <c r="M15" s="16"/>
      <c r="N15" s="16"/>
      <c r="O15" s="16"/>
      <c r="P15" s="16"/>
      <c r="Q15" s="16"/>
      <c r="R15" s="16"/>
      <c r="S15" s="16"/>
      <c r="T15" s="16"/>
      <c r="U15" s="16"/>
      <c r="V15" s="16"/>
      <c r="X15" s="525" t="s">
        <v>36</v>
      </c>
      <c r="Y15" s="526">
        <f>203/$Y$25</f>
        <v>126.13866553991078</v>
      </c>
      <c r="Z15" s="527">
        <f>0.0899/$Y$25</f>
        <v>5.5861409024817621E-2</v>
      </c>
      <c r="AA15" s="527">
        <f>0.0087/$Y$25</f>
        <v>5.405942808853318E-3</v>
      </c>
      <c r="AB15" s="528" t="s">
        <v>1970</v>
      </c>
      <c r="AC15" s="527"/>
      <c r="AW15" s="1396" t="s">
        <v>2686</v>
      </c>
      <c r="AX15" s="1395" t="s">
        <v>2086</v>
      </c>
      <c r="AY15" s="1397" t="s">
        <v>2167</v>
      </c>
      <c r="AZ15" s="1396">
        <v>485</v>
      </c>
      <c r="BA15" s="528" t="s">
        <v>1977</v>
      </c>
      <c r="BB15" s="552">
        <v>4.78</v>
      </c>
      <c r="BC15" s="535" t="s">
        <v>2006</v>
      </c>
      <c r="BD15" s="537"/>
      <c r="BE15" s="537"/>
      <c r="BF15" s="535"/>
      <c r="BG15" s="537"/>
      <c r="BH15" s="538">
        <f t="shared" si="19"/>
        <v>17</v>
      </c>
      <c r="BI15" s="538">
        <f t="shared" si="20"/>
        <v>5.0999999999999996</v>
      </c>
      <c r="BJ15" s="538">
        <f t="shared" si="21"/>
        <v>46.9</v>
      </c>
      <c r="BK15" s="538">
        <f t="shared" si="22"/>
        <v>2.4</v>
      </c>
      <c r="BL15" s="538">
        <f t="shared" si="23"/>
        <v>9.5</v>
      </c>
      <c r="BM15" s="538">
        <f t="shared" si="24"/>
        <v>5.6</v>
      </c>
      <c r="BN15" s="538">
        <f t="shared" si="25"/>
        <v>9.9</v>
      </c>
      <c r="BO15" s="538">
        <f t="shared" si="26"/>
        <v>3.5999999999999943</v>
      </c>
      <c r="BP15" s="538">
        <f t="shared" si="18"/>
        <v>100</v>
      </c>
      <c r="BQ15" s="535" t="s">
        <v>1979</v>
      </c>
      <c r="BR15" s="557">
        <v>8.8539999999999994E-2</v>
      </c>
      <c r="BS15" s="557">
        <v>8.8539999999999994E-2</v>
      </c>
      <c r="BT15" s="557">
        <v>1.719E-2</v>
      </c>
      <c r="BU15" s="557">
        <v>7.3859999999999995E-2</v>
      </c>
      <c r="BV15" s="557">
        <v>4.929E-2</v>
      </c>
      <c r="BW15" s="558" t="s">
        <v>2275</v>
      </c>
      <c r="BX15" s="535" t="s">
        <v>2276</v>
      </c>
      <c r="BZ15" s="539" t="s">
        <v>2138</v>
      </c>
      <c r="CA15" s="538">
        <v>27.5</v>
      </c>
      <c r="CB15" s="538">
        <v>7.4</v>
      </c>
      <c r="CC15" s="538">
        <v>24.2</v>
      </c>
      <c r="CD15" s="538">
        <v>11</v>
      </c>
      <c r="CE15" s="538">
        <v>9.5</v>
      </c>
      <c r="CF15" s="538">
        <v>5.6</v>
      </c>
      <c r="CG15" s="538">
        <v>7.4</v>
      </c>
      <c r="CH15" s="538">
        <f>+(100-$CA15-$CC15-$CD15-$CE15-$CF15)/3</f>
        <v>7.3999999999999986</v>
      </c>
      <c r="CI15" s="538">
        <f t="shared" si="14"/>
        <v>100</v>
      </c>
      <c r="CK15" s="540" t="str">
        <f>+'Scope 1 and 2 Data'!B251</f>
        <v>Purchased Steam, Hot and Chilled Water</v>
      </c>
      <c r="CQ15" s="736"/>
      <c r="DH15" s="540" t="str">
        <f t="shared" si="10"/>
        <v>Netherlands Antilles</v>
      </c>
      <c r="DI15" s="540" t="str">
        <f t="shared" si="11"/>
        <v>Americas</v>
      </c>
      <c r="DJ15" s="540" t="str">
        <f t="shared" si="12"/>
        <v>Caribbean</v>
      </c>
      <c r="DK15" s="540" t="e">
        <f>VLOOKUP(DH15,#REF!,1)</f>
        <v>#REF!</v>
      </c>
      <c r="DL15" s="540" t="e">
        <f>VLOOKUP(DK15,#REF!,2,FALSE)</f>
        <v>#REF!</v>
      </c>
      <c r="DN15" s="540" t="s">
        <v>2139</v>
      </c>
      <c r="DO15" s="540" t="s">
        <v>2140</v>
      </c>
    </row>
    <row r="16" spans="1:126" ht="25.5">
      <c r="C16" s="463" t="s">
        <v>4377</v>
      </c>
      <c r="D16" s="520"/>
      <c r="E16" s="732">
        <v>3600</v>
      </c>
      <c r="F16" s="521" t="s">
        <v>2079</v>
      </c>
      <c r="G16" s="522" t="s">
        <v>4368</v>
      </c>
      <c r="H16" s="521"/>
      <c r="I16" s="522"/>
      <c r="J16" s="521"/>
      <c r="L16" s="737" t="s">
        <v>1897</v>
      </c>
      <c r="M16" s="16"/>
      <c r="N16" s="16">
        <f>+N3*O3*P3</f>
        <v>1884.9599999999998</v>
      </c>
      <c r="O16" s="16"/>
      <c r="P16" s="737" t="s">
        <v>2936</v>
      </c>
      <c r="Q16" s="16"/>
      <c r="R16" s="16"/>
      <c r="S16" s="16"/>
      <c r="T16" s="16"/>
      <c r="U16" s="16"/>
      <c r="V16" s="16"/>
      <c r="X16" s="525" t="s">
        <v>2141</v>
      </c>
      <c r="Y16" s="526">
        <v>152.30000000000001</v>
      </c>
      <c r="Z16" s="527">
        <v>1.6999999999999999E-3</v>
      </c>
      <c r="AA16" s="527">
        <v>3.8E-3</v>
      </c>
      <c r="AB16" s="528" t="s">
        <v>2081</v>
      </c>
      <c r="AC16" s="527"/>
      <c r="AW16" s="1396" t="s">
        <v>2702</v>
      </c>
      <c r="AX16" s="1395" t="s">
        <v>2086</v>
      </c>
      <c r="AY16" s="1397" t="s">
        <v>2167</v>
      </c>
      <c r="AZ16" s="1396">
        <v>390</v>
      </c>
      <c r="BA16" s="528" t="s">
        <v>1977</v>
      </c>
      <c r="BB16" s="552">
        <v>4.78</v>
      </c>
      <c r="BC16" s="535" t="s">
        <v>2006</v>
      </c>
      <c r="BD16" s="537"/>
      <c r="BE16" s="537"/>
      <c r="BF16" s="535"/>
      <c r="BG16" s="537"/>
      <c r="BH16" s="538">
        <f t="shared" si="19"/>
        <v>17</v>
      </c>
      <c r="BI16" s="538">
        <f t="shared" si="20"/>
        <v>5.0999999999999996</v>
      </c>
      <c r="BJ16" s="538">
        <f t="shared" si="21"/>
        <v>46.9</v>
      </c>
      <c r="BK16" s="538">
        <f t="shared" si="22"/>
        <v>2.4</v>
      </c>
      <c r="BL16" s="538">
        <f t="shared" si="23"/>
        <v>9.5</v>
      </c>
      <c r="BM16" s="538">
        <f t="shared" si="24"/>
        <v>5.6</v>
      </c>
      <c r="BN16" s="538">
        <f t="shared" si="25"/>
        <v>9.9</v>
      </c>
      <c r="BO16" s="538">
        <f t="shared" si="26"/>
        <v>3.5999999999999943</v>
      </c>
      <c r="BP16" s="538">
        <f t="shared" si="18"/>
        <v>100</v>
      </c>
      <c r="BQ16" s="535" t="s">
        <v>1979</v>
      </c>
      <c r="BR16" s="557">
        <v>8.8539999999999994E-2</v>
      </c>
      <c r="BS16" s="557">
        <v>8.8539999999999994E-2</v>
      </c>
      <c r="BT16" s="557">
        <v>1.719E-2</v>
      </c>
      <c r="BU16" s="557">
        <v>7.3859999999999995E-2</v>
      </c>
      <c r="BV16" s="557">
        <v>4.929E-2</v>
      </c>
      <c r="BW16" s="558" t="s">
        <v>2275</v>
      </c>
      <c r="BX16" s="535" t="s">
        <v>2276</v>
      </c>
      <c r="BZ16" s="539" t="s">
        <v>2143</v>
      </c>
      <c r="CA16" s="538">
        <v>30</v>
      </c>
      <c r="CB16" s="538">
        <v>2</v>
      </c>
      <c r="CC16" s="538">
        <v>36</v>
      </c>
      <c r="CD16" s="538">
        <v>24</v>
      </c>
      <c r="CE16" s="538">
        <v>2</v>
      </c>
      <c r="CF16" s="538">
        <v>2</v>
      </c>
      <c r="CG16" s="538">
        <v>2</v>
      </c>
      <c r="CH16" s="538">
        <f>+(100-$CA16-$CC16-$CD16)/5</f>
        <v>2</v>
      </c>
      <c r="CI16" s="538">
        <f t="shared" si="14"/>
        <v>100</v>
      </c>
      <c r="CK16" s="540" t="str">
        <f>+'Results &amp; Summary'!B33</f>
        <v>Processing of sold products</v>
      </c>
      <c r="DH16" s="540" t="str">
        <f t="shared" si="10"/>
        <v>Puerto Rico (U.S.)</v>
      </c>
      <c r="DI16" s="540" t="str">
        <f t="shared" si="11"/>
        <v>Americas</v>
      </c>
      <c r="DJ16" s="540" t="str">
        <f t="shared" si="12"/>
        <v>Caribbean</v>
      </c>
      <c r="DK16" s="540" t="e">
        <f>VLOOKUP(DH16,#REF!,1)</f>
        <v>#REF!</v>
      </c>
      <c r="DL16" s="540" t="e">
        <f>VLOOKUP(DK16,#REF!,2,FALSE)</f>
        <v>#REF!</v>
      </c>
      <c r="DN16" s="540" t="s">
        <v>2144</v>
      </c>
      <c r="DO16" s="540" t="s">
        <v>2145</v>
      </c>
    </row>
    <row r="17" spans="3:119" ht="12.75" customHeight="1">
      <c r="C17" s="463" t="s">
        <v>4378</v>
      </c>
      <c r="D17" s="520"/>
      <c r="E17" s="732">
        <v>14600</v>
      </c>
      <c r="F17" s="521" t="s">
        <v>2079</v>
      </c>
      <c r="G17" s="522" t="s">
        <v>4368</v>
      </c>
      <c r="H17" s="521"/>
      <c r="I17" s="522"/>
      <c r="J17" s="521"/>
      <c r="L17" s="523" t="s">
        <v>10</v>
      </c>
      <c r="M17" s="16"/>
      <c r="N17" s="16"/>
      <c r="O17" s="16"/>
      <c r="P17" s="738">
        <f>(P3+(Q3*$E$3)+(R3*$E$4))*N3*O3</f>
        <v>1932.6350400000001</v>
      </c>
      <c r="Q17" s="540" t="s">
        <v>2937</v>
      </c>
      <c r="R17" s="16"/>
      <c r="S17" s="16"/>
      <c r="T17" s="16"/>
      <c r="U17" s="16"/>
      <c r="V17" s="16"/>
      <c r="X17" s="525" t="s">
        <v>2146</v>
      </c>
      <c r="Y17" s="526">
        <v>76.8</v>
      </c>
      <c r="Z17" s="527">
        <v>1.9E-3</v>
      </c>
      <c r="AA17" s="527">
        <v>1.4E-3</v>
      </c>
      <c r="AB17" s="528" t="s">
        <v>2081</v>
      </c>
      <c r="AC17" s="527"/>
      <c r="AW17" s="1396" t="s">
        <v>2709</v>
      </c>
      <c r="AX17" s="1395" t="s">
        <v>2086</v>
      </c>
      <c r="AY17" s="1397" t="s">
        <v>2167</v>
      </c>
      <c r="AZ17" s="1396">
        <v>502</v>
      </c>
      <c r="BA17" s="528" t="s">
        <v>1977</v>
      </c>
      <c r="BB17" s="552">
        <v>4.78</v>
      </c>
      <c r="BC17" s="535" t="s">
        <v>2006</v>
      </c>
      <c r="BD17" s="537"/>
      <c r="BE17" s="537"/>
      <c r="BF17" s="535"/>
      <c r="BG17" s="537"/>
      <c r="BH17" s="538">
        <f t="shared" si="19"/>
        <v>17</v>
      </c>
      <c r="BI17" s="538">
        <f t="shared" si="20"/>
        <v>5.0999999999999996</v>
      </c>
      <c r="BJ17" s="538">
        <f t="shared" si="21"/>
        <v>46.9</v>
      </c>
      <c r="BK17" s="538">
        <f t="shared" si="22"/>
        <v>2.4</v>
      </c>
      <c r="BL17" s="538">
        <f t="shared" si="23"/>
        <v>9.5</v>
      </c>
      <c r="BM17" s="538">
        <f t="shared" si="24"/>
        <v>5.6</v>
      </c>
      <c r="BN17" s="538">
        <f t="shared" si="25"/>
        <v>9.9</v>
      </c>
      <c r="BO17" s="538">
        <f t="shared" si="26"/>
        <v>3.5999999999999943</v>
      </c>
      <c r="BP17" s="538">
        <f t="shared" si="18"/>
        <v>100</v>
      </c>
      <c r="BQ17" s="535" t="s">
        <v>1979</v>
      </c>
      <c r="BR17" s="557">
        <v>8.8539999999999994E-2</v>
      </c>
      <c r="BS17" s="557">
        <v>8.8539999999999994E-2</v>
      </c>
      <c r="BT17" s="557">
        <v>1.719E-2</v>
      </c>
      <c r="BU17" s="557">
        <v>7.3859999999999995E-2</v>
      </c>
      <c r="BV17" s="557">
        <v>4.929E-2</v>
      </c>
      <c r="BW17" s="558" t="s">
        <v>2275</v>
      </c>
      <c r="BX17" s="535" t="s">
        <v>2276</v>
      </c>
      <c r="BZ17" s="539" t="s">
        <v>2147</v>
      </c>
      <c r="CA17" s="538">
        <v>6</v>
      </c>
      <c r="CB17" s="538">
        <v>2.97</v>
      </c>
      <c r="CC17" s="538">
        <v>67.5</v>
      </c>
      <c r="CD17" s="538">
        <v>2.5</v>
      </c>
      <c r="CE17" s="538">
        <v>9.5</v>
      </c>
      <c r="CF17" s="538">
        <v>5.6</v>
      </c>
      <c r="CG17" s="538">
        <v>2.97</v>
      </c>
      <c r="CH17" s="538">
        <f>+(100-$CA17-$CC17-$CD17-$CE17-$CF17)/3</f>
        <v>2.9666666666666668</v>
      </c>
      <c r="CI17" s="538">
        <f t="shared" si="14"/>
        <v>100.00666666666666</v>
      </c>
      <c r="CK17" s="540" t="str">
        <f>+'Results &amp; Summary'!B8</f>
        <v>Stationary combustion</v>
      </c>
      <c r="DH17" s="540" t="str">
        <f t="shared" si="10"/>
        <v>Saint Kitts and Nevis</v>
      </c>
      <c r="DI17" s="540" t="str">
        <f t="shared" si="11"/>
        <v>Americas</v>
      </c>
      <c r="DJ17" s="540" t="str">
        <f t="shared" si="12"/>
        <v>Caribbean</v>
      </c>
      <c r="DK17" s="540" t="e">
        <f>VLOOKUP(DH17,#REF!,1)</f>
        <v>#REF!</v>
      </c>
      <c r="DL17" s="540" t="e">
        <f>VLOOKUP(DK17,#REF!,2,FALSE)</f>
        <v>#REF!</v>
      </c>
      <c r="DN17" s="540" t="s">
        <v>2148</v>
      </c>
      <c r="DO17" s="540" t="s">
        <v>2149</v>
      </c>
    </row>
    <row r="18" spans="3:119">
      <c r="C18" s="463" t="s">
        <v>2925</v>
      </c>
      <c r="D18" s="520"/>
      <c r="E18" s="732">
        <v>1350</v>
      </c>
      <c r="F18" s="521" t="s">
        <v>2079</v>
      </c>
      <c r="G18" s="522" t="s">
        <v>4368</v>
      </c>
      <c r="H18" s="521"/>
      <c r="I18" s="522"/>
      <c r="J18" s="521"/>
      <c r="L18" s="523" t="s">
        <v>16</v>
      </c>
      <c r="M18" s="16"/>
      <c r="N18" s="16"/>
      <c r="O18" s="16"/>
      <c r="P18" s="739">
        <f>(P4*N4*O4)+(Q4*O4*N4*$E$3)+(R4*O4*N4*$E$4)</f>
        <v>2786.7808079999995</v>
      </c>
      <c r="Q18" s="16"/>
      <c r="R18" s="16"/>
      <c r="S18" s="16"/>
      <c r="T18" s="16"/>
      <c r="U18" s="16"/>
      <c r="V18" s="16"/>
      <c r="X18" s="1495" t="str">
        <f>+"* Not applicable for "&amp;X3&amp;", "&amp;X4&amp;", "&amp;X11&amp;", "&amp;X12&amp;" y "&amp;X15&amp;" where units are [g(GAS)/km]"</f>
        <v>* Not applicable for Private car (diesel), Private car (gasoline), Private SUV or truck (diesel), Private SUV (gasolina) y Motorbike where units are [g(GAS)/km]</v>
      </c>
      <c r="Y18" s="1496"/>
      <c r="Z18" s="1496"/>
      <c r="AA18" s="1496"/>
      <c r="AB18" s="1496"/>
      <c r="AC18" s="1497"/>
      <c r="AW18" s="1396" t="s">
        <v>2710</v>
      </c>
      <c r="AX18" s="1395" t="s">
        <v>2086</v>
      </c>
      <c r="AY18" s="1397" t="s">
        <v>2167</v>
      </c>
      <c r="AZ18" s="1396">
        <v>561</v>
      </c>
      <c r="BA18" s="528" t="s">
        <v>1977</v>
      </c>
      <c r="BB18" s="552">
        <v>4.78</v>
      </c>
      <c r="BC18" s="535" t="s">
        <v>2006</v>
      </c>
      <c r="BD18" s="537"/>
      <c r="BE18" s="537"/>
      <c r="BF18" s="535"/>
      <c r="BG18" s="537"/>
      <c r="BH18" s="538">
        <f t="shared" si="19"/>
        <v>17</v>
      </c>
      <c r="BI18" s="538">
        <f t="shared" si="20"/>
        <v>5.0999999999999996</v>
      </c>
      <c r="BJ18" s="538">
        <f t="shared" si="21"/>
        <v>46.9</v>
      </c>
      <c r="BK18" s="538">
        <f t="shared" si="22"/>
        <v>2.4</v>
      </c>
      <c r="BL18" s="538">
        <f t="shared" si="23"/>
        <v>9.5</v>
      </c>
      <c r="BM18" s="538">
        <f t="shared" si="24"/>
        <v>5.6</v>
      </c>
      <c r="BN18" s="538">
        <f t="shared" si="25"/>
        <v>9.9</v>
      </c>
      <c r="BO18" s="538">
        <f t="shared" si="26"/>
        <v>3.5999999999999943</v>
      </c>
      <c r="BP18" s="538">
        <f t="shared" si="18"/>
        <v>100</v>
      </c>
      <c r="BQ18" s="535" t="s">
        <v>1979</v>
      </c>
      <c r="BR18" s="557">
        <v>8.8539999999999994E-2</v>
      </c>
      <c r="BS18" s="557">
        <v>8.8539999999999994E-2</v>
      </c>
      <c r="BT18" s="557">
        <v>1.719E-2</v>
      </c>
      <c r="BU18" s="557">
        <v>7.3859999999999995E-2</v>
      </c>
      <c r="BV18" s="557">
        <v>4.929E-2</v>
      </c>
      <c r="BW18" s="558" t="s">
        <v>2275</v>
      </c>
      <c r="BX18" s="535" t="s">
        <v>2276</v>
      </c>
      <c r="BZ18" s="539" t="s">
        <v>2151</v>
      </c>
      <c r="CA18" s="538">
        <v>23.2</v>
      </c>
      <c r="CB18" s="538">
        <v>3.9</v>
      </c>
      <c r="CC18" s="538">
        <v>33.9</v>
      </c>
      <c r="CD18" s="538">
        <v>6.2</v>
      </c>
      <c r="CE18" s="538">
        <v>9.5</v>
      </c>
      <c r="CF18" s="538">
        <v>5.6</v>
      </c>
      <c r="CG18" s="538">
        <v>8.5</v>
      </c>
      <c r="CH18" s="538">
        <f>100-SUM(CA18:CG18)</f>
        <v>9.2000000000000028</v>
      </c>
      <c r="CI18" s="538">
        <f t="shared" si="14"/>
        <v>100</v>
      </c>
      <c r="DH18" s="540" t="str">
        <f t="shared" si="10"/>
        <v>Saint Lucia</v>
      </c>
      <c r="DI18" s="540" t="str">
        <f t="shared" si="11"/>
        <v>Americas</v>
      </c>
      <c r="DJ18" s="540" t="str">
        <f t="shared" si="12"/>
        <v>Caribbean</v>
      </c>
      <c r="DK18" s="540" t="e">
        <f>VLOOKUP(DH18,#REF!,1)</f>
        <v>#REF!</v>
      </c>
      <c r="DL18" s="540" t="e">
        <f>VLOOKUP(DK18,#REF!,2,FALSE)</f>
        <v>#REF!</v>
      </c>
      <c r="DN18" s="540" t="s">
        <v>2152</v>
      </c>
      <c r="DO18" s="540" t="s">
        <v>2153</v>
      </c>
    </row>
    <row r="19" spans="3:119">
      <c r="C19" s="463" t="s">
        <v>2170</v>
      </c>
      <c r="D19" s="520"/>
      <c r="E19" s="732">
        <v>1500</v>
      </c>
      <c r="F19" s="521" t="s">
        <v>2079</v>
      </c>
      <c r="G19" s="522" t="s">
        <v>4368</v>
      </c>
      <c r="H19" s="521"/>
      <c r="I19" s="522"/>
      <c r="J19" s="521"/>
      <c r="L19" s="523" t="s">
        <v>2020</v>
      </c>
      <c r="M19" s="16"/>
      <c r="N19" s="16"/>
      <c r="O19" s="16"/>
      <c r="P19" s="739">
        <f t="shared" ref="P19:P26" si="27">(P5+(Q5*$E$3)+(R5*$E$4))*N5*O5</f>
        <v>3055.2983184</v>
      </c>
      <c r="Q19" s="16"/>
      <c r="R19" s="16"/>
      <c r="S19" s="16"/>
      <c r="T19" s="16"/>
      <c r="U19" s="16"/>
      <c r="V19" s="16"/>
      <c r="AW19" s="1396" t="s">
        <v>2711</v>
      </c>
      <c r="AX19" s="1395" t="s">
        <v>2086</v>
      </c>
      <c r="AY19" s="1397" t="s">
        <v>2167</v>
      </c>
      <c r="AZ19" s="1396">
        <v>487</v>
      </c>
      <c r="BA19" s="528" t="s">
        <v>1977</v>
      </c>
      <c r="BB19" s="552">
        <v>4.78</v>
      </c>
      <c r="BC19" s="535" t="s">
        <v>2006</v>
      </c>
      <c r="BD19" s="537"/>
      <c r="BE19" s="537"/>
      <c r="BF19" s="535"/>
      <c r="BG19" s="537"/>
      <c r="BH19" s="538">
        <f t="shared" si="19"/>
        <v>17</v>
      </c>
      <c r="BI19" s="538">
        <f t="shared" si="20"/>
        <v>5.0999999999999996</v>
      </c>
      <c r="BJ19" s="538">
        <f t="shared" si="21"/>
        <v>46.9</v>
      </c>
      <c r="BK19" s="538">
        <f t="shared" si="22"/>
        <v>2.4</v>
      </c>
      <c r="BL19" s="538">
        <f t="shared" si="23"/>
        <v>9.5</v>
      </c>
      <c r="BM19" s="538">
        <f t="shared" si="24"/>
        <v>5.6</v>
      </c>
      <c r="BN19" s="538">
        <f t="shared" si="25"/>
        <v>9.9</v>
      </c>
      <c r="BO19" s="538">
        <f t="shared" si="26"/>
        <v>3.5999999999999943</v>
      </c>
      <c r="BP19" s="538">
        <f t="shared" si="18"/>
        <v>100</v>
      </c>
      <c r="BQ19" s="535" t="s">
        <v>1979</v>
      </c>
      <c r="BR19" s="557">
        <v>8.8539999999999994E-2</v>
      </c>
      <c r="BS19" s="557">
        <v>8.8539999999999994E-2</v>
      </c>
      <c r="BT19" s="557">
        <v>1.719E-2</v>
      </c>
      <c r="BU19" s="557">
        <v>7.3859999999999995E-2</v>
      </c>
      <c r="BV19" s="557">
        <v>4.929E-2</v>
      </c>
      <c r="BW19" s="558" t="s">
        <v>2275</v>
      </c>
      <c r="BX19" s="535" t="s">
        <v>2276</v>
      </c>
      <c r="BZ19" s="539" t="s">
        <v>2155</v>
      </c>
      <c r="CA19" s="538">
        <v>13.7</v>
      </c>
      <c r="CB19" s="538">
        <v>2.6</v>
      </c>
      <c r="CC19" s="538">
        <v>43.8</v>
      </c>
      <c r="CD19" s="538">
        <v>13.5</v>
      </c>
      <c r="CE19" s="538">
        <v>9.5</v>
      </c>
      <c r="CF19" s="538">
        <v>5.6</v>
      </c>
      <c r="CG19" s="538">
        <v>6.7</v>
      </c>
      <c r="CH19" s="538">
        <f>100-SUM(CA19:CG19)</f>
        <v>4.6000000000000085</v>
      </c>
      <c r="CI19" s="538">
        <f t="shared" si="14"/>
        <v>100</v>
      </c>
      <c r="DH19" s="540" t="str">
        <f t="shared" si="10"/>
        <v>Saint Martin (France)</v>
      </c>
      <c r="DI19" s="540" t="str">
        <f t="shared" si="11"/>
        <v>Americas</v>
      </c>
      <c r="DJ19" s="540" t="str">
        <f t="shared" si="12"/>
        <v>Caribbean</v>
      </c>
      <c r="DK19" s="540" t="e">
        <f>VLOOKUP(DH19,#REF!,1)</f>
        <v>#REF!</v>
      </c>
      <c r="DL19" s="540" t="e">
        <f>VLOOKUP(DK19,#REF!,2,FALSE)</f>
        <v>#REF!</v>
      </c>
      <c r="DN19" s="540" t="s">
        <v>2156</v>
      </c>
      <c r="DO19" s="540" t="s">
        <v>2157</v>
      </c>
    </row>
    <row r="20" spans="3:119">
      <c r="C20" s="463" t="s">
        <v>2175</v>
      </c>
      <c r="D20" s="520"/>
      <c r="E20" s="732">
        <v>8690</v>
      </c>
      <c r="F20" s="521" t="s">
        <v>2079</v>
      </c>
      <c r="G20" s="522" t="s">
        <v>4368</v>
      </c>
      <c r="H20" s="521"/>
      <c r="I20" s="522"/>
      <c r="J20" s="521"/>
      <c r="L20" s="523" t="s">
        <v>17</v>
      </c>
      <c r="P20" s="739">
        <f>(P6+(Q6*$E$3)+(R6*$E$4))*N6*O6</f>
        <v>2371.8891588000001</v>
      </c>
      <c r="X20" s="511" t="s">
        <v>2158</v>
      </c>
      <c r="Y20" s="511" t="s">
        <v>2159</v>
      </c>
      <c r="Z20" s="511" t="s">
        <v>2160</v>
      </c>
      <c r="AA20" s="555" t="s">
        <v>26</v>
      </c>
      <c r="AW20" s="1396" t="s">
        <v>2713</v>
      </c>
      <c r="AX20" s="1395" t="s">
        <v>2086</v>
      </c>
      <c r="AY20" s="1397" t="s">
        <v>2167</v>
      </c>
      <c r="AZ20" s="1396">
        <v>521</v>
      </c>
      <c r="BA20" s="528" t="s">
        <v>1977</v>
      </c>
      <c r="BB20" s="552">
        <v>4.78</v>
      </c>
      <c r="BC20" s="535" t="s">
        <v>2006</v>
      </c>
      <c r="BD20" s="537"/>
      <c r="BE20" s="537"/>
      <c r="BF20" s="535"/>
      <c r="BG20" s="537"/>
      <c r="BH20" s="538">
        <f t="shared" si="19"/>
        <v>17</v>
      </c>
      <c r="BI20" s="538">
        <f t="shared" si="20"/>
        <v>5.0999999999999996</v>
      </c>
      <c r="BJ20" s="538">
        <f t="shared" si="21"/>
        <v>46.9</v>
      </c>
      <c r="BK20" s="538">
        <f t="shared" si="22"/>
        <v>2.4</v>
      </c>
      <c r="BL20" s="538">
        <f t="shared" si="23"/>
        <v>9.5</v>
      </c>
      <c r="BM20" s="538">
        <f t="shared" si="24"/>
        <v>5.6</v>
      </c>
      <c r="BN20" s="538">
        <f t="shared" si="25"/>
        <v>9.9</v>
      </c>
      <c r="BO20" s="538">
        <f t="shared" si="26"/>
        <v>3.5999999999999943</v>
      </c>
      <c r="BP20" s="538">
        <f t="shared" si="18"/>
        <v>100</v>
      </c>
      <c r="BQ20" s="535" t="s">
        <v>1979</v>
      </c>
      <c r="BR20" s="557">
        <v>8.8539999999999994E-2</v>
      </c>
      <c r="BS20" s="557">
        <v>8.8539999999999994E-2</v>
      </c>
      <c r="BT20" s="557">
        <v>1.719E-2</v>
      </c>
      <c r="BU20" s="557">
        <v>7.3859999999999995E-2</v>
      </c>
      <c r="BV20" s="557">
        <v>4.929E-2</v>
      </c>
      <c r="BW20" s="558" t="s">
        <v>2275</v>
      </c>
      <c r="BX20" s="535" t="s">
        <v>2276</v>
      </c>
      <c r="BZ20" s="539" t="s">
        <v>2162</v>
      </c>
      <c r="CA20" s="538">
        <v>17.100000000000001</v>
      </c>
      <c r="CB20" s="538">
        <v>2.6</v>
      </c>
      <c r="CC20" s="538">
        <v>44.9</v>
      </c>
      <c r="CD20" s="538">
        <v>4.7</v>
      </c>
      <c r="CE20" s="538">
        <v>9.5</v>
      </c>
      <c r="CF20" s="538">
        <v>5.6</v>
      </c>
      <c r="CG20" s="538">
        <v>10.8</v>
      </c>
      <c r="CH20" s="538">
        <f>100-SUM(CA20:CG20)</f>
        <v>4.8000000000000114</v>
      </c>
      <c r="CI20" s="538">
        <f t="shared" si="14"/>
        <v>100</v>
      </c>
      <c r="DH20" s="540" t="str">
        <f t="shared" si="10"/>
        <v>Saint Vincent and Grenadines</v>
      </c>
      <c r="DI20" s="540" t="str">
        <f t="shared" si="11"/>
        <v>Americas</v>
      </c>
      <c r="DJ20" s="540" t="str">
        <f t="shared" si="12"/>
        <v>Caribbean</v>
      </c>
      <c r="DK20" s="540" t="e">
        <f>VLOOKUP(DH20,#REF!,1)</f>
        <v>#REF!</v>
      </c>
      <c r="DL20" s="540" t="e">
        <f>VLOOKUP(DK20,#REF!,2,FALSE)</f>
        <v>#REF!</v>
      </c>
      <c r="DN20" s="540" t="s">
        <v>2163</v>
      </c>
      <c r="DO20" s="540" t="s">
        <v>2164</v>
      </c>
    </row>
    <row r="21" spans="3:119" ht="38.25">
      <c r="C21" s="463" t="s">
        <v>2182</v>
      </c>
      <c r="D21" s="520"/>
      <c r="E21" s="732">
        <v>787</v>
      </c>
      <c r="F21" s="521" t="s">
        <v>2079</v>
      </c>
      <c r="G21" s="522" t="s">
        <v>4368</v>
      </c>
      <c r="H21" s="521"/>
      <c r="I21" s="522"/>
      <c r="J21" s="521"/>
      <c r="L21" s="523" t="s">
        <v>2056</v>
      </c>
      <c r="P21" s="739">
        <f t="shared" si="27"/>
        <v>1647.9417438</v>
      </c>
      <c r="X21" s="529" t="s">
        <v>38</v>
      </c>
      <c r="Y21" s="518">
        <v>0</v>
      </c>
      <c r="Z21" s="518">
        <v>500</v>
      </c>
      <c r="AA21" s="528" t="s">
        <v>2165</v>
      </c>
      <c r="AW21" s="1396" t="s">
        <v>2722</v>
      </c>
      <c r="AX21" s="1395" t="s">
        <v>2086</v>
      </c>
      <c r="AY21" s="1397" t="s">
        <v>2167</v>
      </c>
      <c r="AZ21" s="1396">
        <v>469</v>
      </c>
      <c r="BA21" s="528" t="s">
        <v>1977</v>
      </c>
      <c r="BB21" s="552">
        <v>4.78</v>
      </c>
      <c r="BC21" s="535" t="s">
        <v>2006</v>
      </c>
      <c r="BD21" s="537"/>
      <c r="BE21" s="537"/>
      <c r="BF21" s="535"/>
      <c r="BG21" s="537"/>
      <c r="BH21" s="538">
        <f t="shared" si="19"/>
        <v>17</v>
      </c>
      <c r="BI21" s="538">
        <f t="shared" si="20"/>
        <v>5.0999999999999996</v>
      </c>
      <c r="BJ21" s="538">
        <f t="shared" si="21"/>
        <v>46.9</v>
      </c>
      <c r="BK21" s="538">
        <f t="shared" si="22"/>
        <v>2.4</v>
      </c>
      <c r="BL21" s="538">
        <f t="shared" si="23"/>
        <v>9.5</v>
      </c>
      <c r="BM21" s="538">
        <f t="shared" si="24"/>
        <v>5.6</v>
      </c>
      <c r="BN21" s="538">
        <f t="shared" si="25"/>
        <v>9.9</v>
      </c>
      <c r="BO21" s="538">
        <f t="shared" si="26"/>
        <v>3.5999999999999943</v>
      </c>
      <c r="BP21" s="538">
        <f t="shared" si="18"/>
        <v>100</v>
      </c>
      <c r="BQ21" s="535" t="s">
        <v>1979</v>
      </c>
      <c r="BR21" s="557">
        <v>8.8539999999999994E-2</v>
      </c>
      <c r="BS21" s="557">
        <v>8.8539999999999994E-2</v>
      </c>
      <c r="BT21" s="557">
        <v>1.719E-2</v>
      </c>
      <c r="BU21" s="557">
        <v>7.3859999999999995E-2</v>
      </c>
      <c r="BV21" s="557">
        <v>4.929E-2</v>
      </c>
      <c r="BW21" s="558" t="s">
        <v>2275</v>
      </c>
      <c r="BX21" s="535" t="s">
        <v>2276</v>
      </c>
      <c r="BZ21" s="539" t="s">
        <v>2167</v>
      </c>
      <c r="CA21" s="538">
        <v>17</v>
      </c>
      <c r="CB21" s="538">
        <v>5.0999999999999996</v>
      </c>
      <c r="CC21" s="538">
        <v>46.9</v>
      </c>
      <c r="CD21" s="538">
        <v>2.4</v>
      </c>
      <c r="CE21" s="538">
        <v>9.5</v>
      </c>
      <c r="CF21" s="538">
        <v>5.6</v>
      </c>
      <c r="CG21" s="538">
        <v>9.9</v>
      </c>
      <c r="CH21" s="538">
        <f>100-SUM(CA21:CG21)</f>
        <v>3.5999999999999943</v>
      </c>
      <c r="CI21" s="538">
        <f t="shared" si="14"/>
        <v>100</v>
      </c>
      <c r="DH21" s="540" t="str">
        <f t="shared" si="10"/>
        <v>Sint Martin (Netherlands)</v>
      </c>
      <c r="DI21" s="540" t="str">
        <f t="shared" si="11"/>
        <v>Americas</v>
      </c>
      <c r="DJ21" s="540" t="str">
        <f t="shared" si="12"/>
        <v>Caribbean</v>
      </c>
      <c r="DK21" s="540" t="e">
        <f>VLOOKUP(DH21,#REF!,1)</f>
        <v>#REF!</v>
      </c>
      <c r="DL21" s="540" t="e">
        <f>VLOOKUP(DK21,#REF!,2,FALSE)</f>
        <v>#REF!</v>
      </c>
      <c r="DN21" s="540" t="s">
        <v>2168</v>
      </c>
      <c r="DO21" s="540" t="s">
        <v>2169</v>
      </c>
    </row>
    <row r="22" spans="3:119" ht="40.5" customHeight="1">
      <c r="C22" s="463" t="s">
        <v>2186</v>
      </c>
      <c r="D22" s="520"/>
      <c r="E22" s="732">
        <v>962</v>
      </c>
      <c r="F22" s="521" t="s">
        <v>2079</v>
      </c>
      <c r="G22" s="522" t="s">
        <v>4368</v>
      </c>
      <c r="H22" s="521"/>
      <c r="I22" s="522"/>
      <c r="J22" s="521"/>
      <c r="L22" s="523" t="s">
        <v>2069</v>
      </c>
      <c r="P22" s="739">
        <f t="shared" si="27"/>
        <v>2626.3671360000008</v>
      </c>
      <c r="X22" s="529" t="s">
        <v>39</v>
      </c>
      <c r="Y22" s="518">
        <v>500</v>
      </c>
      <c r="Z22" s="518">
        <v>3700</v>
      </c>
      <c r="AA22" s="528" t="s">
        <v>2171</v>
      </c>
      <c r="AW22" s="1396" t="s">
        <v>2741</v>
      </c>
      <c r="AX22" s="1395" t="s">
        <v>2086</v>
      </c>
      <c r="AY22" s="1397" t="s">
        <v>2167</v>
      </c>
      <c r="AZ22" s="1396">
        <v>424</v>
      </c>
      <c r="BA22" s="528" t="s">
        <v>1977</v>
      </c>
      <c r="BB22" s="552">
        <v>4.78</v>
      </c>
      <c r="BC22" s="535" t="s">
        <v>2006</v>
      </c>
      <c r="BD22" s="537"/>
      <c r="BE22" s="537"/>
      <c r="BF22" s="535"/>
      <c r="BG22" s="537"/>
      <c r="BH22" s="538">
        <f t="shared" si="19"/>
        <v>17</v>
      </c>
      <c r="BI22" s="538">
        <f t="shared" si="20"/>
        <v>5.0999999999999996</v>
      </c>
      <c r="BJ22" s="538">
        <f t="shared" si="21"/>
        <v>46.9</v>
      </c>
      <c r="BK22" s="538">
        <f t="shared" si="22"/>
        <v>2.4</v>
      </c>
      <c r="BL22" s="538">
        <f t="shared" si="23"/>
        <v>9.5</v>
      </c>
      <c r="BM22" s="538">
        <f t="shared" si="24"/>
        <v>5.6</v>
      </c>
      <c r="BN22" s="538">
        <f t="shared" si="25"/>
        <v>9.9</v>
      </c>
      <c r="BO22" s="538">
        <f t="shared" si="26"/>
        <v>3.5999999999999943</v>
      </c>
      <c r="BP22" s="538">
        <f t="shared" si="18"/>
        <v>100</v>
      </c>
      <c r="BQ22" s="535" t="s">
        <v>1979</v>
      </c>
      <c r="BR22" s="557">
        <v>8.8539999999999994E-2</v>
      </c>
      <c r="BS22" s="557">
        <v>8.8539999999999994E-2</v>
      </c>
      <c r="BT22" s="557">
        <v>1.719E-2</v>
      </c>
      <c r="BU22" s="557">
        <v>7.3859999999999995E-2</v>
      </c>
      <c r="BV22" s="557">
        <v>4.929E-2</v>
      </c>
      <c r="BW22" s="558" t="s">
        <v>2275</v>
      </c>
      <c r="BX22" s="535" t="s">
        <v>2276</v>
      </c>
      <c r="DH22" s="540" t="str">
        <f t="shared" si="10"/>
        <v>Trinidad and Tobago</v>
      </c>
      <c r="DI22" s="540" t="str">
        <f t="shared" si="11"/>
        <v>Americas</v>
      </c>
      <c r="DJ22" s="540" t="str">
        <f t="shared" si="12"/>
        <v>Caribbean</v>
      </c>
      <c r="DK22" s="540" t="e">
        <f>VLOOKUP(DH22,#REF!,1)</f>
        <v>#REF!</v>
      </c>
      <c r="DL22" s="540" t="e">
        <f>VLOOKUP(DK22,#REF!,2,FALSE)</f>
        <v>#REF!</v>
      </c>
      <c r="DN22" s="540" t="s">
        <v>2173</v>
      </c>
      <c r="DO22" s="540" t="s">
        <v>2174</v>
      </c>
    </row>
    <row r="23" spans="3:119">
      <c r="C23" s="463" t="s">
        <v>4379</v>
      </c>
      <c r="D23" s="520"/>
      <c r="E23" s="732">
        <v>771</v>
      </c>
      <c r="F23" s="521" t="s">
        <v>2079</v>
      </c>
      <c r="G23" s="522" t="s">
        <v>4368</v>
      </c>
      <c r="H23" s="521"/>
      <c r="I23" s="522"/>
      <c r="J23" s="521"/>
      <c r="L23" s="523" t="s">
        <v>19</v>
      </c>
      <c r="P23" s="738">
        <f>(P9+(Q9*$E$3)+(R9*$E$4))*O9</f>
        <v>2468.5826999999995</v>
      </c>
      <c r="X23" s="529" t="s">
        <v>40</v>
      </c>
      <c r="Y23" s="518">
        <v>3700</v>
      </c>
      <c r="Z23" s="518" t="s">
        <v>2176</v>
      </c>
      <c r="AA23" s="528" t="s">
        <v>2171</v>
      </c>
      <c r="AW23" s="1396" t="s">
        <v>2745</v>
      </c>
      <c r="AX23" s="1395" t="s">
        <v>2086</v>
      </c>
      <c r="AY23" s="1397" t="s">
        <v>2167</v>
      </c>
      <c r="AZ23" s="1396">
        <v>468</v>
      </c>
      <c r="BA23" s="528" t="s">
        <v>1977</v>
      </c>
      <c r="BB23" s="536">
        <v>5.33</v>
      </c>
      <c r="BC23" s="535" t="s">
        <v>2006</v>
      </c>
      <c r="BD23" s="549">
        <v>5.7500000000000002E-2</v>
      </c>
      <c r="BE23" s="549">
        <v>3.5000000000000003E-2</v>
      </c>
      <c r="BF23" s="535" t="s">
        <v>2179</v>
      </c>
      <c r="BG23" s="537"/>
      <c r="BH23" s="538">
        <f t="shared" si="19"/>
        <v>17</v>
      </c>
      <c r="BI23" s="538">
        <f t="shared" si="20"/>
        <v>5.0999999999999996</v>
      </c>
      <c r="BJ23" s="538">
        <f t="shared" si="21"/>
        <v>46.9</v>
      </c>
      <c r="BK23" s="538">
        <f t="shared" si="22"/>
        <v>2.4</v>
      </c>
      <c r="BL23" s="538">
        <f t="shared" si="23"/>
        <v>9.5</v>
      </c>
      <c r="BM23" s="538">
        <f t="shared" si="24"/>
        <v>5.6</v>
      </c>
      <c r="BN23" s="538">
        <f t="shared" si="25"/>
        <v>9.9</v>
      </c>
      <c r="BO23" s="538">
        <f t="shared" si="26"/>
        <v>3.5999999999999943</v>
      </c>
      <c r="BP23" s="538">
        <f t="shared" si="18"/>
        <v>100</v>
      </c>
      <c r="BQ23" s="535" t="s">
        <v>1979</v>
      </c>
      <c r="BR23" s="557">
        <v>8.8539999999999994E-2</v>
      </c>
      <c r="BS23" s="557">
        <v>8.8539999999999994E-2</v>
      </c>
      <c r="BT23" s="557">
        <v>1.719E-2</v>
      </c>
      <c r="BU23" s="557">
        <v>7.3859999999999995E-2</v>
      </c>
      <c r="BV23" s="557">
        <v>4.929E-2</v>
      </c>
      <c r="BW23" s="558" t="s">
        <v>2275</v>
      </c>
      <c r="BX23" s="535" t="s">
        <v>2276</v>
      </c>
      <c r="DH23" s="540" t="str">
        <f t="shared" si="10"/>
        <v>Turks and Caicos Islands (U.K.)</v>
      </c>
      <c r="DI23" s="540" t="str">
        <f t="shared" si="11"/>
        <v>Americas</v>
      </c>
      <c r="DJ23" s="540" t="str">
        <f t="shared" si="12"/>
        <v>Caribbean</v>
      </c>
      <c r="DK23" s="540" t="e">
        <f>VLOOKUP(DH23,#REF!,1)</f>
        <v>#REF!</v>
      </c>
      <c r="DL23" s="540" t="e">
        <f>VLOOKUP(DK23,#REF!,2,FALSE)</f>
        <v>#REF!</v>
      </c>
      <c r="DN23" s="540" t="s">
        <v>2180</v>
      </c>
      <c r="DO23" s="540" t="s">
        <v>2181</v>
      </c>
    </row>
    <row r="24" spans="3:119">
      <c r="C24" s="463" t="s">
        <v>2193</v>
      </c>
      <c r="D24" s="520"/>
      <c r="E24" s="732">
        <v>914</v>
      </c>
      <c r="F24" s="521" t="s">
        <v>2079</v>
      </c>
      <c r="G24" s="522" t="s">
        <v>4368</v>
      </c>
      <c r="H24" s="521"/>
      <c r="I24" s="522"/>
      <c r="J24" s="521"/>
      <c r="L24" s="523" t="s">
        <v>30</v>
      </c>
      <c r="P24" s="738">
        <f>(P10+(Q10*$E$3)+(R10*$E$4))*O10</f>
        <v>3058.4735999999998</v>
      </c>
      <c r="X24" s="556"/>
      <c r="AW24" s="1396" t="s">
        <v>2758</v>
      </c>
      <c r="AX24" s="1395" t="s">
        <v>2086</v>
      </c>
      <c r="AY24" s="1397" t="s">
        <v>2167</v>
      </c>
      <c r="AZ24" s="1396">
        <v>375</v>
      </c>
      <c r="BA24" s="528" t="s">
        <v>1977</v>
      </c>
      <c r="BB24" s="536">
        <v>13.6</v>
      </c>
      <c r="BC24" s="535" t="s">
        <v>2006</v>
      </c>
      <c r="BD24" s="537"/>
      <c r="BE24" s="537"/>
      <c r="BF24" s="535"/>
      <c r="BG24" s="537"/>
      <c r="BH24" s="538">
        <f t="shared" si="19"/>
        <v>17</v>
      </c>
      <c r="BI24" s="538">
        <f t="shared" si="20"/>
        <v>5.0999999999999996</v>
      </c>
      <c r="BJ24" s="538">
        <f t="shared" si="21"/>
        <v>46.9</v>
      </c>
      <c r="BK24" s="538">
        <f t="shared" si="22"/>
        <v>2.4</v>
      </c>
      <c r="BL24" s="538">
        <f t="shared" si="23"/>
        <v>9.5</v>
      </c>
      <c r="BM24" s="538">
        <f t="shared" si="24"/>
        <v>5.6</v>
      </c>
      <c r="BN24" s="538">
        <f t="shared" si="25"/>
        <v>9.9</v>
      </c>
      <c r="BO24" s="538">
        <f t="shared" si="26"/>
        <v>3.5999999999999943</v>
      </c>
      <c r="BP24" s="538">
        <f t="shared" si="18"/>
        <v>100</v>
      </c>
      <c r="BQ24" s="535" t="s">
        <v>1979</v>
      </c>
      <c r="BR24" s="557">
        <v>8.8539999999999994E-2</v>
      </c>
      <c r="BS24" s="557">
        <v>8.8539999999999994E-2</v>
      </c>
      <c r="BT24" s="557">
        <v>1.719E-2</v>
      </c>
      <c r="BU24" s="557">
        <v>7.3859999999999995E-2</v>
      </c>
      <c r="BV24" s="557">
        <v>4.929E-2</v>
      </c>
      <c r="BW24" s="558" t="s">
        <v>2275</v>
      </c>
      <c r="BX24" s="535" t="s">
        <v>2276</v>
      </c>
      <c r="DH24" s="540" t="str">
        <f t="shared" si="10"/>
        <v>Virgin Islands (U.S.)</v>
      </c>
      <c r="DI24" s="540" t="str">
        <f t="shared" si="11"/>
        <v>Americas</v>
      </c>
      <c r="DJ24" s="540" t="str">
        <f t="shared" si="12"/>
        <v>Caribbean</v>
      </c>
      <c r="DL24" s="540" t="s">
        <v>35</v>
      </c>
      <c r="DN24" s="540" t="s">
        <v>2184</v>
      </c>
      <c r="DO24" s="540" t="s">
        <v>2185</v>
      </c>
    </row>
    <row r="25" spans="3:119">
      <c r="C25" s="463" t="s">
        <v>4380</v>
      </c>
      <c r="D25" s="520"/>
      <c r="E25" s="732">
        <v>135</v>
      </c>
      <c r="F25" s="521" t="s">
        <v>2079</v>
      </c>
      <c r="G25" s="522" t="s">
        <v>4368</v>
      </c>
      <c r="H25" s="521"/>
      <c r="I25" s="522"/>
      <c r="J25" s="521"/>
      <c r="L25" s="523" t="s">
        <v>18</v>
      </c>
      <c r="P25" s="738">
        <f t="shared" si="27"/>
        <v>1754.7567840000002</v>
      </c>
      <c r="X25" s="540" t="s">
        <v>2187</v>
      </c>
      <c r="Y25" s="540">
        <v>1.60934</v>
      </c>
      <c r="Z25" s="540" t="s">
        <v>2188</v>
      </c>
      <c r="AW25" s="1395" t="s">
        <v>45</v>
      </c>
      <c r="AX25" s="1395" t="s">
        <v>2086</v>
      </c>
      <c r="AY25" s="1397" t="s">
        <v>2155</v>
      </c>
      <c r="AZ25" s="1395">
        <v>36.5</v>
      </c>
      <c r="BA25" s="528" t="s">
        <v>2366</v>
      </c>
      <c r="BB25" s="536">
        <v>10.025212186531689</v>
      </c>
      <c r="BC25" s="535" t="s">
        <v>2190</v>
      </c>
      <c r="BD25" s="537"/>
      <c r="BE25" s="537"/>
      <c r="BF25" s="535"/>
      <c r="BG25" s="537"/>
      <c r="BH25" s="538">
        <f t="shared" si="19"/>
        <v>13.7</v>
      </c>
      <c r="BI25" s="538">
        <f t="shared" si="20"/>
        <v>2.6</v>
      </c>
      <c r="BJ25" s="538">
        <f t="shared" si="21"/>
        <v>43.8</v>
      </c>
      <c r="BK25" s="538">
        <f t="shared" si="22"/>
        <v>13.5</v>
      </c>
      <c r="BL25" s="538">
        <f t="shared" si="23"/>
        <v>9.5</v>
      </c>
      <c r="BM25" s="538">
        <f t="shared" si="24"/>
        <v>5.6</v>
      </c>
      <c r="BN25" s="538">
        <f t="shared" si="25"/>
        <v>6.7</v>
      </c>
      <c r="BO25" s="538">
        <f t="shared" si="26"/>
        <v>4.6000000000000085</v>
      </c>
      <c r="BP25" s="538">
        <f t="shared" si="18"/>
        <v>100</v>
      </c>
      <c r="BQ25" s="535" t="s">
        <v>1979</v>
      </c>
      <c r="BR25" s="557">
        <v>8.8539999999999994E-2</v>
      </c>
      <c r="BS25" s="557">
        <v>8.8539999999999994E-2</v>
      </c>
      <c r="BT25" s="557">
        <v>1.719E-2</v>
      </c>
      <c r="BU25" s="557">
        <v>7.3859999999999995E-2</v>
      </c>
      <c r="BV25" s="557">
        <v>4.929E-2</v>
      </c>
      <c r="BW25" s="558" t="s">
        <v>2275</v>
      </c>
      <c r="BX25" s="535" t="s">
        <v>2276</v>
      </c>
      <c r="DH25" s="540" t="str">
        <f t="shared" si="10"/>
        <v>Costa Rica</v>
      </c>
      <c r="DI25" s="540" t="str">
        <f t="shared" si="11"/>
        <v>Americas</v>
      </c>
      <c r="DJ25" s="540" t="str">
        <f t="shared" si="12"/>
        <v>Central America</v>
      </c>
      <c r="DL25" s="540" t="s">
        <v>35</v>
      </c>
      <c r="DN25" s="540" t="s">
        <v>2191</v>
      </c>
      <c r="DO25" s="540" t="s">
        <v>2192</v>
      </c>
    </row>
    <row r="26" spans="3:119" ht="25.5">
      <c r="C26" s="463" t="s">
        <v>2197</v>
      </c>
      <c r="D26" s="520"/>
      <c r="E26" s="732">
        <v>1600</v>
      </c>
      <c r="F26" s="521" t="s">
        <v>2079</v>
      </c>
      <c r="G26" s="522" t="s">
        <v>4368</v>
      </c>
      <c r="H26" s="521"/>
      <c r="I26" s="522"/>
      <c r="J26" s="521"/>
      <c r="L26" s="529" t="s">
        <v>2111</v>
      </c>
      <c r="P26" s="738">
        <f t="shared" si="27"/>
        <v>1579.2811056000003</v>
      </c>
      <c r="AW26" s="1396" t="s">
        <v>2418</v>
      </c>
      <c r="AX26" s="1395" t="s">
        <v>2086</v>
      </c>
      <c r="AY26" s="1397" t="s">
        <v>2155</v>
      </c>
      <c r="AZ26" s="1396">
        <v>344</v>
      </c>
      <c r="BA26" s="528" t="s">
        <v>1977</v>
      </c>
      <c r="BB26" s="536">
        <v>9.3894684857089938</v>
      </c>
      <c r="BC26" s="535" t="s">
        <v>2087</v>
      </c>
      <c r="BD26" s="537"/>
      <c r="BE26" s="537"/>
      <c r="BF26" s="535"/>
      <c r="BG26" s="537"/>
      <c r="BH26" s="538">
        <f t="shared" si="19"/>
        <v>13.7</v>
      </c>
      <c r="BI26" s="538">
        <f t="shared" si="20"/>
        <v>2.6</v>
      </c>
      <c r="BJ26" s="538">
        <f t="shared" si="21"/>
        <v>43.8</v>
      </c>
      <c r="BK26" s="538">
        <f t="shared" si="22"/>
        <v>13.5</v>
      </c>
      <c r="BL26" s="538">
        <f t="shared" si="23"/>
        <v>9.5</v>
      </c>
      <c r="BM26" s="538">
        <f t="shared" si="24"/>
        <v>5.6</v>
      </c>
      <c r="BN26" s="538">
        <f t="shared" si="25"/>
        <v>6.7</v>
      </c>
      <c r="BO26" s="538">
        <f t="shared" si="26"/>
        <v>4.6000000000000085</v>
      </c>
      <c r="BP26" s="538">
        <f t="shared" si="18"/>
        <v>100</v>
      </c>
      <c r="BQ26" s="535" t="s">
        <v>1979</v>
      </c>
      <c r="BR26" s="557">
        <v>8.8539999999999994E-2</v>
      </c>
      <c r="BS26" s="557">
        <v>8.8539999999999994E-2</v>
      </c>
      <c r="BT26" s="557">
        <v>1.719E-2</v>
      </c>
      <c r="BU26" s="557">
        <v>7.3859999999999995E-2</v>
      </c>
      <c r="BV26" s="557">
        <v>4.929E-2</v>
      </c>
      <c r="BW26" s="558" t="s">
        <v>2275</v>
      </c>
      <c r="BX26" s="535" t="s">
        <v>2276</v>
      </c>
      <c r="DH26" s="540" t="str">
        <f t="shared" si="10"/>
        <v>El Salvador</v>
      </c>
      <c r="DI26" s="540" t="str">
        <f t="shared" si="11"/>
        <v>Americas</v>
      </c>
      <c r="DJ26" s="540" t="str">
        <f t="shared" si="12"/>
        <v>Central America</v>
      </c>
      <c r="DL26" s="540" t="s">
        <v>35</v>
      </c>
      <c r="DN26" s="540" t="s">
        <v>2195</v>
      </c>
      <c r="DO26" s="540" t="s">
        <v>2196</v>
      </c>
    </row>
    <row r="27" spans="3:119">
      <c r="C27" s="463" t="s">
        <v>4381</v>
      </c>
      <c r="D27" s="520"/>
      <c r="E27" s="732">
        <v>0.5</v>
      </c>
      <c r="F27" s="521" t="s">
        <v>2079</v>
      </c>
      <c r="G27" s="522" t="s">
        <v>4368</v>
      </c>
      <c r="H27" s="521"/>
      <c r="I27" s="522"/>
      <c r="J27" s="521"/>
      <c r="AW27" s="1395" t="s">
        <v>2500</v>
      </c>
      <c r="AX27" s="1395" t="s">
        <v>2086</v>
      </c>
      <c r="AY27" s="1397" t="s">
        <v>2155</v>
      </c>
      <c r="AZ27" s="1395">
        <v>367.1</v>
      </c>
      <c r="BA27" s="528" t="s">
        <v>2501</v>
      </c>
      <c r="BB27" s="536">
        <v>3.94</v>
      </c>
      <c r="BC27" s="535" t="s">
        <v>2006</v>
      </c>
      <c r="BD27" s="537"/>
      <c r="BE27" s="537"/>
      <c r="BF27" s="535"/>
      <c r="BG27" s="537"/>
      <c r="BH27" s="538">
        <f t="shared" si="19"/>
        <v>13.7</v>
      </c>
      <c r="BI27" s="538">
        <f t="shared" si="20"/>
        <v>2.6</v>
      </c>
      <c r="BJ27" s="538">
        <f t="shared" si="21"/>
        <v>43.8</v>
      </c>
      <c r="BK27" s="538">
        <f t="shared" si="22"/>
        <v>13.5</v>
      </c>
      <c r="BL27" s="538">
        <f t="shared" si="23"/>
        <v>9.5</v>
      </c>
      <c r="BM27" s="538">
        <f t="shared" si="24"/>
        <v>5.6</v>
      </c>
      <c r="BN27" s="538">
        <f t="shared" si="25"/>
        <v>6.7</v>
      </c>
      <c r="BO27" s="538">
        <f t="shared" si="26"/>
        <v>4.6000000000000085</v>
      </c>
      <c r="BP27" s="538">
        <f t="shared" si="18"/>
        <v>100</v>
      </c>
      <c r="BQ27" s="535" t="s">
        <v>1979</v>
      </c>
      <c r="BR27" s="557">
        <v>8.8539999999999994E-2</v>
      </c>
      <c r="BS27" s="557">
        <v>8.8539999999999994E-2</v>
      </c>
      <c r="BT27" s="557">
        <v>1.719E-2</v>
      </c>
      <c r="BU27" s="557">
        <v>7.3859999999999995E-2</v>
      </c>
      <c r="BV27" s="557">
        <v>4.929E-2</v>
      </c>
      <c r="BW27" s="558" t="s">
        <v>2275</v>
      </c>
      <c r="BX27" s="535" t="s">
        <v>2276</v>
      </c>
      <c r="DH27" s="540" t="str">
        <f t="shared" si="10"/>
        <v>Guatemala</v>
      </c>
      <c r="DI27" s="540" t="str">
        <f t="shared" si="11"/>
        <v>Americas</v>
      </c>
      <c r="DJ27" s="540" t="str">
        <f t="shared" si="12"/>
        <v>Central America</v>
      </c>
      <c r="DL27" s="540" t="s">
        <v>35</v>
      </c>
      <c r="DN27" s="540" t="s">
        <v>2199</v>
      </c>
      <c r="DO27" s="540" t="s">
        <v>2200</v>
      </c>
    </row>
    <row r="28" spans="3:119">
      <c r="C28" s="463" t="s">
        <v>4382</v>
      </c>
      <c r="D28" s="520"/>
      <c r="E28" s="732">
        <v>1.37</v>
      </c>
      <c r="F28" s="521" t="s">
        <v>2079</v>
      </c>
      <c r="G28" s="522" t="s">
        <v>4368</v>
      </c>
      <c r="H28" s="521"/>
      <c r="I28" s="522"/>
      <c r="J28" s="521"/>
      <c r="AW28" s="1396" t="s">
        <v>2519</v>
      </c>
      <c r="AX28" s="1395" t="s">
        <v>2086</v>
      </c>
      <c r="AY28" s="1397" t="s">
        <v>2155</v>
      </c>
      <c r="AZ28" s="1396">
        <v>473</v>
      </c>
      <c r="BA28" s="528" t="s">
        <v>1977</v>
      </c>
      <c r="BB28" s="536">
        <v>11.4</v>
      </c>
      <c r="BC28" s="535" t="s">
        <v>2006</v>
      </c>
      <c r="BD28" s="537"/>
      <c r="BE28" s="537"/>
      <c r="BF28" s="535"/>
      <c r="BG28" s="537"/>
      <c r="BH28" s="538">
        <f t="shared" si="19"/>
        <v>13.7</v>
      </c>
      <c r="BI28" s="538">
        <f t="shared" si="20"/>
        <v>2.6</v>
      </c>
      <c r="BJ28" s="538">
        <f t="shared" si="21"/>
        <v>43.8</v>
      </c>
      <c r="BK28" s="538">
        <f t="shared" si="22"/>
        <v>13.5</v>
      </c>
      <c r="BL28" s="538">
        <f t="shared" si="23"/>
        <v>9.5</v>
      </c>
      <c r="BM28" s="538">
        <f t="shared" si="24"/>
        <v>5.6</v>
      </c>
      <c r="BN28" s="538">
        <f t="shared" si="25"/>
        <v>6.7</v>
      </c>
      <c r="BO28" s="538">
        <f t="shared" si="26"/>
        <v>4.6000000000000085</v>
      </c>
      <c r="BP28" s="538">
        <f t="shared" si="18"/>
        <v>100</v>
      </c>
      <c r="BQ28" s="535" t="s">
        <v>1979</v>
      </c>
      <c r="BR28" s="557">
        <v>8.8539999999999994E-2</v>
      </c>
      <c r="BS28" s="557">
        <v>8.8539999999999994E-2</v>
      </c>
      <c r="BT28" s="557">
        <v>1.719E-2</v>
      </c>
      <c r="BU28" s="557">
        <v>7.3859999999999995E-2</v>
      </c>
      <c r="BV28" s="557">
        <v>4.929E-2</v>
      </c>
      <c r="BW28" s="558" t="s">
        <v>2275</v>
      </c>
      <c r="BX28" s="535" t="s">
        <v>2276</v>
      </c>
      <c r="DH28" s="540" t="str">
        <f t="shared" si="10"/>
        <v>Honduras</v>
      </c>
      <c r="DI28" s="540" t="str">
        <f t="shared" si="11"/>
        <v>Americas</v>
      </c>
      <c r="DJ28" s="540" t="str">
        <f t="shared" si="12"/>
        <v>Central America</v>
      </c>
      <c r="DL28" s="540" t="s">
        <v>35</v>
      </c>
      <c r="DN28" s="540" t="s">
        <v>2202</v>
      </c>
      <c r="DO28" s="540" t="s">
        <v>2203</v>
      </c>
    </row>
    <row r="29" spans="3:119" ht="25.5">
      <c r="C29" s="463" t="s">
        <v>4383</v>
      </c>
      <c r="D29" s="520"/>
      <c r="E29" s="732">
        <v>26</v>
      </c>
      <c r="F29" s="521" t="s">
        <v>2079</v>
      </c>
      <c r="G29" s="522" t="s">
        <v>4368</v>
      </c>
      <c r="H29" s="521"/>
      <c r="I29" s="522"/>
      <c r="J29" s="521"/>
      <c r="AW29" s="1395" t="s">
        <v>56</v>
      </c>
      <c r="AX29" s="1395" t="s">
        <v>2086</v>
      </c>
      <c r="AY29" s="1397" t="s">
        <v>2155</v>
      </c>
      <c r="AZ29" s="1395">
        <v>505</v>
      </c>
      <c r="BA29" s="528" t="s">
        <v>2668</v>
      </c>
      <c r="BB29" s="536">
        <v>9.3894684857089938</v>
      </c>
      <c r="BC29" s="535" t="s">
        <v>2087</v>
      </c>
      <c r="BD29" s="537"/>
      <c r="BE29" s="537"/>
      <c r="BF29" s="535"/>
      <c r="BG29" s="537"/>
      <c r="BH29" s="538">
        <f t="shared" si="19"/>
        <v>13.7</v>
      </c>
      <c r="BI29" s="538">
        <f t="shared" si="20"/>
        <v>2.6</v>
      </c>
      <c r="BJ29" s="538">
        <f t="shared" si="21"/>
        <v>43.8</v>
      </c>
      <c r="BK29" s="538">
        <f t="shared" si="22"/>
        <v>13.5</v>
      </c>
      <c r="BL29" s="538">
        <f t="shared" si="23"/>
        <v>9.5</v>
      </c>
      <c r="BM29" s="538">
        <f t="shared" si="24"/>
        <v>5.6</v>
      </c>
      <c r="BN29" s="538">
        <f t="shared" si="25"/>
        <v>6.7</v>
      </c>
      <c r="BO29" s="538">
        <f t="shared" si="26"/>
        <v>4.6000000000000085</v>
      </c>
      <c r="BP29" s="538">
        <f t="shared" si="18"/>
        <v>100</v>
      </c>
      <c r="BQ29" s="535" t="s">
        <v>1979</v>
      </c>
      <c r="BR29" s="557">
        <v>8.8539999999999994E-2</v>
      </c>
      <c r="BS29" s="557">
        <v>8.8539999999999994E-2</v>
      </c>
      <c r="BT29" s="557">
        <v>1.719E-2</v>
      </c>
      <c r="BU29" s="557">
        <v>7.3859999999999995E-2</v>
      </c>
      <c r="BV29" s="557">
        <v>4.929E-2</v>
      </c>
      <c r="BW29" s="558" t="s">
        <v>2275</v>
      </c>
      <c r="BX29" s="535" t="s">
        <v>2276</v>
      </c>
      <c r="DH29" s="540" t="str">
        <f t="shared" si="10"/>
        <v>Mexico</v>
      </c>
      <c r="DI29" s="540" t="str">
        <f t="shared" si="11"/>
        <v>Americas</v>
      </c>
      <c r="DJ29" s="540" t="str">
        <f t="shared" si="12"/>
        <v>Central America</v>
      </c>
      <c r="DL29" s="540" t="s">
        <v>35</v>
      </c>
      <c r="DN29" s="540" t="s">
        <v>2205</v>
      </c>
      <c r="DO29" s="540" t="s">
        <v>2206</v>
      </c>
    </row>
    <row r="30" spans="3:119">
      <c r="C30" s="463" t="s">
        <v>4384</v>
      </c>
      <c r="D30" s="520"/>
      <c r="E30" s="732">
        <v>2.08</v>
      </c>
      <c r="F30" s="521" t="s">
        <v>2079</v>
      </c>
      <c r="G30" s="522" t="s">
        <v>4368</v>
      </c>
      <c r="H30" s="521"/>
      <c r="I30" s="522"/>
      <c r="J30" s="521"/>
      <c r="AW30" s="1396" t="s">
        <v>2689</v>
      </c>
      <c r="AX30" s="1395" t="s">
        <v>2086</v>
      </c>
      <c r="AY30" s="1397" t="s">
        <v>2155</v>
      </c>
      <c r="AZ30" s="1396">
        <v>429</v>
      </c>
      <c r="BA30" s="528" t="s">
        <v>1977</v>
      </c>
      <c r="BB30" s="536">
        <v>9.18</v>
      </c>
      <c r="BC30" s="535" t="s">
        <v>2006</v>
      </c>
      <c r="BD30" s="537"/>
      <c r="BE30" s="537"/>
      <c r="BF30" s="535"/>
      <c r="BG30" s="537"/>
      <c r="BH30" s="538">
        <f t="shared" si="19"/>
        <v>13.7</v>
      </c>
      <c r="BI30" s="538">
        <f t="shared" si="20"/>
        <v>2.6</v>
      </c>
      <c r="BJ30" s="538">
        <f t="shared" si="21"/>
        <v>43.8</v>
      </c>
      <c r="BK30" s="538">
        <f t="shared" si="22"/>
        <v>13.5</v>
      </c>
      <c r="BL30" s="538">
        <f t="shared" si="23"/>
        <v>9.5</v>
      </c>
      <c r="BM30" s="538">
        <f t="shared" si="24"/>
        <v>5.6</v>
      </c>
      <c r="BN30" s="538">
        <f t="shared" si="25"/>
        <v>6.7</v>
      </c>
      <c r="BO30" s="538">
        <f t="shared" si="26"/>
        <v>4.6000000000000085</v>
      </c>
      <c r="BP30" s="538">
        <f t="shared" si="18"/>
        <v>100</v>
      </c>
      <c r="BQ30" s="535" t="s">
        <v>1979</v>
      </c>
      <c r="BR30" s="557">
        <v>8.8539999999999994E-2</v>
      </c>
      <c r="BS30" s="557">
        <v>8.8539999999999994E-2</v>
      </c>
      <c r="BT30" s="557">
        <v>1.719E-2</v>
      </c>
      <c r="BU30" s="557">
        <v>7.3859999999999995E-2</v>
      </c>
      <c r="BV30" s="557">
        <v>4.929E-2</v>
      </c>
      <c r="BW30" s="558" t="s">
        <v>2275</v>
      </c>
      <c r="BX30" s="535" t="s">
        <v>2276</v>
      </c>
      <c r="DH30" s="540" t="str">
        <f t="shared" si="10"/>
        <v>Nicaragua</v>
      </c>
      <c r="DI30" s="540" t="str">
        <f t="shared" si="11"/>
        <v>Americas</v>
      </c>
      <c r="DJ30" s="540" t="str">
        <f t="shared" si="12"/>
        <v>Central America</v>
      </c>
      <c r="DL30" s="540" t="s">
        <v>35</v>
      </c>
      <c r="DN30" s="540" t="s">
        <v>2210</v>
      </c>
      <c r="DO30" s="540" t="s">
        <v>2211</v>
      </c>
    </row>
    <row r="31" spans="3:119">
      <c r="C31" s="463" t="s">
        <v>1965</v>
      </c>
      <c r="D31" s="520"/>
      <c r="E31" s="732">
        <v>29.8</v>
      </c>
      <c r="F31" s="521"/>
      <c r="G31" s="522" t="s">
        <v>4368</v>
      </c>
      <c r="H31" s="521"/>
      <c r="I31" s="522"/>
      <c r="J31" s="521"/>
      <c r="AW31" s="1396" t="s">
        <v>2697</v>
      </c>
      <c r="AX31" s="1395" t="s">
        <v>2086</v>
      </c>
      <c r="AY31" s="1397" t="s">
        <v>2155</v>
      </c>
      <c r="AZ31" s="1396">
        <v>361</v>
      </c>
      <c r="BA31" s="528" t="s">
        <v>1977</v>
      </c>
      <c r="BB31" s="536">
        <v>5.43</v>
      </c>
      <c r="BC31" s="535" t="s">
        <v>2006</v>
      </c>
      <c r="BD31" s="549">
        <v>5.7500000000000002E-2</v>
      </c>
      <c r="BE31" s="549">
        <v>8.5000000000000006E-2</v>
      </c>
      <c r="BF31" s="535" t="s">
        <v>2179</v>
      </c>
      <c r="BG31" s="537"/>
      <c r="BH31" s="538">
        <f t="shared" si="19"/>
        <v>13.7</v>
      </c>
      <c r="BI31" s="538">
        <f t="shared" si="20"/>
        <v>2.6</v>
      </c>
      <c r="BJ31" s="538">
        <f t="shared" si="21"/>
        <v>43.8</v>
      </c>
      <c r="BK31" s="538">
        <f t="shared" si="22"/>
        <v>13.5</v>
      </c>
      <c r="BL31" s="538">
        <f t="shared" si="23"/>
        <v>9.5</v>
      </c>
      <c r="BM31" s="538">
        <f t="shared" si="24"/>
        <v>5.6</v>
      </c>
      <c r="BN31" s="538">
        <f t="shared" si="25"/>
        <v>6.7</v>
      </c>
      <c r="BO31" s="538">
        <f t="shared" si="26"/>
        <v>4.6000000000000085</v>
      </c>
      <c r="BP31" s="538">
        <f t="shared" si="18"/>
        <v>100</v>
      </c>
      <c r="BQ31" s="535" t="s">
        <v>1979</v>
      </c>
      <c r="BR31" s="557">
        <v>8.8539999999999994E-2</v>
      </c>
      <c r="BS31" s="557">
        <v>8.8539999999999994E-2</v>
      </c>
      <c r="BT31" s="557">
        <v>1.719E-2</v>
      </c>
      <c r="BU31" s="557">
        <v>7.3859999999999995E-2</v>
      </c>
      <c r="BV31" s="557">
        <v>4.929E-2</v>
      </c>
      <c r="BW31" s="558" t="s">
        <v>2275</v>
      </c>
      <c r="BX31" s="535" t="s">
        <v>2276</v>
      </c>
      <c r="DH31" s="540" t="str">
        <f t="shared" si="10"/>
        <v>Panama</v>
      </c>
      <c r="DI31" s="540" t="str">
        <f t="shared" si="11"/>
        <v>Americas</v>
      </c>
      <c r="DJ31" s="540" t="str">
        <f t="shared" si="12"/>
        <v>Central America</v>
      </c>
      <c r="DK31" s="540" t="e">
        <f>VLOOKUP(DH31,#REF!,1)</f>
        <v>#REF!</v>
      </c>
      <c r="DL31" s="540" t="e">
        <f>VLOOKUP(DK31,#REF!,2,FALSE)</f>
        <v>#REF!</v>
      </c>
      <c r="DN31" s="540" t="s">
        <v>2214</v>
      </c>
      <c r="DO31" s="540" t="s">
        <v>2215</v>
      </c>
    </row>
    <row r="32" spans="3:119" ht="25.5">
      <c r="C32" s="463" t="s">
        <v>4385</v>
      </c>
      <c r="D32" s="520"/>
      <c r="E32" s="732">
        <v>27</v>
      </c>
      <c r="F32" s="521" t="s">
        <v>2079</v>
      </c>
      <c r="G32" s="522" t="s">
        <v>4368</v>
      </c>
      <c r="H32" s="521"/>
      <c r="I32" s="522"/>
      <c r="J32" s="521"/>
      <c r="AW32" s="1396" t="s">
        <v>2262</v>
      </c>
      <c r="AX32" s="1396" t="s">
        <v>2032</v>
      </c>
      <c r="AY32" s="1397" t="s">
        <v>2063</v>
      </c>
      <c r="AZ32" s="1396">
        <v>316</v>
      </c>
      <c r="BA32" s="528" t="s">
        <v>1977</v>
      </c>
      <c r="BB32" s="536">
        <v>15.618667277425265</v>
      </c>
      <c r="BC32" s="535" t="s">
        <v>2218</v>
      </c>
      <c r="BD32" s="537"/>
      <c r="BE32" s="537"/>
      <c r="BF32" s="535"/>
      <c r="BG32" s="537"/>
      <c r="BH32" s="538">
        <f t="shared" si="19"/>
        <v>7.7</v>
      </c>
      <c r="BI32" s="538">
        <f t="shared" si="20"/>
        <v>1.7</v>
      </c>
      <c r="BJ32" s="538">
        <f t="shared" si="21"/>
        <v>53.9</v>
      </c>
      <c r="BK32" s="538">
        <f t="shared" si="22"/>
        <v>7</v>
      </c>
      <c r="BL32" s="538">
        <f t="shared" si="23"/>
        <v>9.5</v>
      </c>
      <c r="BM32" s="538">
        <f t="shared" si="24"/>
        <v>5.6</v>
      </c>
      <c r="BN32" s="538">
        <f t="shared" si="25"/>
        <v>5.5</v>
      </c>
      <c r="BO32" s="538">
        <f t="shared" si="26"/>
        <v>9.1000000000000085</v>
      </c>
      <c r="BP32" s="538">
        <f t="shared" si="18"/>
        <v>100</v>
      </c>
      <c r="BQ32" s="535" t="s">
        <v>1979</v>
      </c>
      <c r="BR32" s="557">
        <v>8.8539999999999994E-2</v>
      </c>
      <c r="BS32" s="557">
        <v>8.8539999999999994E-2</v>
      </c>
      <c r="BT32" s="557">
        <v>1.719E-2</v>
      </c>
      <c r="BU32" s="557">
        <v>7.3859999999999995E-2</v>
      </c>
      <c r="BV32" s="557">
        <v>4.929E-2</v>
      </c>
      <c r="BW32" s="558" t="s">
        <v>2275</v>
      </c>
      <c r="BX32" s="535" t="s">
        <v>2276</v>
      </c>
      <c r="DH32" s="540" t="str">
        <f t="shared" si="10"/>
        <v>Burundi</v>
      </c>
      <c r="DI32" s="540" t="str">
        <f t="shared" si="11"/>
        <v>Africa</v>
      </c>
      <c r="DJ32" s="540" t="str">
        <f t="shared" si="12"/>
        <v>Eastern Africa</v>
      </c>
      <c r="DL32" s="540" t="s">
        <v>35</v>
      </c>
      <c r="DN32" s="540" t="s">
        <v>2219</v>
      </c>
      <c r="DO32" s="540" t="s">
        <v>2220</v>
      </c>
    </row>
    <row r="33" spans="3:119" ht="25.5">
      <c r="C33" s="463" t="s">
        <v>4386</v>
      </c>
      <c r="D33" s="520"/>
      <c r="E33" s="732">
        <v>17400</v>
      </c>
      <c r="F33" s="521" t="s">
        <v>2079</v>
      </c>
      <c r="G33" s="522" t="s">
        <v>4368</v>
      </c>
      <c r="H33" s="521"/>
      <c r="I33" s="522"/>
      <c r="J33" s="521"/>
      <c r="AW33" s="1396" t="s">
        <v>2353</v>
      </c>
      <c r="AX33" s="1396" t="s">
        <v>2032</v>
      </c>
      <c r="AY33" s="1397" t="s">
        <v>2063</v>
      </c>
      <c r="AZ33" s="1396">
        <v>647</v>
      </c>
      <c r="BA33" s="528" t="s">
        <v>1977</v>
      </c>
      <c r="BB33" s="536">
        <v>13.490630673342661</v>
      </c>
      <c r="BC33" s="535" t="s">
        <v>2223</v>
      </c>
      <c r="BD33" s="537"/>
      <c r="BE33" s="537"/>
      <c r="BF33" s="535"/>
      <c r="BG33" s="537"/>
      <c r="BH33" s="538">
        <f t="shared" si="19"/>
        <v>7.7</v>
      </c>
      <c r="BI33" s="538">
        <f t="shared" si="20"/>
        <v>1.7</v>
      </c>
      <c r="BJ33" s="538">
        <f t="shared" si="21"/>
        <v>53.9</v>
      </c>
      <c r="BK33" s="538">
        <f t="shared" si="22"/>
        <v>7</v>
      </c>
      <c r="BL33" s="538">
        <f t="shared" si="23"/>
        <v>9.5</v>
      </c>
      <c r="BM33" s="538">
        <f t="shared" si="24"/>
        <v>5.6</v>
      </c>
      <c r="BN33" s="538">
        <f t="shared" si="25"/>
        <v>5.5</v>
      </c>
      <c r="BO33" s="538">
        <f t="shared" si="26"/>
        <v>9.1000000000000085</v>
      </c>
      <c r="BP33" s="538">
        <f t="shared" si="18"/>
        <v>100</v>
      </c>
      <c r="BQ33" s="535" t="s">
        <v>1979</v>
      </c>
      <c r="BR33" s="557">
        <v>8.8539999999999994E-2</v>
      </c>
      <c r="BS33" s="557">
        <v>8.8539999999999994E-2</v>
      </c>
      <c r="BT33" s="557">
        <v>1.719E-2</v>
      </c>
      <c r="BU33" s="557">
        <v>7.3859999999999995E-2</v>
      </c>
      <c r="BV33" s="557">
        <v>4.929E-2</v>
      </c>
      <c r="BW33" s="558" t="s">
        <v>2275</v>
      </c>
      <c r="BX33" s="535" t="s">
        <v>2276</v>
      </c>
      <c r="DH33" s="540" t="str">
        <f t="shared" si="10"/>
        <v>Comoros</v>
      </c>
      <c r="DI33" s="540" t="str">
        <f t="shared" si="11"/>
        <v>Africa</v>
      </c>
      <c r="DJ33" s="540" t="str">
        <f t="shared" si="12"/>
        <v>Eastern Africa</v>
      </c>
      <c r="DL33" s="540" t="s">
        <v>35</v>
      </c>
      <c r="DN33" s="540" t="s">
        <v>2224</v>
      </c>
      <c r="DO33" s="540" t="s">
        <v>2225</v>
      </c>
    </row>
    <row r="34" spans="3:119" ht="25.5">
      <c r="C34" s="463" t="s">
        <v>4387</v>
      </c>
      <c r="D34" s="520"/>
      <c r="E34" s="732">
        <v>273</v>
      </c>
      <c r="F34" s="521" t="s">
        <v>2079</v>
      </c>
      <c r="G34" s="522" t="s">
        <v>4368</v>
      </c>
      <c r="H34" s="521"/>
      <c r="I34" s="522"/>
      <c r="J34" s="521"/>
      <c r="AW34" s="1396" t="s">
        <v>2399</v>
      </c>
      <c r="AX34" s="1396" t="s">
        <v>2032</v>
      </c>
      <c r="AY34" s="1397" t="s">
        <v>2063</v>
      </c>
      <c r="AZ34" s="1396">
        <v>639</v>
      </c>
      <c r="BA34" s="528" t="s">
        <v>1977</v>
      </c>
      <c r="BB34" s="536">
        <v>9.3894684857089938</v>
      </c>
      <c r="BC34" s="535" t="s">
        <v>2087</v>
      </c>
      <c r="BD34" s="537"/>
      <c r="BE34" s="537"/>
      <c r="BF34" s="535"/>
      <c r="BG34" s="537"/>
      <c r="BH34" s="538">
        <f t="shared" si="19"/>
        <v>7.7</v>
      </c>
      <c r="BI34" s="538">
        <f t="shared" si="20"/>
        <v>1.7</v>
      </c>
      <c r="BJ34" s="538">
        <f t="shared" si="21"/>
        <v>53.9</v>
      </c>
      <c r="BK34" s="538">
        <f t="shared" si="22"/>
        <v>7</v>
      </c>
      <c r="BL34" s="538">
        <f t="shared" si="23"/>
        <v>9.5</v>
      </c>
      <c r="BM34" s="538">
        <f t="shared" si="24"/>
        <v>5.6</v>
      </c>
      <c r="BN34" s="538">
        <f t="shared" si="25"/>
        <v>5.5</v>
      </c>
      <c r="BO34" s="538">
        <f t="shared" si="26"/>
        <v>9.1000000000000085</v>
      </c>
      <c r="BP34" s="538">
        <f t="shared" si="18"/>
        <v>100</v>
      </c>
      <c r="BQ34" s="535" t="s">
        <v>1979</v>
      </c>
      <c r="BR34" s="557">
        <v>8.8539999999999994E-2</v>
      </c>
      <c r="BS34" s="557">
        <v>8.8539999999999994E-2</v>
      </c>
      <c r="BT34" s="557">
        <v>1.719E-2</v>
      </c>
      <c r="BU34" s="557">
        <v>7.3859999999999995E-2</v>
      </c>
      <c r="BV34" s="557">
        <v>4.929E-2</v>
      </c>
      <c r="BW34" s="558" t="s">
        <v>2275</v>
      </c>
      <c r="BX34" s="535" t="s">
        <v>2276</v>
      </c>
      <c r="DH34" s="540" t="str">
        <f t="shared" si="10"/>
        <v>Djibouti</v>
      </c>
      <c r="DI34" s="540" t="str">
        <f t="shared" si="11"/>
        <v>Africa</v>
      </c>
      <c r="DJ34" s="540" t="str">
        <f t="shared" si="12"/>
        <v>Eastern Africa</v>
      </c>
      <c r="DL34" s="540" t="s">
        <v>35</v>
      </c>
      <c r="DN34" s="540" t="s">
        <v>2227</v>
      </c>
      <c r="DO34" s="540" t="s">
        <v>2228</v>
      </c>
    </row>
    <row r="35" spans="3:119">
      <c r="C35" s="463" t="s">
        <v>2212</v>
      </c>
      <c r="D35" s="520"/>
      <c r="E35" s="732">
        <v>12400</v>
      </c>
      <c r="F35" s="521" t="s">
        <v>2079</v>
      </c>
      <c r="G35" s="522" t="s">
        <v>4368</v>
      </c>
      <c r="H35" s="521"/>
      <c r="I35" s="522"/>
      <c r="J35" s="521"/>
      <c r="AW35" s="1396" t="s">
        <v>2426</v>
      </c>
      <c r="AX35" s="1396" t="s">
        <v>2032</v>
      </c>
      <c r="AY35" s="1397" t="s">
        <v>2063</v>
      </c>
      <c r="AZ35" s="1396">
        <v>739</v>
      </c>
      <c r="BA35" s="528" t="s">
        <v>1977</v>
      </c>
      <c r="BB35" s="536">
        <v>18.8367793271604</v>
      </c>
      <c r="BC35" s="535" t="s">
        <v>2230</v>
      </c>
      <c r="BD35" s="537"/>
      <c r="BE35" s="537"/>
      <c r="BF35" s="535"/>
      <c r="BG35" s="537"/>
      <c r="BH35" s="538">
        <f t="shared" si="19"/>
        <v>7.7</v>
      </c>
      <c r="BI35" s="538">
        <f t="shared" si="20"/>
        <v>1.7</v>
      </c>
      <c r="BJ35" s="538">
        <f t="shared" si="21"/>
        <v>53.9</v>
      </c>
      <c r="BK35" s="538">
        <f t="shared" si="22"/>
        <v>7</v>
      </c>
      <c r="BL35" s="538">
        <f t="shared" si="23"/>
        <v>9.5</v>
      </c>
      <c r="BM35" s="538">
        <f t="shared" si="24"/>
        <v>5.6</v>
      </c>
      <c r="BN35" s="538">
        <f t="shared" si="25"/>
        <v>5.5</v>
      </c>
      <c r="BO35" s="538">
        <f t="shared" si="26"/>
        <v>9.1000000000000085</v>
      </c>
      <c r="BP35" s="538">
        <f t="shared" si="18"/>
        <v>100</v>
      </c>
      <c r="BQ35" s="535" t="s">
        <v>1979</v>
      </c>
      <c r="BR35" s="557">
        <v>8.8539999999999994E-2</v>
      </c>
      <c r="BS35" s="557">
        <v>8.8539999999999994E-2</v>
      </c>
      <c r="BT35" s="557">
        <v>1.719E-2</v>
      </c>
      <c r="BU35" s="557">
        <v>7.3859999999999995E-2</v>
      </c>
      <c r="BV35" s="557">
        <v>4.929E-2</v>
      </c>
      <c r="BW35" s="558" t="s">
        <v>2275</v>
      </c>
      <c r="BX35" s="535" t="s">
        <v>2276</v>
      </c>
      <c r="DH35" s="540" t="str">
        <f t="shared" ref="DH35:DH66" si="28">AW35</f>
        <v>Eritrea</v>
      </c>
      <c r="DI35" s="540" t="str">
        <f t="shared" ref="DI35:DI66" si="29">AX35</f>
        <v>Africa</v>
      </c>
      <c r="DJ35" s="540" t="str">
        <f t="shared" ref="DJ35:DJ66" si="30">AY35</f>
        <v>Eastern Africa</v>
      </c>
      <c r="DL35" s="540" t="s">
        <v>35</v>
      </c>
      <c r="DN35" s="540" t="s">
        <v>2231</v>
      </c>
      <c r="DO35" s="540" t="s">
        <v>2232</v>
      </c>
    </row>
    <row r="36" spans="3:119">
      <c r="C36" s="463" t="s">
        <v>2207</v>
      </c>
      <c r="D36" s="520"/>
      <c r="E36" s="732">
        <v>7380</v>
      </c>
      <c r="F36" s="521" t="s">
        <v>2079</v>
      </c>
      <c r="G36" s="522" t="s">
        <v>4368</v>
      </c>
      <c r="H36" s="521"/>
      <c r="I36" s="522"/>
      <c r="J36" s="521"/>
      <c r="AW36" s="1396" t="s">
        <v>2438</v>
      </c>
      <c r="AX36" s="1396" t="s">
        <v>2032</v>
      </c>
      <c r="AY36" s="1397" t="s">
        <v>2063</v>
      </c>
      <c r="AZ36" s="1396">
        <v>44</v>
      </c>
      <c r="BA36" s="528" t="s">
        <v>1977</v>
      </c>
      <c r="BB36" s="536">
        <v>9.19</v>
      </c>
      <c r="BC36" s="535" t="s">
        <v>2006</v>
      </c>
      <c r="BD36" s="537"/>
      <c r="BE36" s="537"/>
      <c r="BF36" s="535"/>
      <c r="BG36" s="537"/>
      <c r="BH36" s="538">
        <f t="shared" si="19"/>
        <v>7.7</v>
      </c>
      <c r="BI36" s="538">
        <f t="shared" si="20"/>
        <v>1.7</v>
      </c>
      <c r="BJ36" s="538">
        <f t="shared" si="21"/>
        <v>53.9</v>
      </c>
      <c r="BK36" s="538">
        <f t="shared" si="22"/>
        <v>7</v>
      </c>
      <c r="BL36" s="538">
        <f t="shared" si="23"/>
        <v>9.5</v>
      </c>
      <c r="BM36" s="538">
        <f t="shared" si="24"/>
        <v>5.6</v>
      </c>
      <c r="BN36" s="538">
        <f t="shared" si="25"/>
        <v>5.5</v>
      </c>
      <c r="BO36" s="538">
        <f t="shared" si="26"/>
        <v>9.1000000000000085</v>
      </c>
      <c r="BP36" s="538">
        <f t="shared" si="18"/>
        <v>100</v>
      </c>
      <c r="BQ36" s="535" t="s">
        <v>1979</v>
      </c>
      <c r="BR36" s="557">
        <v>8.8539999999999994E-2</v>
      </c>
      <c r="BS36" s="557">
        <v>8.8539999999999994E-2</v>
      </c>
      <c r="BT36" s="557">
        <v>1.719E-2</v>
      </c>
      <c r="BU36" s="557">
        <v>7.3859999999999995E-2</v>
      </c>
      <c r="BV36" s="557">
        <v>4.929E-2</v>
      </c>
      <c r="BW36" s="558" t="s">
        <v>2275</v>
      </c>
      <c r="BX36" s="535" t="s">
        <v>2276</v>
      </c>
      <c r="DH36" s="540" t="str">
        <f t="shared" si="28"/>
        <v>Ethiopia</v>
      </c>
      <c r="DI36" s="540" t="str">
        <f t="shared" si="29"/>
        <v>Africa</v>
      </c>
      <c r="DJ36" s="540" t="str">
        <f t="shared" si="30"/>
        <v>Eastern Africa</v>
      </c>
      <c r="DL36" s="540" t="s">
        <v>35</v>
      </c>
      <c r="DN36" s="540" t="s">
        <v>2234</v>
      </c>
      <c r="DO36" s="540" t="s">
        <v>2235</v>
      </c>
    </row>
    <row r="37" spans="3:119">
      <c r="C37" s="463" t="s">
        <v>2216</v>
      </c>
      <c r="D37" s="520"/>
      <c r="E37" s="732">
        <v>9290</v>
      </c>
      <c r="F37" s="521" t="s">
        <v>2079</v>
      </c>
      <c r="G37" s="522" t="s">
        <v>4368</v>
      </c>
      <c r="H37" s="521"/>
      <c r="I37" s="522"/>
      <c r="J37" s="521"/>
      <c r="AW37" s="1396" t="s">
        <v>2574</v>
      </c>
      <c r="AX37" s="1396" t="s">
        <v>2032</v>
      </c>
      <c r="AY37" s="1397" t="s">
        <v>2063</v>
      </c>
      <c r="AZ37" s="1396">
        <v>317</v>
      </c>
      <c r="BA37" s="528" t="s">
        <v>1977</v>
      </c>
      <c r="BB37" s="536">
        <v>8.18</v>
      </c>
      <c r="BC37" s="535" t="s">
        <v>2006</v>
      </c>
      <c r="BD37" s="537"/>
      <c r="BE37" s="537"/>
      <c r="BF37" s="535"/>
      <c r="BG37" s="537"/>
      <c r="BH37" s="538">
        <f t="shared" si="19"/>
        <v>7.7</v>
      </c>
      <c r="BI37" s="538">
        <f t="shared" si="20"/>
        <v>1.7</v>
      </c>
      <c r="BJ37" s="538">
        <f t="shared" si="21"/>
        <v>53.9</v>
      </c>
      <c r="BK37" s="538">
        <f t="shared" si="22"/>
        <v>7</v>
      </c>
      <c r="BL37" s="538">
        <f t="shared" si="23"/>
        <v>9.5</v>
      </c>
      <c r="BM37" s="538">
        <f t="shared" si="24"/>
        <v>5.6</v>
      </c>
      <c r="BN37" s="538">
        <f t="shared" si="25"/>
        <v>5.5</v>
      </c>
      <c r="BO37" s="538">
        <f t="shared" si="26"/>
        <v>9.1000000000000085</v>
      </c>
      <c r="BP37" s="538">
        <f t="shared" si="18"/>
        <v>100</v>
      </c>
      <c r="BQ37" s="535" t="s">
        <v>1979</v>
      </c>
      <c r="BR37" s="557">
        <v>8.8539999999999994E-2</v>
      </c>
      <c r="BS37" s="557">
        <v>8.8539999999999994E-2</v>
      </c>
      <c r="BT37" s="557">
        <v>1.719E-2</v>
      </c>
      <c r="BU37" s="557">
        <v>7.3859999999999995E-2</v>
      </c>
      <c r="BV37" s="557">
        <v>4.929E-2</v>
      </c>
      <c r="BW37" s="558" t="s">
        <v>2275</v>
      </c>
      <c r="BX37" s="535" t="s">
        <v>2276</v>
      </c>
      <c r="DH37" s="540" t="str">
        <f t="shared" si="28"/>
        <v>Kenya</v>
      </c>
      <c r="DI37" s="540" t="str">
        <f t="shared" si="29"/>
        <v>Africa</v>
      </c>
      <c r="DJ37" s="540" t="str">
        <f t="shared" si="30"/>
        <v>Eastern Africa</v>
      </c>
      <c r="DL37" s="540" t="s">
        <v>35</v>
      </c>
      <c r="DN37" s="540" t="s">
        <v>2237</v>
      </c>
      <c r="DO37" s="540" t="s">
        <v>2238</v>
      </c>
    </row>
    <row r="38" spans="3:119">
      <c r="C38" s="463" t="s">
        <v>2930</v>
      </c>
      <c r="D38" s="520"/>
      <c r="E38" s="732">
        <v>10000</v>
      </c>
      <c r="F38" s="521" t="s">
        <v>2079</v>
      </c>
      <c r="G38" s="522" t="s">
        <v>4368</v>
      </c>
      <c r="H38" s="521"/>
      <c r="I38" s="522"/>
      <c r="J38" s="521"/>
      <c r="AW38" s="1396" t="s">
        <v>2634</v>
      </c>
      <c r="AX38" s="1396" t="s">
        <v>2032</v>
      </c>
      <c r="AY38" s="1397" t="s">
        <v>2063</v>
      </c>
      <c r="AZ38" s="1396">
        <v>377</v>
      </c>
      <c r="BA38" s="528" t="s">
        <v>1977</v>
      </c>
      <c r="BB38" s="536">
        <v>11.02</v>
      </c>
      <c r="BC38" s="535" t="s">
        <v>2006</v>
      </c>
      <c r="BD38" s="537"/>
      <c r="BE38" s="537"/>
      <c r="BF38" s="535"/>
      <c r="BG38" s="537"/>
      <c r="BH38" s="538">
        <f t="shared" si="19"/>
        <v>7.7</v>
      </c>
      <c r="BI38" s="538">
        <f t="shared" si="20"/>
        <v>1.7</v>
      </c>
      <c r="BJ38" s="538">
        <f t="shared" si="21"/>
        <v>53.9</v>
      </c>
      <c r="BK38" s="538">
        <f t="shared" si="22"/>
        <v>7</v>
      </c>
      <c r="BL38" s="538">
        <f t="shared" si="23"/>
        <v>9.5</v>
      </c>
      <c r="BM38" s="538">
        <f t="shared" si="24"/>
        <v>5.6</v>
      </c>
      <c r="BN38" s="538">
        <f t="shared" si="25"/>
        <v>5.5</v>
      </c>
      <c r="BO38" s="538">
        <f t="shared" si="26"/>
        <v>9.1000000000000085</v>
      </c>
      <c r="BP38" s="538">
        <f t="shared" si="18"/>
        <v>100</v>
      </c>
      <c r="BQ38" s="535" t="s">
        <v>1979</v>
      </c>
      <c r="BR38" s="557">
        <v>8.8539999999999994E-2</v>
      </c>
      <c r="BS38" s="557">
        <v>8.8539999999999994E-2</v>
      </c>
      <c r="BT38" s="557">
        <v>1.719E-2</v>
      </c>
      <c r="BU38" s="557">
        <v>7.3859999999999995E-2</v>
      </c>
      <c r="BV38" s="557">
        <v>4.929E-2</v>
      </c>
      <c r="BW38" s="558" t="s">
        <v>2275</v>
      </c>
      <c r="BX38" s="535" t="s">
        <v>2276</v>
      </c>
      <c r="DH38" s="540" t="str">
        <f t="shared" si="28"/>
        <v>Madagascar</v>
      </c>
      <c r="DI38" s="540" t="str">
        <f t="shared" si="29"/>
        <v>Africa</v>
      </c>
      <c r="DJ38" s="540" t="str">
        <f t="shared" si="30"/>
        <v>Eastern Africa</v>
      </c>
      <c r="DL38" s="540" t="s">
        <v>35</v>
      </c>
      <c r="DN38" s="540" t="s">
        <v>2240</v>
      </c>
      <c r="DO38" s="540" t="s">
        <v>2241</v>
      </c>
    </row>
    <row r="39" spans="3:119">
      <c r="C39" s="463" t="s">
        <v>2221</v>
      </c>
      <c r="D39" s="520"/>
      <c r="E39" s="732">
        <v>10200</v>
      </c>
      <c r="F39" s="521" t="s">
        <v>2079</v>
      </c>
      <c r="G39" s="522" t="s">
        <v>4368</v>
      </c>
      <c r="H39" s="521"/>
      <c r="I39" s="522"/>
      <c r="J39" s="521"/>
      <c r="AW39" s="1396" t="s">
        <v>2640</v>
      </c>
      <c r="AX39" s="1396" t="s">
        <v>2032</v>
      </c>
      <c r="AY39" s="1397" t="s">
        <v>2063</v>
      </c>
      <c r="AZ39" s="1396">
        <v>43</v>
      </c>
      <c r="BA39" s="528" t="s">
        <v>1977</v>
      </c>
      <c r="BB39" s="536">
        <v>15.77</v>
      </c>
      <c r="BC39" s="535" t="s">
        <v>2006</v>
      </c>
      <c r="BD39" s="549">
        <v>0.11</v>
      </c>
      <c r="BE39" s="549">
        <v>0.44</v>
      </c>
      <c r="BF39" s="535" t="s">
        <v>2179</v>
      </c>
      <c r="BG39" s="537"/>
      <c r="BH39" s="538">
        <f t="shared" si="19"/>
        <v>7.7</v>
      </c>
      <c r="BI39" s="538">
        <f t="shared" si="20"/>
        <v>1.7</v>
      </c>
      <c r="BJ39" s="538">
        <f t="shared" si="21"/>
        <v>53.9</v>
      </c>
      <c r="BK39" s="538">
        <f t="shared" si="22"/>
        <v>7</v>
      </c>
      <c r="BL39" s="538">
        <f t="shared" si="23"/>
        <v>9.5</v>
      </c>
      <c r="BM39" s="538">
        <f t="shared" si="24"/>
        <v>5.6</v>
      </c>
      <c r="BN39" s="538">
        <f t="shared" si="25"/>
        <v>5.5</v>
      </c>
      <c r="BO39" s="538">
        <f t="shared" si="26"/>
        <v>9.1000000000000085</v>
      </c>
      <c r="BP39" s="538">
        <f t="shared" si="18"/>
        <v>100</v>
      </c>
      <c r="BQ39" s="535" t="s">
        <v>1979</v>
      </c>
      <c r="BR39" s="557">
        <v>8.8539999999999994E-2</v>
      </c>
      <c r="BS39" s="557">
        <v>8.8539999999999994E-2</v>
      </c>
      <c r="BT39" s="557">
        <v>1.719E-2</v>
      </c>
      <c r="BU39" s="557">
        <v>7.3859999999999995E-2</v>
      </c>
      <c r="BV39" s="557">
        <v>4.929E-2</v>
      </c>
      <c r="BW39" s="558" t="s">
        <v>2275</v>
      </c>
      <c r="BX39" s="535" t="s">
        <v>2276</v>
      </c>
      <c r="DH39" s="540" t="str">
        <f t="shared" si="28"/>
        <v>Malawi</v>
      </c>
      <c r="DI39" s="540" t="str">
        <f t="shared" si="29"/>
        <v>Africa</v>
      </c>
      <c r="DJ39" s="540" t="str">
        <f t="shared" si="30"/>
        <v>Eastern Africa</v>
      </c>
      <c r="DK39" s="540" t="e">
        <f>VLOOKUP(DH39,#REF!,1)</f>
        <v>#REF!</v>
      </c>
      <c r="DL39" s="540" t="e">
        <f>VLOOKUP(DK39,#REF!,2,FALSE)</f>
        <v>#REF!</v>
      </c>
      <c r="DN39" s="540" t="s">
        <v>2243</v>
      </c>
      <c r="DO39" s="540" t="s">
        <v>2244</v>
      </c>
    </row>
    <row r="40" spans="3:119" ht="25.5">
      <c r="C40" s="463" t="s">
        <v>2931</v>
      </c>
      <c r="D40" s="520"/>
      <c r="E40" s="732">
        <v>9220</v>
      </c>
      <c r="F40" s="521" t="s">
        <v>2079</v>
      </c>
      <c r="G40" s="522" t="s">
        <v>4368</v>
      </c>
      <c r="H40" s="521"/>
      <c r="I40" s="522"/>
      <c r="J40" s="521"/>
      <c r="AW40" s="1396" t="s">
        <v>2662</v>
      </c>
      <c r="AX40" s="1396" t="s">
        <v>2032</v>
      </c>
      <c r="AY40" s="1397" t="s">
        <v>2063</v>
      </c>
      <c r="AZ40" s="1396">
        <v>552</v>
      </c>
      <c r="BA40" s="528" t="s">
        <v>1977</v>
      </c>
      <c r="BB40" s="536">
        <v>9.3894684857089938</v>
      </c>
      <c r="BC40" s="535" t="s">
        <v>2087</v>
      </c>
      <c r="BD40" s="537"/>
      <c r="BE40" s="537"/>
      <c r="BF40" s="535"/>
      <c r="BG40" s="537"/>
      <c r="BH40" s="538">
        <f t="shared" si="19"/>
        <v>7.7</v>
      </c>
      <c r="BI40" s="538">
        <f t="shared" si="20"/>
        <v>1.7</v>
      </c>
      <c r="BJ40" s="538">
        <f t="shared" si="21"/>
        <v>53.9</v>
      </c>
      <c r="BK40" s="538">
        <f t="shared" si="22"/>
        <v>7</v>
      </c>
      <c r="BL40" s="538">
        <f t="shared" si="23"/>
        <v>9.5</v>
      </c>
      <c r="BM40" s="538">
        <f t="shared" si="24"/>
        <v>5.6</v>
      </c>
      <c r="BN40" s="538">
        <f t="shared" si="25"/>
        <v>5.5</v>
      </c>
      <c r="BO40" s="538">
        <f t="shared" si="26"/>
        <v>9.1000000000000085</v>
      </c>
      <c r="BP40" s="538">
        <f t="shared" si="18"/>
        <v>100</v>
      </c>
      <c r="BQ40" s="535" t="s">
        <v>1979</v>
      </c>
      <c r="BR40" s="557">
        <v>8.8539999999999994E-2</v>
      </c>
      <c r="BS40" s="557">
        <v>8.8539999999999994E-2</v>
      </c>
      <c r="BT40" s="557">
        <v>1.719E-2</v>
      </c>
      <c r="BU40" s="557">
        <v>7.3859999999999995E-2</v>
      </c>
      <c r="BV40" s="557">
        <v>4.929E-2</v>
      </c>
      <c r="BW40" s="558" t="s">
        <v>2275</v>
      </c>
      <c r="BX40" s="535" t="s">
        <v>2276</v>
      </c>
      <c r="DH40" s="540" t="str">
        <f t="shared" si="28"/>
        <v>Mauritius</v>
      </c>
      <c r="DI40" s="540" t="str">
        <f t="shared" si="29"/>
        <v>Africa</v>
      </c>
      <c r="DJ40" s="540" t="str">
        <f t="shared" si="30"/>
        <v>Eastern Africa</v>
      </c>
      <c r="DL40" s="540" t="s">
        <v>35</v>
      </c>
      <c r="DN40" s="540" t="s">
        <v>2247</v>
      </c>
      <c r="DO40" s="540" t="s">
        <v>2248</v>
      </c>
    </row>
    <row r="41" spans="3:119">
      <c r="C41" s="463" t="s">
        <v>2932</v>
      </c>
      <c r="D41" s="520"/>
      <c r="E41" s="732">
        <v>8620</v>
      </c>
      <c r="F41" s="521" t="s">
        <v>2079</v>
      </c>
      <c r="G41" s="522" t="s">
        <v>4368</v>
      </c>
      <c r="H41" s="521"/>
      <c r="I41" s="522"/>
      <c r="J41" s="521"/>
      <c r="AW41" s="1396" t="s">
        <v>2665</v>
      </c>
      <c r="AX41" s="1396" t="s">
        <v>2032</v>
      </c>
      <c r="AY41" s="1397" t="s">
        <v>2063</v>
      </c>
      <c r="AZ41" s="1396">
        <v>545</v>
      </c>
      <c r="BA41" s="528" t="s">
        <v>1977</v>
      </c>
      <c r="BB41" s="536">
        <v>6.41</v>
      </c>
      <c r="BC41" s="535" t="s">
        <v>2006</v>
      </c>
      <c r="BD41" s="537"/>
      <c r="BE41" s="537"/>
      <c r="BF41" s="535"/>
      <c r="BG41" s="537"/>
      <c r="BH41" s="538">
        <f t="shared" si="19"/>
        <v>7.7</v>
      </c>
      <c r="BI41" s="538">
        <f t="shared" si="20"/>
        <v>1.7</v>
      </c>
      <c r="BJ41" s="538">
        <f t="shared" si="21"/>
        <v>53.9</v>
      </c>
      <c r="BK41" s="538">
        <f t="shared" si="22"/>
        <v>7</v>
      </c>
      <c r="BL41" s="538">
        <f t="shared" si="23"/>
        <v>9.5</v>
      </c>
      <c r="BM41" s="538">
        <f t="shared" si="24"/>
        <v>5.6</v>
      </c>
      <c r="BN41" s="538">
        <f t="shared" si="25"/>
        <v>5.5</v>
      </c>
      <c r="BO41" s="538">
        <f t="shared" si="26"/>
        <v>9.1000000000000085</v>
      </c>
      <c r="BP41" s="538">
        <f t="shared" si="18"/>
        <v>100</v>
      </c>
      <c r="BQ41" s="535" t="s">
        <v>1979</v>
      </c>
      <c r="BR41" s="557">
        <v>8.8539999999999994E-2</v>
      </c>
      <c r="BS41" s="557">
        <v>8.8539999999999994E-2</v>
      </c>
      <c r="BT41" s="557">
        <v>1.719E-2</v>
      </c>
      <c r="BU41" s="557">
        <v>7.3859999999999995E-2</v>
      </c>
      <c r="BV41" s="557">
        <v>4.929E-2</v>
      </c>
      <c r="BW41" s="558" t="s">
        <v>2275</v>
      </c>
      <c r="BX41" s="535" t="s">
        <v>2276</v>
      </c>
      <c r="DH41" s="540" t="str">
        <f t="shared" si="28"/>
        <v>Mayotte (France)</v>
      </c>
      <c r="DI41" s="540" t="str">
        <f t="shared" si="29"/>
        <v>Africa</v>
      </c>
      <c r="DJ41" s="540" t="str">
        <f t="shared" si="30"/>
        <v>Eastern Africa</v>
      </c>
      <c r="DL41" s="540" t="s">
        <v>35</v>
      </c>
      <c r="DN41" s="540" t="s">
        <v>2251</v>
      </c>
      <c r="DO41" s="540" t="s">
        <v>2252</v>
      </c>
    </row>
    <row r="42" spans="3:119">
      <c r="C42" s="463" t="s">
        <v>2933</v>
      </c>
      <c r="D42" s="520"/>
      <c r="E42" s="732">
        <v>7480</v>
      </c>
      <c r="F42" s="521" t="s">
        <v>2079</v>
      </c>
      <c r="G42" s="522" t="s">
        <v>4368</v>
      </c>
      <c r="H42" s="521"/>
      <c r="I42" s="522"/>
      <c r="J42" s="521" t="s">
        <v>28</v>
      </c>
      <c r="AW42" s="1396" t="s">
        <v>2680</v>
      </c>
      <c r="AX42" s="1396" t="s">
        <v>2032</v>
      </c>
      <c r="AY42" s="1397" t="s">
        <v>2063</v>
      </c>
      <c r="AZ42" s="1396">
        <v>128</v>
      </c>
      <c r="BA42" s="528" t="s">
        <v>1977</v>
      </c>
      <c r="BB42" s="536">
        <v>8.5500000000000007</v>
      </c>
      <c r="BC42" s="535" t="s">
        <v>2006</v>
      </c>
      <c r="BD42" s="549">
        <v>5.7500000000000002E-2</v>
      </c>
      <c r="BE42" s="549">
        <v>0.09</v>
      </c>
      <c r="BF42" s="535" t="s">
        <v>2179</v>
      </c>
      <c r="BG42" s="537"/>
      <c r="BH42" s="538">
        <f t="shared" si="19"/>
        <v>7.7</v>
      </c>
      <c r="BI42" s="538">
        <f t="shared" si="20"/>
        <v>1.7</v>
      </c>
      <c r="BJ42" s="538">
        <f t="shared" si="21"/>
        <v>53.9</v>
      </c>
      <c r="BK42" s="538">
        <f t="shared" si="22"/>
        <v>7</v>
      </c>
      <c r="BL42" s="538">
        <f t="shared" si="23"/>
        <v>9.5</v>
      </c>
      <c r="BM42" s="538">
        <f t="shared" si="24"/>
        <v>5.6</v>
      </c>
      <c r="BN42" s="538">
        <f t="shared" si="25"/>
        <v>5.5</v>
      </c>
      <c r="BO42" s="538">
        <f t="shared" si="26"/>
        <v>9.1000000000000085</v>
      </c>
      <c r="BP42" s="538">
        <f t="shared" si="18"/>
        <v>100</v>
      </c>
      <c r="BQ42" s="535" t="s">
        <v>1979</v>
      </c>
      <c r="BR42" s="557">
        <v>8.8539999999999994E-2</v>
      </c>
      <c r="BS42" s="557">
        <v>8.8539999999999994E-2</v>
      </c>
      <c r="BT42" s="557">
        <v>1.719E-2</v>
      </c>
      <c r="BU42" s="557">
        <v>7.3859999999999995E-2</v>
      </c>
      <c r="BV42" s="557">
        <v>4.929E-2</v>
      </c>
      <c r="BW42" s="558" t="s">
        <v>2275</v>
      </c>
      <c r="BX42" s="535" t="s">
        <v>2276</v>
      </c>
      <c r="DH42" s="540" t="str">
        <f t="shared" si="28"/>
        <v>Mozambique</v>
      </c>
      <c r="DI42" s="540" t="str">
        <f t="shared" si="29"/>
        <v>Africa</v>
      </c>
      <c r="DJ42" s="540" t="str">
        <f t="shared" si="30"/>
        <v>Eastern Africa</v>
      </c>
      <c r="DK42" s="540" t="e">
        <f>VLOOKUP(DH42,#REF!,1)</f>
        <v>#REF!</v>
      </c>
      <c r="DL42" s="540" t="e">
        <f>VLOOKUP(DK42,#REF!,2,FALSE)</f>
        <v>#REF!</v>
      </c>
      <c r="DN42" s="540" t="s">
        <v>2255</v>
      </c>
      <c r="DO42" s="540" t="s">
        <v>2256</v>
      </c>
    </row>
    <row r="43" spans="3:119" ht="25.5">
      <c r="C43" s="463" t="s">
        <v>2245</v>
      </c>
      <c r="D43" s="520"/>
      <c r="E43" s="732">
        <v>6230</v>
      </c>
      <c r="F43" s="521" t="s">
        <v>2079</v>
      </c>
      <c r="G43" s="522" t="s">
        <v>4368</v>
      </c>
      <c r="H43" s="521"/>
      <c r="I43" s="522"/>
      <c r="J43" s="521"/>
      <c r="AW43" s="1396" t="s">
        <v>2703</v>
      </c>
      <c r="AX43" s="1396" t="s">
        <v>2032</v>
      </c>
      <c r="AY43" s="1397" t="s">
        <v>2063</v>
      </c>
      <c r="AZ43" s="1396">
        <v>430</v>
      </c>
      <c r="BA43" s="528" t="s">
        <v>1977</v>
      </c>
      <c r="BB43" s="536">
        <v>13.490630673342661</v>
      </c>
      <c r="BC43" s="535" t="s">
        <v>2223</v>
      </c>
      <c r="BD43" s="537"/>
      <c r="BE43" s="537"/>
      <c r="BF43" s="535"/>
      <c r="BG43" s="537"/>
      <c r="BH43" s="538">
        <f t="shared" si="19"/>
        <v>7.7</v>
      </c>
      <c r="BI43" s="538">
        <f t="shared" si="20"/>
        <v>1.7</v>
      </c>
      <c r="BJ43" s="538">
        <f t="shared" si="21"/>
        <v>53.9</v>
      </c>
      <c r="BK43" s="538">
        <f t="shared" si="22"/>
        <v>7</v>
      </c>
      <c r="BL43" s="538">
        <f t="shared" si="23"/>
        <v>9.5</v>
      </c>
      <c r="BM43" s="538">
        <f t="shared" si="24"/>
        <v>5.6</v>
      </c>
      <c r="BN43" s="538">
        <f t="shared" si="25"/>
        <v>5.5</v>
      </c>
      <c r="BO43" s="538">
        <f t="shared" si="26"/>
        <v>9.1000000000000085</v>
      </c>
      <c r="BP43" s="538">
        <f t="shared" si="18"/>
        <v>100</v>
      </c>
      <c r="BQ43" s="535" t="s">
        <v>1979</v>
      </c>
      <c r="BR43" s="557">
        <v>8.8539999999999994E-2</v>
      </c>
      <c r="BS43" s="557">
        <v>8.8539999999999994E-2</v>
      </c>
      <c r="BT43" s="557">
        <v>1.719E-2</v>
      </c>
      <c r="BU43" s="557">
        <v>7.3859999999999995E-2</v>
      </c>
      <c r="BV43" s="557">
        <v>4.929E-2</v>
      </c>
      <c r="BW43" s="558" t="s">
        <v>2275</v>
      </c>
      <c r="BX43" s="535" t="s">
        <v>2276</v>
      </c>
      <c r="DH43" s="540" t="str">
        <f t="shared" si="28"/>
        <v>Reunion (France)</v>
      </c>
      <c r="DI43" s="540" t="str">
        <f t="shared" si="29"/>
        <v>Africa</v>
      </c>
      <c r="DJ43" s="540" t="str">
        <f t="shared" si="30"/>
        <v>Eastern Africa</v>
      </c>
      <c r="DL43" s="540" t="s">
        <v>35</v>
      </c>
      <c r="DN43" s="540" t="s">
        <v>2259</v>
      </c>
      <c r="DO43" s="540" t="s">
        <v>2260</v>
      </c>
    </row>
    <row r="44" spans="3:119" ht="25.5">
      <c r="C44" s="463" t="s">
        <v>2249</v>
      </c>
      <c r="D44" s="520"/>
      <c r="E44" s="732">
        <v>12500</v>
      </c>
      <c r="F44" s="521" t="s">
        <v>2079</v>
      </c>
      <c r="G44" s="522" t="s">
        <v>4368</v>
      </c>
      <c r="H44" s="521"/>
      <c r="I44" s="522"/>
      <c r="J44" s="521" t="s">
        <v>41</v>
      </c>
      <c r="AW44" s="1396" t="s">
        <v>2707</v>
      </c>
      <c r="AX44" s="1396" t="s">
        <v>2032</v>
      </c>
      <c r="AY44" s="1397" t="s">
        <v>2063</v>
      </c>
      <c r="AZ44" s="1396">
        <v>461</v>
      </c>
      <c r="BA44" s="528" t="s">
        <v>1977</v>
      </c>
      <c r="BB44" s="536">
        <v>11.740747004194485</v>
      </c>
      <c r="BC44" s="535" t="s">
        <v>2263</v>
      </c>
      <c r="BD44" s="537"/>
      <c r="BE44" s="537"/>
      <c r="BF44" s="535"/>
      <c r="BG44" s="537"/>
      <c r="BH44" s="538">
        <f t="shared" ref="BH44:BH72" si="31">+VLOOKUP($AY44,$BZ$3:$CH$21,2,FALSE)</f>
        <v>7.7</v>
      </c>
      <c r="BI44" s="538">
        <f t="shared" ref="BI44:BI72" si="32">+VLOOKUP($AY44,$BZ$3:$CH$21,3,FALSE)</f>
        <v>1.7</v>
      </c>
      <c r="BJ44" s="538">
        <f t="shared" ref="BJ44:BJ72" si="33">+VLOOKUP($AY44,$BZ$3:$CH$21,4,FALSE)</f>
        <v>53.9</v>
      </c>
      <c r="BK44" s="538">
        <f t="shared" ref="BK44:BK72" si="34">+VLOOKUP($AY44,$BZ$3:$CH$21,5,FALSE)</f>
        <v>7</v>
      </c>
      <c r="BL44" s="538">
        <f t="shared" ref="BL44:BL72" si="35">+VLOOKUP($AY44,$BZ$3:$CH$21,6,FALSE)</f>
        <v>9.5</v>
      </c>
      <c r="BM44" s="538">
        <f t="shared" ref="BM44:BM72" si="36">+VLOOKUP($AY44,$BZ$3:$CH$21,7,FALSE)</f>
        <v>5.6</v>
      </c>
      <c r="BN44" s="538">
        <f t="shared" ref="BN44:BN72" si="37">+VLOOKUP($AY44,$BZ$3:$CH$21,8,FALSE)</f>
        <v>5.5</v>
      </c>
      <c r="BO44" s="538">
        <f t="shared" ref="BO44:BO72" si="38">+VLOOKUP($AY44,$BZ$3:$CH$21,9,FALSE)</f>
        <v>9.1000000000000085</v>
      </c>
      <c r="BP44" s="538">
        <f t="shared" si="18"/>
        <v>100</v>
      </c>
      <c r="BQ44" s="535" t="s">
        <v>1979</v>
      </c>
      <c r="BR44" s="557">
        <v>8.8539999999999994E-2</v>
      </c>
      <c r="BS44" s="557">
        <v>8.8539999999999994E-2</v>
      </c>
      <c r="BT44" s="557">
        <v>1.719E-2</v>
      </c>
      <c r="BU44" s="557">
        <v>7.3859999999999995E-2</v>
      </c>
      <c r="BV44" s="557">
        <v>4.929E-2</v>
      </c>
      <c r="BW44" s="558" t="s">
        <v>2275</v>
      </c>
      <c r="BX44" s="535" t="s">
        <v>2276</v>
      </c>
      <c r="DH44" s="540" t="str">
        <f t="shared" si="28"/>
        <v>Rwanda</v>
      </c>
      <c r="DI44" s="540" t="str">
        <f t="shared" si="29"/>
        <v>Africa</v>
      </c>
      <c r="DJ44" s="540" t="str">
        <f t="shared" si="30"/>
        <v>Eastern Africa</v>
      </c>
      <c r="DL44" s="540" t="s">
        <v>35</v>
      </c>
      <c r="DN44" s="540" t="s">
        <v>2264</v>
      </c>
      <c r="DO44" s="540" t="s">
        <v>2265</v>
      </c>
    </row>
    <row r="45" spans="3:119">
      <c r="C45" s="463" t="s">
        <v>2261</v>
      </c>
      <c r="D45" s="520"/>
      <c r="E45" s="732">
        <v>90</v>
      </c>
      <c r="F45" s="521" t="s">
        <v>2079</v>
      </c>
      <c r="G45" s="522" t="s">
        <v>4368</v>
      </c>
      <c r="H45" s="521"/>
      <c r="I45" s="522"/>
      <c r="J45" s="521"/>
      <c r="AW45" s="1396" t="s">
        <v>2720</v>
      </c>
      <c r="AX45" s="1396" t="s">
        <v>2032</v>
      </c>
      <c r="AY45" s="1397" t="s">
        <v>2063</v>
      </c>
      <c r="AZ45" s="1396">
        <v>516</v>
      </c>
      <c r="BA45" s="528" t="s">
        <v>1977</v>
      </c>
      <c r="BB45" s="536">
        <v>23.416067929457871</v>
      </c>
      <c r="BC45" s="535" t="s">
        <v>2006</v>
      </c>
      <c r="BD45" s="537"/>
      <c r="BE45" s="537"/>
      <c r="BF45" s="535"/>
      <c r="BG45" s="537"/>
      <c r="BH45" s="538">
        <f t="shared" si="31"/>
        <v>7.7</v>
      </c>
      <c r="BI45" s="538">
        <f t="shared" si="32"/>
        <v>1.7</v>
      </c>
      <c r="BJ45" s="538">
        <f t="shared" si="33"/>
        <v>53.9</v>
      </c>
      <c r="BK45" s="538">
        <f t="shared" si="34"/>
        <v>7</v>
      </c>
      <c r="BL45" s="538">
        <f t="shared" si="35"/>
        <v>9.5</v>
      </c>
      <c r="BM45" s="538">
        <f t="shared" si="36"/>
        <v>5.6</v>
      </c>
      <c r="BN45" s="538">
        <f t="shared" si="37"/>
        <v>5.5</v>
      </c>
      <c r="BO45" s="538">
        <f t="shared" si="38"/>
        <v>9.1000000000000085</v>
      </c>
      <c r="BP45" s="538">
        <f t="shared" si="18"/>
        <v>100</v>
      </c>
      <c r="BQ45" s="535" t="s">
        <v>1979</v>
      </c>
      <c r="BR45" s="557">
        <v>8.8539999999999994E-2</v>
      </c>
      <c r="BS45" s="557">
        <v>8.8539999999999994E-2</v>
      </c>
      <c r="BT45" s="557">
        <v>1.719E-2</v>
      </c>
      <c r="BU45" s="557">
        <v>7.3859999999999995E-2</v>
      </c>
      <c r="BV45" s="557">
        <v>4.929E-2</v>
      </c>
      <c r="BW45" s="558" t="s">
        <v>2275</v>
      </c>
      <c r="BX45" s="535" t="s">
        <v>2276</v>
      </c>
      <c r="DH45" s="540" t="str">
        <f t="shared" si="28"/>
        <v>Seychelles</v>
      </c>
      <c r="DI45" s="540" t="str">
        <f t="shared" si="29"/>
        <v>Africa</v>
      </c>
      <c r="DJ45" s="540" t="str">
        <f t="shared" si="30"/>
        <v>Eastern Africa</v>
      </c>
      <c r="DL45" s="540" t="s">
        <v>35</v>
      </c>
      <c r="DN45" s="540" t="s">
        <v>2268</v>
      </c>
      <c r="DO45" s="540" t="s">
        <v>2269</v>
      </c>
    </row>
    <row r="46" spans="3:119">
      <c r="C46" s="463" t="s">
        <v>2253</v>
      </c>
      <c r="D46" s="520"/>
      <c r="E46" s="732">
        <v>1960</v>
      </c>
      <c r="F46" s="521" t="s">
        <v>2079</v>
      </c>
      <c r="G46" s="522" t="s">
        <v>4368</v>
      </c>
      <c r="H46" s="521"/>
      <c r="I46" s="522"/>
      <c r="J46" s="521"/>
      <c r="AW46" s="1396" t="s">
        <v>2726</v>
      </c>
      <c r="AX46" s="1396" t="s">
        <v>2032</v>
      </c>
      <c r="AY46" s="1397" t="s">
        <v>2063</v>
      </c>
      <c r="AZ46" s="1396">
        <v>658</v>
      </c>
      <c r="BA46" s="528" t="s">
        <v>1977</v>
      </c>
      <c r="BB46" s="536">
        <v>11.053315994798439</v>
      </c>
      <c r="BC46" s="535" t="s">
        <v>2006</v>
      </c>
      <c r="BD46" s="537"/>
      <c r="BE46" s="537"/>
      <c r="BF46" s="535"/>
      <c r="BG46" s="537"/>
      <c r="BH46" s="538">
        <f t="shared" si="31"/>
        <v>7.7</v>
      </c>
      <c r="BI46" s="538">
        <f t="shared" si="32"/>
        <v>1.7</v>
      </c>
      <c r="BJ46" s="538">
        <f t="shared" si="33"/>
        <v>53.9</v>
      </c>
      <c r="BK46" s="538">
        <f t="shared" si="34"/>
        <v>7</v>
      </c>
      <c r="BL46" s="538">
        <f t="shared" si="35"/>
        <v>9.5</v>
      </c>
      <c r="BM46" s="538">
        <f t="shared" si="36"/>
        <v>5.6</v>
      </c>
      <c r="BN46" s="538">
        <f t="shared" si="37"/>
        <v>5.5</v>
      </c>
      <c r="BO46" s="538">
        <f t="shared" si="38"/>
        <v>9.1000000000000085</v>
      </c>
      <c r="BP46" s="538">
        <f t="shared" si="18"/>
        <v>100</v>
      </c>
      <c r="BQ46" s="535" t="s">
        <v>1979</v>
      </c>
      <c r="BR46" s="557">
        <v>8.8539999999999994E-2</v>
      </c>
      <c r="BS46" s="557">
        <v>8.8539999999999994E-2</v>
      </c>
      <c r="BT46" s="557">
        <v>1.719E-2</v>
      </c>
      <c r="BU46" s="557">
        <v>7.3859999999999995E-2</v>
      </c>
      <c r="BV46" s="557">
        <v>4.929E-2</v>
      </c>
      <c r="BW46" s="558" t="s">
        <v>2275</v>
      </c>
      <c r="BX46" s="535" t="s">
        <v>2276</v>
      </c>
      <c r="DH46" s="540" t="str">
        <f t="shared" si="28"/>
        <v>Somalia</v>
      </c>
      <c r="DI46" s="540" t="str">
        <f t="shared" si="29"/>
        <v>Africa</v>
      </c>
      <c r="DJ46" s="540" t="str">
        <f t="shared" si="30"/>
        <v>Eastern Africa</v>
      </c>
      <c r="DL46" s="540" t="s">
        <v>35</v>
      </c>
      <c r="DN46" s="540" t="s">
        <v>2271</v>
      </c>
      <c r="DO46" s="540" t="s">
        <v>2272</v>
      </c>
    </row>
    <row r="47" spans="3:119">
      <c r="C47" s="463" t="s">
        <v>2266</v>
      </c>
      <c r="D47" s="520"/>
      <c r="E47" s="732">
        <v>0.02</v>
      </c>
      <c r="F47" s="521" t="s">
        <v>2079</v>
      </c>
      <c r="G47" s="522" t="s">
        <v>4368</v>
      </c>
      <c r="H47" s="521"/>
      <c r="I47" s="522"/>
      <c r="J47" s="521"/>
      <c r="AW47" s="1396" t="s">
        <v>2728</v>
      </c>
      <c r="AX47" s="1396" t="s">
        <v>2032</v>
      </c>
      <c r="AY47" s="1397" t="s">
        <v>2063</v>
      </c>
      <c r="AZ47" s="1396">
        <v>743</v>
      </c>
      <c r="BA47" s="528" t="s">
        <v>1977</v>
      </c>
      <c r="BB47" s="552">
        <v>6.666666666666667</v>
      </c>
      <c r="BC47" s="535" t="s">
        <v>2274</v>
      </c>
      <c r="BD47" s="549">
        <v>0.02</v>
      </c>
      <c r="BE47" s="549">
        <v>7.0000000000000007E-2</v>
      </c>
      <c r="BF47" s="535" t="s">
        <v>2179</v>
      </c>
      <c r="BG47" s="537"/>
      <c r="BH47" s="538">
        <f t="shared" si="31"/>
        <v>7.7</v>
      </c>
      <c r="BI47" s="538">
        <f t="shared" si="32"/>
        <v>1.7</v>
      </c>
      <c r="BJ47" s="538">
        <f t="shared" si="33"/>
        <v>53.9</v>
      </c>
      <c r="BK47" s="538">
        <f t="shared" si="34"/>
        <v>7</v>
      </c>
      <c r="BL47" s="538">
        <f t="shared" si="35"/>
        <v>9.5</v>
      </c>
      <c r="BM47" s="538">
        <f t="shared" si="36"/>
        <v>5.6</v>
      </c>
      <c r="BN47" s="538">
        <f t="shared" si="37"/>
        <v>5.5</v>
      </c>
      <c r="BO47" s="538">
        <f t="shared" si="38"/>
        <v>9.1000000000000085</v>
      </c>
      <c r="BP47" s="538">
        <f t="shared" si="18"/>
        <v>100</v>
      </c>
      <c r="BQ47" s="535" t="s">
        <v>1979</v>
      </c>
      <c r="BR47" s="557">
        <v>8.8540000000000008E-2</v>
      </c>
      <c r="BS47" s="557">
        <v>8.8540000000000008E-2</v>
      </c>
      <c r="BT47" s="557">
        <v>1.719E-2</v>
      </c>
      <c r="BU47" s="557">
        <v>7.3859999999999995E-2</v>
      </c>
      <c r="BV47" s="557">
        <v>4.929E-2</v>
      </c>
      <c r="BW47" s="558" t="s">
        <v>2275</v>
      </c>
      <c r="BX47" s="535" t="s">
        <v>2276</v>
      </c>
      <c r="DH47" s="540" t="str">
        <f t="shared" si="28"/>
        <v>South Sudan</v>
      </c>
      <c r="DI47" s="540" t="str">
        <f t="shared" si="29"/>
        <v>Africa</v>
      </c>
      <c r="DJ47" s="540" t="str">
        <f t="shared" si="30"/>
        <v>Eastern Africa</v>
      </c>
      <c r="DK47" s="540" t="e">
        <f>VLOOKUP(DH47,#REF!,1)</f>
        <v>#REF!</v>
      </c>
      <c r="DL47" s="540" t="e">
        <f>VLOOKUP(DK47,#REF!,2,FALSE)</f>
        <v>#REF!</v>
      </c>
      <c r="DN47" s="540" t="s">
        <v>2277</v>
      </c>
      <c r="DO47" s="540" t="s">
        <v>2278</v>
      </c>
    </row>
    <row r="48" spans="3:119">
      <c r="C48" s="463" t="s">
        <v>2273</v>
      </c>
      <c r="D48" s="520"/>
      <c r="E48" s="732">
        <v>1263</v>
      </c>
      <c r="F48" s="521" t="s">
        <v>2079</v>
      </c>
      <c r="G48" s="522" t="s">
        <v>4368</v>
      </c>
      <c r="H48" s="521"/>
      <c r="I48" s="522"/>
      <c r="J48" s="521"/>
      <c r="AW48" s="1396" t="s">
        <v>2730</v>
      </c>
      <c r="AX48" s="1396" t="s">
        <v>2032</v>
      </c>
      <c r="AY48" s="1397" t="s">
        <v>2063</v>
      </c>
      <c r="AZ48" s="1396">
        <v>352</v>
      </c>
      <c r="BA48" s="528" t="s">
        <v>1977</v>
      </c>
      <c r="BB48" s="552">
        <v>4.301075268817204</v>
      </c>
      <c r="BC48" s="535" t="s">
        <v>2274</v>
      </c>
      <c r="BD48" s="549">
        <v>0.02</v>
      </c>
      <c r="BE48" s="549">
        <v>7.0000000000000007E-2</v>
      </c>
      <c r="BF48" s="535" t="s">
        <v>2179</v>
      </c>
      <c r="BG48" s="537"/>
      <c r="BH48" s="538">
        <f t="shared" si="31"/>
        <v>7.7</v>
      </c>
      <c r="BI48" s="538">
        <f t="shared" si="32"/>
        <v>1.7</v>
      </c>
      <c r="BJ48" s="538">
        <f t="shared" si="33"/>
        <v>53.9</v>
      </c>
      <c r="BK48" s="538">
        <f t="shared" si="34"/>
        <v>7</v>
      </c>
      <c r="BL48" s="538">
        <f t="shared" si="35"/>
        <v>9.5</v>
      </c>
      <c r="BM48" s="538">
        <f t="shared" si="36"/>
        <v>5.6</v>
      </c>
      <c r="BN48" s="538">
        <f t="shared" si="37"/>
        <v>5.5</v>
      </c>
      <c r="BO48" s="538">
        <f t="shared" si="38"/>
        <v>9.1000000000000085</v>
      </c>
      <c r="BP48" s="538">
        <f t="shared" si="18"/>
        <v>100</v>
      </c>
      <c r="BQ48" s="535" t="s">
        <v>1979</v>
      </c>
      <c r="BR48" s="557">
        <v>8.8540000000000008E-2</v>
      </c>
      <c r="BS48" s="557">
        <v>8.8540000000000008E-2</v>
      </c>
      <c r="BT48" s="557">
        <v>1.719E-2</v>
      </c>
      <c r="BU48" s="557">
        <v>7.3859999999999995E-2</v>
      </c>
      <c r="BV48" s="557">
        <v>4.929E-2</v>
      </c>
      <c r="BW48" s="558" t="s">
        <v>2275</v>
      </c>
      <c r="BX48" s="535" t="s">
        <v>2276</v>
      </c>
      <c r="DH48" s="540" t="str">
        <f t="shared" si="28"/>
        <v>Sudan</v>
      </c>
      <c r="DI48" s="540" t="str">
        <f t="shared" si="29"/>
        <v>Africa</v>
      </c>
      <c r="DJ48" s="540" t="str">
        <f t="shared" si="30"/>
        <v>Eastern Africa</v>
      </c>
      <c r="DK48" s="540" t="e">
        <f>VLOOKUP(DH48,#REF!,1)</f>
        <v>#REF!</v>
      </c>
      <c r="DL48" s="540" t="e">
        <f>VLOOKUP(DK48,#REF!,2,FALSE)</f>
        <v>#REF!</v>
      </c>
      <c r="DN48" s="540" t="s">
        <v>2280</v>
      </c>
      <c r="DO48" s="540" t="s">
        <v>2281</v>
      </c>
    </row>
    <row r="49" spans="3:119">
      <c r="C49" s="463" t="s">
        <v>2279</v>
      </c>
      <c r="D49" s="520"/>
      <c r="E49" s="732">
        <v>1382</v>
      </c>
      <c r="F49" s="521" t="s">
        <v>2079</v>
      </c>
      <c r="G49" s="522" t="s">
        <v>4368</v>
      </c>
      <c r="H49" s="521"/>
      <c r="I49" s="522"/>
      <c r="J49" s="521"/>
      <c r="AW49" s="1396" t="s">
        <v>2737</v>
      </c>
      <c r="AX49" s="1396" t="s">
        <v>2032</v>
      </c>
      <c r="AY49" s="1397" t="s">
        <v>2063</v>
      </c>
      <c r="AZ49" s="1396">
        <v>477</v>
      </c>
      <c r="BA49" s="528" t="s">
        <v>1977</v>
      </c>
      <c r="BB49" s="552">
        <v>10.526315789473685</v>
      </c>
      <c r="BC49" s="535" t="s">
        <v>2274</v>
      </c>
      <c r="BD49" s="549">
        <v>0.02</v>
      </c>
      <c r="BE49" s="549">
        <v>7.0000000000000007E-2</v>
      </c>
      <c r="BF49" s="535" t="s">
        <v>2179</v>
      </c>
      <c r="BG49" s="537"/>
      <c r="BH49" s="538">
        <f t="shared" si="31"/>
        <v>7.7</v>
      </c>
      <c r="BI49" s="538">
        <f t="shared" si="32"/>
        <v>1.7</v>
      </c>
      <c r="BJ49" s="538">
        <f t="shared" si="33"/>
        <v>53.9</v>
      </c>
      <c r="BK49" s="538">
        <f t="shared" si="34"/>
        <v>7</v>
      </c>
      <c r="BL49" s="538">
        <f t="shared" si="35"/>
        <v>9.5</v>
      </c>
      <c r="BM49" s="538">
        <f t="shared" si="36"/>
        <v>5.6</v>
      </c>
      <c r="BN49" s="538">
        <f t="shared" si="37"/>
        <v>5.5</v>
      </c>
      <c r="BO49" s="538">
        <f t="shared" si="38"/>
        <v>9.1000000000000085</v>
      </c>
      <c r="BP49" s="538">
        <f t="shared" si="18"/>
        <v>100</v>
      </c>
      <c r="BQ49" s="535" t="s">
        <v>1979</v>
      </c>
      <c r="BR49" s="557">
        <v>8.8540000000000008E-2</v>
      </c>
      <c r="BS49" s="557">
        <v>8.8540000000000008E-2</v>
      </c>
      <c r="BT49" s="557">
        <v>1.719E-2</v>
      </c>
      <c r="BU49" s="557">
        <v>7.3859999999999995E-2</v>
      </c>
      <c r="BV49" s="557">
        <v>4.929E-2</v>
      </c>
      <c r="BW49" s="558" t="s">
        <v>2275</v>
      </c>
      <c r="BX49" s="535" t="s">
        <v>2276</v>
      </c>
      <c r="DH49" s="540" t="str">
        <f t="shared" si="28"/>
        <v>Tanzania</v>
      </c>
      <c r="DI49" s="540" t="str">
        <f t="shared" si="29"/>
        <v>Africa</v>
      </c>
      <c r="DJ49" s="540" t="str">
        <f t="shared" si="30"/>
        <v>Eastern Africa</v>
      </c>
      <c r="DK49" s="540" t="e">
        <f>VLOOKUP(DH49,#REF!,1)</f>
        <v>#REF!</v>
      </c>
      <c r="DL49" s="540" t="e">
        <f>VLOOKUP(DK49,#REF!,2,FALSE)</f>
        <v>#REF!</v>
      </c>
      <c r="DN49" s="540" t="s">
        <v>2283</v>
      </c>
      <c r="DO49" s="540" t="s">
        <v>2284</v>
      </c>
    </row>
    <row r="50" spans="3:119">
      <c r="C50" s="463" t="s">
        <v>2282</v>
      </c>
      <c r="D50" s="520"/>
      <c r="E50" s="732">
        <v>942</v>
      </c>
      <c r="F50" s="521" t="s">
        <v>2079</v>
      </c>
      <c r="G50" s="522" t="s">
        <v>4368</v>
      </c>
      <c r="H50" s="521"/>
      <c r="I50" s="522"/>
      <c r="J50" s="521"/>
      <c r="AW50" s="1396" t="s">
        <v>2747</v>
      </c>
      <c r="AX50" s="1396" t="s">
        <v>2032</v>
      </c>
      <c r="AY50" s="1397" t="s">
        <v>2063</v>
      </c>
      <c r="AZ50" s="1396">
        <v>140</v>
      </c>
      <c r="BA50" s="528" t="s">
        <v>1977</v>
      </c>
      <c r="BB50" s="552">
        <v>6.4516129032258061</v>
      </c>
      <c r="BC50" s="535" t="s">
        <v>2274</v>
      </c>
      <c r="BD50" s="549">
        <v>0.02</v>
      </c>
      <c r="BE50" s="549">
        <v>7.0000000000000007E-2</v>
      </c>
      <c r="BF50" s="535" t="s">
        <v>2179</v>
      </c>
      <c r="BG50" s="537"/>
      <c r="BH50" s="538">
        <f t="shared" si="31"/>
        <v>7.7</v>
      </c>
      <c r="BI50" s="538">
        <f t="shared" si="32"/>
        <v>1.7</v>
      </c>
      <c r="BJ50" s="538">
        <f t="shared" si="33"/>
        <v>53.9</v>
      </c>
      <c r="BK50" s="538">
        <f t="shared" si="34"/>
        <v>7</v>
      </c>
      <c r="BL50" s="538">
        <f t="shared" si="35"/>
        <v>9.5</v>
      </c>
      <c r="BM50" s="538">
        <f t="shared" si="36"/>
        <v>5.6</v>
      </c>
      <c r="BN50" s="538">
        <f t="shared" si="37"/>
        <v>5.5</v>
      </c>
      <c r="BO50" s="538">
        <f t="shared" si="38"/>
        <v>9.1000000000000085</v>
      </c>
      <c r="BP50" s="538">
        <f t="shared" si="18"/>
        <v>100</v>
      </c>
      <c r="BQ50" s="535" t="s">
        <v>1979</v>
      </c>
      <c r="BR50" s="557">
        <v>8.8540000000000008E-2</v>
      </c>
      <c r="BS50" s="557">
        <v>8.8540000000000008E-2</v>
      </c>
      <c r="BT50" s="557">
        <v>1.719E-2</v>
      </c>
      <c r="BU50" s="557">
        <v>7.3859999999999995E-2</v>
      </c>
      <c r="BV50" s="557">
        <v>4.929E-2</v>
      </c>
      <c r="BW50" s="558" t="s">
        <v>2275</v>
      </c>
      <c r="BX50" s="535" t="s">
        <v>2276</v>
      </c>
      <c r="DH50" s="540" t="str">
        <f t="shared" si="28"/>
        <v>Uganda</v>
      </c>
      <c r="DI50" s="540" t="str">
        <f t="shared" si="29"/>
        <v>Africa</v>
      </c>
      <c r="DJ50" s="540" t="str">
        <f t="shared" si="30"/>
        <v>Eastern Africa</v>
      </c>
      <c r="DK50" s="540" t="e">
        <f>VLOOKUP(DH50,#REF!,1)</f>
        <v>#REF!</v>
      </c>
      <c r="DL50" s="540" t="e">
        <f>VLOOKUP(DK50,#REF!,2,FALSE)</f>
        <v>#REF!</v>
      </c>
      <c r="DN50" s="540" t="s">
        <v>2286</v>
      </c>
      <c r="DO50" s="540" t="s">
        <v>2287</v>
      </c>
    </row>
    <row r="51" spans="3:119">
      <c r="C51" s="463" t="s">
        <v>2285</v>
      </c>
      <c r="D51" s="520"/>
      <c r="E51" s="732">
        <v>2244</v>
      </c>
      <c r="F51" s="521" t="s">
        <v>2079</v>
      </c>
      <c r="G51" s="522" t="s">
        <v>4368</v>
      </c>
      <c r="H51" s="521"/>
      <c r="I51" s="522"/>
      <c r="J51" s="521"/>
      <c r="AW51" s="1396" t="s">
        <v>2761</v>
      </c>
      <c r="AX51" s="1396" t="s">
        <v>2032</v>
      </c>
      <c r="AY51" s="1397" t="s">
        <v>2063</v>
      </c>
      <c r="AZ51" s="1396">
        <v>99</v>
      </c>
      <c r="BA51" s="528" t="s">
        <v>1977</v>
      </c>
      <c r="BB51" s="552">
        <v>0</v>
      </c>
      <c r="BC51" s="535" t="s">
        <v>2274</v>
      </c>
      <c r="BD51" s="549">
        <v>0.02</v>
      </c>
      <c r="BE51" s="549">
        <v>7.0000000000000007E-2</v>
      </c>
      <c r="BF51" s="535" t="s">
        <v>2179</v>
      </c>
      <c r="BG51" s="537"/>
      <c r="BH51" s="538">
        <f t="shared" si="31"/>
        <v>7.7</v>
      </c>
      <c r="BI51" s="538">
        <f t="shared" si="32"/>
        <v>1.7</v>
      </c>
      <c r="BJ51" s="538">
        <f t="shared" si="33"/>
        <v>53.9</v>
      </c>
      <c r="BK51" s="538">
        <f t="shared" si="34"/>
        <v>7</v>
      </c>
      <c r="BL51" s="538">
        <f t="shared" si="35"/>
        <v>9.5</v>
      </c>
      <c r="BM51" s="538">
        <f t="shared" si="36"/>
        <v>5.6</v>
      </c>
      <c r="BN51" s="538">
        <f t="shared" si="37"/>
        <v>5.5</v>
      </c>
      <c r="BO51" s="538">
        <f t="shared" si="38"/>
        <v>9.1000000000000085</v>
      </c>
      <c r="BP51" s="538">
        <f t="shared" si="18"/>
        <v>100</v>
      </c>
      <c r="BQ51" s="535" t="s">
        <v>1979</v>
      </c>
      <c r="BR51" s="557">
        <v>8.8540000000000008E-2</v>
      </c>
      <c r="BS51" s="557">
        <v>8.8540000000000008E-2</v>
      </c>
      <c r="BT51" s="557">
        <v>1.719E-2</v>
      </c>
      <c r="BU51" s="557">
        <v>7.3859999999999995E-2</v>
      </c>
      <c r="BV51" s="557">
        <v>4.929E-2</v>
      </c>
      <c r="BW51" s="558" t="s">
        <v>2275</v>
      </c>
      <c r="BX51" s="535" t="s">
        <v>2276</v>
      </c>
      <c r="DH51" s="540" t="str">
        <f t="shared" si="28"/>
        <v>Zambia</v>
      </c>
      <c r="DI51" s="540" t="str">
        <f t="shared" si="29"/>
        <v>Africa</v>
      </c>
      <c r="DJ51" s="540" t="str">
        <f t="shared" si="30"/>
        <v>Eastern Africa</v>
      </c>
      <c r="DK51" s="540" t="e">
        <f>VLOOKUP(DH51,#REF!,1)</f>
        <v>#REF!</v>
      </c>
      <c r="DL51" s="540" t="e">
        <f>VLOOKUP(DK51,#REF!,2,FALSE)</f>
        <v>#REF!</v>
      </c>
      <c r="DN51" s="540" t="s">
        <v>2289</v>
      </c>
      <c r="DO51" s="540" t="s">
        <v>2290</v>
      </c>
    </row>
    <row r="52" spans="3:119">
      <c r="C52" s="463" t="s">
        <v>2288</v>
      </c>
      <c r="D52" s="520"/>
      <c r="E52" s="732">
        <v>1421</v>
      </c>
      <c r="F52" s="521" t="s">
        <v>2079</v>
      </c>
      <c r="G52" s="522" t="s">
        <v>4368</v>
      </c>
      <c r="H52" s="521"/>
      <c r="I52" s="522"/>
      <c r="J52" s="521"/>
      <c r="AW52" s="1396" t="s">
        <v>2762</v>
      </c>
      <c r="AX52" s="1396" t="s">
        <v>2032</v>
      </c>
      <c r="AY52" s="1397" t="s">
        <v>2063</v>
      </c>
      <c r="AZ52" s="1396">
        <v>648</v>
      </c>
      <c r="BA52" s="528" t="s">
        <v>1977</v>
      </c>
      <c r="BB52" s="552">
        <v>7.4626865671641784</v>
      </c>
      <c r="BC52" s="535" t="s">
        <v>2274</v>
      </c>
      <c r="BD52" s="549">
        <v>0.02</v>
      </c>
      <c r="BE52" s="549">
        <v>7.0000000000000007E-2</v>
      </c>
      <c r="BF52" s="535" t="s">
        <v>2179</v>
      </c>
      <c r="BG52" s="537"/>
      <c r="BH52" s="538">
        <f t="shared" si="31"/>
        <v>7.7</v>
      </c>
      <c r="BI52" s="538">
        <f t="shared" si="32"/>
        <v>1.7</v>
      </c>
      <c r="BJ52" s="538">
        <f t="shared" si="33"/>
        <v>53.9</v>
      </c>
      <c r="BK52" s="538">
        <f t="shared" si="34"/>
        <v>7</v>
      </c>
      <c r="BL52" s="538">
        <f t="shared" si="35"/>
        <v>9.5</v>
      </c>
      <c r="BM52" s="538">
        <f t="shared" si="36"/>
        <v>5.6</v>
      </c>
      <c r="BN52" s="538">
        <f t="shared" si="37"/>
        <v>5.5</v>
      </c>
      <c r="BO52" s="538">
        <f t="shared" si="38"/>
        <v>9.1000000000000085</v>
      </c>
      <c r="BP52" s="538">
        <f t="shared" si="18"/>
        <v>100</v>
      </c>
      <c r="BQ52" s="535" t="s">
        <v>1979</v>
      </c>
      <c r="BR52" s="557">
        <v>8.8540000000000008E-2</v>
      </c>
      <c r="BS52" s="557">
        <v>8.8540000000000008E-2</v>
      </c>
      <c r="BT52" s="557">
        <v>1.719E-2</v>
      </c>
      <c r="BU52" s="557">
        <v>7.3859999999999995E-2</v>
      </c>
      <c r="BV52" s="557">
        <v>4.929E-2</v>
      </c>
      <c r="BW52" s="558" t="s">
        <v>2275</v>
      </c>
      <c r="BX52" s="535" t="s">
        <v>2276</v>
      </c>
      <c r="DH52" s="540" t="str">
        <f t="shared" si="28"/>
        <v>Zanzibar (Tanzania)</v>
      </c>
      <c r="DI52" s="540" t="str">
        <f t="shared" si="29"/>
        <v>Africa</v>
      </c>
      <c r="DJ52" s="540" t="str">
        <f t="shared" si="30"/>
        <v>Eastern Africa</v>
      </c>
      <c r="DK52" s="540" t="e">
        <f>VLOOKUP(DH52,#REF!,1)</f>
        <v>#REF!</v>
      </c>
      <c r="DL52" s="540" t="e">
        <f>VLOOKUP(DK52,#REF!,2,FALSE)</f>
        <v>#REF!</v>
      </c>
      <c r="DN52" s="540" t="s">
        <v>2292</v>
      </c>
      <c r="DO52" s="540" t="s">
        <v>2293</v>
      </c>
    </row>
    <row r="53" spans="3:119">
      <c r="C53" s="463" t="s">
        <v>2291</v>
      </c>
      <c r="D53" s="520"/>
      <c r="E53" s="732">
        <v>1858</v>
      </c>
      <c r="F53" s="521" t="s">
        <v>2079</v>
      </c>
      <c r="G53" s="522" t="s">
        <v>4368</v>
      </c>
      <c r="H53" s="521"/>
      <c r="I53" s="522"/>
      <c r="J53" s="521"/>
      <c r="AW53" s="1396" t="s">
        <v>2764</v>
      </c>
      <c r="AX53" s="1396" t="s">
        <v>2032</v>
      </c>
      <c r="AY53" s="1397" t="s">
        <v>2063</v>
      </c>
      <c r="AZ53" s="1396">
        <v>883</v>
      </c>
      <c r="BA53" s="528" t="s">
        <v>1977</v>
      </c>
      <c r="BB53" s="552">
        <v>0</v>
      </c>
      <c r="BC53" s="535" t="s">
        <v>2274</v>
      </c>
      <c r="BD53" s="549">
        <v>0.02</v>
      </c>
      <c r="BE53" s="549">
        <v>7.0000000000000007E-2</v>
      </c>
      <c r="BF53" s="535" t="s">
        <v>2179</v>
      </c>
      <c r="BG53" s="537"/>
      <c r="BH53" s="538">
        <f t="shared" si="31"/>
        <v>7.7</v>
      </c>
      <c r="BI53" s="538">
        <f t="shared" si="32"/>
        <v>1.7</v>
      </c>
      <c r="BJ53" s="538">
        <f t="shared" si="33"/>
        <v>53.9</v>
      </c>
      <c r="BK53" s="538">
        <f t="shared" si="34"/>
        <v>7</v>
      </c>
      <c r="BL53" s="538">
        <f t="shared" si="35"/>
        <v>9.5</v>
      </c>
      <c r="BM53" s="538">
        <f t="shared" si="36"/>
        <v>5.6</v>
      </c>
      <c r="BN53" s="538">
        <f t="shared" si="37"/>
        <v>5.5</v>
      </c>
      <c r="BO53" s="538">
        <f t="shared" si="38"/>
        <v>9.1000000000000085</v>
      </c>
      <c r="BP53" s="538">
        <f t="shared" si="18"/>
        <v>100</v>
      </c>
      <c r="BQ53" s="535" t="s">
        <v>1979</v>
      </c>
      <c r="BR53" s="557">
        <v>8.8540000000000008E-2</v>
      </c>
      <c r="BS53" s="557">
        <v>8.8540000000000008E-2</v>
      </c>
      <c r="BT53" s="557">
        <v>1.719E-2</v>
      </c>
      <c r="BU53" s="557">
        <v>7.3859999999999995E-2</v>
      </c>
      <c r="BV53" s="557">
        <v>4.929E-2</v>
      </c>
      <c r="BW53" s="558" t="s">
        <v>2275</v>
      </c>
      <c r="BX53" s="535" t="s">
        <v>2276</v>
      </c>
      <c r="DH53" s="540" t="str">
        <f t="shared" si="28"/>
        <v>Zimbabwe</v>
      </c>
      <c r="DI53" s="540" t="str">
        <f t="shared" si="29"/>
        <v>Africa</v>
      </c>
      <c r="DJ53" s="540" t="str">
        <f t="shared" si="30"/>
        <v>Eastern Africa</v>
      </c>
      <c r="DK53" s="540" t="e">
        <f>VLOOKUP(DH53,#REF!,1)</f>
        <v>#REF!</v>
      </c>
      <c r="DL53" s="540" t="e">
        <f>VLOOKUP(DK53,#REF!,2,FALSE)</f>
        <v>#REF!</v>
      </c>
      <c r="DN53" s="540" t="s">
        <v>2295</v>
      </c>
      <c r="DO53" s="540" t="s">
        <v>2296</v>
      </c>
    </row>
    <row r="54" spans="3:119">
      <c r="C54" s="463" t="s">
        <v>2294</v>
      </c>
      <c r="D54" s="520"/>
      <c r="E54" s="732">
        <v>3623</v>
      </c>
      <c r="F54" s="521" t="s">
        <v>2079</v>
      </c>
      <c r="G54" s="522" t="s">
        <v>4368</v>
      </c>
      <c r="H54" s="521"/>
      <c r="I54" s="522"/>
      <c r="J54" s="521"/>
      <c r="AW54" s="1395" t="s">
        <v>43</v>
      </c>
      <c r="AX54" s="1395" t="s">
        <v>1976</v>
      </c>
      <c r="AY54" s="1397" t="s">
        <v>1980</v>
      </c>
      <c r="AZ54" s="1395">
        <v>555</v>
      </c>
      <c r="BA54" s="528" t="s">
        <v>2344</v>
      </c>
      <c r="BB54" s="552">
        <v>5.3333333333333339</v>
      </c>
      <c r="BC54" s="535" t="s">
        <v>2274</v>
      </c>
      <c r="BD54" s="549">
        <v>0.02</v>
      </c>
      <c r="BE54" s="549">
        <v>7.0000000000000007E-2</v>
      </c>
      <c r="BF54" s="535" t="s">
        <v>2179</v>
      </c>
      <c r="BG54" s="537"/>
      <c r="BH54" s="538">
        <f t="shared" si="31"/>
        <v>18.8</v>
      </c>
      <c r="BI54" s="538">
        <f t="shared" si="32"/>
        <v>3.5</v>
      </c>
      <c r="BJ54" s="538">
        <f t="shared" si="33"/>
        <v>26.2</v>
      </c>
      <c r="BK54" s="538">
        <f t="shared" si="34"/>
        <v>3.5</v>
      </c>
      <c r="BL54" s="538">
        <f t="shared" si="35"/>
        <v>9.5</v>
      </c>
      <c r="BM54" s="538">
        <f t="shared" si="36"/>
        <v>5.6</v>
      </c>
      <c r="BN54" s="538">
        <f t="shared" si="37"/>
        <v>14.3</v>
      </c>
      <c r="BO54" s="538">
        <f t="shared" si="38"/>
        <v>18.600000000000009</v>
      </c>
      <c r="BP54" s="538">
        <f t="shared" si="18"/>
        <v>100</v>
      </c>
      <c r="BQ54" s="535" t="s">
        <v>1979</v>
      </c>
      <c r="BR54" s="557">
        <v>8.8540000000000008E-2</v>
      </c>
      <c r="BS54" s="557">
        <v>8.8540000000000008E-2</v>
      </c>
      <c r="BT54" s="557">
        <v>1.719E-2</v>
      </c>
      <c r="BU54" s="557">
        <v>7.3859999999999995E-2</v>
      </c>
      <c r="BV54" s="557">
        <v>4.929E-2</v>
      </c>
      <c r="BW54" s="558" t="s">
        <v>2275</v>
      </c>
      <c r="BX54" s="535" t="s">
        <v>2276</v>
      </c>
      <c r="DH54" s="540" t="str">
        <f t="shared" si="28"/>
        <v>China</v>
      </c>
      <c r="DI54" s="540" t="str">
        <f t="shared" si="29"/>
        <v>Asia</v>
      </c>
      <c r="DJ54" s="540" t="str">
        <f t="shared" si="30"/>
        <v>Eastern Asia</v>
      </c>
      <c r="DK54" s="540" t="e">
        <f>VLOOKUP(DH54,#REF!,1)</f>
        <v>#REF!</v>
      </c>
      <c r="DL54" s="540" t="e">
        <f>VLOOKUP(DK54,#REF!,2,FALSE)</f>
        <v>#REF!</v>
      </c>
      <c r="DN54" s="540" t="s">
        <v>2298</v>
      </c>
      <c r="DO54" s="540" t="s">
        <v>2299</v>
      </c>
    </row>
    <row r="55" spans="3:119">
      <c r="C55" s="463" t="s">
        <v>2297</v>
      </c>
      <c r="D55" s="520"/>
      <c r="E55" s="732">
        <v>4728</v>
      </c>
      <c r="F55" s="521" t="s">
        <v>2079</v>
      </c>
      <c r="G55" s="522" t="s">
        <v>4368</v>
      </c>
      <c r="H55" s="521"/>
      <c r="I55" s="522"/>
      <c r="J55" s="521"/>
      <c r="AW55" s="1396" t="s">
        <v>2524</v>
      </c>
      <c r="AX55" s="1396" t="s">
        <v>1976</v>
      </c>
      <c r="AY55" s="1397" t="s">
        <v>1980</v>
      </c>
      <c r="AZ55" s="1396">
        <v>396</v>
      </c>
      <c r="BA55" s="528" t="s">
        <v>1977</v>
      </c>
      <c r="BB55" s="552">
        <v>17.647058823529413</v>
      </c>
      <c r="BC55" s="535" t="s">
        <v>2274</v>
      </c>
      <c r="BD55" s="549">
        <v>0.02</v>
      </c>
      <c r="BE55" s="549">
        <v>7.0000000000000007E-2</v>
      </c>
      <c r="BF55" s="535" t="s">
        <v>2179</v>
      </c>
      <c r="BG55" s="537"/>
      <c r="BH55" s="538">
        <f t="shared" si="31"/>
        <v>18.8</v>
      </c>
      <c r="BI55" s="538">
        <f t="shared" si="32"/>
        <v>3.5</v>
      </c>
      <c r="BJ55" s="538">
        <f t="shared" si="33"/>
        <v>26.2</v>
      </c>
      <c r="BK55" s="538">
        <f t="shared" si="34"/>
        <v>3.5</v>
      </c>
      <c r="BL55" s="538">
        <f t="shared" si="35"/>
        <v>9.5</v>
      </c>
      <c r="BM55" s="538">
        <f t="shared" si="36"/>
        <v>5.6</v>
      </c>
      <c r="BN55" s="538">
        <f t="shared" si="37"/>
        <v>14.3</v>
      </c>
      <c r="BO55" s="538">
        <f t="shared" si="38"/>
        <v>18.600000000000009</v>
      </c>
      <c r="BP55" s="538">
        <f t="shared" si="18"/>
        <v>100</v>
      </c>
      <c r="BQ55" s="535" t="s">
        <v>1979</v>
      </c>
      <c r="BR55" s="557">
        <v>8.8540000000000008E-2</v>
      </c>
      <c r="BS55" s="557">
        <v>8.8540000000000008E-2</v>
      </c>
      <c r="BT55" s="557">
        <v>1.719E-2</v>
      </c>
      <c r="BU55" s="557">
        <v>7.3859999999999995E-2</v>
      </c>
      <c r="BV55" s="557">
        <v>4.929E-2</v>
      </c>
      <c r="BW55" s="558" t="s">
        <v>2275</v>
      </c>
      <c r="BX55" s="535" t="s">
        <v>2276</v>
      </c>
      <c r="DH55" s="540" t="str">
        <f t="shared" si="28"/>
        <v>Hong Kong (China)</v>
      </c>
      <c r="DI55" s="540" t="str">
        <f t="shared" si="29"/>
        <v>Asia</v>
      </c>
      <c r="DJ55" s="540" t="str">
        <f t="shared" si="30"/>
        <v>Eastern Asia</v>
      </c>
      <c r="DK55" s="540" t="e">
        <f>VLOOKUP(DH55,#REF!,1)</f>
        <v>#REF!</v>
      </c>
      <c r="DL55" s="540" t="e">
        <f>VLOOKUP(DK55,#REF!,2,FALSE)</f>
        <v>#REF!</v>
      </c>
      <c r="DN55" s="540" t="s">
        <v>2301</v>
      </c>
      <c r="DO55" s="540" t="s">
        <v>2302</v>
      </c>
    </row>
    <row r="56" spans="3:119">
      <c r="C56" s="463" t="s">
        <v>2300</v>
      </c>
      <c r="D56" s="520"/>
      <c r="E56" s="732">
        <v>1780</v>
      </c>
      <c r="F56" s="521" t="s">
        <v>2079</v>
      </c>
      <c r="G56" s="522" t="s">
        <v>4368</v>
      </c>
      <c r="H56" s="521"/>
      <c r="I56" s="522"/>
      <c r="J56" s="521"/>
      <c r="AW56" s="1396" t="s">
        <v>52</v>
      </c>
      <c r="AX56" s="1396" t="s">
        <v>1976</v>
      </c>
      <c r="AY56" s="1397" t="s">
        <v>1980</v>
      </c>
      <c r="AZ56" s="1396">
        <v>506</v>
      </c>
      <c r="BA56" s="528" t="s">
        <v>2562</v>
      </c>
      <c r="BB56" s="552">
        <v>0</v>
      </c>
      <c r="BC56" s="535" t="s">
        <v>2274</v>
      </c>
      <c r="BD56" s="549">
        <v>0.02</v>
      </c>
      <c r="BE56" s="549">
        <v>7.0000000000000007E-2</v>
      </c>
      <c r="BF56" s="535" t="s">
        <v>2179</v>
      </c>
      <c r="BG56" s="537"/>
      <c r="BH56" s="538">
        <f t="shared" si="31"/>
        <v>18.8</v>
      </c>
      <c r="BI56" s="538">
        <f t="shared" si="32"/>
        <v>3.5</v>
      </c>
      <c r="BJ56" s="538">
        <f t="shared" si="33"/>
        <v>26.2</v>
      </c>
      <c r="BK56" s="538">
        <f t="shared" si="34"/>
        <v>3.5</v>
      </c>
      <c r="BL56" s="538">
        <f t="shared" si="35"/>
        <v>9.5</v>
      </c>
      <c r="BM56" s="538">
        <f t="shared" si="36"/>
        <v>5.6</v>
      </c>
      <c r="BN56" s="538">
        <f t="shared" si="37"/>
        <v>14.3</v>
      </c>
      <c r="BO56" s="538">
        <f t="shared" si="38"/>
        <v>18.600000000000009</v>
      </c>
      <c r="BP56" s="538">
        <f t="shared" si="18"/>
        <v>100</v>
      </c>
      <c r="BQ56" s="535" t="s">
        <v>1979</v>
      </c>
      <c r="BR56" s="557">
        <v>8.8540000000000008E-2</v>
      </c>
      <c r="BS56" s="557">
        <v>8.8540000000000008E-2</v>
      </c>
      <c r="BT56" s="557">
        <v>1.719E-2</v>
      </c>
      <c r="BU56" s="557">
        <v>7.3859999999999995E-2</v>
      </c>
      <c r="BV56" s="557">
        <v>4.929E-2</v>
      </c>
      <c r="BW56" s="558" t="s">
        <v>2275</v>
      </c>
      <c r="BX56" s="535" t="s">
        <v>2276</v>
      </c>
      <c r="DH56" s="540" t="str">
        <f t="shared" si="28"/>
        <v>Japan</v>
      </c>
      <c r="DI56" s="540" t="str">
        <f t="shared" si="29"/>
        <v>Asia</v>
      </c>
      <c r="DJ56" s="540" t="str">
        <f t="shared" si="30"/>
        <v>Eastern Asia</v>
      </c>
      <c r="DK56" s="540" t="e">
        <f>VLOOKUP(DH56,#REF!,1)</f>
        <v>#REF!</v>
      </c>
      <c r="DL56" s="540" t="e">
        <f>VLOOKUP(DK56,#REF!,2,FALSE)</f>
        <v>#REF!</v>
      </c>
      <c r="DN56" s="540" t="s">
        <v>2304</v>
      </c>
      <c r="DO56" s="540" t="s">
        <v>2305</v>
      </c>
    </row>
    <row r="57" spans="3:119">
      <c r="C57" s="463" t="s">
        <v>2303</v>
      </c>
      <c r="D57" s="520"/>
      <c r="E57" s="732">
        <v>2262</v>
      </c>
      <c r="F57" s="521" t="s">
        <v>2079</v>
      </c>
      <c r="G57" s="522" t="s">
        <v>4368</v>
      </c>
      <c r="H57" s="521"/>
      <c r="I57" s="522"/>
      <c r="J57" s="521"/>
      <c r="AW57" s="1396" t="s">
        <v>2584</v>
      </c>
      <c r="AX57" s="1396" t="s">
        <v>1976</v>
      </c>
      <c r="AY57" s="1397" t="s">
        <v>1980</v>
      </c>
      <c r="AZ57" s="1396">
        <v>407</v>
      </c>
      <c r="BA57" s="528" t="s">
        <v>1977</v>
      </c>
      <c r="BB57" s="552">
        <v>15.384615384615385</v>
      </c>
      <c r="BC57" s="535" t="s">
        <v>2274</v>
      </c>
      <c r="BD57" s="549">
        <v>0.02</v>
      </c>
      <c r="BE57" s="549">
        <v>7.0000000000000007E-2</v>
      </c>
      <c r="BF57" s="535" t="s">
        <v>2179</v>
      </c>
      <c r="BG57" s="537"/>
      <c r="BH57" s="538">
        <f t="shared" si="31"/>
        <v>18.8</v>
      </c>
      <c r="BI57" s="538">
        <f t="shared" si="32"/>
        <v>3.5</v>
      </c>
      <c r="BJ57" s="538">
        <f t="shared" si="33"/>
        <v>26.2</v>
      </c>
      <c r="BK57" s="538">
        <f t="shared" si="34"/>
        <v>3.5</v>
      </c>
      <c r="BL57" s="538">
        <f t="shared" si="35"/>
        <v>9.5</v>
      </c>
      <c r="BM57" s="538">
        <f t="shared" si="36"/>
        <v>5.6</v>
      </c>
      <c r="BN57" s="538">
        <f t="shared" si="37"/>
        <v>14.3</v>
      </c>
      <c r="BO57" s="538">
        <f t="shared" si="38"/>
        <v>18.600000000000009</v>
      </c>
      <c r="BP57" s="538">
        <f t="shared" si="18"/>
        <v>100</v>
      </c>
      <c r="BQ57" s="535" t="s">
        <v>1979</v>
      </c>
      <c r="BR57" s="557">
        <v>8.8540000000000008E-2</v>
      </c>
      <c r="BS57" s="557">
        <v>8.8540000000000008E-2</v>
      </c>
      <c r="BT57" s="557">
        <v>1.719E-2</v>
      </c>
      <c r="BU57" s="557">
        <v>7.3859999999999995E-2</v>
      </c>
      <c r="BV57" s="557">
        <v>4.929E-2</v>
      </c>
      <c r="BW57" s="558" t="s">
        <v>2275</v>
      </c>
      <c r="BX57" s="535" t="s">
        <v>2276</v>
      </c>
      <c r="DH57" s="540" t="str">
        <f t="shared" si="28"/>
        <v>Korea (North). Dem. People's Rep. of</v>
      </c>
      <c r="DI57" s="540" t="str">
        <f t="shared" si="29"/>
        <v>Asia</v>
      </c>
      <c r="DJ57" s="540" t="str">
        <f t="shared" si="30"/>
        <v>Eastern Asia</v>
      </c>
      <c r="DK57" s="540" t="e">
        <f>VLOOKUP(DH57,#REF!,1)</f>
        <v>#REF!</v>
      </c>
      <c r="DL57" s="540" t="e">
        <f>VLOOKUP(DK57,#REF!,2,FALSE)</f>
        <v>#REF!</v>
      </c>
      <c r="DN57" s="540" t="s">
        <v>2307</v>
      </c>
      <c r="DO57" s="540" t="s">
        <v>2308</v>
      </c>
    </row>
    <row r="58" spans="3:119">
      <c r="C58" s="463" t="s">
        <v>2306</v>
      </c>
      <c r="D58" s="520"/>
      <c r="E58" s="732">
        <v>2934</v>
      </c>
      <c r="F58" s="521" t="s">
        <v>2079</v>
      </c>
      <c r="G58" s="522" t="s">
        <v>4368</v>
      </c>
      <c r="H58" s="521"/>
      <c r="I58" s="522"/>
      <c r="J58" s="521"/>
      <c r="AW58" s="1396" t="s">
        <v>2587</v>
      </c>
      <c r="AX58" s="1396" t="s">
        <v>1976</v>
      </c>
      <c r="AY58" s="1397" t="s">
        <v>1980</v>
      </c>
      <c r="AZ58" s="1396">
        <v>500</v>
      </c>
      <c r="BA58" s="528" t="s">
        <v>2588</v>
      </c>
      <c r="BB58" s="552">
        <v>7.5757575757575761</v>
      </c>
      <c r="BC58" s="535" t="s">
        <v>2274</v>
      </c>
      <c r="BD58" s="549">
        <v>0.02</v>
      </c>
      <c r="BE58" s="549">
        <v>7.0000000000000007E-2</v>
      </c>
      <c r="BF58" s="535" t="s">
        <v>2179</v>
      </c>
      <c r="BG58" s="537"/>
      <c r="BH58" s="538">
        <f t="shared" si="31"/>
        <v>18.8</v>
      </c>
      <c r="BI58" s="538">
        <f t="shared" si="32"/>
        <v>3.5</v>
      </c>
      <c r="BJ58" s="538">
        <f t="shared" si="33"/>
        <v>26.2</v>
      </c>
      <c r="BK58" s="538">
        <f t="shared" si="34"/>
        <v>3.5</v>
      </c>
      <c r="BL58" s="538">
        <f t="shared" si="35"/>
        <v>9.5</v>
      </c>
      <c r="BM58" s="538">
        <f t="shared" si="36"/>
        <v>5.6</v>
      </c>
      <c r="BN58" s="538">
        <f t="shared" si="37"/>
        <v>14.3</v>
      </c>
      <c r="BO58" s="538">
        <f t="shared" si="38"/>
        <v>18.600000000000009</v>
      </c>
      <c r="BP58" s="538">
        <f t="shared" si="18"/>
        <v>100</v>
      </c>
      <c r="BQ58" s="535" t="s">
        <v>1979</v>
      </c>
      <c r="BR58" s="557">
        <v>8.8540000000000008E-2</v>
      </c>
      <c r="BS58" s="557">
        <v>8.8540000000000008E-2</v>
      </c>
      <c r="BT58" s="557">
        <v>1.719E-2</v>
      </c>
      <c r="BU58" s="557">
        <v>7.3859999999999995E-2</v>
      </c>
      <c r="BV58" s="557">
        <v>4.929E-2</v>
      </c>
      <c r="BW58" s="558" t="s">
        <v>2275</v>
      </c>
      <c r="BX58" s="535" t="s">
        <v>2276</v>
      </c>
      <c r="DH58" s="540" t="str">
        <f t="shared" si="28"/>
        <v>Korea (South). Republic of</v>
      </c>
      <c r="DI58" s="540" t="str">
        <f t="shared" si="29"/>
        <v>Asia</v>
      </c>
      <c r="DJ58" s="540" t="str">
        <f t="shared" si="30"/>
        <v>Eastern Asia</v>
      </c>
      <c r="DK58" s="540" t="e">
        <f>VLOOKUP(DH58,#REF!,1)</f>
        <v>#REF!</v>
      </c>
      <c r="DL58" s="540" t="e">
        <f>VLOOKUP(DK58,#REF!,2,FALSE)</f>
        <v>#REF!</v>
      </c>
      <c r="DN58" s="540" t="s">
        <v>2310</v>
      </c>
      <c r="DO58" s="540" t="s">
        <v>2311</v>
      </c>
    </row>
    <row r="59" spans="3:119">
      <c r="C59" s="463" t="s">
        <v>2309</v>
      </c>
      <c r="D59" s="520"/>
      <c r="E59" s="732">
        <v>1908</v>
      </c>
      <c r="F59" s="521" t="s">
        <v>2079</v>
      </c>
      <c r="G59" s="522" t="s">
        <v>4368</v>
      </c>
      <c r="H59" s="521"/>
      <c r="I59" s="522"/>
      <c r="J59" s="521"/>
      <c r="AW59" s="1396" t="s">
        <v>2628</v>
      </c>
      <c r="AX59" s="1396" t="s">
        <v>1976</v>
      </c>
      <c r="AY59" s="1397" t="s">
        <v>1980</v>
      </c>
      <c r="AZ59" s="1396">
        <v>239</v>
      </c>
      <c r="BA59" s="528" t="s">
        <v>1977</v>
      </c>
      <c r="BB59" s="552">
        <v>14.000000000000002</v>
      </c>
      <c r="BC59" s="535" t="s">
        <v>2274</v>
      </c>
      <c r="BD59" s="549">
        <v>0.02</v>
      </c>
      <c r="BE59" s="549">
        <v>7.0000000000000007E-2</v>
      </c>
      <c r="BF59" s="535" t="s">
        <v>2179</v>
      </c>
      <c r="BG59" s="537"/>
      <c r="BH59" s="538">
        <f t="shared" si="31"/>
        <v>18.8</v>
      </c>
      <c r="BI59" s="538">
        <f t="shared" si="32"/>
        <v>3.5</v>
      </c>
      <c r="BJ59" s="538">
        <f t="shared" si="33"/>
        <v>26.2</v>
      </c>
      <c r="BK59" s="538">
        <f t="shared" si="34"/>
        <v>3.5</v>
      </c>
      <c r="BL59" s="538">
        <f t="shared" si="35"/>
        <v>9.5</v>
      </c>
      <c r="BM59" s="538">
        <f t="shared" si="36"/>
        <v>5.6</v>
      </c>
      <c r="BN59" s="538">
        <f t="shared" si="37"/>
        <v>14.3</v>
      </c>
      <c r="BO59" s="538">
        <f t="shared" si="38"/>
        <v>18.600000000000009</v>
      </c>
      <c r="BP59" s="538">
        <f t="shared" si="18"/>
        <v>100</v>
      </c>
      <c r="BQ59" s="535" t="s">
        <v>1979</v>
      </c>
      <c r="BR59" s="557">
        <v>8.8539999999999994E-2</v>
      </c>
      <c r="BS59" s="557">
        <v>8.8539999999999994E-2</v>
      </c>
      <c r="BT59" s="557">
        <v>1.719E-2</v>
      </c>
      <c r="BU59" s="557">
        <v>7.3859999999999995E-2</v>
      </c>
      <c r="BV59" s="557">
        <v>4.929E-2</v>
      </c>
      <c r="BW59" s="558" t="s">
        <v>2275</v>
      </c>
      <c r="BX59" s="535" t="s">
        <v>2276</v>
      </c>
      <c r="DH59" s="540" t="str">
        <f t="shared" si="28"/>
        <v>Macao (China)</v>
      </c>
      <c r="DI59" s="540" t="str">
        <f t="shared" si="29"/>
        <v>Asia</v>
      </c>
      <c r="DJ59" s="540" t="str">
        <f t="shared" si="30"/>
        <v>Eastern Asia</v>
      </c>
      <c r="DK59" s="540" t="e">
        <f>VLOOKUP(DH59,#REF!,1)</f>
        <v>#REF!</v>
      </c>
      <c r="DL59" s="540" t="e">
        <f>VLOOKUP(DK59,#REF!,2,FALSE)</f>
        <v>#REF!</v>
      </c>
      <c r="DN59" s="540" t="s">
        <v>2313</v>
      </c>
      <c r="DO59" s="540" t="s">
        <v>2314</v>
      </c>
    </row>
    <row r="60" spans="3:119" ht="25.5">
      <c r="C60" s="463" t="s">
        <v>2312</v>
      </c>
      <c r="D60" s="520"/>
      <c r="E60" s="732">
        <v>1748</v>
      </c>
      <c r="F60" s="521" t="s">
        <v>2079</v>
      </c>
      <c r="G60" s="522" t="s">
        <v>4368</v>
      </c>
      <c r="H60" s="521"/>
      <c r="I60" s="522"/>
      <c r="J60" s="521"/>
      <c r="AW60" s="1396" t="s">
        <v>2676</v>
      </c>
      <c r="AX60" s="1396" t="s">
        <v>1976</v>
      </c>
      <c r="AY60" s="1397" t="s">
        <v>1980</v>
      </c>
      <c r="AZ60" s="1396">
        <v>1049</v>
      </c>
      <c r="BA60" s="528" t="s">
        <v>1977</v>
      </c>
      <c r="BB60" s="536">
        <v>13.490630673342661</v>
      </c>
      <c r="BC60" s="535" t="s">
        <v>2223</v>
      </c>
      <c r="BD60" s="537"/>
      <c r="BE60" s="537"/>
      <c r="BF60" s="535"/>
      <c r="BG60" s="537"/>
      <c r="BH60" s="538">
        <f t="shared" si="31"/>
        <v>18.8</v>
      </c>
      <c r="BI60" s="538">
        <f t="shared" si="32"/>
        <v>3.5</v>
      </c>
      <c r="BJ60" s="538">
        <f t="shared" si="33"/>
        <v>26.2</v>
      </c>
      <c r="BK60" s="538">
        <f t="shared" si="34"/>
        <v>3.5</v>
      </c>
      <c r="BL60" s="538">
        <f t="shared" si="35"/>
        <v>9.5</v>
      </c>
      <c r="BM60" s="538">
        <f t="shared" si="36"/>
        <v>5.6</v>
      </c>
      <c r="BN60" s="538">
        <f t="shared" si="37"/>
        <v>14.3</v>
      </c>
      <c r="BO60" s="538">
        <f t="shared" si="38"/>
        <v>18.600000000000009</v>
      </c>
      <c r="BP60" s="538">
        <f t="shared" si="18"/>
        <v>100</v>
      </c>
      <c r="BQ60" s="535" t="s">
        <v>1979</v>
      </c>
      <c r="BR60" s="557">
        <v>8.8539999999999994E-2</v>
      </c>
      <c r="BS60" s="557">
        <v>8.8539999999999994E-2</v>
      </c>
      <c r="BT60" s="557">
        <v>1.719E-2</v>
      </c>
      <c r="BU60" s="557">
        <v>7.3859999999999995E-2</v>
      </c>
      <c r="BV60" s="557">
        <v>4.929E-2</v>
      </c>
      <c r="BW60" s="558" t="s">
        <v>2275</v>
      </c>
      <c r="BX60" s="535" t="s">
        <v>2276</v>
      </c>
      <c r="DH60" s="540" t="str">
        <f t="shared" si="28"/>
        <v>Mongolia</v>
      </c>
      <c r="DI60" s="540" t="str">
        <f t="shared" si="29"/>
        <v>Asia</v>
      </c>
      <c r="DJ60" s="540" t="str">
        <f t="shared" si="30"/>
        <v>Eastern Asia</v>
      </c>
      <c r="DL60" s="540" t="s">
        <v>35</v>
      </c>
      <c r="DN60" s="540" t="s">
        <v>2317</v>
      </c>
      <c r="DO60" s="540" t="s">
        <v>2318</v>
      </c>
    </row>
    <row r="61" spans="3:119" ht="25.5">
      <c r="C61" s="463" t="s">
        <v>2315</v>
      </c>
      <c r="D61" s="520"/>
      <c r="E61" s="732">
        <v>1672</v>
      </c>
      <c r="F61" s="521" t="s">
        <v>2079</v>
      </c>
      <c r="G61" s="522" t="s">
        <v>4368</v>
      </c>
      <c r="H61" s="521"/>
      <c r="I61" s="522"/>
      <c r="J61" s="521"/>
      <c r="AW61" s="1396" t="s">
        <v>2734</v>
      </c>
      <c r="AX61" s="1396" t="s">
        <v>1976</v>
      </c>
      <c r="AY61" s="1397" t="s">
        <v>1980</v>
      </c>
      <c r="AZ61" s="1396">
        <v>365</v>
      </c>
      <c r="BA61" s="528" t="s">
        <v>1977</v>
      </c>
      <c r="BB61" s="536">
        <v>13.490630673342661</v>
      </c>
      <c r="BC61" s="535" t="s">
        <v>2223</v>
      </c>
      <c r="BD61" s="537"/>
      <c r="BE61" s="537"/>
      <c r="BF61" s="535"/>
      <c r="BG61" s="537"/>
      <c r="BH61" s="538">
        <f t="shared" si="31"/>
        <v>18.8</v>
      </c>
      <c r="BI61" s="538">
        <f t="shared" si="32"/>
        <v>3.5</v>
      </c>
      <c r="BJ61" s="538">
        <f t="shared" si="33"/>
        <v>26.2</v>
      </c>
      <c r="BK61" s="538">
        <f t="shared" si="34"/>
        <v>3.5</v>
      </c>
      <c r="BL61" s="538">
        <f t="shared" si="35"/>
        <v>9.5</v>
      </c>
      <c r="BM61" s="538">
        <f t="shared" si="36"/>
        <v>5.6</v>
      </c>
      <c r="BN61" s="538">
        <f t="shared" si="37"/>
        <v>14.3</v>
      </c>
      <c r="BO61" s="538">
        <f t="shared" si="38"/>
        <v>18.600000000000009</v>
      </c>
      <c r="BP61" s="538">
        <f t="shared" si="18"/>
        <v>100</v>
      </c>
      <c r="BQ61" s="535" t="s">
        <v>1979</v>
      </c>
      <c r="BR61" s="557">
        <v>8.8539999999999994E-2</v>
      </c>
      <c r="BS61" s="557">
        <v>8.8539999999999994E-2</v>
      </c>
      <c r="BT61" s="557">
        <v>1.719E-2</v>
      </c>
      <c r="BU61" s="557">
        <v>7.3859999999999995E-2</v>
      </c>
      <c r="BV61" s="557">
        <v>4.929E-2</v>
      </c>
      <c r="BW61" s="558" t="s">
        <v>2275</v>
      </c>
      <c r="BX61" s="535" t="s">
        <v>2276</v>
      </c>
      <c r="DH61" s="540" t="str">
        <f t="shared" si="28"/>
        <v>Taiwan</v>
      </c>
      <c r="DI61" s="540" t="str">
        <f t="shared" si="29"/>
        <v>Asia</v>
      </c>
      <c r="DJ61" s="540" t="str">
        <f t="shared" si="30"/>
        <v>Eastern Asia</v>
      </c>
      <c r="DL61" s="540" t="s">
        <v>35</v>
      </c>
      <c r="DN61" s="540" t="s">
        <v>2321</v>
      </c>
      <c r="DO61" s="540" t="s">
        <v>2322</v>
      </c>
    </row>
    <row r="62" spans="3:119" ht="25.5">
      <c r="C62" s="463" t="s">
        <v>2319</v>
      </c>
      <c r="D62" s="520"/>
      <c r="E62" s="732">
        <v>1965</v>
      </c>
      <c r="F62" s="521" t="s">
        <v>2079</v>
      </c>
      <c r="G62" s="522" t="s">
        <v>4368</v>
      </c>
      <c r="H62" s="521"/>
      <c r="I62" s="522"/>
      <c r="J62" s="521"/>
      <c r="AW62" s="1396" t="s">
        <v>2254</v>
      </c>
      <c r="AX62" s="1396" t="s">
        <v>2005</v>
      </c>
      <c r="AY62" s="1397" t="s">
        <v>2116</v>
      </c>
      <c r="AZ62" s="1396"/>
      <c r="BA62" s="528" t="s">
        <v>2178</v>
      </c>
      <c r="BB62" s="536">
        <v>9.3894684857089938</v>
      </c>
      <c r="BC62" s="535" t="s">
        <v>2087</v>
      </c>
      <c r="BD62" s="537"/>
      <c r="BE62" s="537"/>
      <c r="BF62" s="535"/>
      <c r="BG62" s="537"/>
      <c r="BH62" s="538">
        <f t="shared" si="31"/>
        <v>21.8</v>
      </c>
      <c r="BI62" s="538">
        <f t="shared" si="32"/>
        <v>4.7</v>
      </c>
      <c r="BJ62" s="538">
        <f t="shared" si="33"/>
        <v>30.1</v>
      </c>
      <c r="BK62" s="538">
        <f t="shared" si="34"/>
        <v>7.5</v>
      </c>
      <c r="BL62" s="538">
        <f t="shared" si="35"/>
        <v>9.5</v>
      </c>
      <c r="BM62" s="538">
        <f t="shared" si="36"/>
        <v>5.6</v>
      </c>
      <c r="BN62" s="538">
        <f t="shared" si="37"/>
        <v>6.2</v>
      </c>
      <c r="BO62" s="538">
        <f t="shared" si="38"/>
        <v>14.600000000000009</v>
      </c>
      <c r="BP62" s="538">
        <f t="shared" si="18"/>
        <v>100</v>
      </c>
      <c r="BQ62" s="535" t="s">
        <v>1979</v>
      </c>
      <c r="BR62" s="557">
        <v>8.8539999999999994E-2</v>
      </c>
      <c r="BS62" s="557">
        <v>8.8539999999999994E-2</v>
      </c>
      <c r="BT62" s="557">
        <v>1.719E-2</v>
      </c>
      <c r="BU62" s="557">
        <v>7.3859999999999995E-2</v>
      </c>
      <c r="BV62" s="557">
        <v>4.929E-2</v>
      </c>
      <c r="BW62" s="558" t="s">
        <v>2275</v>
      </c>
      <c r="BX62" s="535" t="s">
        <v>2276</v>
      </c>
      <c r="DH62" s="540" t="str">
        <f t="shared" si="28"/>
        <v>Bulgaria</v>
      </c>
      <c r="DI62" s="540" t="str">
        <f t="shared" si="29"/>
        <v>Europe</v>
      </c>
      <c r="DJ62" s="540" t="str">
        <f t="shared" si="30"/>
        <v>Eastern Europe</v>
      </c>
      <c r="DL62" s="540" t="s">
        <v>35</v>
      </c>
      <c r="DN62" s="540" t="s">
        <v>2325</v>
      </c>
      <c r="DO62" s="540" t="s">
        <v>2326</v>
      </c>
    </row>
    <row r="63" spans="3:119" ht="25.5">
      <c r="C63" s="463" t="s">
        <v>2323</v>
      </c>
      <c r="D63" s="520"/>
      <c r="E63" s="732">
        <v>3856</v>
      </c>
      <c r="F63" s="521" t="s">
        <v>2079</v>
      </c>
      <c r="G63" s="522" t="s">
        <v>4368</v>
      </c>
      <c r="H63" s="521"/>
      <c r="I63" s="522"/>
      <c r="J63" s="521"/>
      <c r="AW63" s="1396" t="s">
        <v>2391</v>
      </c>
      <c r="AX63" s="1396" t="s">
        <v>2005</v>
      </c>
      <c r="AY63" s="1397" t="s">
        <v>2116</v>
      </c>
      <c r="AZ63" s="1396">
        <v>512.70000000000005</v>
      </c>
      <c r="BA63" s="528" t="s">
        <v>2178</v>
      </c>
      <c r="BB63" s="536">
        <v>11.740747004194485</v>
      </c>
      <c r="BC63" s="535" t="s">
        <v>2263</v>
      </c>
      <c r="BD63" s="537"/>
      <c r="BE63" s="537"/>
      <c r="BF63" s="535"/>
      <c r="BG63" s="537"/>
      <c r="BH63" s="538">
        <f t="shared" si="31"/>
        <v>21.8</v>
      </c>
      <c r="BI63" s="538">
        <f t="shared" si="32"/>
        <v>4.7</v>
      </c>
      <c r="BJ63" s="538">
        <f t="shared" si="33"/>
        <v>30.1</v>
      </c>
      <c r="BK63" s="538">
        <f t="shared" si="34"/>
        <v>7.5</v>
      </c>
      <c r="BL63" s="538">
        <f t="shared" si="35"/>
        <v>9.5</v>
      </c>
      <c r="BM63" s="538">
        <f t="shared" si="36"/>
        <v>5.6</v>
      </c>
      <c r="BN63" s="538">
        <f t="shared" si="37"/>
        <v>6.2</v>
      </c>
      <c r="BO63" s="538">
        <f t="shared" si="38"/>
        <v>14.600000000000009</v>
      </c>
      <c r="BP63" s="538">
        <f t="shared" si="18"/>
        <v>100</v>
      </c>
      <c r="BQ63" s="535" t="s">
        <v>1979</v>
      </c>
      <c r="BR63" s="557">
        <v>8.8539999999999994E-2</v>
      </c>
      <c r="BS63" s="557">
        <v>8.8539999999999994E-2</v>
      </c>
      <c r="BT63" s="557">
        <v>1.719E-2</v>
      </c>
      <c r="BU63" s="557">
        <v>7.3859999999999995E-2</v>
      </c>
      <c r="BV63" s="557">
        <v>4.929E-2</v>
      </c>
      <c r="BW63" s="558" t="s">
        <v>2275</v>
      </c>
      <c r="BX63" s="535" t="s">
        <v>2276</v>
      </c>
      <c r="DH63" s="540" t="str">
        <f t="shared" si="28"/>
        <v>Czechia</v>
      </c>
      <c r="DI63" s="540" t="str">
        <f t="shared" si="29"/>
        <v>Europe</v>
      </c>
      <c r="DJ63" s="540" t="str">
        <f t="shared" si="30"/>
        <v>Eastern Europe</v>
      </c>
      <c r="DL63" s="540" t="s">
        <v>35</v>
      </c>
      <c r="DN63" s="540" t="s">
        <v>2329</v>
      </c>
      <c r="DO63" s="540" t="s">
        <v>2330</v>
      </c>
    </row>
    <row r="64" spans="3:119" ht="25.5">
      <c r="C64" s="463" t="s">
        <v>2327</v>
      </c>
      <c r="D64" s="520"/>
      <c r="E64" s="732">
        <v>1670</v>
      </c>
      <c r="F64" s="521" t="s">
        <v>2079</v>
      </c>
      <c r="G64" s="522" t="s">
        <v>4368</v>
      </c>
      <c r="H64" s="521"/>
      <c r="I64" s="522"/>
      <c r="J64" s="521"/>
      <c r="AW64" s="1396" t="s">
        <v>2527</v>
      </c>
      <c r="AX64" s="1396" t="s">
        <v>2005</v>
      </c>
      <c r="AY64" s="1397" t="s">
        <v>2116</v>
      </c>
      <c r="AZ64" s="1396">
        <v>260.39999999999998</v>
      </c>
      <c r="BA64" s="528" t="s">
        <v>2178</v>
      </c>
      <c r="BB64" s="536">
        <v>11.740747004194485</v>
      </c>
      <c r="BC64" s="535" t="s">
        <v>2263</v>
      </c>
      <c r="BD64" s="537"/>
      <c r="BE64" s="537"/>
      <c r="BF64" s="535"/>
      <c r="BG64" s="537"/>
      <c r="BH64" s="538">
        <f t="shared" si="31"/>
        <v>21.8</v>
      </c>
      <c r="BI64" s="538">
        <f t="shared" si="32"/>
        <v>4.7</v>
      </c>
      <c r="BJ64" s="538">
        <f t="shared" si="33"/>
        <v>30.1</v>
      </c>
      <c r="BK64" s="538">
        <f t="shared" si="34"/>
        <v>7.5</v>
      </c>
      <c r="BL64" s="538">
        <f t="shared" si="35"/>
        <v>9.5</v>
      </c>
      <c r="BM64" s="538">
        <f t="shared" si="36"/>
        <v>5.6</v>
      </c>
      <c r="BN64" s="538">
        <f t="shared" si="37"/>
        <v>6.2</v>
      </c>
      <c r="BO64" s="538">
        <f t="shared" si="38"/>
        <v>14.600000000000009</v>
      </c>
      <c r="BP64" s="538">
        <f t="shared" si="18"/>
        <v>100</v>
      </c>
      <c r="BQ64" s="535" t="s">
        <v>1979</v>
      </c>
      <c r="BR64" s="557">
        <v>8.8539999999999994E-2</v>
      </c>
      <c r="BS64" s="557">
        <v>8.8539999999999994E-2</v>
      </c>
      <c r="BT64" s="557">
        <v>1.719E-2</v>
      </c>
      <c r="BU64" s="557">
        <v>7.3859999999999995E-2</v>
      </c>
      <c r="BV64" s="557">
        <v>4.929E-2</v>
      </c>
      <c r="BW64" s="558" t="s">
        <v>2275</v>
      </c>
      <c r="BX64" s="535" t="s">
        <v>2276</v>
      </c>
      <c r="DH64" s="540" t="str">
        <f t="shared" si="28"/>
        <v>Hungary</v>
      </c>
      <c r="DI64" s="540" t="str">
        <f t="shared" si="29"/>
        <v>Europe</v>
      </c>
      <c r="DJ64" s="540" t="str">
        <f t="shared" si="30"/>
        <v>Eastern Europe</v>
      </c>
      <c r="DL64" s="540" t="s">
        <v>35</v>
      </c>
      <c r="DN64" s="540" t="s">
        <v>2333</v>
      </c>
      <c r="DO64" s="540" t="s">
        <v>2334</v>
      </c>
    </row>
    <row r="65" spans="3:119" ht="25.5">
      <c r="C65" s="463" t="s">
        <v>2331</v>
      </c>
      <c r="D65" s="520"/>
      <c r="E65" s="732">
        <v>0</v>
      </c>
      <c r="F65" s="521" t="s">
        <v>2079</v>
      </c>
      <c r="G65" s="522" t="s">
        <v>4368</v>
      </c>
      <c r="H65" s="521"/>
      <c r="I65" s="522"/>
      <c r="J65" s="521"/>
      <c r="AW65" s="1396" t="s">
        <v>2592</v>
      </c>
      <c r="AX65" s="1396" t="s">
        <v>2005</v>
      </c>
      <c r="AY65" s="1397" t="s">
        <v>2116</v>
      </c>
      <c r="AZ65" s="1396">
        <v>832</v>
      </c>
      <c r="BA65" s="528" t="s">
        <v>1977</v>
      </c>
      <c r="BB65" s="536">
        <v>6.2171813834411278</v>
      </c>
      <c r="BC65" s="535" t="s">
        <v>2062</v>
      </c>
      <c r="BD65" s="537"/>
      <c r="BE65" s="537"/>
      <c r="BF65" s="535"/>
      <c r="BG65" s="537"/>
      <c r="BH65" s="538">
        <f t="shared" si="31"/>
        <v>21.8</v>
      </c>
      <c r="BI65" s="538">
        <f t="shared" si="32"/>
        <v>4.7</v>
      </c>
      <c r="BJ65" s="538">
        <f t="shared" si="33"/>
        <v>30.1</v>
      </c>
      <c r="BK65" s="538">
        <f t="shared" si="34"/>
        <v>7.5</v>
      </c>
      <c r="BL65" s="538">
        <f t="shared" si="35"/>
        <v>9.5</v>
      </c>
      <c r="BM65" s="538">
        <f t="shared" si="36"/>
        <v>5.6</v>
      </c>
      <c r="BN65" s="538">
        <f t="shared" si="37"/>
        <v>6.2</v>
      </c>
      <c r="BO65" s="538">
        <f t="shared" si="38"/>
        <v>14.600000000000009</v>
      </c>
      <c r="BP65" s="538">
        <f t="shared" si="18"/>
        <v>100</v>
      </c>
      <c r="BQ65" s="535" t="s">
        <v>1979</v>
      </c>
      <c r="BR65" s="557">
        <v>8.8539999999999994E-2</v>
      </c>
      <c r="BS65" s="557">
        <v>8.8539999999999994E-2</v>
      </c>
      <c r="BT65" s="557">
        <v>1.719E-2</v>
      </c>
      <c r="BU65" s="557">
        <v>7.3859999999999995E-2</v>
      </c>
      <c r="BV65" s="557">
        <v>4.929E-2</v>
      </c>
      <c r="BW65" s="558" t="s">
        <v>2275</v>
      </c>
      <c r="BX65" s="535" t="s">
        <v>2276</v>
      </c>
      <c r="DH65" s="540" t="str">
        <f t="shared" si="28"/>
        <v>Kosovo</v>
      </c>
      <c r="DI65" s="540" t="str">
        <f t="shared" si="29"/>
        <v>Europe</v>
      </c>
      <c r="DJ65" s="540" t="str">
        <f t="shared" si="30"/>
        <v>Eastern Europe</v>
      </c>
      <c r="DL65" s="540" t="s">
        <v>35</v>
      </c>
      <c r="DN65" s="540" t="s">
        <v>2337</v>
      </c>
      <c r="DO65" s="540" t="s">
        <v>2338</v>
      </c>
    </row>
    <row r="66" spans="3:119">
      <c r="C66" s="463" t="s">
        <v>2335</v>
      </c>
      <c r="D66" s="520"/>
      <c r="E66" s="732">
        <v>2256</v>
      </c>
      <c r="F66" s="521" t="s">
        <v>2079</v>
      </c>
      <c r="G66" s="522" t="s">
        <v>4368</v>
      </c>
      <c r="H66" s="521"/>
      <c r="I66" s="522"/>
      <c r="J66" s="521"/>
      <c r="AW66" s="1396" t="s">
        <v>2674</v>
      </c>
      <c r="AX66" s="1396" t="s">
        <v>2005</v>
      </c>
      <c r="AY66" s="1397" t="s">
        <v>2116</v>
      </c>
      <c r="AZ66" s="1396">
        <v>436</v>
      </c>
      <c r="BA66" s="528" t="s">
        <v>1977</v>
      </c>
      <c r="BB66" s="536">
        <v>6.7350417796160187</v>
      </c>
      <c r="BC66" s="535" t="s">
        <v>2006</v>
      </c>
      <c r="BD66" s="537"/>
      <c r="BE66" s="537"/>
      <c r="BF66" s="535"/>
      <c r="BG66" s="537"/>
      <c r="BH66" s="538">
        <f t="shared" si="31"/>
        <v>21.8</v>
      </c>
      <c r="BI66" s="538">
        <f t="shared" si="32"/>
        <v>4.7</v>
      </c>
      <c r="BJ66" s="538">
        <f t="shared" si="33"/>
        <v>30.1</v>
      </c>
      <c r="BK66" s="538">
        <f t="shared" si="34"/>
        <v>7.5</v>
      </c>
      <c r="BL66" s="538">
        <f t="shared" si="35"/>
        <v>9.5</v>
      </c>
      <c r="BM66" s="538">
        <f t="shared" si="36"/>
        <v>5.6</v>
      </c>
      <c r="BN66" s="538">
        <f t="shared" si="37"/>
        <v>6.2</v>
      </c>
      <c r="BO66" s="538">
        <f t="shared" si="38"/>
        <v>14.600000000000009</v>
      </c>
      <c r="BP66" s="538">
        <f t="shared" si="18"/>
        <v>100</v>
      </c>
      <c r="BQ66" s="535" t="s">
        <v>1979</v>
      </c>
      <c r="BR66" s="557">
        <v>8.8539999999999994E-2</v>
      </c>
      <c r="BS66" s="557">
        <v>8.8539999999999994E-2</v>
      </c>
      <c r="BT66" s="557">
        <v>1.719E-2</v>
      </c>
      <c r="BU66" s="557">
        <v>7.3859999999999995E-2</v>
      </c>
      <c r="BV66" s="557">
        <v>4.929E-2</v>
      </c>
      <c r="BW66" s="558" t="s">
        <v>2275</v>
      </c>
      <c r="BX66" s="535" t="s">
        <v>2276</v>
      </c>
      <c r="DH66" s="540" t="str">
        <f t="shared" si="28"/>
        <v>Moldova</v>
      </c>
      <c r="DI66" s="540" t="str">
        <f t="shared" si="29"/>
        <v>Europe</v>
      </c>
      <c r="DJ66" s="540" t="str">
        <f t="shared" si="30"/>
        <v>Eastern Europe</v>
      </c>
      <c r="DL66" s="540" t="s">
        <v>35</v>
      </c>
      <c r="DN66" s="540" t="s">
        <v>2341</v>
      </c>
      <c r="DO66" s="540" t="s">
        <v>2342</v>
      </c>
    </row>
    <row r="67" spans="3:119">
      <c r="C67" s="463" t="s">
        <v>2339</v>
      </c>
      <c r="D67" s="520"/>
      <c r="E67" s="732">
        <v>2404</v>
      </c>
      <c r="F67" s="521" t="s">
        <v>2079</v>
      </c>
      <c r="G67" s="522" t="s">
        <v>4368</v>
      </c>
      <c r="H67" s="521"/>
      <c r="I67" s="522"/>
      <c r="J67" s="521"/>
      <c r="AW67" s="1396" t="s">
        <v>2701</v>
      </c>
      <c r="AX67" s="1396" t="s">
        <v>2005</v>
      </c>
      <c r="AY67" s="1397" t="s">
        <v>2116</v>
      </c>
      <c r="AZ67" s="1396">
        <v>773.3</v>
      </c>
      <c r="BA67" s="528" t="s">
        <v>2178</v>
      </c>
      <c r="BB67" s="552">
        <v>5.4712663559690737</v>
      </c>
      <c r="BC67" s="535" t="s">
        <v>2006</v>
      </c>
      <c r="BD67" s="537"/>
      <c r="BE67" s="549">
        <v>0.04</v>
      </c>
      <c r="BF67" s="535" t="s">
        <v>2345</v>
      </c>
      <c r="BG67" s="537"/>
      <c r="BH67" s="538">
        <f t="shared" si="31"/>
        <v>21.8</v>
      </c>
      <c r="BI67" s="538">
        <f t="shared" si="32"/>
        <v>4.7</v>
      </c>
      <c r="BJ67" s="538">
        <f t="shared" si="33"/>
        <v>30.1</v>
      </c>
      <c r="BK67" s="538">
        <f t="shared" si="34"/>
        <v>7.5</v>
      </c>
      <c r="BL67" s="538">
        <f t="shared" si="35"/>
        <v>9.5</v>
      </c>
      <c r="BM67" s="538">
        <f t="shared" si="36"/>
        <v>5.6</v>
      </c>
      <c r="BN67" s="538">
        <f t="shared" si="37"/>
        <v>6.2</v>
      </c>
      <c r="BO67" s="538">
        <f t="shared" si="38"/>
        <v>14.600000000000009</v>
      </c>
      <c r="BP67" s="538">
        <f t="shared" si="18"/>
        <v>100</v>
      </c>
      <c r="BQ67" s="535" t="s">
        <v>1979</v>
      </c>
      <c r="BR67" s="557">
        <v>8.8539999999999994E-2</v>
      </c>
      <c r="BS67" s="557">
        <v>8.8539999999999994E-2</v>
      </c>
      <c r="BT67" s="557">
        <v>1.719E-2</v>
      </c>
      <c r="BU67" s="557">
        <v>7.3859999999999995E-2</v>
      </c>
      <c r="BV67" s="557">
        <v>4.929E-2</v>
      </c>
      <c r="BW67" s="558" t="s">
        <v>2275</v>
      </c>
      <c r="BX67" s="535" t="s">
        <v>2276</v>
      </c>
      <c r="DH67" s="540" t="str">
        <f t="shared" ref="DH67:DH98" si="39">AW67</f>
        <v>Poland</v>
      </c>
      <c r="DI67" s="540" t="str">
        <f t="shared" ref="DI67:DI98" si="40">AX67</f>
        <v>Europe</v>
      </c>
      <c r="DJ67" s="540" t="str">
        <f t="shared" ref="DJ67:DJ98" si="41">AY67</f>
        <v>Eastern Europe</v>
      </c>
      <c r="DK67" s="540" t="e">
        <f>VLOOKUP(DH67,#REF!,1)</f>
        <v>#REF!</v>
      </c>
      <c r="DL67" s="540" t="e">
        <f>VLOOKUP(DK67,#REF!,2,FALSE)</f>
        <v>#REF!</v>
      </c>
      <c r="DN67" s="540" t="s">
        <v>2346</v>
      </c>
      <c r="DO67" s="540" t="s">
        <v>2347</v>
      </c>
    </row>
    <row r="68" spans="3:119">
      <c r="C68" s="463" t="s">
        <v>2343</v>
      </c>
      <c r="D68" s="520"/>
      <c r="E68" s="732">
        <v>1733</v>
      </c>
      <c r="F68" s="521" t="s">
        <v>2079</v>
      </c>
      <c r="G68" s="522" t="s">
        <v>4368</v>
      </c>
      <c r="H68" s="521"/>
      <c r="I68" s="522"/>
      <c r="J68" s="521"/>
      <c r="AW68" s="1396" t="s">
        <v>2704</v>
      </c>
      <c r="AX68" s="1396" t="s">
        <v>2005</v>
      </c>
      <c r="AY68" s="1397" t="s">
        <v>2116</v>
      </c>
      <c r="AZ68" s="1396">
        <v>306</v>
      </c>
      <c r="BA68" s="528" t="s">
        <v>2178</v>
      </c>
      <c r="BB68" s="552">
        <v>10.67878079046084</v>
      </c>
      <c r="BC68" s="535" t="s">
        <v>2006</v>
      </c>
      <c r="BD68" s="549">
        <v>0.1</v>
      </c>
      <c r="BE68" s="549">
        <v>0.1</v>
      </c>
      <c r="BF68" s="535" t="s">
        <v>2179</v>
      </c>
      <c r="BG68" s="537"/>
      <c r="BH68" s="538">
        <f t="shared" si="31"/>
        <v>21.8</v>
      </c>
      <c r="BI68" s="538">
        <f t="shared" si="32"/>
        <v>4.7</v>
      </c>
      <c r="BJ68" s="538">
        <f t="shared" si="33"/>
        <v>30.1</v>
      </c>
      <c r="BK68" s="538">
        <f t="shared" si="34"/>
        <v>7.5</v>
      </c>
      <c r="BL68" s="538">
        <f t="shared" si="35"/>
        <v>9.5</v>
      </c>
      <c r="BM68" s="538">
        <f t="shared" si="36"/>
        <v>5.6</v>
      </c>
      <c r="BN68" s="538">
        <f t="shared" si="37"/>
        <v>6.2</v>
      </c>
      <c r="BO68" s="538">
        <f t="shared" si="38"/>
        <v>14.600000000000009</v>
      </c>
      <c r="BP68" s="538">
        <f t="shared" ref="BP68:BP131" si="42">+SUM(BH68:BO68)</f>
        <v>100</v>
      </c>
      <c r="BQ68" s="535" t="s">
        <v>1979</v>
      </c>
      <c r="BR68" s="557">
        <v>8.8539999999999994E-2</v>
      </c>
      <c r="BS68" s="557">
        <v>8.8539999999999994E-2</v>
      </c>
      <c r="BT68" s="557">
        <v>1.719E-2</v>
      </c>
      <c r="BU68" s="557">
        <v>7.3859999999999995E-2</v>
      </c>
      <c r="BV68" s="557">
        <v>4.929E-2</v>
      </c>
      <c r="BW68" s="558" t="s">
        <v>2275</v>
      </c>
      <c r="BX68" s="535" t="s">
        <v>2276</v>
      </c>
      <c r="DH68" s="540" t="str">
        <f t="shared" si="39"/>
        <v>Romania</v>
      </c>
      <c r="DI68" s="540" t="str">
        <f t="shared" si="40"/>
        <v>Europe</v>
      </c>
      <c r="DJ68" s="540" t="str">
        <f t="shared" si="41"/>
        <v>Eastern Europe</v>
      </c>
      <c r="DL68" s="540" t="s">
        <v>35</v>
      </c>
      <c r="DN68" s="540" t="s">
        <v>2350</v>
      </c>
      <c r="DO68" s="540" t="s">
        <v>2351</v>
      </c>
    </row>
    <row r="69" spans="3:119" ht="25.5">
      <c r="C69" s="463" t="s">
        <v>2348</v>
      </c>
      <c r="D69" s="520"/>
      <c r="E69" s="732">
        <v>1847</v>
      </c>
      <c r="F69" s="521" t="s">
        <v>2079</v>
      </c>
      <c r="G69" s="522" t="s">
        <v>4368</v>
      </c>
      <c r="H69" s="521"/>
      <c r="I69" s="522"/>
      <c r="J69" s="521"/>
      <c r="AW69" s="1396" t="s">
        <v>62</v>
      </c>
      <c r="AX69" s="1396" t="s">
        <v>2005</v>
      </c>
      <c r="AY69" s="1397" t="s">
        <v>2116</v>
      </c>
      <c r="AZ69" s="1396">
        <v>325</v>
      </c>
      <c r="BA69" s="528" t="s">
        <v>2705</v>
      </c>
      <c r="BB69" s="536">
        <v>11.740747004194485</v>
      </c>
      <c r="BC69" s="535" t="s">
        <v>2263</v>
      </c>
      <c r="BD69" s="537"/>
      <c r="BE69" s="537"/>
      <c r="BF69" s="535"/>
      <c r="BG69" s="537"/>
      <c r="BH69" s="538">
        <f t="shared" si="31"/>
        <v>21.8</v>
      </c>
      <c r="BI69" s="538">
        <f t="shared" si="32"/>
        <v>4.7</v>
      </c>
      <c r="BJ69" s="538">
        <f t="shared" si="33"/>
        <v>30.1</v>
      </c>
      <c r="BK69" s="538">
        <f t="shared" si="34"/>
        <v>7.5</v>
      </c>
      <c r="BL69" s="538">
        <f t="shared" si="35"/>
        <v>9.5</v>
      </c>
      <c r="BM69" s="538">
        <f t="shared" si="36"/>
        <v>5.6</v>
      </c>
      <c r="BN69" s="538">
        <f t="shared" si="37"/>
        <v>6.2</v>
      </c>
      <c r="BO69" s="538">
        <f t="shared" si="38"/>
        <v>14.600000000000009</v>
      </c>
      <c r="BP69" s="538">
        <f t="shared" si="42"/>
        <v>100</v>
      </c>
      <c r="BQ69" s="535" t="s">
        <v>1979</v>
      </c>
      <c r="BR69" s="557">
        <v>8.8539999999999994E-2</v>
      </c>
      <c r="BS69" s="557">
        <v>8.8539999999999994E-2</v>
      </c>
      <c r="BT69" s="557">
        <v>1.719E-2</v>
      </c>
      <c r="BU69" s="557">
        <v>7.3859999999999995E-2</v>
      </c>
      <c r="BV69" s="557">
        <v>4.929E-2</v>
      </c>
      <c r="BW69" s="558" t="s">
        <v>2275</v>
      </c>
      <c r="BX69" s="535" t="s">
        <v>2276</v>
      </c>
      <c r="DH69" s="540" t="str">
        <f t="shared" si="39"/>
        <v>Russian Federation</v>
      </c>
      <c r="DI69" s="540" t="str">
        <f t="shared" si="40"/>
        <v>Europe</v>
      </c>
      <c r="DJ69" s="540" t="str">
        <f t="shared" si="41"/>
        <v>Eastern Europe</v>
      </c>
      <c r="DL69" s="540" t="s">
        <v>35</v>
      </c>
      <c r="DN69" s="540" t="s">
        <v>2354</v>
      </c>
      <c r="DO69" s="540" t="s">
        <v>2355</v>
      </c>
    </row>
    <row r="70" spans="3:119">
      <c r="C70" s="463" t="s">
        <v>2352</v>
      </c>
      <c r="D70" s="520"/>
      <c r="E70" s="732">
        <v>465</v>
      </c>
      <c r="F70" s="521" t="s">
        <v>2079</v>
      </c>
      <c r="G70" s="522" t="s">
        <v>4368</v>
      </c>
      <c r="H70" s="521"/>
      <c r="I70" s="522"/>
      <c r="J70" s="521"/>
      <c r="AW70" s="1396" t="s">
        <v>2723</v>
      </c>
      <c r="AX70" s="1396" t="s">
        <v>2005</v>
      </c>
      <c r="AY70" s="1397" t="s">
        <v>2116</v>
      </c>
      <c r="AZ70" s="1396">
        <v>132.30000000000001</v>
      </c>
      <c r="BA70" s="528" t="s">
        <v>2178</v>
      </c>
      <c r="BB70" s="536">
        <v>21.436651583710407</v>
      </c>
      <c r="BC70" s="535" t="s">
        <v>2006</v>
      </c>
      <c r="BD70" s="537"/>
      <c r="BE70" s="537"/>
      <c r="BF70" s="535"/>
      <c r="BG70" s="537"/>
      <c r="BH70" s="538">
        <f t="shared" si="31"/>
        <v>21.8</v>
      </c>
      <c r="BI70" s="538">
        <f t="shared" si="32"/>
        <v>4.7</v>
      </c>
      <c r="BJ70" s="538">
        <f t="shared" si="33"/>
        <v>30.1</v>
      </c>
      <c r="BK70" s="538">
        <f t="shared" si="34"/>
        <v>7.5</v>
      </c>
      <c r="BL70" s="538">
        <f t="shared" si="35"/>
        <v>9.5</v>
      </c>
      <c r="BM70" s="538">
        <f t="shared" si="36"/>
        <v>5.6</v>
      </c>
      <c r="BN70" s="538">
        <f t="shared" si="37"/>
        <v>6.2</v>
      </c>
      <c r="BO70" s="538">
        <f t="shared" si="38"/>
        <v>14.600000000000009</v>
      </c>
      <c r="BP70" s="538">
        <f t="shared" si="42"/>
        <v>100</v>
      </c>
      <c r="BQ70" s="535" t="s">
        <v>1979</v>
      </c>
      <c r="BR70" s="557">
        <v>8.8539999999999994E-2</v>
      </c>
      <c r="BS70" s="557">
        <v>8.8539999999999994E-2</v>
      </c>
      <c r="BT70" s="557">
        <v>1.719E-2</v>
      </c>
      <c r="BU70" s="557">
        <v>7.3859999999999995E-2</v>
      </c>
      <c r="BV70" s="557">
        <v>4.929E-2</v>
      </c>
      <c r="BW70" s="558" t="s">
        <v>2275</v>
      </c>
      <c r="BX70" s="535" t="s">
        <v>2276</v>
      </c>
      <c r="DH70" s="540" t="str">
        <f t="shared" si="39"/>
        <v>Slovakia</v>
      </c>
      <c r="DI70" s="540" t="str">
        <f t="shared" si="40"/>
        <v>Europe</v>
      </c>
      <c r="DJ70" s="540" t="str">
        <f t="shared" si="41"/>
        <v>Eastern Europe</v>
      </c>
      <c r="DL70" s="540" t="s">
        <v>35</v>
      </c>
      <c r="DN70" s="540" t="s">
        <v>2357</v>
      </c>
      <c r="DO70" s="540" t="s">
        <v>2358</v>
      </c>
    </row>
    <row r="71" spans="3:119">
      <c r="C71" s="463" t="s">
        <v>2365</v>
      </c>
      <c r="D71" s="520"/>
      <c r="E71" s="732">
        <v>1635</v>
      </c>
      <c r="F71" s="521" t="s">
        <v>2079</v>
      </c>
      <c r="G71" s="522" t="s">
        <v>4368</v>
      </c>
      <c r="H71" s="521"/>
      <c r="I71" s="522"/>
      <c r="J71" s="521"/>
      <c r="AW71" s="1396" t="s">
        <v>2748</v>
      </c>
      <c r="AX71" s="1396" t="s">
        <v>2005</v>
      </c>
      <c r="AY71" s="1397" t="s">
        <v>2116</v>
      </c>
      <c r="AZ71" s="1396">
        <v>525</v>
      </c>
      <c r="BA71" s="528" t="s">
        <v>1977</v>
      </c>
      <c r="BB71" s="536">
        <v>44.540229885057471</v>
      </c>
      <c r="BC71" s="535" t="s">
        <v>2006</v>
      </c>
      <c r="BD71" s="537"/>
      <c r="BE71" s="537"/>
      <c r="BF71" s="535"/>
      <c r="BG71" s="537"/>
      <c r="BH71" s="538">
        <f t="shared" si="31"/>
        <v>21.8</v>
      </c>
      <c r="BI71" s="538">
        <f t="shared" si="32"/>
        <v>4.7</v>
      </c>
      <c r="BJ71" s="538">
        <f t="shared" si="33"/>
        <v>30.1</v>
      </c>
      <c r="BK71" s="538">
        <f t="shared" si="34"/>
        <v>7.5</v>
      </c>
      <c r="BL71" s="538">
        <f t="shared" si="35"/>
        <v>9.5</v>
      </c>
      <c r="BM71" s="538">
        <f t="shared" si="36"/>
        <v>5.6</v>
      </c>
      <c r="BN71" s="538">
        <f t="shared" si="37"/>
        <v>6.2</v>
      </c>
      <c r="BO71" s="538">
        <f t="shared" si="38"/>
        <v>14.600000000000009</v>
      </c>
      <c r="BP71" s="538">
        <f t="shared" si="42"/>
        <v>100</v>
      </c>
      <c r="BQ71" s="535" t="s">
        <v>1979</v>
      </c>
      <c r="BR71" s="557">
        <v>8.8539999999999994E-2</v>
      </c>
      <c r="BS71" s="557">
        <v>8.8539999999999994E-2</v>
      </c>
      <c r="BT71" s="557">
        <v>1.719E-2</v>
      </c>
      <c r="BU71" s="557">
        <v>7.3859999999999995E-2</v>
      </c>
      <c r="BV71" s="557">
        <v>4.929E-2</v>
      </c>
      <c r="BW71" s="558" t="s">
        <v>2275</v>
      </c>
      <c r="BX71" s="535" t="s">
        <v>2276</v>
      </c>
      <c r="DH71" s="540" t="str">
        <f t="shared" si="39"/>
        <v>Ukraine</v>
      </c>
      <c r="DI71" s="540" t="str">
        <f t="shared" si="40"/>
        <v>Europe</v>
      </c>
      <c r="DJ71" s="540" t="str">
        <f t="shared" si="41"/>
        <v>Eastern Europe</v>
      </c>
      <c r="DL71" s="540" t="s">
        <v>35</v>
      </c>
      <c r="DN71" s="540" t="s">
        <v>2360</v>
      </c>
      <c r="DO71" s="540" t="s">
        <v>2361</v>
      </c>
    </row>
    <row r="72" spans="3:119" ht="25.5">
      <c r="C72" s="463" t="s">
        <v>2370</v>
      </c>
      <c r="D72" s="520"/>
      <c r="E72" s="732">
        <v>605</v>
      </c>
      <c r="F72" s="521" t="s">
        <v>2079</v>
      </c>
      <c r="G72" s="522" t="s">
        <v>4368</v>
      </c>
      <c r="H72" s="521"/>
      <c r="I72" s="522"/>
      <c r="J72" s="521"/>
      <c r="AW72" s="1396" t="s">
        <v>2270</v>
      </c>
      <c r="AX72" s="1396" t="s">
        <v>2032</v>
      </c>
      <c r="AY72" s="1397" t="s">
        <v>2075</v>
      </c>
      <c r="AZ72" s="1396">
        <v>275</v>
      </c>
      <c r="BA72" s="528" t="s">
        <v>1977</v>
      </c>
      <c r="BB72" s="536">
        <v>5.4123414965002699</v>
      </c>
      <c r="BC72" s="535" t="s">
        <v>2049</v>
      </c>
      <c r="BD72" s="537"/>
      <c r="BE72" s="537"/>
      <c r="BF72" s="535"/>
      <c r="BG72" s="537"/>
      <c r="BH72" s="538">
        <f t="shared" si="31"/>
        <v>16.8</v>
      </c>
      <c r="BI72" s="538">
        <f t="shared" si="32"/>
        <v>2.5</v>
      </c>
      <c r="BJ72" s="538">
        <f t="shared" si="33"/>
        <v>43.4</v>
      </c>
      <c r="BK72" s="538">
        <f t="shared" si="34"/>
        <v>6.5</v>
      </c>
      <c r="BL72" s="538">
        <f t="shared" si="35"/>
        <v>9.5</v>
      </c>
      <c r="BM72" s="538">
        <f t="shared" si="36"/>
        <v>5.6</v>
      </c>
      <c r="BN72" s="538">
        <f t="shared" si="37"/>
        <v>4.5</v>
      </c>
      <c r="BO72" s="538">
        <f t="shared" si="38"/>
        <v>11.200000000000003</v>
      </c>
      <c r="BP72" s="538">
        <f t="shared" si="42"/>
        <v>100</v>
      </c>
      <c r="BQ72" s="535" t="s">
        <v>1979</v>
      </c>
      <c r="BR72" s="557">
        <v>8.8539999999999994E-2</v>
      </c>
      <c r="BS72" s="557">
        <v>8.8539999999999994E-2</v>
      </c>
      <c r="BT72" s="557">
        <v>1.719E-2</v>
      </c>
      <c r="BU72" s="557">
        <v>7.3859999999999995E-2</v>
      </c>
      <c r="BV72" s="557">
        <v>4.929E-2</v>
      </c>
      <c r="BW72" s="558" t="s">
        <v>2275</v>
      </c>
      <c r="BX72" s="535" t="s">
        <v>2276</v>
      </c>
      <c r="DH72" s="540" t="str">
        <f t="shared" si="39"/>
        <v>Cameroon</v>
      </c>
      <c r="DI72" s="540" t="str">
        <f t="shared" si="40"/>
        <v>Africa</v>
      </c>
      <c r="DJ72" s="540" t="str">
        <f t="shared" si="41"/>
        <v>Middle Africa</v>
      </c>
      <c r="DL72" s="540" t="s">
        <v>35</v>
      </c>
      <c r="DN72" s="540" t="s">
        <v>2363</v>
      </c>
      <c r="DO72" s="540" t="s">
        <v>2364</v>
      </c>
    </row>
    <row r="73" spans="3:119">
      <c r="C73" s="463" t="s">
        <v>2374</v>
      </c>
      <c r="D73" s="520"/>
      <c r="E73" s="732">
        <v>903</v>
      </c>
      <c r="F73" s="521" t="s">
        <v>2079</v>
      </c>
      <c r="G73" s="522" t="s">
        <v>4368</v>
      </c>
      <c r="H73" s="521"/>
      <c r="I73" s="522"/>
      <c r="J73" s="521"/>
      <c r="AW73" s="1396" t="s">
        <v>2328</v>
      </c>
      <c r="AX73" s="1396" t="s">
        <v>2032</v>
      </c>
      <c r="AY73" s="1397" t="s">
        <v>2075</v>
      </c>
      <c r="AZ73" s="1396">
        <v>224</v>
      </c>
      <c r="BA73" s="528" t="s">
        <v>1977</v>
      </c>
      <c r="BB73" s="552">
        <v>10.82509542918665</v>
      </c>
      <c r="BC73" s="535" t="s">
        <v>2006</v>
      </c>
      <c r="BD73" s="537"/>
      <c r="BE73" s="537"/>
      <c r="BF73" s="535"/>
      <c r="BG73" s="537"/>
      <c r="BH73" s="518">
        <v>14</v>
      </c>
      <c r="BI73" s="518">
        <v>3</v>
      </c>
      <c r="BJ73" s="518">
        <v>40</v>
      </c>
      <c r="BK73" s="518">
        <v>2</v>
      </c>
      <c r="BL73" s="518">
        <v>4</v>
      </c>
      <c r="BM73" s="518">
        <v>8</v>
      </c>
      <c r="BN73" s="518">
        <v>29</v>
      </c>
      <c r="BO73" s="518">
        <f>100-SUM(BH73:BN73)</f>
        <v>0</v>
      </c>
      <c r="BP73" s="538">
        <f t="shared" si="42"/>
        <v>100</v>
      </c>
      <c r="BQ73" s="528" t="s">
        <v>2367</v>
      </c>
      <c r="BR73" s="557">
        <v>8.8539999999999994E-2</v>
      </c>
      <c r="BS73" s="557">
        <v>8.8539999999999994E-2</v>
      </c>
      <c r="BT73" s="557">
        <v>1.719E-2</v>
      </c>
      <c r="BU73" s="557">
        <v>7.3859999999999995E-2</v>
      </c>
      <c r="BV73" s="557">
        <v>4.929E-2</v>
      </c>
      <c r="BW73" s="558" t="s">
        <v>2275</v>
      </c>
      <c r="BX73" s="535" t="s">
        <v>2276</v>
      </c>
      <c r="DH73" s="540" t="str">
        <f t="shared" si="39"/>
        <v>Central African Republic</v>
      </c>
      <c r="DI73" s="540" t="str">
        <f t="shared" si="40"/>
        <v>Africa</v>
      </c>
      <c r="DJ73" s="540" t="str">
        <f t="shared" si="41"/>
        <v>Middle Africa</v>
      </c>
      <c r="DL73" s="540" t="s">
        <v>35</v>
      </c>
      <c r="DN73" s="540" t="s">
        <v>2368</v>
      </c>
      <c r="DO73" s="540" t="s">
        <v>2369</v>
      </c>
    </row>
    <row r="74" spans="3:119">
      <c r="C74" s="463" t="s">
        <v>2378</v>
      </c>
      <c r="D74" s="520"/>
      <c r="E74" s="732">
        <v>2508</v>
      </c>
      <c r="F74" s="521" t="s">
        <v>2079</v>
      </c>
      <c r="G74" s="522" t="s">
        <v>4368</v>
      </c>
      <c r="H74" s="521"/>
      <c r="I74" s="522"/>
      <c r="J74" s="521"/>
      <c r="AW74" s="1396" t="s">
        <v>2332</v>
      </c>
      <c r="AX74" s="1396" t="s">
        <v>2032</v>
      </c>
      <c r="AY74" s="1397" t="s">
        <v>2075</v>
      </c>
      <c r="AZ74" s="1396">
        <v>655</v>
      </c>
      <c r="BA74" s="528" t="s">
        <v>1977</v>
      </c>
      <c r="BB74" s="536">
        <v>14.325368090755491</v>
      </c>
      <c r="BC74" s="535" t="s">
        <v>2006</v>
      </c>
      <c r="BD74" s="537"/>
      <c r="BE74" s="537"/>
      <c r="BF74" s="535"/>
      <c r="BG74" s="537"/>
      <c r="BH74" s="538">
        <f t="shared" ref="BH74:BH106" si="43">+VLOOKUP($AY74,$BZ$3:$CH$21,2,FALSE)</f>
        <v>16.8</v>
      </c>
      <c r="BI74" s="538">
        <f t="shared" ref="BI74:BI106" si="44">+VLOOKUP($AY74,$BZ$3:$CH$21,3,FALSE)</f>
        <v>2.5</v>
      </c>
      <c r="BJ74" s="538">
        <f t="shared" ref="BJ74:BJ106" si="45">+VLOOKUP($AY74,$BZ$3:$CH$21,4,FALSE)</f>
        <v>43.4</v>
      </c>
      <c r="BK74" s="538">
        <f t="shared" ref="BK74:BK106" si="46">+VLOOKUP($AY74,$BZ$3:$CH$21,5,FALSE)</f>
        <v>6.5</v>
      </c>
      <c r="BL74" s="538">
        <f t="shared" ref="BL74:BL106" si="47">+VLOOKUP($AY74,$BZ$3:$CH$21,6,FALSE)</f>
        <v>9.5</v>
      </c>
      <c r="BM74" s="538">
        <f t="shared" ref="BM74:BM106" si="48">+VLOOKUP($AY74,$BZ$3:$CH$21,7,FALSE)</f>
        <v>5.6</v>
      </c>
      <c r="BN74" s="538">
        <f t="shared" ref="BN74:BN106" si="49">+VLOOKUP($AY74,$BZ$3:$CH$21,8,FALSE)</f>
        <v>4.5</v>
      </c>
      <c r="BO74" s="538">
        <f t="shared" ref="BO74:BO106" si="50">+VLOOKUP($AY74,$BZ$3:$CH$21,9,FALSE)</f>
        <v>11.200000000000003</v>
      </c>
      <c r="BP74" s="538">
        <f t="shared" si="42"/>
        <v>100</v>
      </c>
      <c r="BQ74" s="535" t="s">
        <v>1979</v>
      </c>
      <c r="BR74" s="557">
        <v>8.8539999999999994E-2</v>
      </c>
      <c r="BS74" s="557">
        <v>8.8539999999999994E-2</v>
      </c>
      <c r="BT74" s="557">
        <v>1.719E-2</v>
      </c>
      <c r="BU74" s="557">
        <v>7.3859999999999995E-2</v>
      </c>
      <c r="BV74" s="557">
        <v>4.929E-2</v>
      </c>
      <c r="BW74" s="558" t="s">
        <v>2275</v>
      </c>
      <c r="BX74" s="535" t="s">
        <v>2276</v>
      </c>
      <c r="DH74" s="540" t="str">
        <f t="shared" si="39"/>
        <v>Chad</v>
      </c>
      <c r="DI74" s="540" t="str">
        <f t="shared" si="40"/>
        <v>Africa</v>
      </c>
      <c r="DJ74" s="540" t="str">
        <f t="shared" si="41"/>
        <v>Middle Africa</v>
      </c>
      <c r="DL74" s="540" t="s">
        <v>35</v>
      </c>
      <c r="DN74" s="540" t="s">
        <v>2372</v>
      </c>
      <c r="DO74" s="540" t="s">
        <v>2373</v>
      </c>
    </row>
    <row r="75" spans="3:119">
      <c r="C75" s="463" t="s">
        <v>2382</v>
      </c>
      <c r="D75" s="520"/>
      <c r="E75" s="732">
        <v>3235</v>
      </c>
      <c r="F75" s="521" t="s">
        <v>2079</v>
      </c>
      <c r="G75" s="522" t="s">
        <v>4368</v>
      </c>
      <c r="H75" s="521"/>
      <c r="I75" s="522"/>
      <c r="J75" s="521"/>
      <c r="AW75" s="1396" t="s">
        <v>2356</v>
      </c>
      <c r="AX75" s="1396" t="s">
        <v>2032</v>
      </c>
      <c r="AY75" s="1397" t="s">
        <v>2075</v>
      </c>
      <c r="AZ75" s="1396">
        <v>43</v>
      </c>
      <c r="BA75" s="528" t="s">
        <v>1977</v>
      </c>
      <c r="BB75" s="536">
        <v>13.128907412920512</v>
      </c>
      <c r="BC75" s="535" t="s">
        <v>2006</v>
      </c>
      <c r="BD75" s="549">
        <v>5.7500000000000002E-2</v>
      </c>
      <c r="BE75" s="549">
        <v>0.01</v>
      </c>
      <c r="BF75" s="535" t="s">
        <v>2179</v>
      </c>
      <c r="BG75" s="537"/>
      <c r="BH75" s="538">
        <f t="shared" si="43"/>
        <v>16.8</v>
      </c>
      <c r="BI75" s="538">
        <f t="shared" si="44"/>
        <v>2.5</v>
      </c>
      <c r="BJ75" s="538">
        <f t="shared" si="45"/>
        <v>43.4</v>
      </c>
      <c r="BK75" s="538">
        <f t="shared" si="46"/>
        <v>6.5</v>
      </c>
      <c r="BL75" s="538">
        <f t="shared" si="47"/>
        <v>9.5</v>
      </c>
      <c r="BM75" s="538">
        <f t="shared" si="48"/>
        <v>5.6</v>
      </c>
      <c r="BN75" s="538">
        <f t="shared" si="49"/>
        <v>4.5</v>
      </c>
      <c r="BO75" s="538">
        <f t="shared" si="50"/>
        <v>11.200000000000003</v>
      </c>
      <c r="BP75" s="538">
        <f t="shared" si="42"/>
        <v>100</v>
      </c>
      <c r="BQ75" s="535" t="s">
        <v>1979</v>
      </c>
      <c r="BR75" s="557">
        <v>8.8539999999999994E-2</v>
      </c>
      <c r="BS75" s="557">
        <v>8.8539999999999994E-2</v>
      </c>
      <c r="BT75" s="557">
        <v>1.719E-2</v>
      </c>
      <c r="BU75" s="557">
        <v>7.3859999999999995E-2</v>
      </c>
      <c r="BV75" s="557">
        <v>4.929E-2</v>
      </c>
      <c r="BW75" s="558" t="s">
        <v>2275</v>
      </c>
      <c r="BX75" s="535" t="s">
        <v>2276</v>
      </c>
      <c r="DH75" s="540" t="str">
        <f t="shared" si="39"/>
        <v>Congo. Democratic Republic of</v>
      </c>
      <c r="DI75" s="540" t="str">
        <f t="shared" si="40"/>
        <v>Africa</v>
      </c>
      <c r="DJ75" s="540" t="str">
        <f t="shared" si="41"/>
        <v>Middle Africa</v>
      </c>
      <c r="DK75" s="540" t="e">
        <f>VLOOKUP(DH75,#REF!,1)</f>
        <v>#REF!</v>
      </c>
      <c r="DL75" s="540" t="e">
        <f>VLOOKUP(DK75,#REF!,2,FALSE)</f>
        <v>#REF!</v>
      </c>
      <c r="DN75" s="540" t="s">
        <v>2376</v>
      </c>
      <c r="DO75" s="540" t="s">
        <v>2377</v>
      </c>
    </row>
    <row r="76" spans="3:119">
      <c r="C76" s="463" t="s">
        <v>2386</v>
      </c>
      <c r="D76" s="520"/>
      <c r="E76" s="732">
        <v>1935</v>
      </c>
      <c r="F76" s="521" t="s">
        <v>2079</v>
      </c>
      <c r="G76" s="522" t="s">
        <v>4368</v>
      </c>
      <c r="H76" s="521"/>
      <c r="I76" s="522"/>
      <c r="J76" s="521"/>
      <c r="AW76" s="1396" t="s">
        <v>2359</v>
      </c>
      <c r="AX76" s="1396" t="s">
        <v>2032</v>
      </c>
      <c r="AY76" s="1397" t="s">
        <v>2075</v>
      </c>
      <c r="AZ76" s="1396">
        <v>342</v>
      </c>
      <c r="BA76" s="528" t="s">
        <v>1977</v>
      </c>
      <c r="BB76" s="536">
        <v>15.289682949499122</v>
      </c>
      <c r="BC76" s="535" t="s">
        <v>2006</v>
      </c>
      <c r="BD76" s="537"/>
      <c r="BE76" s="537"/>
      <c r="BF76" s="535"/>
      <c r="BG76" s="537"/>
      <c r="BH76" s="538">
        <f t="shared" si="43"/>
        <v>16.8</v>
      </c>
      <c r="BI76" s="538">
        <f t="shared" si="44"/>
        <v>2.5</v>
      </c>
      <c r="BJ76" s="538">
        <f t="shared" si="45"/>
        <v>43.4</v>
      </c>
      <c r="BK76" s="538">
        <f t="shared" si="46"/>
        <v>6.5</v>
      </c>
      <c r="BL76" s="538">
        <f t="shared" si="47"/>
        <v>9.5</v>
      </c>
      <c r="BM76" s="538">
        <f t="shared" si="48"/>
        <v>5.6</v>
      </c>
      <c r="BN76" s="538">
        <f t="shared" si="49"/>
        <v>4.5</v>
      </c>
      <c r="BO76" s="538">
        <f t="shared" si="50"/>
        <v>11.200000000000003</v>
      </c>
      <c r="BP76" s="538">
        <f t="shared" si="42"/>
        <v>100</v>
      </c>
      <c r="BQ76" s="535" t="s">
        <v>1979</v>
      </c>
      <c r="BR76" s="557">
        <v>8.8539999999999994E-2</v>
      </c>
      <c r="BS76" s="557">
        <v>8.8539999999999994E-2</v>
      </c>
      <c r="BT76" s="557">
        <v>1.719E-2</v>
      </c>
      <c r="BU76" s="557">
        <v>7.3859999999999995E-2</v>
      </c>
      <c r="BV76" s="557">
        <v>4.929E-2</v>
      </c>
      <c r="BW76" s="558" t="s">
        <v>2275</v>
      </c>
      <c r="BX76" s="535" t="s">
        <v>2276</v>
      </c>
      <c r="DH76" s="540" t="str">
        <f t="shared" si="39"/>
        <v>Congo. Republic of</v>
      </c>
      <c r="DI76" s="540" t="str">
        <f t="shared" si="40"/>
        <v>Africa</v>
      </c>
      <c r="DJ76" s="540" t="str">
        <f t="shared" si="41"/>
        <v>Middle Africa</v>
      </c>
      <c r="DL76" s="540" t="s">
        <v>35</v>
      </c>
      <c r="DN76" s="540" t="s">
        <v>2380</v>
      </c>
      <c r="DO76" s="540" t="s">
        <v>2381</v>
      </c>
    </row>
    <row r="77" spans="3:119" ht="25.5">
      <c r="C77" s="463" t="s">
        <v>2390</v>
      </c>
      <c r="D77" s="520"/>
      <c r="E77" s="732">
        <v>1885</v>
      </c>
      <c r="F77" s="521" t="s">
        <v>2079</v>
      </c>
      <c r="G77" s="522" t="s">
        <v>4368</v>
      </c>
      <c r="H77" s="521"/>
      <c r="I77" s="522"/>
      <c r="J77" s="521"/>
      <c r="AW77" s="1396" t="s">
        <v>2422</v>
      </c>
      <c r="AX77" s="1396" t="s">
        <v>2032</v>
      </c>
      <c r="AY77" s="1397" t="s">
        <v>2075</v>
      </c>
      <c r="AZ77" s="1396">
        <v>531</v>
      </c>
      <c r="BA77" s="528" t="s">
        <v>1977</v>
      </c>
      <c r="BB77" s="536">
        <v>9.3894684857089938</v>
      </c>
      <c r="BC77" s="535" t="s">
        <v>2087</v>
      </c>
      <c r="BD77" s="537"/>
      <c r="BE77" s="537"/>
      <c r="BF77" s="535"/>
      <c r="BG77" s="537"/>
      <c r="BH77" s="538">
        <f t="shared" si="43"/>
        <v>16.8</v>
      </c>
      <c r="BI77" s="538">
        <f t="shared" si="44"/>
        <v>2.5</v>
      </c>
      <c r="BJ77" s="538">
        <f t="shared" si="45"/>
        <v>43.4</v>
      </c>
      <c r="BK77" s="538">
        <f t="shared" si="46"/>
        <v>6.5</v>
      </c>
      <c r="BL77" s="538">
        <f t="shared" si="47"/>
        <v>9.5</v>
      </c>
      <c r="BM77" s="538">
        <f t="shared" si="48"/>
        <v>5.6</v>
      </c>
      <c r="BN77" s="538">
        <f t="shared" si="49"/>
        <v>4.5</v>
      </c>
      <c r="BO77" s="538">
        <f t="shared" si="50"/>
        <v>11.200000000000003</v>
      </c>
      <c r="BP77" s="538">
        <f t="shared" si="42"/>
        <v>100</v>
      </c>
      <c r="BQ77" s="535" t="s">
        <v>1979</v>
      </c>
      <c r="BR77" s="557">
        <v>8.8539999999999994E-2</v>
      </c>
      <c r="BS77" s="557">
        <v>8.8539999999999994E-2</v>
      </c>
      <c r="BT77" s="557">
        <v>1.719E-2</v>
      </c>
      <c r="BU77" s="557">
        <v>7.3859999999999995E-2</v>
      </c>
      <c r="BV77" s="557">
        <v>4.929E-2</v>
      </c>
      <c r="BW77" s="558" t="s">
        <v>2275</v>
      </c>
      <c r="BX77" s="535" t="s">
        <v>2276</v>
      </c>
      <c r="DH77" s="540" t="str">
        <f t="shared" si="39"/>
        <v>Equatorial Guinea</v>
      </c>
      <c r="DI77" s="540" t="str">
        <f t="shared" si="40"/>
        <v>Africa</v>
      </c>
      <c r="DJ77" s="540" t="str">
        <f t="shared" si="41"/>
        <v>Middle Africa</v>
      </c>
      <c r="DL77" s="540" t="s">
        <v>35</v>
      </c>
      <c r="DN77" s="540" t="s">
        <v>2384</v>
      </c>
      <c r="DO77" s="540" t="s">
        <v>2385</v>
      </c>
    </row>
    <row r="78" spans="3:119">
      <c r="C78" s="463" t="s">
        <v>2394</v>
      </c>
      <c r="D78" s="520"/>
      <c r="E78" s="732">
        <v>3171</v>
      </c>
      <c r="F78" s="521" t="s">
        <v>2079</v>
      </c>
      <c r="G78" s="522" t="s">
        <v>4368</v>
      </c>
      <c r="H78" s="521"/>
      <c r="I78" s="522"/>
      <c r="J78" s="521"/>
      <c r="AW78" s="1396" t="s">
        <v>2465</v>
      </c>
      <c r="AX78" s="1396" t="s">
        <v>2032</v>
      </c>
      <c r="AY78" s="1397" t="s">
        <v>2075</v>
      </c>
      <c r="AZ78" s="1396">
        <v>439</v>
      </c>
      <c r="BA78" s="528" t="s">
        <v>1977</v>
      </c>
      <c r="BB78" s="536">
        <v>3.9770114942528738</v>
      </c>
      <c r="BC78" s="535" t="s">
        <v>2006</v>
      </c>
      <c r="BD78" s="537"/>
      <c r="BE78" s="537"/>
      <c r="BF78" s="535"/>
      <c r="BG78" s="537"/>
      <c r="BH78" s="538">
        <f t="shared" si="43"/>
        <v>16.8</v>
      </c>
      <c r="BI78" s="538">
        <f t="shared" si="44"/>
        <v>2.5</v>
      </c>
      <c r="BJ78" s="538">
        <f t="shared" si="45"/>
        <v>43.4</v>
      </c>
      <c r="BK78" s="538">
        <f t="shared" si="46"/>
        <v>6.5</v>
      </c>
      <c r="BL78" s="538">
        <f t="shared" si="47"/>
        <v>9.5</v>
      </c>
      <c r="BM78" s="538">
        <f t="shared" si="48"/>
        <v>5.6</v>
      </c>
      <c r="BN78" s="538">
        <f t="shared" si="49"/>
        <v>4.5</v>
      </c>
      <c r="BO78" s="538">
        <f t="shared" si="50"/>
        <v>11.200000000000003</v>
      </c>
      <c r="BP78" s="538">
        <f t="shared" si="42"/>
        <v>100</v>
      </c>
      <c r="BQ78" s="535" t="s">
        <v>1979</v>
      </c>
      <c r="BR78" s="557">
        <v>8.8539999999999994E-2</v>
      </c>
      <c r="BS78" s="557">
        <v>8.8539999999999994E-2</v>
      </c>
      <c r="BT78" s="557">
        <v>1.719E-2</v>
      </c>
      <c r="BU78" s="557">
        <v>7.3859999999999995E-2</v>
      </c>
      <c r="BV78" s="557">
        <v>4.929E-2</v>
      </c>
      <c r="BW78" s="558" t="s">
        <v>2275</v>
      </c>
      <c r="BX78" s="535" t="s">
        <v>2276</v>
      </c>
      <c r="DH78" s="540" t="str">
        <f t="shared" si="39"/>
        <v>Gabon</v>
      </c>
      <c r="DI78" s="540" t="str">
        <f t="shared" si="40"/>
        <v>Africa</v>
      </c>
      <c r="DJ78" s="540" t="str">
        <f t="shared" si="41"/>
        <v>Middle Africa</v>
      </c>
      <c r="DK78" s="540" t="e">
        <f>VLOOKUP(DH78,#REF!,1)</f>
        <v>#REF!</v>
      </c>
      <c r="DL78" s="540" t="e">
        <f>VLOOKUP(DK78,#REF!,2,FALSE)</f>
        <v>#REF!</v>
      </c>
      <c r="DN78" s="540" t="s">
        <v>2388</v>
      </c>
      <c r="DO78" s="540" t="s">
        <v>2389</v>
      </c>
    </row>
    <row r="79" spans="3:119">
      <c r="C79" s="463" t="s">
        <v>2398</v>
      </c>
      <c r="D79" s="520"/>
      <c r="E79" s="732">
        <v>2548</v>
      </c>
      <c r="F79" s="521" t="s">
        <v>2079</v>
      </c>
      <c r="G79" s="522" t="s">
        <v>4368</v>
      </c>
      <c r="H79" s="521"/>
      <c r="I79" s="522"/>
      <c r="J79" s="521"/>
      <c r="AW79" s="1396" t="s">
        <v>2716</v>
      </c>
      <c r="AX79" s="1396" t="s">
        <v>2032</v>
      </c>
      <c r="AY79" s="1397" t="s">
        <v>2075</v>
      </c>
      <c r="AZ79" s="1396">
        <v>530</v>
      </c>
      <c r="BA79" s="528" t="s">
        <v>1977</v>
      </c>
      <c r="BB79" s="536">
        <v>4.5207765347372382</v>
      </c>
      <c r="BC79" s="535" t="s">
        <v>2006</v>
      </c>
      <c r="BD79" s="549">
        <v>5.7500000000000002E-2</v>
      </c>
      <c r="BE79" s="549">
        <v>0.04</v>
      </c>
      <c r="BF79" s="535" t="s">
        <v>2179</v>
      </c>
      <c r="BG79" s="537"/>
      <c r="BH79" s="538">
        <f t="shared" si="43"/>
        <v>16.8</v>
      </c>
      <c r="BI79" s="538">
        <f t="shared" si="44"/>
        <v>2.5</v>
      </c>
      <c r="BJ79" s="538">
        <f t="shared" si="45"/>
        <v>43.4</v>
      </c>
      <c r="BK79" s="538">
        <f t="shared" si="46"/>
        <v>6.5</v>
      </c>
      <c r="BL79" s="538">
        <f t="shared" si="47"/>
        <v>9.5</v>
      </c>
      <c r="BM79" s="538">
        <f t="shared" si="48"/>
        <v>5.6</v>
      </c>
      <c r="BN79" s="538">
        <f t="shared" si="49"/>
        <v>4.5</v>
      </c>
      <c r="BO79" s="538">
        <f t="shared" si="50"/>
        <v>11.200000000000003</v>
      </c>
      <c r="BP79" s="538">
        <f t="shared" si="42"/>
        <v>100</v>
      </c>
      <c r="BQ79" s="535" t="s">
        <v>1979</v>
      </c>
      <c r="BR79" s="557">
        <v>8.8539999999999994E-2</v>
      </c>
      <c r="BS79" s="557">
        <v>8.8539999999999994E-2</v>
      </c>
      <c r="BT79" s="557">
        <v>1.719E-2</v>
      </c>
      <c r="BU79" s="557">
        <v>7.3859999999999995E-2</v>
      </c>
      <c r="BV79" s="557">
        <v>4.929E-2</v>
      </c>
      <c r="BW79" s="558" t="s">
        <v>2275</v>
      </c>
      <c r="BX79" s="535" t="s">
        <v>2276</v>
      </c>
      <c r="DH79" s="540" t="str">
        <f t="shared" si="39"/>
        <v>Sao Tomé &amp; Principe</v>
      </c>
      <c r="DI79" s="540" t="str">
        <f t="shared" si="40"/>
        <v>Africa</v>
      </c>
      <c r="DJ79" s="540" t="str">
        <f t="shared" si="41"/>
        <v>Middle Africa</v>
      </c>
      <c r="DK79" s="540" t="e">
        <f>VLOOKUP(DH79,#REF!,1)</f>
        <v>#REF!</v>
      </c>
      <c r="DL79" s="540" t="e">
        <f>VLOOKUP(DK79,#REF!,2,FALSE)</f>
        <v>#REF!</v>
      </c>
      <c r="DN79" s="540" t="s">
        <v>2392</v>
      </c>
      <c r="DO79" s="540" t="s">
        <v>2393</v>
      </c>
    </row>
    <row r="80" spans="3:119">
      <c r="C80" s="463" t="s">
        <v>2402</v>
      </c>
      <c r="D80" s="520"/>
      <c r="E80" s="732">
        <v>1258</v>
      </c>
      <c r="F80" s="521" t="s">
        <v>2079</v>
      </c>
      <c r="G80" s="522" t="s">
        <v>4368</v>
      </c>
      <c r="H80" s="521"/>
      <c r="I80" s="522"/>
      <c r="J80" s="521"/>
      <c r="AW80" s="1394" t="s">
        <v>1975</v>
      </c>
      <c r="AX80" s="1395" t="s">
        <v>2086</v>
      </c>
      <c r="AY80" s="1397" t="s">
        <v>2151</v>
      </c>
      <c r="AZ80" s="1396">
        <v>206</v>
      </c>
      <c r="BA80" s="528" t="s">
        <v>1977</v>
      </c>
      <c r="BB80" s="536">
        <v>6.1334824757643549</v>
      </c>
      <c r="BC80" s="535" t="s">
        <v>2006</v>
      </c>
      <c r="BD80" s="549">
        <v>5.7500000000000002E-2</v>
      </c>
      <c r="BE80" s="549">
        <v>5.7500000000000002E-2</v>
      </c>
      <c r="BF80" s="535" t="s">
        <v>2179</v>
      </c>
      <c r="BG80" s="537"/>
      <c r="BH80" s="538">
        <f t="shared" si="43"/>
        <v>23.2</v>
      </c>
      <c r="BI80" s="538">
        <f t="shared" si="44"/>
        <v>3.9</v>
      </c>
      <c r="BJ80" s="538">
        <f t="shared" si="45"/>
        <v>33.9</v>
      </c>
      <c r="BK80" s="538">
        <f t="shared" si="46"/>
        <v>6.2</v>
      </c>
      <c r="BL80" s="538">
        <f t="shared" si="47"/>
        <v>9.5</v>
      </c>
      <c r="BM80" s="538">
        <f t="shared" si="48"/>
        <v>5.6</v>
      </c>
      <c r="BN80" s="538">
        <f t="shared" si="49"/>
        <v>8.5</v>
      </c>
      <c r="BO80" s="538">
        <f t="shared" si="50"/>
        <v>9.2000000000000028</v>
      </c>
      <c r="BP80" s="538">
        <f t="shared" si="42"/>
        <v>100</v>
      </c>
      <c r="BQ80" s="535" t="s">
        <v>1979</v>
      </c>
      <c r="BR80" s="557">
        <v>8.8539999999999994E-2</v>
      </c>
      <c r="BS80" s="557">
        <v>8.8539999999999994E-2</v>
      </c>
      <c r="BT80" s="557">
        <v>1.719E-2</v>
      </c>
      <c r="BU80" s="557">
        <v>7.3859999999999995E-2</v>
      </c>
      <c r="BV80" s="557">
        <v>4.929E-2</v>
      </c>
      <c r="BW80" s="558" t="s">
        <v>2275</v>
      </c>
      <c r="BX80" s="535" t="s">
        <v>2276</v>
      </c>
      <c r="DH80" s="540" t="str">
        <f t="shared" si="39"/>
        <v>Canada-Alberta (AB)</v>
      </c>
      <c r="DI80" s="540" t="str">
        <f t="shared" si="40"/>
        <v>Americas</v>
      </c>
      <c r="DJ80" s="540" t="str">
        <f t="shared" si="41"/>
        <v>North America</v>
      </c>
      <c r="DK80" s="540" t="e">
        <f>VLOOKUP(DH80,#REF!,1)</f>
        <v>#REF!</v>
      </c>
      <c r="DL80" s="540" t="e">
        <f>VLOOKUP(DK80,#REF!,2,FALSE)</f>
        <v>#REF!</v>
      </c>
      <c r="DN80" s="540" t="s">
        <v>2396</v>
      </c>
      <c r="DO80" s="540" t="s">
        <v>2397</v>
      </c>
    </row>
    <row r="81" spans="3:119" ht="25.5">
      <c r="C81" s="463" t="s">
        <v>2406</v>
      </c>
      <c r="D81" s="520"/>
      <c r="E81" s="732">
        <v>2631</v>
      </c>
      <c r="F81" s="521" t="s">
        <v>2079</v>
      </c>
      <c r="G81" s="522" t="s">
        <v>4368</v>
      </c>
      <c r="H81" s="521"/>
      <c r="I81" s="522"/>
      <c r="J81" s="521"/>
      <c r="AW81" s="1394" t="s">
        <v>2004</v>
      </c>
      <c r="AX81" s="1395" t="s">
        <v>2086</v>
      </c>
      <c r="AY81" s="1397" t="s">
        <v>2151</v>
      </c>
      <c r="AZ81" s="1396">
        <v>43</v>
      </c>
      <c r="BA81" s="528" t="s">
        <v>1977</v>
      </c>
      <c r="BB81" s="536">
        <v>13.490630673342661</v>
      </c>
      <c r="BC81" s="535" t="s">
        <v>2223</v>
      </c>
      <c r="BD81" s="537"/>
      <c r="BE81" s="537"/>
      <c r="BF81" s="535"/>
      <c r="BG81" s="537"/>
      <c r="BH81" s="538">
        <f t="shared" si="43"/>
        <v>23.2</v>
      </c>
      <c r="BI81" s="538">
        <f t="shared" si="44"/>
        <v>3.9</v>
      </c>
      <c r="BJ81" s="538">
        <f t="shared" si="45"/>
        <v>33.9</v>
      </c>
      <c r="BK81" s="538">
        <f t="shared" si="46"/>
        <v>6.2</v>
      </c>
      <c r="BL81" s="538">
        <f t="shared" si="47"/>
        <v>9.5</v>
      </c>
      <c r="BM81" s="538">
        <f t="shared" si="48"/>
        <v>5.6</v>
      </c>
      <c r="BN81" s="538">
        <f t="shared" si="49"/>
        <v>8.5</v>
      </c>
      <c r="BO81" s="538">
        <f t="shared" si="50"/>
        <v>9.2000000000000028</v>
      </c>
      <c r="BP81" s="538">
        <f t="shared" si="42"/>
        <v>100</v>
      </c>
      <c r="BQ81" s="535" t="s">
        <v>1979</v>
      </c>
      <c r="BR81" s="557">
        <v>8.8539999999999994E-2</v>
      </c>
      <c r="BS81" s="557">
        <v>8.8539999999999994E-2</v>
      </c>
      <c r="BT81" s="557">
        <v>1.719E-2</v>
      </c>
      <c r="BU81" s="557">
        <v>7.3859999999999995E-2</v>
      </c>
      <c r="BV81" s="557">
        <v>4.929E-2</v>
      </c>
      <c r="BW81" s="558" t="s">
        <v>2275</v>
      </c>
      <c r="BX81" s="535" t="s">
        <v>2276</v>
      </c>
      <c r="DH81" s="540" t="str">
        <f t="shared" si="39"/>
        <v>Canada-British Columbia (BC)</v>
      </c>
      <c r="DI81" s="540" t="str">
        <f t="shared" si="40"/>
        <v>Americas</v>
      </c>
      <c r="DJ81" s="540" t="str">
        <f t="shared" si="41"/>
        <v>North America</v>
      </c>
      <c r="DL81" s="540" t="s">
        <v>35</v>
      </c>
      <c r="DN81" s="540" t="s">
        <v>2400</v>
      </c>
      <c r="DO81" s="540" t="s">
        <v>2401</v>
      </c>
    </row>
    <row r="82" spans="3:119" ht="25.5">
      <c r="C82" s="463" t="s">
        <v>2410</v>
      </c>
      <c r="D82" s="520"/>
      <c r="E82" s="732">
        <v>3190</v>
      </c>
      <c r="F82" s="521" t="s">
        <v>2079</v>
      </c>
      <c r="G82" s="522" t="s">
        <v>4368</v>
      </c>
      <c r="H82" s="521"/>
      <c r="I82" s="522"/>
      <c r="J82" s="521"/>
      <c r="AW82" s="1394" t="s">
        <v>2031</v>
      </c>
      <c r="AX82" s="1395" t="s">
        <v>2086</v>
      </c>
      <c r="AY82" s="1397" t="s">
        <v>2151</v>
      </c>
      <c r="AZ82" s="1396">
        <v>429</v>
      </c>
      <c r="BA82" s="528" t="s">
        <v>1977</v>
      </c>
      <c r="BB82" s="536">
        <v>9.3894684857089938</v>
      </c>
      <c r="BC82" s="535" t="s">
        <v>2087</v>
      </c>
      <c r="BD82" s="537"/>
      <c r="BE82" s="537"/>
      <c r="BF82" s="535"/>
      <c r="BG82" s="537"/>
      <c r="BH82" s="538">
        <f t="shared" si="43"/>
        <v>23.2</v>
      </c>
      <c r="BI82" s="538">
        <f t="shared" si="44"/>
        <v>3.9</v>
      </c>
      <c r="BJ82" s="538">
        <f t="shared" si="45"/>
        <v>33.9</v>
      </c>
      <c r="BK82" s="538">
        <f t="shared" si="46"/>
        <v>6.2</v>
      </c>
      <c r="BL82" s="538">
        <f t="shared" si="47"/>
        <v>9.5</v>
      </c>
      <c r="BM82" s="538">
        <f t="shared" si="48"/>
        <v>5.6</v>
      </c>
      <c r="BN82" s="538">
        <f t="shared" si="49"/>
        <v>8.5</v>
      </c>
      <c r="BO82" s="538">
        <f t="shared" si="50"/>
        <v>9.2000000000000028</v>
      </c>
      <c r="BP82" s="538">
        <f t="shared" si="42"/>
        <v>100</v>
      </c>
      <c r="BQ82" s="535" t="s">
        <v>1979</v>
      </c>
      <c r="BR82" s="557">
        <v>8.8539999999999994E-2</v>
      </c>
      <c r="BS82" s="557">
        <v>8.8539999999999994E-2</v>
      </c>
      <c r="BT82" s="557">
        <v>1.719E-2</v>
      </c>
      <c r="BU82" s="557">
        <v>7.3859999999999995E-2</v>
      </c>
      <c r="BV82" s="557">
        <v>4.929E-2</v>
      </c>
      <c r="BW82" s="558" t="s">
        <v>2275</v>
      </c>
      <c r="BX82" s="535" t="s">
        <v>2276</v>
      </c>
      <c r="DH82" s="540" t="str">
        <f t="shared" si="39"/>
        <v>Canada-Manitoba (MT)</v>
      </c>
      <c r="DI82" s="540" t="str">
        <f t="shared" si="40"/>
        <v>Americas</v>
      </c>
      <c r="DJ82" s="540" t="str">
        <f t="shared" si="41"/>
        <v>North America</v>
      </c>
      <c r="DL82" s="540" t="s">
        <v>35</v>
      </c>
      <c r="DN82" s="540" t="s">
        <v>2404</v>
      </c>
      <c r="DO82" s="540" t="s">
        <v>2405</v>
      </c>
    </row>
    <row r="83" spans="3:119">
      <c r="C83" s="463" t="s">
        <v>2414</v>
      </c>
      <c r="D83" s="520"/>
      <c r="E83" s="732">
        <v>3143</v>
      </c>
      <c r="F83" s="521" t="s">
        <v>2079</v>
      </c>
      <c r="G83" s="522" t="s">
        <v>4368</v>
      </c>
      <c r="H83" s="521"/>
      <c r="I83" s="522"/>
      <c r="J83" s="521"/>
      <c r="AW83" s="1394" t="s">
        <v>2047</v>
      </c>
      <c r="AX83" s="1395" t="s">
        <v>2086</v>
      </c>
      <c r="AY83" s="1397" t="s">
        <v>2151</v>
      </c>
      <c r="AZ83" s="1396">
        <v>544</v>
      </c>
      <c r="BA83" s="528" t="s">
        <v>1977</v>
      </c>
      <c r="BB83" s="536">
        <v>12.178688710225343</v>
      </c>
      <c r="BC83" s="535" t="s">
        <v>2006</v>
      </c>
      <c r="BD83" s="537"/>
      <c r="BE83" s="537"/>
      <c r="BF83" s="535"/>
      <c r="BG83" s="537"/>
      <c r="BH83" s="538">
        <f t="shared" si="43"/>
        <v>23.2</v>
      </c>
      <c r="BI83" s="538">
        <f t="shared" si="44"/>
        <v>3.9</v>
      </c>
      <c r="BJ83" s="538">
        <f t="shared" si="45"/>
        <v>33.9</v>
      </c>
      <c r="BK83" s="538">
        <f t="shared" si="46"/>
        <v>6.2</v>
      </c>
      <c r="BL83" s="538">
        <f t="shared" si="47"/>
        <v>9.5</v>
      </c>
      <c r="BM83" s="538">
        <f t="shared" si="48"/>
        <v>5.6</v>
      </c>
      <c r="BN83" s="538">
        <f t="shared" si="49"/>
        <v>8.5</v>
      </c>
      <c r="BO83" s="538">
        <f t="shared" si="50"/>
        <v>9.2000000000000028</v>
      </c>
      <c r="BP83" s="538">
        <f t="shared" si="42"/>
        <v>100</v>
      </c>
      <c r="BQ83" s="535" t="s">
        <v>1979</v>
      </c>
      <c r="BR83" s="557">
        <v>8.8539999999999994E-2</v>
      </c>
      <c r="BS83" s="557">
        <v>8.8539999999999994E-2</v>
      </c>
      <c r="BT83" s="557">
        <v>1.719E-2</v>
      </c>
      <c r="BU83" s="557">
        <v>7.3859999999999995E-2</v>
      </c>
      <c r="BV83" s="557">
        <v>4.929E-2</v>
      </c>
      <c r="BW83" s="558" t="s">
        <v>2275</v>
      </c>
      <c r="BX83" s="535" t="s">
        <v>2276</v>
      </c>
      <c r="DH83" s="540" t="str">
        <f t="shared" si="39"/>
        <v>Canada-New Brunswick (NB)</v>
      </c>
      <c r="DI83" s="540" t="str">
        <f t="shared" si="40"/>
        <v>Americas</v>
      </c>
      <c r="DJ83" s="540" t="str">
        <f t="shared" si="41"/>
        <v>North America</v>
      </c>
      <c r="DL83" s="540" t="s">
        <v>35</v>
      </c>
      <c r="DN83" s="540" t="s">
        <v>2408</v>
      </c>
      <c r="DO83" s="540" t="s">
        <v>2409</v>
      </c>
    </row>
    <row r="84" spans="3:119">
      <c r="C84" s="463" t="s">
        <v>2417</v>
      </c>
      <c r="D84" s="520"/>
      <c r="E84" s="732">
        <v>2526</v>
      </c>
      <c r="F84" s="521" t="s">
        <v>2079</v>
      </c>
      <c r="G84" s="522" t="s">
        <v>4368</v>
      </c>
      <c r="H84" s="521"/>
      <c r="I84" s="522"/>
      <c r="J84" s="521"/>
      <c r="AW84" s="1394" t="s">
        <v>2061</v>
      </c>
      <c r="AX84" s="1395" t="s">
        <v>2086</v>
      </c>
      <c r="AY84" s="1397" t="s">
        <v>2151</v>
      </c>
      <c r="AZ84" s="1396">
        <v>43</v>
      </c>
      <c r="BA84" s="528" t="s">
        <v>1977</v>
      </c>
      <c r="BB84" s="536">
        <v>12.922203480478874</v>
      </c>
      <c r="BC84" s="535" t="s">
        <v>2006</v>
      </c>
      <c r="BD84" s="537"/>
      <c r="BE84" s="537"/>
      <c r="BF84" s="535"/>
      <c r="BG84" s="537"/>
      <c r="BH84" s="538">
        <f t="shared" si="43"/>
        <v>23.2</v>
      </c>
      <c r="BI84" s="538">
        <f t="shared" si="44"/>
        <v>3.9</v>
      </c>
      <c r="BJ84" s="538">
        <f t="shared" si="45"/>
        <v>33.9</v>
      </c>
      <c r="BK84" s="538">
        <f t="shared" si="46"/>
        <v>6.2</v>
      </c>
      <c r="BL84" s="538">
        <f t="shared" si="47"/>
        <v>9.5</v>
      </c>
      <c r="BM84" s="538">
        <f t="shared" si="48"/>
        <v>5.6</v>
      </c>
      <c r="BN84" s="538">
        <f t="shared" si="49"/>
        <v>8.5</v>
      </c>
      <c r="BO84" s="538">
        <f t="shared" si="50"/>
        <v>9.2000000000000028</v>
      </c>
      <c r="BP84" s="538">
        <f t="shared" si="42"/>
        <v>100</v>
      </c>
      <c r="BQ84" s="535" t="s">
        <v>1979</v>
      </c>
      <c r="BR84" s="557">
        <v>8.8539999999999994E-2</v>
      </c>
      <c r="BS84" s="557">
        <v>8.8539999999999994E-2</v>
      </c>
      <c r="BT84" s="557">
        <v>1.719E-2</v>
      </c>
      <c r="BU84" s="557">
        <v>7.3859999999999995E-2</v>
      </c>
      <c r="BV84" s="557">
        <v>4.929E-2</v>
      </c>
      <c r="BW84" s="558" t="s">
        <v>2275</v>
      </c>
      <c r="BX84" s="535" t="s">
        <v>2276</v>
      </c>
      <c r="DH84" s="540" t="str">
        <f t="shared" si="39"/>
        <v>Canada-Newfoundland and Labrador (NL)</v>
      </c>
      <c r="DI84" s="540" t="str">
        <f t="shared" si="40"/>
        <v>Americas</v>
      </c>
      <c r="DJ84" s="540" t="str">
        <f t="shared" si="41"/>
        <v>North America</v>
      </c>
      <c r="DL84" s="540" t="s">
        <v>35</v>
      </c>
      <c r="DN84" s="540" t="s">
        <v>2412</v>
      </c>
      <c r="DO84" s="540" t="s">
        <v>2413</v>
      </c>
    </row>
    <row r="85" spans="3:119">
      <c r="C85" s="463" t="s">
        <v>2421</v>
      </c>
      <c r="D85" s="520"/>
      <c r="E85" s="732">
        <v>3085</v>
      </c>
      <c r="F85" s="521" t="s">
        <v>2079</v>
      </c>
      <c r="G85" s="522" t="s">
        <v>4368</v>
      </c>
      <c r="H85" s="521"/>
      <c r="I85" s="522"/>
      <c r="J85" s="521"/>
      <c r="AW85" s="1394" t="s">
        <v>2085</v>
      </c>
      <c r="AX85" s="1395" t="s">
        <v>2086</v>
      </c>
      <c r="AY85" s="1397" t="s">
        <v>2151</v>
      </c>
      <c r="AZ85" s="1396">
        <v>493</v>
      </c>
      <c r="BA85" s="528" t="s">
        <v>1977</v>
      </c>
      <c r="BB85" s="536">
        <v>10.952966404574696</v>
      </c>
      <c r="BC85" s="535" t="s">
        <v>2006</v>
      </c>
      <c r="BD85" s="537"/>
      <c r="BE85" s="537"/>
      <c r="BF85" s="535"/>
      <c r="BG85" s="537"/>
      <c r="BH85" s="538">
        <f t="shared" si="43"/>
        <v>23.2</v>
      </c>
      <c r="BI85" s="538">
        <f t="shared" si="44"/>
        <v>3.9</v>
      </c>
      <c r="BJ85" s="538">
        <f t="shared" si="45"/>
        <v>33.9</v>
      </c>
      <c r="BK85" s="538">
        <f t="shared" si="46"/>
        <v>6.2</v>
      </c>
      <c r="BL85" s="538">
        <f t="shared" si="47"/>
        <v>9.5</v>
      </c>
      <c r="BM85" s="538">
        <f t="shared" si="48"/>
        <v>5.6</v>
      </c>
      <c r="BN85" s="538">
        <f t="shared" si="49"/>
        <v>8.5</v>
      </c>
      <c r="BO85" s="538">
        <f t="shared" si="50"/>
        <v>9.2000000000000028</v>
      </c>
      <c r="BP85" s="538">
        <f t="shared" si="42"/>
        <v>100</v>
      </c>
      <c r="BQ85" s="535" t="s">
        <v>1979</v>
      </c>
      <c r="BR85" s="557">
        <v>8.8539999999999994E-2</v>
      </c>
      <c r="BS85" s="557">
        <v>8.8539999999999994E-2</v>
      </c>
      <c r="BT85" s="557">
        <v>1.719E-2</v>
      </c>
      <c r="BU85" s="557">
        <v>7.3859999999999995E-2</v>
      </c>
      <c r="BV85" s="557">
        <v>4.929E-2</v>
      </c>
      <c r="BW85" s="558" t="s">
        <v>2275</v>
      </c>
      <c r="BX85" s="535" t="s">
        <v>2276</v>
      </c>
      <c r="DH85" s="540" t="str">
        <f t="shared" si="39"/>
        <v>Canada-Northwest Territories (NT)</v>
      </c>
      <c r="DI85" s="540" t="str">
        <f t="shared" si="40"/>
        <v>Americas</v>
      </c>
      <c r="DJ85" s="540" t="str">
        <f t="shared" si="41"/>
        <v>North America</v>
      </c>
      <c r="DL85" s="540" t="s">
        <v>35</v>
      </c>
      <c r="DN85" s="540" t="s">
        <v>2415</v>
      </c>
      <c r="DO85" s="540" t="s">
        <v>2416</v>
      </c>
    </row>
    <row r="86" spans="3:119">
      <c r="C86" s="463" t="s">
        <v>2425</v>
      </c>
      <c r="D86" s="520"/>
      <c r="E86" s="732">
        <v>2917</v>
      </c>
      <c r="F86" s="521" t="s">
        <v>2079</v>
      </c>
      <c r="G86" s="522" t="s">
        <v>4368</v>
      </c>
      <c r="H86" s="521"/>
      <c r="I86" s="522"/>
      <c r="J86" s="521"/>
      <c r="AW86" s="1394" t="s">
        <v>2074</v>
      </c>
      <c r="AX86" s="1395" t="s">
        <v>2086</v>
      </c>
      <c r="AY86" s="1397" t="s">
        <v>2151</v>
      </c>
      <c r="AZ86" s="1396">
        <v>426</v>
      </c>
      <c r="BA86" s="528" t="s">
        <v>1977</v>
      </c>
      <c r="BB86" s="536">
        <v>11.328941025228989</v>
      </c>
      <c r="BC86" s="535" t="s">
        <v>2006</v>
      </c>
      <c r="BD86" s="537"/>
      <c r="BE86" s="537"/>
      <c r="BF86" s="535"/>
      <c r="BG86" s="537"/>
      <c r="BH86" s="538">
        <f t="shared" si="43"/>
        <v>23.2</v>
      </c>
      <c r="BI86" s="538">
        <f t="shared" si="44"/>
        <v>3.9</v>
      </c>
      <c r="BJ86" s="538">
        <f t="shared" si="45"/>
        <v>33.9</v>
      </c>
      <c r="BK86" s="538">
        <f t="shared" si="46"/>
        <v>6.2</v>
      </c>
      <c r="BL86" s="538">
        <f t="shared" si="47"/>
        <v>9.5</v>
      </c>
      <c r="BM86" s="538">
        <f t="shared" si="48"/>
        <v>5.6</v>
      </c>
      <c r="BN86" s="538">
        <f t="shared" si="49"/>
        <v>8.5</v>
      </c>
      <c r="BO86" s="538">
        <f t="shared" si="50"/>
        <v>9.2000000000000028</v>
      </c>
      <c r="BP86" s="538">
        <f t="shared" si="42"/>
        <v>100</v>
      </c>
      <c r="BQ86" s="535" t="s">
        <v>1979</v>
      </c>
      <c r="BR86" s="557">
        <v>8.8539999999999994E-2</v>
      </c>
      <c r="BS86" s="557">
        <v>8.8539999999999994E-2</v>
      </c>
      <c r="BT86" s="557">
        <v>1.719E-2</v>
      </c>
      <c r="BU86" s="557">
        <v>7.3859999999999995E-2</v>
      </c>
      <c r="BV86" s="557">
        <v>4.929E-2</v>
      </c>
      <c r="BW86" s="558" t="s">
        <v>2275</v>
      </c>
      <c r="BX86" s="535" t="s">
        <v>2276</v>
      </c>
      <c r="DH86" s="540" t="str">
        <f t="shared" si="39"/>
        <v>Canada-Nova Scotia (NS)</v>
      </c>
      <c r="DI86" s="540" t="str">
        <f t="shared" si="40"/>
        <v>Americas</v>
      </c>
      <c r="DJ86" s="540" t="str">
        <f t="shared" si="41"/>
        <v>North America</v>
      </c>
      <c r="DL86" s="540" t="s">
        <v>35</v>
      </c>
      <c r="DN86" s="540" t="s">
        <v>2419</v>
      </c>
      <c r="DO86" s="540" t="s">
        <v>2420</v>
      </c>
    </row>
    <row r="87" spans="3:119" ht="25.5">
      <c r="C87" s="463" t="s">
        <v>2429</v>
      </c>
      <c r="D87" s="520"/>
      <c r="E87" s="732">
        <v>2770</v>
      </c>
      <c r="F87" s="521" t="s">
        <v>2079</v>
      </c>
      <c r="G87" s="522" t="s">
        <v>4368</v>
      </c>
      <c r="H87" s="521"/>
      <c r="I87" s="522"/>
      <c r="J87" s="521"/>
      <c r="AW87" s="1394" t="s">
        <v>2097</v>
      </c>
      <c r="AX87" s="1395" t="s">
        <v>2086</v>
      </c>
      <c r="AY87" s="1397" t="s">
        <v>2151</v>
      </c>
      <c r="AZ87" s="1396">
        <v>527</v>
      </c>
      <c r="BA87" s="528" t="s">
        <v>1977</v>
      </c>
      <c r="BB87" s="536">
        <v>11.740747004194485</v>
      </c>
      <c r="BC87" s="535" t="s">
        <v>2263</v>
      </c>
      <c r="BD87" s="537"/>
      <c r="BE87" s="537"/>
      <c r="BF87" s="535"/>
      <c r="BG87" s="537"/>
      <c r="BH87" s="538">
        <f t="shared" si="43"/>
        <v>23.2</v>
      </c>
      <c r="BI87" s="538">
        <f t="shared" si="44"/>
        <v>3.9</v>
      </c>
      <c r="BJ87" s="538">
        <f t="shared" si="45"/>
        <v>33.9</v>
      </c>
      <c r="BK87" s="538">
        <f t="shared" si="46"/>
        <v>6.2</v>
      </c>
      <c r="BL87" s="538">
        <f t="shared" si="47"/>
        <v>9.5</v>
      </c>
      <c r="BM87" s="538">
        <f t="shared" si="48"/>
        <v>5.6</v>
      </c>
      <c r="BN87" s="538">
        <f t="shared" si="49"/>
        <v>8.5</v>
      </c>
      <c r="BO87" s="538">
        <f t="shared" si="50"/>
        <v>9.2000000000000028</v>
      </c>
      <c r="BP87" s="538">
        <f t="shared" si="42"/>
        <v>100</v>
      </c>
      <c r="BQ87" s="535" t="s">
        <v>1979</v>
      </c>
      <c r="BR87" s="557">
        <v>8.8539999999999994E-2</v>
      </c>
      <c r="BS87" s="557">
        <v>8.8539999999999994E-2</v>
      </c>
      <c r="BT87" s="557">
        <v>1.719E-2</v>
      </c>
      <c r="BU87" s="557">
        <v>7.3859999999999995E-2</v>
      </c>
      <c r="BV87" s="557">
        <v>4.929E-2</v>
      </c>
      <c r="BW87" s="558" t="s">
        <v>2275</v>
      </c>
      <c r="BX87" s="535" t="s">
        <v>2276</v>
      </c>
      <c r="DH87" s="540" t="str">
        <f t="shared" si="39"/>
        <v>Canada-Nunavut (NU)</v>
      </c>
      <c r="DI87" s="540" t="str">
        <f t="shared" si="40"/>
        <v>Americas</v>
      </c>
      <c r="DJ87" s="540" t="str">
        <f t="shared" si="41"/>
        <v>North America</v>
      </c>
      <c r="DL87" s="540" t="s">
        <v>35</v>
      </c>
      <c r="DN87" s="540" t="s">
        <v>2423</v>
      </c>
      <c r="DO87" s="540" t="s">
        <v>2424</v>
      </c>
    </row>
    <row r="88" spans="3:119">
      <c r="C88" s="463" t="s">
        <v>2433</v>
      </c>
      <c r="D88" s="520"/>
      <c r="E88" s="732">
        <v>2513</v>
      </c>
      <c r="F88" s="521" t="s">
        <v>2079</v>
      </c>
      <c r="G88" s="522" t="s">
        <v>4368</v>
      </c>
      <c r="H88" s="521"/>
      <c r="I88" s="522"/>
      <c r="J88" s="521"/>
      <c r="AW88" s="1394" t="s">
        <v>2104</v>
      </c>
      <c r="AX88" s="1395" t="s">
        <v>2086</v>
      </c>
      <c r="AY88" s="1397" t="s">
        <v>2151</v>
      </c>
      <c r="AZ88" s="1395">
        <v>366</v>
      </c>
      <c r="BA88" s="528" t="s">
        <v>2105</v>
      </c>
      <c r="BB88" s="536">
        <v>12.886597938144329</v>
      </c>
      <c r="BC88" s="535" t="s">
        <v>2006</v>
      </c>
      <c r="BD88" s="537"/>
      <c r="BE88" s="537"/>
      <c r="BF88" s="535"/>
      <c r="BG88" s="537"/>
      <c r="BH88" s="538">
        <f t="shared" si="43"/>
        <v>23.2</v>
      </c>
      <c r="BI88" s="538">
        <f t="shared" si="44"/>
        <v>3.9</v>
      </c>
      <c r="BJ88" s="538">
        <f t="shared" si="45"/>
        <v>33.9</v>
      </c>
      <c r="BK88" s="538">
        <f t="shared" si="46"/>
        <v>6.2</v>
      </c>
      <c r="BL88" s="538">
        <f t="shared" si="47"/>
        <v>9.5</v>
      </c>
      <c r="BM88" s="538">
        <f t="shared" si="48"/>
        <v>5.6</v>
      </c>
      <c r="BN88" s="538">
        <f t="shared" si="49"/>
        <v>8.5</v>
      </c>
      <c r="BO88" s="538">
        <f t="shared" si="50"/>
        <v>9.2000000000000028</v>
      </c>
      <c r="BP88" s="538">
        <f t="shared" si="42"/>
        <v>100</v>
      </c>
      <c r="BQ88" s="535" t="s">
        <v>1979</v>
      </c>
      <c r="BR88" s="557">
        <v>8.8539999999999994E-2</v>
      </c>
      <c r="BS88" s="557">
        <v>8.8539999999999994E-2</v>
      </c>
      <c r="BT88" s="557">
        <v>1.719E-2</v>
      </c>
      <c r="BU88" s="557">
        <v>7.3859999999999995E-2</v>
      </c>
      <c r="BV88" s="557">
        <v>4.929E-2</v>
      </c>
      <c r="BW88" s="558" t="s">
        <v>2275</v>
      </c>
      <c r="BX88" s="535" t="s">
        <v>2276</v>
      </c>
      <c r="DH88" s="540" t="str">
        <f t="shared" si="39"/>
        <v>Canada-Ontario (ON)</v>
      </c>
      <c r="DI88" s="540" t="str">
        <f t="shared" si="40"/>
        <v>Americas</v>
      </c>
      <c r="DJ88" s="540" t="str">
        <f t="shared" si="41"/>
        <v>North America</v>
      </c>
      <c r="DL88" s="540" t="s">
        <v>35</v>
      </c>
      <c r="DN88" s="540" t="s">
        <v>2427</v>
      </c>
      <c r="DO88" s="540" t="s">
        <v>2428</v>
      </c>
    </row>
    <row r="89" spans="3:119">
      <c r="C89" s="463" t="s">
        <v>2437</v>
      </c>
      <c r="D89" s="520"/>
      <c r="E89" s="732">
        <v>2608</v>
      </c>
      <c r="F89" s="521" t="s">
        <v>2079</v>
      </c>
      <c r="G89" s="522" t="s">
        <v>4368</v>
      </c>
      <c r="H89" s="521"/>
      <c r="I89" s="522"/>
      <c r="J89" s="521"/>
      <c r="AW89" s="1394" t="s">
        <v>2115</v>
      </c>
      <c r="AX89" s="1395" t="s">
        <v>2086</v>
      </c>
      <c r="AY89" s="1397" t="s">
        <v>2151</v>
      </c>
      <c r="AZ89" s="1396">
        <v>247</v>
      </c>
      <c r="BA89" s="528" t="s">
        <v>1977</v>
      </c>
      <c r="BB89" s="536">
        <v>6.7652257753495091</v>
      </c>
      <c r="BC89" s="535" t="s">
        <v>2006</v>
      </c>
      <c r="BD89" s="537"/>
      <c r="BE89" s="537"/>
      <c r="BF89" s="535"/>
      <c r="BG89" s="537"/>
      <c r="BH89" s="538">
        <f t="shared" si="43"/>
        <v>23.2</v>
      </c>
      <c r="BI89" s="538">
        <f t="shared" si="44"/>
        <v>3.9</v>
      </c>
      <c r="BJ89" s="538">
        <f t="shared" si="45"/>
        <v>33.9</v>
      </c>
      <c r="BK89" s="538">
        <f t="shared" si="46"/>
        <v>6.2</v>
      </c>
      <c r="BL89" s="538">
        <f t="shared" si="47"/>
        <v>9.5</v>
      </c>
      <c r="BM89" s="538">
        <f t="shared" si="48"/>
        <v>5.6</v>
      </c>
      <c r="BN89" s="538">
        <f t="shared" si="49"/>
        <v>8.5</v>
      </c>
      <c r="BO89" s="538">
        <f t="shared" si="50"/>
        <v>9.2000000000000028</v>
      </c>
      <c r="BP89" s="538">
        <f t="shared" si="42"/>
        <v>100</v>
      </c>
      <c r="BQ89" s="535" t="s">
        <v>1979</v>
      </c>
      <c r="BR89" s="557">
        <v>8.8539999999999994E-2</v>
      </c>
      <c r="BS89" s="557">
        <v>8.8539999999999994E-2</v>
      </c>
      <c r="BT89" s="557">
        <v>1.719E-2</v>
      </c>
      <c r="BU89" s="557">
        <v>7.3859999999999995E-2</v>
      </c>
      <c r="BV89" s="557">
        <v>4.929E-2</v>
      </c>
      <c r="BW89" s="558" t="s">
        <v>2275</v>
      </c>
      <c r="BX89" s="535" t="s">
        <v>2276</v>
      </c>
      <c r="DH89" s="540" t="str">
        <f t="shared" si="39"/>
        <v>Canada-Prince Edward Island (PE)</v>
      </c>
      <c r="DI89" s="540" t="str">
        <f t="shared" si="40"/>
        <v>Americas</v>
      </c>
      <c r="DJ89" s="540" t="str">
        <f t="shared" si="41"/>
        <v>North America</v>
      </c>
      <c r="DK89" s="540" t="e">
        <f>VLOOKUP(DH89,#REF!,1)</f>
        <v>#REF!</v>
      </c>
      <c r="DL89" s="540" t="e">
        <f>VLOOKUP(DK89,#REF!,2,FALSE)</f>
        <v>#REF!</v>
      </c>
      <c r="DN89" s="540" t="s">
        <v>2431</v>
      </c>
      <c r="DO89" s="540" t="s">
        <v>2432</v>
      </c>
    </row>
    <row r="90" spans="3:119" ht="25.5">
      <c r="C90" s="463" t="s">
        <v>2441</v>
      </c>
      <c r="D90" s="520"/>
      <c r="E90" s="732">
        <v>1505</v>
      </c>
      <c r="F90" s="521" t="s">
        <v>2079</v>
      </c>
      <c r="G90" s="522" t="s">
        <v>4368</v>
      </c>
      <c r="H90" s="521"/>
      <c r="I90" s="522"/>
      <c r="J90" s="521"/>
      <c r="AW90" s="1394" t="s">
        <v>2127</v>
      </c>
      <c r="AX90" s="1395" t="s">
        <v>2086</v>
      </c>
      <c r="AY90" s="1397" t="s">
        <v>2151</v>
      </c>
      <c r="AZ90" s="1396">
        <v>450</v>
      </c>
      <c r="BA90" s="528" t="s">
        <v>1977</v>
      </c>
      <c r="BB90" s="536">
        <v>11.740747004194485</v>
      </c>
      <c r="BC90" s="535" t="s">
        <v>2263</v>
      </c>
      <c r="BD90" s="537"/>
      <c r="BE90" s="537"/>
      <c r="BF90" s="535"/>
      <c r="BG90" s="537"/>
      <c r="BH90" s="538">
        <f t="shared" si="43"/>
        <v>23.2</v>
      </c>
      <c r="BI90" s="538">
        <f t="shared" si="44"/>
        <v>3.9</v>
      </c>
      <c r="BJ90" s="538">
        <f t="shared" si="45"/>
        <v>33.9</v>
      </c>
      <c r="BK90" s="538">
        <f t="shared" si="46"/>
        <v>6.2</v>
      </c>
      <c r="BL90" s="538">
        <f t="shared" si="47"/>
        <v>9.5</v>
      </c>
      <c r="BM90" s="538">
        <f t="shared" si="48"/>
        <v>5.6</v>
      </c>
      <c r="BN90" s="538">
        <f t="shared" si="49"/>
        <v>8.5</v>
      </c>
      <c r="BO90" s="538">
        <f t="shared" si="50"/>
        <v>9.2000000000000028</v>
      </c>
      <c r="BP90" s="538">
        <f t="shared" si="42"/>
        <v>100</v>
      </c>
      <c r="BQ90" s="535" t="s">
        <v>1979</v>
      </c>
      <c r="BR90" s="557">
        <v>8.8539999999999994E-2</v>
      </c>
      <c r="BS90" s="557">
        <v>8.8539999999999994E-2</v>
      </c>
      <c r="BT90" s="557">
        <v>1.719E-2</v>
      </c>
      <c r="BU90" s="557">
        <v>7.3859999999999995E-2</v>
      </c>
      <c r="BV90" s="557">
        <v>4.929E-2</v>
      </c>
      <c r="BW90" s="558" t="s">
        <v>2275</v>
      </c>
      <c r="BX90" s="535" t="s">
        <v>2276</v>
      </c>
      <c r="DH90" s="540" t="str">
        <f t="shared" si="39"/>
        <v>Canada-Quebec (QC)</v>
      </c>
      <c r="DI90" s="540" t="str">
        <f t="shared" si="40"/>
        <v>Americas</v>
      </c>
      <c r="DJ90" s="540" t="str">
        <f t="shared" si="41"/>
        <v>North America</v>
      </c>
      <c r="DL90" s="540" t="s">
        <v>35</v>
      </c>
      <c r="DN90" s="540" t="s">
        <v>2435</v>
      </c>
      <c r="DO90" s="540" t="s">
        <v>2436</v>
      </c>
    </row>
    <row r="91" spans="3:119">
      <c r="C91" s="463" t="s">
        <v>2445</v>
      </c>
      <c r="D91" s="520"/>
      <c r="E91" s="732">
        <v>1508</v>
      </c>
      <c r="F91" s="521" t="s">
        <v>2079</v>
      </c>
      <c r="G91" s="522" t="s">
        <v>4368</v>
      </c>
      <c r="H91" s="521"/>
      <c r="I91" s="522"/>
      <c r="J91" s="521"/>
      <c r="AW91" s="1394" t="s">
        <v>2132</v>
      </c>
      <c r="AX91" s="1395" t="s">
        <v>2086</v>
      </c>
      <c r="AY91" s="1397" t="s">
        <v>2151</v>
      </c>
      <c r="AZ91" s="1395">
        <v>810</v>
      </c>
      <c r="BA91" s="528" t="s">
        <v>2133</v>
      </c>
      <c r="BB91" s="536">
        <v>18.654755648975303</v>
      </c>
      <c r="BC91" s="535" t="s">
        <v>2006</v>
      </c>
      <c r="BD91" s="537"/>
      <c r="BE91" s="537"/>
      <c r="BF91" s="535"/>
      <c r="BG91" s="537"/>
      <c r="BH91" s="538">
        <f t="shared" si="43"/>
        <v>23.2</v>
      </c>
      <c r="BI91" s="538">
        <f t="shared" si="44"/>
        <v>3.9</v>
      </c>
      <c r="BJ91" s="538">
        <f t="shared" si="45"/>
        <v>33.9</v>
      </c>
      <c r="BK91" s="538">
        <f t="shared" si="46"/>
        <v>6.2</v>
      </c>
      <c r="BL91" s="538">
        <f t="shared" si="47"/>
        <v>9.5</v>
      </c>
      <c r="BM91" s="538">
        <f t="shared" si="48"/>
        <v>5.6</v>
      </c>
      <c r="BN91" s="538">
        <f t="shared" si="49"/>
        <v>8.5</v>
      </c>
      <c r="BO91" s="538">
        <f t="shared" si="50"/>
        <v>9.2000000000000028</v>
      </c>
      <c r="BP91" s="538">
        <f t="shared" si="42"/>
        <v>100</v>
      </c>
      <c r="BQ91" s="535" t="s">
        <v>1979</v>
      </c>
      <c r="BR91" s="557">
        <v>8.8539999999999994E-2</v>
      </c>
      <c r="BS91" s="557">
        <v>8.8539999999999994E-2</v>
      </c>
      <c r="BT91" s="557">
        <v>1.719E-2</v>
      </c>
      <c r="BU91" s="557">
        <v>7.3859999999999995E-2</v>
      </c>
      <c r="BV91" s="557">
        <v>4.929E-2</v>
      </c>
      <c r="BW91" s="558" t="s">
        <v>2275</v>
      </c>
      <c r="BX91" s="535" t="s">
        <v>2276</v>
      </c>
      <c r="DH91" s="540" t="str">
        <f t="shared" si="39"/>
        <v>Canada-Saskatchewan (SK)</v>
      </c>
      <c r="DI91" s="540" t="str">
        <f t="shared" si="40"/>
        <v>Americas</v>
      </c>
      <c r="DJ91" s="540" t="str">
        <f t="shared" si="41"/>
        <v>North America</v>
      </c>
      <c r="DL91" s="540" t="s">
        <v>35</v>
      </c>
      <c r="DN91" s="540" t="s">
        <v>2439</v>
      </c>
      <c r="DO91" s="540" t="s">
        <v>2440</v>
      </c>
    </row>
    <row r="92" spans="3:119" ht="25.5">
      <c r="C92" s="463" t="s">
        <v>2449</v>
      </c>
      <c r="D92" s="520"/>
      <c r="E92" s="732">
        <v>2397</v>
      </c>
      <c r="F92" s="521" t="s">
        <v>2079</v>
      </c>
      <c r="G92" s="522" t="s">
        <v>4368</v>
      </c>
      <c r="H92" s="521"/>
      <c r="I92" s="522"/>
      <c r="J92" s="521"/>
      <c r="AW92" s="1394" t="s">
        <v>2137</v>
      </c>
      <c r="AX92" s="1395" t="s">
        <v>2086</v>
      </c>
      <c r="AY92" s="1397" t="s">
        <v>2151</v>
      </c>
      <c r="AZ92" s="1395">
        <v>1020</v>
      </c>
      <c r="BA92" s="528" t="s">
        <v>2133</v>
      </c>
      <c r="BB92" s="536">
        <v>6.2171813834411278</v>
      </c>
      <c r="BC92" s="535" t="s">
        <v>2062</v>
      </c>
      <c r="BD92" s="537"/>
      <c r="BE92" s="537"/>
      <c r="BF92" s="535"/>
      <c r="BG92" s="537"/>
      <c r="BH92" s="538">
        <f t="shared" si="43"/>
        <v>23.2</v>
      </c>
      <c r="BI92" s="538">
        <f t="shared" si="44"/>
        <v>3.9</v>
      </c>
      <c r="BJ92" s="538">
        <f t="shared" si="45"/>
        <v>33.9</v>
      </c>
      <c r="BK92" s="538">
        <f t="shared" si="46"/>
        <v>6.2</v>
      </c>
      <c r="BL92" s="538">
        <f t="shared" si="47"/>
        <v>9.5</v>
      </c>
      <c r="BM92" s="538">
        <f t="shared" si="48"/>
        <v>5.6</v>
      </c>
      <c r="BN92" s="538">
        <f t="shared" si="49"/>
        <v>8.5</v>
      </c>
      <c r="BO92" s="538">
        <f t="shared" si="50"/>
        <v>9.2000000000000028</v>
      </c>
      <c r="BP92" s="538">
        <f t="shared" si="42"/>
        <v>100</v>
      </c>
      <c r="BQ92" s="535" t="s">
        <v>1979</v>
      </c>
      <c r="BR92" s="557">
        <v>8.8539999999999994E-2</v>
      </c>
      <c r="BS92" s="557">
        <v>8.8539999999999994E-2</v>
      </c>
      <c r="BT92" s="557">
        <v>1.719E-2</v>
      </c>
      <c r="BU92" s="557">
        <v>7.3859999999999995E-2</v>
      </c>
      <c r="BV92" s="557">
        <v>4.929E-2</v>
      </c>
      <c r="BW92" s="558" t="s">
        <v>2275</v>
      </c>
      <c r="BX92" s="535" t="s">
        <v>2276</v>
      </c>
      <c r="DH92" s="540" t="str">
        <f t="shared" si="39"/>
        <v>Canada-Yukon Territory (YT)</v>
      </c>
      <c r="DI92" s="540" t="str">
        <f t="shared" si="40"/>
        <v>Americas</v>
      </c>
      <c r="DJ92" s="540" t="str">
        <f t="shared" si="41"/>
        <v>North America</v>
      </c>
      <c r="DL92" s="540" t="s">
        <v>35</v>
      </c>
      <c r="DN92" s="540" t="s">
        <v>2443</v>
      </c>
      <c r="DO92" s="540" t="s">
        <v>2444</v>
      </c>
    </row>
    <row r="93" spans="3:119" ht="25.5">
      <c r="C93" s="463" t="s">
        <v>2453</v>
      </c>
      <c r="D93" s="520"/>
      <c r="E93" s="732">
        <v>4061</v>
      </c>
      <c r="F93" s="521" t="s">
        <v>2079</v>
      </c>
      <c r="G93" s="522" t="s">
        <v>4368</v>
      </c>
      <c r="H93" s="521"/>
      <c r="I93" s="522"/>
      <c r="J93" s="521"/>
      <c r="AW93" s="1394" t="s">
        <v>2142</v>
      </c>
      <c r="AX93" s="1395" t="s">
        <v>2086</v>
      </c>
      <c r="AY93" s="1397" t="s">
        <v>2151</v>
      </c>
      <c r="AZ93" s="1397">
        <v>410.550201528</v>
      </c>
      <c r="BA93" s="528" t="s">
        <v>4367</v>
      </c>
      <c r="BB93" s="536">
        <v>5.4123414965002699</v>
      </c>
      <c r="BC93" s="535" t="s">
        <v>2049</v>
      </c>
      <c r="BD93" s="537"/>
      <c r="BE93" s="537"/>
      <c r="BF93" s="535"/>
      <c r="BG93" s="537"/>
      <c r="BH93" s="538">
        <f t="shared" si="43"/>
        <v>23.2</v>
      </c>
      <c r="BI93" s="538">
        <f t="shared" si="44"/>
        <v>3.9</v>
      </c>
      <c r="BJ93" s="538">
        <f t="shared" si="45"/>
        <v>33.9</v>
      </c>
      <c r="BK93" s="538">
        <f t="shared" si="46"/>
        <v>6.2</v>
      </c>
      <c r="BL93" s="538">
        <f t="shared" si="47"/>
        <v>9.5</v>
      </c>
      <c r="BM93" s="538">
        <f t="shared" si="48"/>
        <v>5.6</v>
      </c>
      <c r="BN93" s="538">
        <f t="shared" si="49"/>
        <v>8.5</v>
      </c>
      <c r="BO93" s="538">
        <f t="shared" si="50"/>
        <v>9.2000000000000028</v>
      </c>
      <c r="BP93" s="538">
        <f t="shared" si="42"/>
        <v>100</v>
      </c>
      <c r="BQ93" s="535" t="s">
        <v>1979</v>
      </c>
      <c r="BR93" s="557">
        <v>8.8539999999999994E-2</v>
      </c>
      <c r="BS93" s="557">
        <v>8.8539999999999994E-2</v>
      </c>
      <c r="BT93" s="557">
        <v>1.719E-2</v>
      </c>
      <c r="BU93" s="557">
        <v>7.3859999999999995E-2</v>
      </c>
      <c r="BV93" s="557">
        <v>4.929E-2</v>
      </c>
      <c r="BW93" s="558" t="s">
        <v>2275</v>
      </c>
      <c r="BX93" s="535" t="s">
        <v>2276</v>
      </c>
      <c r="DH93" s="540" t="str">
        <f t="shared" si="39"/>
        <v>US-AKGD (ASCC Alaska Grid)</v>
      </c>
      <c r="DI93" s="540" t="str">
        <f t="shared" si="40"/>
        <v>Americas</v>
      </c>
      <c r="DJ93" s="540" t="str">
        <f t="shared" si="41"/>
        <v>North America</v>
      </c>
      <c r="DL93" s="540" t="s">
        <v>35</v>
      </c>
      <c r="DN93" s="540" t="s">
        <v>2447</v>
      </c>
      <c r="DO93" s="540" t="s">
        <v>2448</v>
      </c>
    </row>
    <row r="94" spans="3:119">
      <c r="C94" s="463" t="s">
        <v>2456</v>
      </c>
      <c r="D94" s="520"/>
      <c r="E94" s="732">
        <v>16</v>
      </c>
      <c r="F94" s="521" t="s">
        <v>2079</v>
      </c>
      <c r="G94" s="522" t="s">
        <v>4368</v>
      </c>
      <c r="H94" s="521"/>
      <c r="I94" s="522"/>
      <c r="J94" s="521"/>
      <c r="AW94" s="1394" t="s">
        <v>1763</v>
      </c>
      <c r="AX94" s="1395" t="s">
        <v>2086</v>
      </c>
      <c r="AY94" s="1397" t="s">
        <v>2151</v>
      </c>
      <c r="AZ94" s="1397">
        <v>236.95646079999997</v>
      </c>
      <c r="BA94" s="528" t="s">
        <v>4367</v>
      </c>
      <c r="BB94" s="536">
        <v>4.0708432461009778</v>
      </c>
      <c r="BC94" s="535" t="s">
        <v>2006</v>
      </c>
      <c r="BD94" s="537"/>
      <c r="BE94" s="537"/>
      <c r="BF94" s="535"/>
      <c r="BG94" s="537"/>
      <c r="BH94" s="538">
        <f t="shared" si="43"/>
        <v>23.2</v>
      </c>
      <c r="BI94" s="538">
        <f t="shared" si="44"/>
        <v>3.9</v>
      </c>
      <c r="BJ94" s="538">
        <f t="shared" si="45"/>
        <v>33.9</v>
      </c>
      <c r="BK94" s="538">
        <f t="shared" si="46"/>
        <v>6.2</v>
      </c>
      <c r="BL94" s="538">
        <f t="shared" si="47"/>
        <v>9.5</v>
      </c>
      <c r="BM94" s="538">
        <f t="shared" si="48"/>
        <v>5.6</v>
      </c>
      <c r="BN94" s="538">
        <f t="shared" si="49"/>
        <v>8.5</v>
      </c>
      <c r="BO94" s="538">
        <f t="shared" si="50"/>
        <v>9.2000000000000028</v>
      </c>
      <c r="BP94" s="538">
        <f t="shared" si="42"/>
        <v>100</v>
      </c>
      <c r="BQ94" s="535" t="s">
        <v>1979</v>
      </c>
      <c r="BR94" s="557">
        <v>8.8539999999999994E-2</v>
      </c>
      <c r="BS94" s="557">
        <v>8.8539999999999994E-2</v>
      </c>
      <c r="BT94" s="557">
        <v>1.719E-2</v>
      </c>
      <c r="BU94" s="557">
        <v>7.3859999999999995E-2</v>
      </c>
      <c r="BV94" s="557">
        <v>4.929E-2</v>
      </c>
      <c r="BW94" s="558" t="s">
        <v>2275</v>
      </c>
      <c r="BX94" s="535" t="s">
        <v>2276</v>
      </c>
      <c r="DH94" s="540" t="str">
        <f t="shared" si="39"/>
        <v>US-AKMS (ASCC Miscellaneous)</v>
      </c>
      <c r="DI94" s="540" t="str">
        <f t="shared" si="40"/>
        <v>Americas</v>
      </c>
      <c r="DJ94" s="540" t="str">
        <f t="shared" si="41"/>
        <v>North America</v>
      </c>
      <c r="DK94" s="540" t="e">
        <f>VLOOKUP(DH94,#REF!,1)</f>
        <v>#REF!</v>
      </c>
      <c r="DL94" s="540" t="e">
        <f>VLOOKUP(DK94,#REF!,2,FALSE)</f>
        <v>#REF!</v>
      </c>
      <c r="DN94" s="540" t="s">
        <v>2451</v>
      </c>
      <c r="DO94" s="540" t="s">
        <v>2452</v>
      </c>
    </row>
    <row r="95" spans="3:119">
      <c r="C95" s="463" t="s">
        <v>2460</v>
      </c>
      <c r="D95" s="520"/>
      <c r="E95" s="732">
        <v>116</v>
      </c>
      <c r="F95" s="521" t="s">
        <v>2079</v>
      </c>
      <c r="G95" s="522" t="s">
        <v>4368</v>
      </c>
      <c r="H95" s="521"/>
      <c r="I95" s="522"/>
      <c r="J95" s="521"/>
      <c r="AW95" s="1394" t="s">
        <v>2150</v>
      </c>
      <c r="AX95" s="1395" t="s">
        <v>2086</v>
      </c>
      <c r="AY95" s="1397" t="s">
        <v>2151</v>
      </c>
      <c r="AZ95" s="1397">
        <v>320.321680888</v>
      </c>
      <c r="BA95" s="528" t="s">
        <v>4367</v>
      </c>
      <c r="BB95" s="536">
        <v>6.3423893657789874</v>
      </c>
      <c r="BC95" s="535" t="s">
        <v>2006</v>
      </c>
      <c r="BD95" s="549">
        <v>7.4999999999999997E-2</v>
      </c>
      <c r="BE95" s="549">
        <v>7.4999999999999997E-2</v>
      </c>
      <c r="BF95" s="535" t="s">
        <v>2179</v>
      </c>
      <c r="BG95" s="537"/>
      <c r="BH95" s="538">
        <f t="shared" si="43"/>
        <v>23.2</v>
      </c>
      <c r="BI95" s="538">
        <f t="shared" si="44"/>
        <v>3.9</v>
      </c>
      <c r="BJ95" s="538">
        <f t="shared" si="45"/>
        <v>33.9</v>
      </c>
      <c r="BK95" s="538">
        <f t="shared" si="46"/>
        <v>6.2</v>
      </c>
      <c r="BL95" s="538">
        <f t="shared" si="47"/>
        <v>9.5</v>
      </c>
      <c r="BM95" s="538">
        <f t="shared" si="48"/>
        <v>5.6</v>
      </c>
      <c r="BN95" s="538">
        <f t="shared" si="49"/>
        <v>8.5</v>
      </c>
      <c r="BO95" s="538">
        <f t="shared" si="50"/>
        <v>9.2000000000000028</v>
      </c>
      <c r="BP95" s="538">
        <f t="shared" si="42"/>
        <v>100</v>
      </c>
      <c r="BQ95" s="535" t="s">
        <v>1979</v>
      </c>
      <c r="BR95" s="557">
        <v>8.8539999999999994E-2</v>
      </c>
      <c r="BS95" s="557">
        <v>8.8539999999999994E-2</v>
      </c>
      <c r="BT95" s="557">
        <v>1.719E-2</v>
      </c>
      <c r="BU95" s="557">
        <v>7.3859999999999995E-2</v>
      </c>
      <c r="BV95" s="557">
        <v>4.929E-2</v>
      </c>
      <c r="BW95" s="558" t="s">
        <v>2275</v>
      </c>
      <c r="BX95" s="535" t="s">
        <v>2276</v>
      </c>
      <c r="DH95" s="540" t="str">
        <f t="shared" si="39"/>
        <v>US-AZNM (WECC Southwest)</v>
      </c>
      <c r="DI95" s="540" t="str">
        <f t="shared" si="40"/>
        <v>Americas</v>
      </c>
      <c r="DJ95" s="540" t="str">
        <f t="shared" si="41"/>
        <v>North America</v>
      </c>
      <c r="DK95" s="540" t="e">
        <f>VLOOKUP(DH95,#REF!,1)</f>
        <v>#REF!</v>
      </c>
      <c r="DL95" s="540" t="e">
        <f>VLOOKUP(DK95,#REF!,2,FALSE)</f>
        <v>#REF!</v>
      </c>
      <c r="DN95" s="540" t="s">
        <v>2454</v>
      </c>
      <c r="DO95" s="540" t="s">
        <v>2455</v>
      </c>
    </row>
    <row r="96" spans="3:119" ht="25.5">
      <c r="C96" s="463" t="s">
        <v>2464</v>
      </c>
      <c r="D96" s="520"/>
      <c r="E96" s="732">
        <v>44</v>
      </c>
      <c r="F96" s="521" t="s">
        <v>2079</v>
      </c>
      <c r="G96" s="522" t="s">
        <v>4368</v>
      </c>
      <c r="H96" s="521"/>
      <c r="I96" s="522"/>
      <c r="J96" s="521"/>
      <c r="AW96" s="1394" t="s">
        <v>2154</v>
      </c>
      <c r="AX96" s="1395" t="s">
        <v>2086</v>
      </c>
      <c r="AY96" s="1397" t="s">
        <v>2151</v>
      </c>
      <c r="AZ96" s="1397">
        <v>195.03684893600001</v>
      </c>
      <c r="BA96" s="528" t="s">
        <v>4367</v>
      </c>
      <c r="BB96" s="536">
        <v>15.618667277425265</v>
      </c>
      <c r="BC96" s="535" t="s">
        <v>2218</v>
      </c>
      <c r="BD96" s="537"/>
      <c r="BE96" s="537"/>
      <c r="BF96" s="535"/>
      <c r="BG96" s="537"/>
      <c r="BH96" s="538">
        <f t="shared" si="43"/>
        <v>23.2</v>
      </c>
      <c r="BI96" s="538">
        <f t="shared" si="44"/>
        <v>3.9</v>
      </c>
      <c r="BJ96" s="538">
        <f t="shared" si="45"/>
        <v>33.9</v>
      </c>
      <c r="BK96" s="538">
        <f t="shared" si="46"/>
        <v>6.2</v>
      </c>
      <c r="BL96" s="538">
        <f t="shared" si="47"/>
        <v>9.5</v>
      </c>
      <c r="BM96" s="538">
        <f t="shared" si="48"/>
        <v>5.6</v>
      </c>
      <c r="BN96" s="538">
        <f t="shared" si="49"/>
        <v>8.5</v>
      </c>
      <c r="BO96" s="538">
        <f t="shared" si="50"/>
        <v>9.2000000000000028</v>
      </c>
      <c r="BP96" s="538">
        <f t="shared" si="42"/>
        <v>100</v>
      </c>
      <c r="BQ96" s="535" t="s">
        <v>1979</v>
      </c>
      <c r="BR96" s="557">
        <v>8.8539999999999994E-2</v>
      </c>
      <c r="BS96" s="557">
        <v>8.8539999999999994E-2</v>
      </c>
      <c r="BT96" s="557">
        <v>1.719E-2</v>
      </c>
      <c r="BU96" s="557">
        <v>7.3859999999999995E-2</v>
      </c>
      <c r="BV96" s="557">
        <v>4.929E-2</v>
      </c>
      <c r="BW96" s="558" t="s">
        <v>2275</v>
      </c>
      <c r="BX96" s="535" t="s">
        <v>2276</v>
      </c>
      <c r="DH96" s="540" t="str">
        <f t="shared" si="39"/>
        <v>US-CAMX (WECC California)</v>
      </c>
      <c r="DI96" s="540" t="str">
        <f t="shared" si="40"/>
        <v>Americas</v>
      </c>
      <c r="DJ96" s="540" t="str">
        <f t="shared" si="41"/>
        <v>North America</v>
      </c>
      <c r="DL96" s="540" t="s">
        <v>35</v>
      </c>
      <c r="DN96" s="540" t="s">
        <v>2458</v>
      </c>
      <c r="DO96" s="540" t="s">
        <v>2459</v>
      </c>
    </row>
    <row r="97" spans="3:119" ht="25.5">
      <c r="C97" s="463" t="s">
        <v>2473</v>
      </c>
      <c r="D97" s="520"/>
      <c r="E97" s="732">
        <v>3654</v>
      </c>
      <c r="F97" s="521" t="s">
        <v>2079</v>
      </c>
      <c r="G97" s="522" t="s">
        <v>4368</v>
      </c>
      <c r="H97" s="521"/>
      <c r="I97" s="522"/>
      <c r="J97" s="521"/>
      <c r="AW97" s="1394" t="s">
        <v>2161</v>
      </c>
      <c r="AX97" s="1395" t="s">
        <v>2086</v>
      </c>
      <c r="AY97" s="1397" t="s">
        <v>2151</v>
      </c>
      <c r="AZ97" s="1397">
        <v>334.129021368</v>
      </c>
      <c r="BA97" s="528" t="s">
        <v>4367</v>
      </c>
      <c r="BB97" s="536">
        <v>5.4123414965002699</v>
      </c>
      <c r="BC97" s="535" t="s">
        <v>2049</v>
      </c>
      <c r="BD97" s="537"/>
      <c r="BE97" s="537"/>
      <c r="BF97" s="535"/>
      <c r="BG97" s="537"/>
      <c r="BH97" s="538">
        <f t="shared" si="43"/>
        <v>23.2</v>
      </c>
      <c r="BI97" s="538">
        <f t="shared" si="44"/>
        <v>3.9</v>
      </c>
      <c r="BJ97" s="538">
        <f t="shared" si="45"/>
        <v>33.9</v>
      </c>
      <c r="BK97" s="538">
        <f t="shared" si="46"/>
        <v>6.2</v>
      </c>
      <c r="BL97" s="538">
        <f t="shared" si="47"/>
        <v>9.5</v>
      </c>
      <c r="BM97" s="538">
        <f t="shared" si="48"/>
        <v>5.6</v>
      </c>
      <c r="BN97" s="538">
        <f t="shared" si="49"/>
        <v>8.5</v>
      </c>
      <c r="BO97" s="538">
        <f t="shared" si="50"/>
        <v>9.2000000000000028</v>
      </c>
      <c r="BP97" s="538">
        <f t="shared" si="42"/>
        <v>100</v>
      </c>
      <c r="BQ97" s="535" t="s">
        <v>1979</v>
      </c>
      <c r="BR97" s="557">
        <v>8.8539999999999994E-2</v>
      </c>
      <c r="BS97" s="557">
        <v>8.8539999999999994E-2</v>
      </c>
      <c r="BT97" s="557">
        <v>1.719E-2</v>
      </c>
      <c r="BU97" s="557">
        <v>7.3859999999999995E-2</v>
      </c>
      <c r="BV97" s="557">
        <v>4.929E-2</v>
      </c>
      <c r="BW97" s="558" t="s">
        <v>2275</v>
      </c>
      <c r="BX97" s="535" t="s">
        <v>2276</v>
      </c>
      <c r="DH97" s="540" t="str">
        <f t="shared" si="39"/>
        <v>US-ERCT (ERCOT All)</v>
      </c>
      <c r="DI97" s="540" t="str">
        <f t="shared" si="40"/>
        <v>Americas</v>
      </c>
      <c r="DJ97" s="540" t="str">
        <f t="shared" si="41"/>
        <v>North America</v>
      </c>
      <c r="DL97" s="540" t="s">
        <v>35</v>
      </c>
      <c r="DN97" s="540" t="s">
        <v>2462</v>
      </c>
      <c r="DO97" s="540" t="s">
        <v>2463</v>
      </c>
    </row>
    <row r="98" spans="3:119">
      <c r="C98" s="463" t="s">
        <v>2476</v>
      </c>
      <c r="D98" s="520"/>
      <c r="E98" s="732">
        <v>31</v>
      </c>
      <c r="F98" s="521" t="s">
        <v>2079</v>
      </c>
      <c r="G98" s="522" t="s">
        <v>4368</v>
      </c>
      <c r="H98" s="521"/>
      <c r="I98" s="522"/>
      <c r="J98" s="521"/>
      <c r="AW98" s="1394" t="s">
        <v>2166</v>
      </c>
      <c r="AX98" s="1395" t="s">
        <v>2086</v>
      </c>
      <c r="AY98" s="1397" t="s">
        <v>2151</v>
      </c>
      <c r="AZ98" s="1397">
        <v>355.97219772</v>
      </c>
      <c r="BA98" s="528" t="s">
        <v>4367</v>
      </c>
      <c r="BB98" s="536">
        <v>27.777777777777779</v>
      </c>
      <c r="BC98" s="535" t="s">
        <v>2006</v>
      </c>
      <c r="BD98" s="537"/>
      <c r="BE98" s="537"/>
      <c r="BF98" s="535"/>
      <c r="BG98" s="537"/>
      <c r="BH98" s="538">
        <f t="shared" si="43"/>
        <v>23.2</v>
      </c>
      <c r="BI98" s="538">
        <f t="shared" si="44"/>
        <v>3.9</v>
      </c>
      <c r="BJ98" s="538">
        <f t="shared" si="45"/>
        <v>33.9</v>
      </c>
      <c r="BK98" s="538">
        <f t="shared" si="46"/>
        <v>6.2</v>
      </c>
      <c r="BL98" s="538">
        <f t="shared" si="47"/>
        <v>9.5</v>
      </c>
      <c r="BM98" s="538">
        <f t="shared" si="48"/>
        <v>5.6</v>
      </c>
      <c r="BN98" s="538">
        <f t="shared" si="49"/>
        <v>8.5</v>
      </c>
      <c r="BO98" s="538">
        <f t="shared" si="50"/>
        <v>9.2000000000000028</v>
      </c>
      <c r="BP98" s="538">
        <f t="shared" si="42"/>
        <v>100</v>
      </c>
      <c r="BQ98" s="535" t="s">
        <v>1979</v>
      </c>
      <c r="BR98" s="557">
        <v>8.8539999999999994E-2</v>
      </c>
      <c r="BS98" s="557">
        <v>8.8539999999999994E-2</v>
      </c>
      <c r="BT98" s="557">
        <v>1.719E-2</v>
      </c>
      <c r="BU98" s="557">
        <v>7.3859999999999995E-2</v>
      </c>
      <c r="BV98" s="557">
        <v>4.929E-2</v>
      </c>
      <c r="BW98" s="558" t="s">
        <v>2275</v>
      </c>
      <c r="BX98" s="535" t="s">
        <v>2276</v>
      </c>
      <c r="DH98" s="540" t="str">
        <f t="shared" si="39"/>
        <v>US-FRCC (FRCC All)</v>
      </c>
      <c r="DI98" s="540" t="str">
        <f t="shared" si="40"/>
        <v>Americas</v>
      </c>
      <c r="DJ98" s="540" t="str">
        <f t="shared" si="41"/>
        <v>North America</v>
      </c>
      <c r="DL98" s="540" t="s">
        <v>35</v>
      </c>
      <c r="DN98" s="540" t="s">
        <v>2466</v>
      </c>
      <c r="DO98" s="540" t="s">
        <v>2467</v>
      </c>
    </row>
    <row r="99" spans="3:119" ht="25.5">
      <c r="C99" s="463" t="s">
        <v>2487</v>
      </c>
      <c r="D99" s="520"/>
      <c r="E99" s="732">
        <v>1930</v>
      </c>
      <c r="F99" s="521" t="s">
        <v>2079</v>
      </c>
      <c r="G99" s="522" t="s">
        <v>4368</v>
      </c>
      <c r="H99" s="521"/>
      <c r="I99" s="522"/>
      <c r="J99" s="521"/>
      <c r="AW99" s="1394" t="s">
        <v>2172</v>
      </c>
      <c r="AX99" s="1395" t="s">
        <v>2086</v>
      </c>
      <c r="AY99" s="1397" t="s">
        <v>2151</v>
      </c>
      <c r="AZ99" s="1397">
        <v>514.05309204800005</v>
      </c>
      <c r="BA99" s="528" t="s">
        <v>4367</v>
      </c>
      <c r="BB99" s="536">
        <v>13.490630673342661</v>
      </c>
      <c r="BC99" s="535" t="s">
        <v>2223</v>
      </c>
      <c r="BD99" s="537"/>
      <c r="BE99" s="537"/>
      <c r="BF99" s="535"/>
      <c r="BG99" s="537"/>
      <c r="BH99" s="538">
        <f t="shared" si="43"/>
        <v>23.2</v>
      </c>
      <c r="BI99" s="538">
        <f t="shared" si="44"/>
        <v>3.9</v>
      </c>
      <c r="BJ99" s="538">
        <f t="shared" si="45"/>
        <v>33.9</v>
      </c>
      <c r="BK99" s="538">
        <f t="shared" si="46"/>
        <v>6.2</v>
      </c>
      <c r="BL99" s="538">
        <f t="shared" si="47"/>
        <v>9.5</v>
      </c>
      <c r="BM99" s="538">
        <f t="shared" si="48"/>
        <v>5.6</v>
      </c>
      <c r="BN99" s="538">
        <f t="shared" si="49"/>
        <v>8.5</v>
      </c>
      <c r="BO99" s="538">
        <f t="shared" si="50"/>
        <v>9.2000000000000028</v>
      </c>
      <c r="BP99" s="538">
        <f t="shared" si="42"/>
        <v>100</v>
      </c>
      <c r="BQ99" s="535" t="s">
        <v>1979</v>
      </c>
      <c r="BR99" s="557">
        <v>8.8539999999999994E-2</v>
      </c>
      <c r="BS99" s="557">
        <v>8.8539999999999994E-2</v>
      </c>
      <c r="BT99" s="557">
        <v>1.719E-2</v>
      </c>
      <c r="BU99" s="557">
        <v>7.3859999999999995E-2</v>
      </c>
      <c r="BV99" s="557">
        <v>4.929E-2</v>
      </c>
      <c r="BW99" s="558" t="s">
        <v>2275</v>
      </c>
      <c r="BX99" s="535" t="s">
        <v>2276</v>
      </c>
      <c r="DH99" s="540" t="str">
        <f t="shared" ref="DH99:DH106" si="51">AW99</f>
        <v>US-HIMS (HICC Miscellaneous)</v>
      </c>
      <c r="DI99" s="540" t="str">
        <f t="shared" ref="DI99:DI106" si="52">AX99</f>
        <v>Americas</v>
      </c>
      <c r="DJ99" s="540" t="str">
        <f t="shared" ref="DJ99:DJ106" si="53">AY99</f>
        <v>North America</v>
      </c>
      <c r="DL99" s="540" t="s">
        <v>35</v>
      </c>
      <c r="DN99" s="540" t="s">
        <v>2469</v>
      </c>
      <c r="DO99" s="540" t="s">
        <v>2470</v>
      </c>
    </row>
    <row r="100" spans="3:119">
      <c r="C100" s="463" t="s">
        <v>2491</v>
      </c>
      <c r="D100" s="520"/>
      <c r="E100" s="732">
        <v>2425</v>
      </c>
      <c r="F100" s="521" t="s">
        <v>2079</v>
      </c>
      <c r="G100" s="522" t="s">
        <v>4368</v>
      </c>
      <c r="H100" s="521"/>
      <c r="I100" s="522"/>
      <c r="J100" s="521"/>
      <c r="AW100" s="1394" t="s">
        <v>2177</v>
      </c>
      <c r="AX100" s="1396" t="s">
        <v>2086</v>
      </c>
      <c r="AY100" s="1397" t="s">
        <v>2151</v>
      </c>
      <c r="AZ100" s="1397">
        <v>679.91036762399995</v>
      </c>
      <c r="BA100" s="528" t="s">
        <v>4367</v>
      </c>
      <c r="BB100" s="536">
        <v>5.7853630315302285</v>
      </c>
      <c r="BC100" s="535" t="s">
        <v>2006</v>
      </c>
      <c r="BD100" s="537"/>
      <c r="BE100" s="537"/>
      <c r="BF100" s="535"/>
      <c r="BG100" s="537"/>
      <c r="BH100" s="538">
        <f t="shared" si="43"/>
        <v>23.2</v>
      </c>
      <c r="BI100" s="538">
        <f t="shared" si="44"/>
        <v>3.9</v>
      </c>
      <c r="BJ100" s="538">
        <f t="shared" si="45"/>
        <v>33.9</v>
      </c>
      <c r="BK100" s="538">
        <f t="shared" si="46"/>
        <v>6.2</v>
      </c>
      <c r="BL100" s="538">
        <f t="shared" si="47"/>
        <v>9.5</v>
      </c>
      <c r="BM100" s="538">
        <f t="shared" si="48"/>
        <v>5.6</v>
      </c>
      <c r="BN100" s="538">
        <f t="shared" si="49"/>
        <v>8.5</v>
      </c>
      <c r="BO100" s="538">
        <f t="shared" si="50"/>
        <v>9.2000000000000028</v>
      </c>
      <c r="BP100" s="538">
        <f t="shared" si="42"/>
        <v>100</v>
      </c>
      <c r="BQ100" s="535" t="s">
        <v>1979</v>
      </c>
      <c r="BR100" s="557">
        <v>8.8539999999999994E-2</v>
      </c>
      <c r="BS100" s="557">
        <v>8.8539999999999994E-2</v>
      </c>
      <c r="BT100" s="557">
        <v>1.719E-2</v>
      </c>
      <c r="BU100" s="557">
        <v>7.3859999999999995E-2</v>
      </c>
      <c r="BV100" s="557">
        <v>4.929E-2</v>
      </c>
      <c r="BW100" s="558" t="s">
        <v>2275</v>
      </c>
      <c r="BX100" s="535" t="s">
        <v>2276</v>
      </c>
      <c r="DH100" s="540" t="str">
        <f t="shared" si="51"/>
        <v>US-HIOA (HICC Oahu)</v>
      </c>
      <c r="DI100" s="540" t="str">
        <f t="shared" si="52"/>
        <v>Americas</v>
      </c>
      <c r="DJ100" s="540" t="str">
        <f t="shared" si="53"/>
        <v>North America</v>
      </c>
      <c r="DL100" s="540" t="s">
        <v>35</v>
      </c>
      <c r="DN100" s="540" t="s">
        <v>2471</v>
      </c>
      <c r="DO100" s="540" t="s">
        <v>2472</v>
      </c>
    </row>
    <row r="101" spans="3:119">
      <c r="C101" s="463" t="s">
        <v>2495</v>
      </c>
      <c r="D101" s="520"/>
      <c r="E101" s="732">
        <v>2143</v>
      </c>
      <c r="F101" s="521" t="s">
        <v>2079</v>
      </c>
      <c r="G101" s="522" t="s">
        <v>4368</v>
      </c>
      <c r="H101" s="521"/>
      <c r="I101" s="522"/>
      <c r="J101" s="521"/>
      <c r="AW101" s="1394" t="s">
        <v>2183</v>
      </c>
      <c r="AX101" s="1396" t="s">
        <v>2086</v>
      </c>
      <c r="AY101" s="1397" t="s">
        <v>2151</v>
      </c>
      <c r="AZ101" s="1397">
        <v>637.27997709599993</v>
      </c>
      <c r="BA101" s="528" t="s">
        <v>4367</v>
      </c>
      <c r="BB101" s="536">
        <v>3.8844707993401268</v>
      </c>
      <c r="BC101" s="535" t="s">
        <v>2006</v>
      </c>
      <c r="BD101" s="549">
        <v>0.04</v>
      </c>
      <c r="BE101" s="549">
        <v>0.03</v>
      </c>
      <c r="BF101" s="535" t="s">
        <v>2179</v>
      </c>
      <c r="BG101" s="537"/>
      <c r="BH101" s="538">
        <f t="shared" si="43"/>
        <v>23.2</v>
      </c>
      <c r="BI101" s="538">
        <f t="shared" si="44"/>
        <v>3.9</v>
      </c>
      <c r="BJ101" s="538">
        <f t="shared" si="45"/>
        <v>33.9</v>
      </c>
      <c r="BK101" s="538">
        <f t="shared" si="46"/>
        <v>6.2</v>
      </c>
      <c r="BL101" s="538">
        <f t="shared" si="47"/>
        <v>9.5</v>
      </c>
      <c r="BM101" s="538">
        <f t="shared" si="48"/>
        <v>5.6</v>
      </c>
      <c r="BN101" s="538">
        <f t="shared" si="49"/>
        <v>8.5</v>
      </c>
      <c r="BO101" s="538">
        <f t="shared" si="50"/>
        <v>9.2000000000000028</v>
      </c>
      <c r="BP101" s="538">
        <f t="shared" si="42"/>
        <v>100</v>
      </c>
      <c r="BQ101" s="535" t="s">
        <v>1979</v>
      </c>
      <c r="BR101" s="557">
        <v>8.8539999999999994E-2</v>
      </c>
      <c r="BS101" s="557">
        <v>8.8539999999999994E-2</v>
      </c>
      <c r="BT101" s="557">
        <v>1.719E-2</v>
      </c>
      <c r="BU101" s="557">
        <v>7.3859999999999995E-2</v>
      </c>
      <c r="BV101" s="557">
        <v>4.929E-2</v>
      </c>
      <c r="BW101" s="558" t="s">
        <v>2275</v>
      </c>
      <c r="BX101" s="535" t="s">
        <v>2276</v>
      </c>
      <c r="DH101" s="540" t="str">
        <f t="shared" si="51"/>
        <v>US-MROE (MRO East)</v>
      </c>
      <c r="DI101" s="540" t="str">
        <f t="shared" si="52"/>
        <v>Americas</v>
      </c>
      <c r="DJ101" s="540" t="str">
        <f t="shared" si="53"/>
        <v>North America</v>
      </c>
      <c r="DK101" s="540" t="e">
        <f>VLOOKUP(DH101,#REF!,1)</f>
        <v>#REF!</v>
      </c>
      <c r="DL101" s="540" t="e">
        <f>VLOOKUP(DK101,#REF!,2,FALSE)</f>
        <v>#REF!</v>
      </c>
      <c r="DN101" s="540" t="s">
        <v>2474</v>
      </c>
      <c r="DO101" s="540" t="s">
        <v>2475</v>
      </c>
    </row>
    <row r="102" spans="3:119">
      <c r="C102" s="463" t="s">
        <v>2257</v>
      </c>
      <c r="D102" s="520"/>
      <c r="E102" s="732">
        <v>1</v>
      </c>
      <c r="F102" s="521" t="s">
        <v>2079</v>
      </c>
      <c r="G102" s="522" t="s">
        <v>4368</v>
      </c>
      <c r="H102" s="521"/>
      <c r="I102" s="522"/>
      <c r="J102" s="521"/>
      <c r="AW102" s="1394" t="s">
        <v>2189</v>
      </c>
      <c r="AX102" s="1396" t="s">
        <v>2086</v>
      </c>
      <c r="AY102" s="1397" t="s">
        <v>2151</v>
      </c>
      <c r="AZ102" s="1397">
        <v>420.27657478399999</v>
      </c>
      <c r="BA102" s="528" t="s">
        <v>4367</v>
      </c>
      <c r="BB102" s="536">
        <v>22.587364036102752</v>
      </c>
      <c r="BC102" s="535" t="s">
        <v>2006</v>
      </c>
      <c r="BD102" s="537"/>
      <c r="BE102" s="537"/>
      <c r="BF102" s="535"/>
      <c r="BG102" s="537"/>
      <c r="BH102" s="538">
        <f t="shared" si="43"/>
        <v>23.2</v>
      </c>
      <c r="BI102" s="538">
        <f t="shared" si="44"/>
        <v>3.9</v>
      </c>
      <c r="BJ102" s="538">
        <f t="shared" si="45"/>
        <v>33.9</v>
      </c>
      <c r="BK102" s="538">
        <f t="shared" si="46"/>
        <v>6.2</v>
      </c>
      <c r="BL102" s="538">
        <f t="shared" si="47"/>
        <v>9.5</v>
      </c>
      <c r="BM102" s="538">
        <f t="shared" si="48"/>
        <v>5.6</v>
      </c>
      <c r="BN102" s="538">
        <f t="shared" si="49"/>
        <v>8.5</v>
      </c>
      <c r="BO102" s="538">
        <f t="shared" si="50"/>
        <v>9.2000000000000028</v>
      </c>
      <c r="BP102" s="538">
        <f t="shared" si="42"/>
        <v>100</v>
      </c>
      <c r="BQ102" s="535" t="s">
        <v>1979</v>
      </c>
      <c r="BR102" s="557">
        <v>8.8539999999999994E-2</v>
      </c>
      <c r="BS102" s="557">
        <v>8.8539999999999994E-2</v>
      </c>
      <c r="BT102" s="557">
        <v>1.719E-2</v>
      </c>
      <c r="BU102" s="557">
        <v>7.3859999999999995E-2</v>
      </c>
      <c r="BV102" s="557">
        <v>4.929E-2</v>
      </c>
      <c r="BW102" s="558" t="s">
        <v>2275</v>
      </c>
      <c r="BX102" s="535" t="s">
        <v>2276</v>
      </c>
      <c r="DH102" s="540" t="str">
        <f t="shared" si="51"/>
        <v>US-MROW (MRO West)</v>
      </c>
      <c r="DI102" s="540" t="str">
        <f t="shared" si="52"/>
        <v>Americas</v>
      </c>
      <c r="DJ102" s="540" t="str">
        <f t="shared" si="53"/>
        <v>North America</v>
      </c>
      <c r="DL102" s="540" t="s">
        <v>35</v>
      </c>
      <c r="DN102" s="540" t="s">
        <v>2478</v>
      </c>
      <c r="DO102" s="540" t="s">
        <v>2479</v>
      </c>
    </row>
    <row r="103" spans="3:119">
      <c r="C103" s="463" t="s">
        <v>2499</v>
      </c>
      <c r="D103" s="520"/>
      <c r="E103" s="732">
        <v>24</v>
      </c>
      <c r="F103" s="521" t="s">
        <v>2079</v>
      </c>
      <c r="G103" s="522" t="s">
        <v>4368</v>
      </c>
      <c r="H103" s="521"/>
      <c r="I103" s="522"/>
      <c r="J103" s="521"/>
      <c r="AW103" s="1394" t="s">
        <v>2194</v>
      </c>
      <c r="AX103" s="1395" t="s">
        <v>2086</v>
      </c>
      <c r="AY103" s="1397" t="s">
        <v>2151</v>
      </c>
      <c r="AZ103" s="1397">
        <v>246.38119537599999</v>
      </c>
      <c r="BA103" s="528" t="s">
        <v>4367</v>
      </c>
      <c r="BB103" s="536">
        <v>8.2414635599785466</v>
      </c>
      <c r="BC103" s="535" t="s">
        <v>2006</v>
      </c>
      <c r="BD103" s="549">
        <v>7.4999999999999997E-2</v>
      </c>
      <c r="BE103" s="549">
        <v>0.01</v>
      </c>
      <c r="BF103" s="535" t="s">
        <v>2179</v>
      </c>
      <c r="BG103" s="537"/>
      <c r="BH103" s="538">
        <f t="shared" si="43"/>
        <v>23.2</v>
      </c>
      <c r="BI103" s="538">
        <f t="shared" si="44"/>
        <v>3.9</v>
      </c>
      <c r="BJ103" s="538">
        <f t="shared" si="45"/>
        <v>33.9</v>
      </c>
      <c r="BK103" s="538">
        <f t="shared" si="46"/>
        <v>6.2</v>
      </c>
      <c r="BL103" s="538">
        <f t="shared" si="47"/>
        <v>9.5</v>
      </c>
      <c r="BM103" s="538">
        <f t="shared" si="48"/>
        <v>5.6</v>
      </c>
      <c r="BN103" s="538">
        <f t="shared" si="49"/>
        <v>8.5</v>
      </c>
      <c r="BO103" s="538">
        <f t="shared" si="50"/>
        <v>9.2000000000000028</v>
      </c>
      <c r="BP103" s="538">
        <f t="shared" si="42"/>
        <v>100</v>
      </c>
      <c r="BQ103" s="535" t="s">
        <v>1979</v>
      </c>
      <c r="BR103" s="557">
        <v>8.8539999999999994E-2</v>
      </c>
      <c r="BS103" s="557">
        <v>8.8539999999999994E-2</v>
      </c>
      <c r="BT103" s="557">
        <v>1.719E-2</v>
      </c>
      <c r="BU103" s="557">
        <v>7.3859999999999995E-2</v>
      </c>
      <c r="BV103" s="557">
        <v>4.929E-2</v>
      </c>
      <c r="BW103" s="558" t="s">
        <v>2275</v>
      </c>
      <c r="BX103" s="535" t="s">
        <v>2276</v>
      </c>
      <c r="DH103" s="540" t="str">
        <f t="shared" si="51"/>
        <v>US-NEWE (NPCC New England)</v>
      </c>
      <c r="DI103" s="540" t="str">
        <f t="shared" si="52"/>
        <v>Americas</v>
      </c>
      <c r="DJ103" s="540" t="str">
        <f t="shared" si="53"/>
        <v>North America</v>
      </c>
      <c r="DK103" s="540" t="e">
        <f>VLOOKUP(DH103,#REF!,1)</f>
        <v>#REF!</v>
      </c>
      <c r="DL103" s="540" t="e">
        <f>VLOOKUP(DK103,#REF!,2,FALSE)</f>
        <v>#REF!</v>
      </c>
      <c r="DN103" s="540" t="s">
        <v>2481</v>
      </c>
      <c r="DO103" s="540" t="s">
        <v>2482</v>
      </c>
    </row>
    <row r="104" spans="3:119">
      <c r="C104" s="463" t="s">
        <v>2507</v>
      </c>
      <c r="D104" s="520"/>
      <c r="E104" s="732">
        <v>2042</v>
      </c>
      <c r="F104" s="521" t="s">
        <v>2079</v>
      </c>
      <c r="G104" s="522" t="s">
        <v>4368</v>
      </c>
      <c r="H104" s="521"/>
      <c r="I104" s="522"/>
      <c r="J104" s="521"/>
      <c r="AW104" s="1394" t="s">
        <v>2198</v>
      </c>
      <c r="AX104" s="1396" t="s">
        <v>2086</v>
      </c>
      <c r="AY104" s="1397" t="s">
        <v>2151</v>
      </c>
      <c r="AZ104" s="1397">
        <v>288.15202906400003</v>
      </c>
      <c r="BA104" s="528" t="s">
        <v>4367</v>
      </c>
      <c r="BB104" s="552">
        <v>8.2505991847772364</v>
      </c>
      <c r="BC104" s="535" t="s">
        <v>2484</v>
      </c>
      <c r="BD104" s="537"/>
      <c r="BE104" s="537"/>
      <c r="BF104" s="535"/>
      <c r="BG104" s="537"/>
      <c r="BH104" s="538">
        <f t="shared" si="43"/>
        <v>23.2</v>
      </c>
      <c r="BI104" s="538">
        <f t="shared" si="44"/>
        <v>3.9</v>
      </c>
      <c r="BJ104" s="538">
        <f t="shared" si="45"/>
        <v>33.9</v>
      </c>
      <c r="BK104" s="538">
        <f t="shared" si="46"/>
        <v>6.2</v>
      </c>
      <c r="BL104" s="538">
        <f t="shared" si="47"/>
        <v>9.5</v>
      </c>
      <c r="BM104" s="538">
        <f t="shared" si="48"/>
        <v>5.6</v>
      </c>
      <c r="BN104" s="538">
        <f t="shared" si="49"/>
        <v>8.5</v>
      </c>
      <c r="BO104" s="538">
        <f t="shared" si="50"/>
        <v>9.2000000000000028</v>
      </c>
      <c r="BP104" s="538">
        <f t="shared" si="42"/>
        <v>100</v>
      </c>
      <c r="BQ104" s="535" t="s">
        <v>1979</v>
      </c>
      <c r="BR104" s="557">
        <v>8.8539999999999994E-2</v>
      </c>
      <c r="BS104" s="557">
        <v>8.8539999999999994E-2</v>
      </c>
      <c r="BT104" s="557">
        <v>1.719E-2</v>
      </c>
      <c r="BU104" s="557">
        <v>7.3859999999999995E-2</v>
      </c>
      <c r="BV104" s="557">
        <v>4.929E-2</v>
      </c>
      <c r="BW104" s="558" t="s">
        <v>2275</v>
      </c>
      <c r="BX104" s="535" t="s">
        <v>2276</v>
      </c>
      <c r="DH104" s="540" t="str">
        <f t="shared" si="51"/>
        <v>US-NWPP (WECC Northwest)</v>
      </c>
      <c r="DI104" s="540" t="str">
        <f t="shared" si="52"/>
        <v>Americas</v>
      </c>
      <c r="DJ104" s="540" t="str">
        <f t="shared" si="53"/>
        <v>North America</v>
      </c>
      <c r="DL104" s="540" t="s">
        <v>35</v>
      </c>
      <c r="DN104" s="540" t="s">
        <v>2485</v>
      </c>
      <c r="DO104" s="540" t="s">
        <v>2486</v>
      </c>
    </row>
    <row r="105" spans="3:119" ht="25.5">
      <c r="C105" s="463" t="s">
        <v>2514</v>
      </c>
      <c r="D105" s="520"/>
      <c r="E105" s="732">
        <v>101</v>
      </c>
      <c r="F105" s="521" t="s">
        <v>2079</v>
      </c>
      <c r="G105" s="522" t="s">
        <v>4368</v>
      </c>
      <c r="H105" s="521"/>
      <c r="I105" s="522"/>
      <c r="J105" s="521"/>
      <c r="AW105" s="1394" t="s">
        <v>2201</v>
      </c>
      <c r="AX105" s="1396" t="s">
        <v>2086</v>
      </c>
      <c r="AY105" s="1397" t="s">
        <v>2151</v>
      </c>
      <c r="AZ105" s="1397">
        <v>392.69455244800002</v>
      </c>
      <c r="BA105" s="528" t="s">
        <v>4367</v>
      </c>
      <c r="BB105" s="536">
        <v>9.3894684857089938</v>
      </c>
      <c r="BC105" s="535" t="s">
        <v>2087</v>
      </c>
      <c r="BD105" s="537"/>
      <c r="BE105" s="537"/>
      <c r="BF105" s="535"/>
      <c r="BG105" s="537"/>
      <c r="BH105" s="538">
        <f t="shared" si="43"/>
        <v>23.2</v>
      </c>
      <c r="BI105" s="538">
        <f t="shared" si="44"/>
        <v>3.9</v>
      </c>
      <c r="BJ105" s="538">
        <f t="shared" si="45"/>
        <v>33.9</v>
      </c>
      <c r="BK105" s="538">
        <f t="shared" si="46"/>
        <v>6.2</v>
      </c>
      <c r="BL105" s="538">
        <f t="shared" si="47"/>
        <v>9.5</v>
      </c>
      <c r="BM105" s="538">
        <f t="shared" si="48"/>
        <v>5.6</v>
      </c>
      <c r="BN105" s="538">
        <f t="shared" si="49"/>
        <v>8.5</v>
      </c>
      <c r="BO105" s="538">
        <f t="shared" si="50"/>
        <v>9.2000000000000028</v>
      </c>
      <c r="BP105" s="538">
        <f t="shared" si="42"/>
        <v>100</v>
      </c>
      <c r="BQ105" s="535" t="s">
        <v>1979</v>
      </c>
      <c r="BR105" s="557">
        <v>8.8539999999999994E-2</v>
      </c>
      <c r="BS105" s="557">
        <v>8.8539999999999994E-2</v>
      </c>
      <c r="BT105" s="557">
        <v>1.719E-2</v>
      </c>
      <c r="BU105" s="557">
        <v>7.3859999999999995E-2</v>
      </c>
      <c r="BV105" s="557">
        <v>4.929E-2</v>
      </c>
      <c r="BW105" s="558" t="s">
        <v>2275</v>
      </c>
      <c r="BX105" s="535" t="s">
        <v>2276</v>
      </c>
      <c r="DH105" s="540" t="str">
        <f t="shared" si="51"/>
        <v>US-NYCW (NPCC NYC/Westchester)</v>
      </c>
      <c r="DI105" s="540" t="str">
        <f t="shared" si="52"/>
        <v>Americas</v>
      </c>
      <c r="DJ105" s="540" t="str">
        <f t="shared" si="53"/>
        <v>North America</v>
      </c>
      <c r="DL105" s="540" t="s">
        <v>35</v>
      </c>
      <c r="DN105" s="540" t="s">
        <v>2489</v>
      </c>
      <c r="DO105" s="540" t="s">
        <v>2490</v>
      </c>
    </row>
    <row r="106" spans="3:119" ht="25.5">
      <c r="C106" s="463" t="s">
        <v>2518</v>
      </c>
      <c r="D106" s="520"/>
      <c r="E106" s="732">
        <v>138</v>
      </c>
      <c r="F106" s="521" t="s">
        <v>2079</v>
      </c>
      <c r="G106" s="522" t="s">
        <v>4368</v>
      </c>
      <c r="H106" s="521"/>
      <c r="I106" s="522"/>
      <c r="J106" s="521"/>
      <c r="AW106" s="1394" t="s">
        <v>2204</v>
      </c>
      <c r="AX106" s="1395" t="s">
        <v>2086</v>
      </c>
      <c r="AY106" s="1397" t="s">
        <v>2151</v>
      </c>
      <c r="AZ106" s="1397">
        <v>539.47193413600007</v>
      </c>
      <c r="BA106" s="528" t="s">
        <v>4367</v>
      </c>
      <c r="BB106" s="536">
        <v>9.3894684857089938</v>
      </c>
      <c r="BC106" s="535" t="s">
        <v>2087</v>
      </c>
      <c r="BD106" s="537"/>
      <c r="BE106" s="537"/>
      <c r="BF106" s="535"/>
      <c r="BG106" s="537"/>
      <c r="BH106" s="538">
        <f t="shared" si="43"/>
        <v>23.2</v>
      </c>
      <c r="BI106" s="538">
        <f t="shared" si="44"/>
        <v>3.9</v>
      </c>
      <c r="BJ106" s="538">
        <f t="shared" si="45"/>
        <v>33.9</v>
      </c>
      <c r="BK106" s="538">
        <f t="shared" si="46"/>
        <v>6.2</v>
      </c>
      <c r="BL106" s="538">
        <f t="shared" si="47"/>
        <v>9.5</v>
      </c>
      <c r="BM106" s="538">
        <f t="shared" si="48"/>
        <v>5.6</v>
      </c>
      <c r="BN106" s="538">
        <f t="shared" si="49"/>
        <v>8.5</v>
      </c>
      <c r="BO106" s="538">
        <f t="shared" si="50"/>
        <v>9.2000000000000028</v>
      </c>
      <c r="BP106" s="538">
        <f t="shared" si="42"/>
        <v>100</v>
      </c>
      <c r="BQ106" s="535" t="s">
        <v>1979</v>
      </c>
      <c r="BR106" s="557">
        <v>8.8539999999999994E-2</v>
      </c>
      <c r="BS106" s="557">
        <v>8.8539999999999994E-2</v>
      </c>
      <c r="BT106" s="557">
        <v>1.719E-2</v>
      </c>
      <c r="BU106" s="557">
        <v>7.3859999999999995E-2</v>
      </c>
      <c r="BV106" s="557">
        <v>4.929E-2</v>
      </c>
      <c r="BW106" s="558" t="s">
        <v>2275</v>
      </c>
      <c r="BX106" s="535" t="s">
        <v>2276</v>
      </c>
      <c r="DH106" s="540" t="str">
        <f t="shared" si="51"/>
        <v>US-NYLI (NPCC Long Island)</v>
      </c>
      <c r="DI106" s="540" t="str">
        <f t="shared" si="52"/>
        <v>Americas</v>
      </c>
      <c r="DJ106" s="540" t="str">
        <f t="shared" si="53"/>
        <v>North America</v>
      </c>
      <c r="DL106" s="540" t="s">
        <v>35</v>
      </c>
      <c r="DN106" s="540" t="s">
        <v>2493</v>
      </c>
      <c r="DO106" s="540" t="s">
        <v>2494</v>
      </c>
    </row>
    <row r="107" spans="3:119" ht="25.5">
      <c r="C107" s="463" t="s">
        <v>4388</v>
      </c>
      <c r="D107" s="520"/>
      <c r="E107" s="732">
        <v>1494</v>
      </c>
      <c r="F107" s="521" t="s">
        <v>2079</v>
      </c>
      <c r="G107" s="522" t="s">
        <v>4368</v>
      </c>
      <c r="H107" s="521"/>
      <c r="I107" s="522"/>
      <c r="J107" s="521"/>
      <c r="AW107" s="1394" t="s">
        <v>2209</v>
      </c>
      <c r="AX107" s="1396" t="s">
        <v>2086</v>
      </c>
      <c r="AY107" s="1397" t="s">
        <v>2151</v>
      </c>
      <c r="AZ107" s="1397">
        <v>110.121251392</v>
      </c>
      <c r="BA107" s="528" t="s">
        <v>4367</v>
      </c>
      <c r="BB107" s="536">
        <v>5.4123414965002699</v>
      </c>
      <c r="BC107" s="535" t="s">
        <v>2049</v>
      </c>
      <c r="BD107" s="537"/>
      <c r="BE107" s="537"/>
      <c r="BF107" s="535"/>
      <c r="BG107" s="537"/>
      <c r="BH107" s="538">
        <f t="shared" ref="BH107:BH138" si="54">+VLOOKUP($AY107,$BZ$3:$CH$21,2,FALSE)</f>
        <v>23.2</v>
      </c>
      <c r="BI107" s="538">
        <f t="shared" ref="BI107:BI138" si="55">+VLOOKUP($AY107,$BZ$3:$CH$21,3,FALSE)</f>
        <v>3.9</v>
      </c>
      <c r="BJ107" s="538">
        <f t="shared" ref="BJ107:BJ138" si="56">+VLOOKUP($AY107,$BZ$3:$CH$21,4,FALSE)</f>
        <v>33.9</v>
      </c>
      <c r="BK107" s="538">
        <f t="shared" ref="BK107:BK138" si="57">+VLOOKUP($AY107,$BZ$3:$CH$21,5,FALSE)</f>
        <v>6.2</v>
      </c>
      <c r="BL107" s="538">
        <f t="shared" ref="BL107:BL138" si="58">+VLOOKUP($AY107,$BZ$3:$CH$21,6,FALSE)</f>
        <v>9.5</v>
      </c>
      <c r="BM107" s="538">
        <f t="shared" ref="BM107:BM138" si="59">+VLOOKUP($AY107,$BZ$3:$CH$21,7,FALSE)</f>
        <v>5.6</v>
      </c>
      <c r="BN107" s="538">
        <f t="shared" ref="BN107:BN138" si="60">+VLOOKUP($AY107,$BZ$3:$CH$21,8,FALSE)</f>
        <v>8.5</v>
      </c>
      <c r="BO107" s="538">
        <f t="shared" ref="BO107:BO138" si="61">+VLOOKUP($AY107,$BZ$3:$CH$21,9,FALSE)</f>
        <v>9.2000000000000028</v>
      </c>
      <c r="BP107" s="538">
        <f t="shared" si="42"/>
        <v>100</v>
      </c>
      <c r="BQ107" s="535" t="s">
        <v>1979</v>
      </c>
      <c r="BR107" s="557">
        <v>8.8539999999999994E-2</v>
      </c>
      <c r="BS107" s="557">
        <v>8.8539999999999994E-2</v>
      </c>
      <c r="BT107" s="557">
        <v>1.719E-2</v>
      </c>
      <c r="BU107" s="557">
        <v>7.3859999999999995E-2</v>
      </c>
      <c r="BV107" s="557">
        <v>4.929E-2</v>
      </c>
      <c r="BW107" s="558" t="s">
        <v>2275</v>
      </c>
      <c r="BX107" s="535" t="s">
        <v>2276</v>
      </c>
    </row>
    <row r="108" spans="3:119">
      <c r="C108" s="463" t="s">
        <v>4389</v>
      </c>
      <c r="D108" s="520"/>
      <c r="E108" s="732">
        <v>1504</v>
      </c>
      <c r="F108" s="521" t="s">
        <v>2079</v>
      </c>
      <c r="G108" s="522" t="s">
        <v>4368</v>
      </c>
      <c r="H108" s="521"/>
      <c r="I108" s="522"/>
      <c r="J108" s="521"/>
      <c r="AW108" s="1394" t="s">
        <v>2213</v>
      </c>
      <c r="AX108" s="1396" t="s">
        <v>2086</v>
      </c>
      <c r="AY108" s="1397" t="s">
        <v>2151</v>
      </c>
      <c r="AZ108" s="1397">
        <v>271.77871863999997</v>
      </c>
      <c r="BA108" s="528" t="s">
        <v>4367</v>
      </c>
      <c r="BB108" s="552">
        <v>9.4594594594594597</v>
      </c>
      <c r="BC108" s="535" t="s">
        <v>2006</v>
      </c>
      <c r="BD108" s="537"/>
      <c r="BE108" s="537"/>
      <c r="BF108" s="535"/>
      <c r="BG108" s="537"/>
      <c r="BH108" s="538">
        <f t="shared" si="54"/>
        <v>23.2</v>
      </c>
      <c r="BI108" s="538">
        <f t="shared" si="55"/>
        <v>3.9</v>
      </c>
      <c r="BJ108" s="538">
        <f t="shared" si="56"/>
        <v>33.9</v>
      </c>
      <c r="BK108" s="538">
        <f t="shared" si="57"/>
        <v>6.2</v>
      </c>
      <c r="BL108" s="538">
        <f t="shared" si="58"/>
        <v>9.5</v>
      </c>
      <c r="BM108" s="538">
        <f t="shared" si="59"/>
        <v>5.6</v>
      </c>
      <c r="BN108" s="538">
        <f t="shared" si="60"/>
        <v>8.5</v>
      </c>
      <c r="BO108" s="538">
        <f t="shared" si="61"/>
        <v>9.2000000000000028</v>
      </c>
      <c r="BP108" s="538">
        <f t="shared" si="42"/>
        <v>100</v>
      </c>
      <c r="BQ108" s="535" t="s">
        <v>1979</v>
      </c>
      <c r="BR108" s="557">
        <v>8.8539999999999994E-2</v>
      </c>
      <c r="BS108" s="557">
        <v>8.8539999999999994E-2</v>
      </c>
      <c r="BT108" s="557">
        <v>1.719E-2</v>
      </c>
      <c r="BU108" s="557">
        <v>7.3859999999999995E-2</v>
      </c>
      <c r="BV108" s="557">
        <v>4.929E-2</v>
      </c>
      <c r="BW108" s="558" t="s">
        <v>2275</v>
      </c>
      <c r="BX108" s="535" t="s">
        <v>2276</v>
      </c>
      <c r="DH108" s="540" t="str">
        <f t="shared" ref="DH108:DH139" si="62">AW107</f>
        <v>US-NYUP (NPCC Upstate NY)</v>
      </c>
      <c r="DI108" s="540" t="str">
        <f t="shared" ref="DI108:DI139" si="63">AX107</f>
        <v>Americas</v>
      </c>
      <c r="DJ108" s="540" t="str">
        <f t="shared" ref="DJ108:DJ139" si="64">AY107</f>
        <v>North America</v>
      </c>
      <c r="DL108" s="540" t="s">
        <v>35</v>
      </c>
      <c r="DN108" s="540" t="s">
        <v>2497</v>
      </c>
      <c r="DO108" s="540" t="s">
        <v>2498</v>
      </c>
    </row>
    <row r="109" spans="3:119" ht="25.5">
      <c r="C109" s="463" t="s">
        <v>4390</v>
      </c>
      <c r="D109" s="520"/>
      <c r="E109" s="732">
        <v>601</v>
      </c>
      <c r="F109" s="521" t="s">
        <v>2079</v>
      </c>
      <c r="G109" s="522" t="s">
        <v>4368</v>
      </c>
      <c r="H109" s="521"/>
      <c r="I109" s="522"/>
      <c r="J109" s="521"/>
      <c r="AW109" s="1394" t="s">
        <v>2217</v>
      </c>
      <c r="AX109" s="1395" t="s">
        <v>2086</v>
      </c>
      <c r="AY109" s="1397" t="s">
        <v>2151</v>
      </c>
      <c r="AZ109" s="1397">
        <v>442.69581297599996</v>
      </c>
      <c r="BA109" s="528" t="s">
        <v>4367</v>
      </c>
      <c r="BB109" s="536">
        <v>13.490630673342661</v>
      </c>
      <c r="BC109" s="535" t="s">
        <v>2223</v>
      </c>
      <c r="BD109" s="537"/>
      <c r="BE109" s="537"/>
      <c r="BF109" s="535"/>
      <c r="BG109" s="537"/>
      <c r="BH109" s="538">
        <f t="shared" si="54"/>
        <v>23.2</v>
      </c>
      <c r="BI109" s="538">
        <f t="shared" si="55"/>
        <v>3.9</v>
      </c>
      <c r="BJ109" s="538">
        <f t="shared" si="56"/>
        <v>33.9</v>
      </c>
      <c r="BK109" s="538">
        <f t="shared" si="57"/>
        <v>6.2</v>
      </c>
      <c r="BL109" s="538">
        <f t="shared" si="58"/>
        <v>9.5</v>
      </c>
      <c r="BM109" s="538">
        <f t="shared" si="59"/>
        <v>5.6</v>
      </c>
      <c r="BN109" s="538">
        <f t="shared" si="60"/>
        <v>8.5</v>
      </c>
      <c r="BO109" s="538">
        <f t="shared" si="61"/>
        <v>9.2000000000000028</v>
      </c>
      <c r="BP109" s="538">
        <f t="shared" si="42"/>
        <v>100</v>
      </c>
      <c r="BQ109" s="535" t="s">
        <v>1979</v>
      </c>
      <c r="BR109" s="557">
        <v>8.8539999999999994E-2</v>
      </c>
      <c r="BS109" s="557">
        <v>8.8539999999999994E-2</v>
      </c>
      <c r="BT109" s="557">
        <v>1.719E-2</v>
      </c>
      <c r="BU109" s="557">
        <v>7.3859999999999995E-2</v>
      </c>
      <c r="BV109" s="557">
        <v>4.929E-2</v>
      </c>
      <c r="BW109" s="558" t="s">
        <v>2275</v>
      </c>
      <c r="BX109" s="535" t="s">
        <v>2276</v>
      </c>
      <c r="DH109" s="540" t="str">
        <f t="shared" si="62"/>
        <v>US-RFCE (RFC East)</v>
      </c>
      <c r="DI109" s="540" t="str">
        <f t="shared" si="63"/>
        <v>Americas</v>
      </c>
      <c r="DJ109" s="540" t="str">
        <f t="shared" si="64"/>
        <v>North America</v>
      </c>
      <c r="DL109" s="540" t="s">
        <v>35</v>
      </c>
      <c r="DN109" s="540" t="s">
        <v>2502</v>
      </c>
      <c r="DO109" s="540" t="s">
        <v>2503</v>
      </c>
    </row>
    <row r="110" spans="3:119" ht="25.5">
      <c r="C110" s="463" t="s">
        <v>4391</v>
      </c>
      <c r="D110" s="520"/>
      <c r="E110" s="732">
        <v>2292</v>
      </c>
      <c r="F110" s="521" t="s">
        <v>2079</v>
      </c>
      <c r="G110" s="522" t="s">
        <v>4368</v>
      </c>
      <c r="H110" s="521"/>
      <c r="I110" s="522"/>
      <c r="J110" s="521" t="s">
        <v>2569</v>
      </c>
      <c r="AW110" s="1394" t="s">
        <v>2222</v>
      </c>
      <c r="AX110" s="1396" t="s">
        <v>2086</v>
      </c>
      <c r="AY110" s="1397" t="s">
        <v>2151</v>
      </c>
      <c r="AZ110" s="1397">
        <v>415.51476596800001</v>
      </c>
      <c r="BA110" s="528" t="s">
        <v>4367</v>
      </c>
      <c r="BB110" s="536">
        <v>13.490630673342661</v>
      </c>
      <c r="BC110" s="535" t="s">
        <v>2223</v>
      </c>
      <c r="BD110" s="537"/>
      <c r="BE110" s="537"/>
      <c r="BF110" s="535"/>
      <c r="BG110" s="537"/>
      <c r="BH110" s="538">
        <f t="shared" si="54"/>
        <v>23.2</v>
      </c>
      <c r="BI110" s="538">
        <f t="shared" si="55"/>
        <v>3.9</v>
      </c>
      <c r="BJ110" s="538">
        <f t="shared" si="56"/>
        <v>33.9</v>
      </c>
      <c r="BK110" s="538">
        <f t="shared" si="57"/>
        <v>6.2</v>
      </c>
      <c r="BL110" s="538">
        <f t="shared" si="58"/>
        <v>9.5</v>
      </c>
      <c r="BM110" s="538">
        <f t="shared" si="59"/>
        <v>5.6</v>
      </c>
      <c r="BN110" s="538">
        <f t="shared" si="60"/>
        <v>8.5</v>
      </c>
      <c r="BO110" s="538">
        <f t="shared" si="61"/>
        <v>9.2000000000000028</v>
      </c>
      <c r="BP110" s="538">
        <f t="shared" si="42"/>
        <v>100</v>
      </c>
      <c r="BQ110" s="535" t="s">
        <v>1979</v>
      </c>
      <c r="BR110" s="557">
        <v>8.8539999999999994E-2</v>
      </c>
      <c r="BS110" s="557">
        <v>8.8539999999999994E-2</v>
      </c>
      <c r="BT110" s="557">
        <v>1.719E-2</v>
      </c>
      <c r="BU110" s="557">
        <v>7.3859999999999995E-2</v>
      </c>
      <c r="BV110" s="557">
        <v>4.929E-2</v>
      </c>
      <c r="BW110" s="558" t="s">
        <v>2275</v>
      </c>
      <c r="BX110" s="535" t="s">
        <v>2276</v>
      </c>
      <c r="DH110" s="540" t="str">
        <f t="shared" si="62"/>
        <v>US-RFCM (RFC Michigan)</v>
      </c>
      <c r="DI110" s="540" t="str">
        <f t="shared" si="63"/>
        <v>Americas</v>
      </c>
      <c r="DJ110" s="540" t="str">
        <f t="shared" si="64"/>
        <v>North America</v>
      </c>
      <c r="DL110" s="540" t="s">
        <v>35</v>
      </c>
      <c r="DN110" s="540" t="s">
        <v>2505</v>
      </c>
      <c r="DO110" s="540" t="s">
        <v>2506</v>
      </c>
    </row>
    <row r="111" spans="3:119" ht="25.5">
      <c r="C111" s="463" t="s">
        <v>4392</v>
      </c>
      <c r="D111" s="520"/>
      <c r="E111" s="732">
        <v>237</v>
      </c>
      <c r="F111" s="521" t="s">
        <v>2079</v>
      </c>
      <c r="G111" s="522" t="s">
        <v>4368</v>
      </c>
      <c r="H111" s="521"/>
      <c r="I111" s="522"/>
      <c r="J111" s="521"/>
      <c r="AW111" s="1394" t="s">
        <v>2226</v>
      </c>
      <c r="AX111" s="1395" t="s">
        <v>2086</v>
      </c>
      <c r="AY111" s="1397" t="s">
        <v>2151</v>
      </c>
      <c r="AZ111" s="1397">
        <v>472.88735008800001</v>
      </c>
      <c r="BA111" s="528" t="s">
        <v>4367</v>
      </c>
      <c r="BB111" s="536">
        <v>15.618667277425265</v>
      </c>
      <c r="BC111" s="535" t="s">
        <v>2218</v>
      </c>
      <c r="BD111" s="537"/>
      <c r="BE111" s="537"/>
      <c r="BF111" s="535"/>
      <c r="BG111" s="537"/>
      <c r="BH111" s="538">
        <f t="shared" si="54"/>
        <v>23.2</v>
      </c>
      <c r="BI111" s="538">
        <f t="shared" si="55"/>
        <v>3.9</v>
      </c>
      <c r="BJ111" s="538">
        <f t="shared" si="56"/>
        <v>33.9</v>
      </c>
      <c r="BK111" s="538">
        <f t="shared" si="57"/>
        <v>6.2</v>
      </c>
      <c r="BL111" s="538">
        <f t="shared" si="58"/>
        <v>9.5</v>
      </c>
      <c r="BM111" s="538">
        <f t="shared" si="59"/>
        <v>5.6</v>
      </c>
      <c r="BN111" s="538">
        <f t="shared" si="60"/>
        <v>8.5</v>
      </c>
      <c r="BO111" s="538">
        <f t="shared" si="61"/>
        <v>9.2000000000000028</v>
      </c>
      <c r="BP111" s="538">
        <f t="shared" si="42"/>
        <v>100</v>
      </c>
      <c r="BQ111" s="535" t="s">
        <v>1979</v>
      </c>
      <c r="BR111" s="557">
        <v>8.8539999999999994E-2</v>
      </c>
      <c r="BS111" s="557">
        <v>8.8539999999999994E-2</v>
      </c>
      <c r="BT111" s="557">
        <v>1.719E-2</v>
      </c>
      <c r="BU111" s="557">
        <v>7.3859999999999995E-2</v>
      </c>
      <c r="BV111" s="557">
        <v>4.929E-2</v>
      </c>
      <c r="BW111" s="558" t="s">
        <v>2275</v>
      </c>
      <c r="BX111" s="535" t="s">
        <v>2276</v>
      </c>
      <c r="DH111" s="540" t="str">
        <f t="shared" si="62"/>
        <v>US-RFCW (RFC West)</v>
      </c>
      <c r="DI111" s="540" t="str">
        <f t="shared" si="63"/>
        <v>Americas</v>
      </c>
      <c r="DJ111" s="540" t="str">
        <f t="shared" si="64"/>
        <v>North America</v>
      </c>
      <c r="DL111" s="540" t="s">
        <v>35</v>
      </c>
      <c r="DN111" s="540" t="s">
        <v>2509</v>
      </c>
      <c r="DO111" s="540" t="s">
        <v>2510</v>
      </c>
    </row>
    <row r="112" spans="3:119">
      <c r="C112" s="463" t="s">
        <v>4393</v>
      </c>
      <c r="D112" s="520"/>
      <c r="E112" s="732">
        <v>531</v>
      </c>
      <c r="F112" s="521" t="s">
        <v>2079</v>
      </c>
      <c r="G112" s="522" t="s">
        <v>4368</v>
      </c>
      <c r="H112" s="521"/>
      <c r="I112" s="522"/>
      <c r="J112" s="521" t="s">
        <v>2578</v>
      </c>
      <c r="AW112" s="1394" t="s">
        <v>2229</v>
      </c>
      <c r="AX112" s="1396" t="s">
        <v>2086</v>
      </c>
      <c r="AY112" s="1397" t="s">
        <v>2151</v>
      </c>
      <c r="AZ112" s="1397">
        <v>393.59992208</v>
      </c>
      <c r="BA112" s="528" t="s">
        <v>4367</v>
      </c>
      <c r="BB112" s="536">
        <v>60.116166505324301</v>
      </c>
      <c r="BC112" s="535" t="s">
        <v>2006</v>
      </c>
      <c r="BD112" s="537"/>
      <c r="BE112" s="537"/>
      <c r="BF112" s="535"/>
      <c r="BG112" s="537"/>
      <c r="BH112" s="538">
        <f t="shared" si="54"/>
        <v>23.2</v>
      </c>
      <c r="BI112" s="538">
        <f t="shared" si="55"/>
        <v>3.9</v>
      </c>
      <c r="BJ112" s="538">
        <f t="shared" si="56"/>
        <v>33.9</v>
      </c>
      <c r="BK112" s="538">
        <f t="shared" si="57"/>
        <v>6.2</v>
      </c>
      <c r="BL112" s="538">
        <f t="shared" si="58"/>
        <v>9.5</v>
      </c>
      <c r="BM112" s="538">
        <f t="shared" si="59"/>
        <v>5.6</v>
      </c>
      <c r="BN112" s="538">
        <f t="shared" si="60"/>
        <v>8.5</v>
      </c>
      <c r="BO112" s="538">
        <f t="shared" si="61"/>
        <v>9.2000000000000028</v>
      </c>
      <c r="BP112" s="538">
        <f t="shared" si="42"/>
        <v>100</v>
      </c>
      <c r="BQ112" s="535" t="s">
        <v>1979</v>
      </c>
      <c r="BR112" s="557">
        <v>8.8539999999999994E-2</v>
      </c>
      <c r="BS112" s="557">
        <v>8.8539999999999994E-2</v>
      </c>
      <c r="BT112" s="557">
        <v>1.719E-2</v>
      </c>
      <c r="BU112" s="557">
        <v>7.3859999999999995E-2</v>
      </c>
      <c r="BV112" s="557">
        <v>4.929E-2</v>
      </c>
      <c r="BW112" s="558" t="s">
        <v>2275</v>
      </c>
      <c r="BX112" s="535" t="s">
        <v>2276</v>
      </c>
      <c r="DH112" s="540" t="str">
        <f t="shared" si="62"/>
        <v>US-RMPA (WECC Rockies)</v>
      </c>
      <c r="DI112" s="540" t="str">
        <f t="shared" si="63"/>
        <v>Americas</v>
      </c>
      <c r="DJ112" s="540" t="str">
        <f t="shared" si="64"/>
        <v>North America</v>
      </c>
      <c r="DL112" s="540" t="s">
        <v>35</v>
      </c>
      <c r="DN112" s="540" t="s">
        <v>2512</v>
      </c>
      <c r="DO112" s="540" t="s">
        <v>2513</v>
      </c>
    </row>
    <row r="113" spans="3:119" ht="38.25">
      <c r="C113" s="463" t="s">
        <v>4394</v>
      </c>
      <c r="D113" s="520"/>
      <c r="E113" s="732">
        <v>166</v>
      </c>
      <c r="F113" s="521" t="s">
        <v>2079</v>
      </c>
      <c r="G113" s="522" t="s">
        <v>4368</v>
      </c>
      <c r="H113" s="521"/>
      <c r="I113" s="522"/>
      <c r="J113" s="521" t="s">
        <v>2583</v>
      </c>
      <c r="AW113" s="1394" t="s">
        <v>2233</v>
      </c>
      <c r="AX113" s="1395" t="s">
        <v>2086</v>
      </c>
      <c r="AY113" s="1397" t="s">
        <v>2151</v>
      </c>
      <c r="AZ113" s="1397">
        <v>397.15018666399999</v>
      </c>
      <c r="BA113" s="528" t="s">
        <v>4367</v>
      </c>
      <c r="BB113" s="536">
        <v>34.946504105498882</v>
      </c>
      <c r="BC113" s="535" t="s">
        <v>2006</v>
      </c>
      <c r="BD113" s="549">
        <v>0.1</v>
      </c>
      <c r="BE113" s="549">
        <v>0.1</v>
      </c>
      <c r="BF113" s="535" t="s">
        <v>2520</v>
      </c>
      <c r="BG113" s="537"/>
      <c r="BH113" s="538">
        <f t="shared" si="54"/>
        <v>23.2</v>
      </c>
      <c r="BI113" s="538">
        <f t="shared" si="55"/>
        <v>3.9</v>
      </c>
      <c r="BJ113" s="538">
        <f t="shared" si="56"/>
        <v>33.9</v>
      </c>
      <c r="BK113" s="538">
        <f t="shared" si="57"/>
        <v>6.2</v>
      </c>
      <c r="BL113" s="538">
        <f t="shared" si="58"/>
        <v>9.5</v>
      </c>
      <c r="BM113" s="538">
        <f t="shared" si="59"/>
        <v>5.6</v>
      </c>
      <c r="BN113" s="538">
        <f t="shared" si="60"/>
        <v>8.5</v>
      </c>
      <c r="BO113" s="538">
        <f t="shared" si="61"/>
        <v>9.2000000000000028</v>
      </c>
      <c r="BP113" s="538">
        <f t="shared" si="42"/>
        <v>100</v>
      </c>
      <c r="BQ113" s="535" t="s">
        <v>1979</v>
      </c>
      <c r="BR113" s="557">
        <v>8.8539999999999994E-2</v>
      </c>
      <c r="BS113" s="557">
        <v>8.8539999999999994E-2</v>
      </c>
      <c r="BT113" s="557">
        <v>1.719E-2</v>
      </c>
      <c r="BU113" s="557">
        <v>7.3859999999999995E-2</v>
      </c>
      <c r="BV113" s="557">
        <v>4.929E-2</v>
      </c>
      <c r="BW113" s="558" t="s">
        <v>2275</v>
      </c>
      <c r="BX113" s="535" t="s">
        <v>2276</v>
      </c>
      <c r="DH113" s="540" t="str">
        <f t="shared" si="62"/>
        <v>US-SPNO (SPP North)</v>
      </c>
      <c r="DI113" s="540" t="str">
        <f t="shared" si="63"/>
        <v>Americas</v>
      </c>
      <c r="DJ113" s="540" t="str">
        <f t="shared" si="64"/>
        <v>North America</v>
      </c>
      <c r="DL113" s="540" t="s">
        <v>35</v>
      </c>
      <c r="DN113" s="540" t="s">
        <v>2516</v>
      </c>
      <c r="DO113" s="540" t="s">
        <v>2517</v>
      </c>
    </row>
    <row r="114" spans="3:119" ht="12.75" customHeight="1">
      <c r="C114" s="463" t="s">
        <v>4395</v>
      </c>
      <c r="D114" s="520"/>
      <c r="E114" s="732">
        <v>169</v>
      </c>
      <c r="F114" s="521" t="s">
        <v>2079</v>
      </c>
      <c r="G114" s="522" t="s">
        <v>4368</v>
      </c>
      <c r="AW114" s="1394" t="s">
        <v>2236</v>
      </c>
      <c r="AX114" s="1396" t="s">
        <v>2086</v>
      </c>
      <c r="AY114" s="1397" t="s">
        <v>2151</v>
      </c>
      <c r="AZ114" s="1397">
        <v>336.44778367200001</v>
      </c>
      <c r="BA114" s="528" t="s">
        <v>4367</v>
      </c>
      <c r="BB114" s="536">
        <v>12.493422536270014</v>
      </c>
      <c r="BC114" s="535" t="s">
        <v>2006</v>
      </c>
      <c r="BD114" s="537"/>
      <c r="BE114" s="537"/>
      <c r="BF114" s="535"/>
      <c r="BG114" s="537"/>
      <c r="BH114" s="538">
        <f t="shared" si="54"/>
        <v>23.2</v>
      </c>
      <c r="BI114" s="538">
        <f t="shared" si="55"/>
        <v>3.9</v>
      </c>
      <c r="BJ114" s="538">
        <f t="shared" si="56"/>
        <v>33.9</v>
      </c>
      <c r="BK114" s="538">
        <f t="shared" si="57"/>
        <v>6.2</v>
      </c>
      <c r="BL114" s="538">
        <f t="shared" si="58"/>
        <v>9.5</v>
      </c>
      <c r="BM114" s="538">
        <f t="shared" si="59"/>
        <v>5.6</v>
      </c>
      <c r="BN114" s="538">
        <f t="shared" si="60"/>
        <v>8.5</v>
      </c>
      <c r="BO114" s="538">
        <f t="shared" si="61"/>
        <v>9.2000000000000028</v>
      </c>
      <c r="BP114" s="538">
        <f t="shared" si="42"/>
        <v>100</v>
      </c>
      <c r="BQ114" s="535" t="s">
        <v>1979</v>
      </c>
      <c r="BR114" s="557">
        <v>8.8539999999999994E-2</v>
      </c>
      <c r="BS114" s="557">
        <v>8.8539999999999994E-2</v>
      </c>
      <c r="BT114" s="557">
        <v>1.719E-2</v>
      </c>
      <c r="BU114" s="557">
        <v>7.3859999999999995E-2</v>
      </c>
      <c r="BV114" s="557">
        <v>4.929E-2</v>
      </c>
      <c r="BW114" s="558" t="s">
        <v>2275</v>
      </c>
      <c r="BX114" s="535" t="s">
        <v>2276</v>
      </c>
      <c r="DH114" s="540" t="str">
        <f t="shared" si="62"/>
        <v>US-SPSO (SPP South)</v>
      </c>
      <c r="DI114" s="540" t="str">
        <f t="shared" si="63"/>
        <v>Americas</v>
      </c>
      <c r="DJ114" s="540" t="str">
        <f t="shared" si="64"/>
        <v>North America</v>
      </c>
      <c r="DL114" s="540" t="s">
        <v>35</v>
      </c>
      <c r="DN114" s="540" t="s">
        <v>2521</v>
      </c>
      <c r="DO114" s="540" t="s">
        <v>2522</v>
      </c>
    </row>
    <row r="115" spans="3:119" ht="12.75" customHeight="1">
      <c r="C115" s="463" t="s">
        <v>2523</v>
      </c>
      <c r="D115" s="520"/>
      <c r="E115" s="732">
        <v>9000</v>
      </c>
      <c r="F115" s="521" t="s">
        <v>2079</v>
      </c>
      <c r="G115" s="522" t="s">
        <v>4368</v>
      </c>
      <c r="AW115" s="1394" t="s">
        <v>2239</v>
      </c>
      <c r="AX115" s="1396" t="s">
        <v>2086</v>
      </c>
      <c r="AY115" s="1397" t="s">
        <v>2151</v>
      </c>
      <c r="AZ115" s="1397">
        <v>566.34680654400006</v>
      </c>
      <c r="BA115" s="528" t="s">
        <v>4367</v>
      </c>
      <c r="BB115" s="536">
        <v>12.353701687534024</v>
      </c>
      <c r="BC115" s="535" t="s">
        <v>2006</v>
      </c>
      <c r="BD115" s="549">
        <v>5.7500000000000002E-2</v>
      </c>
      <c r="BE115" s="549">
        <v>5.7500000000000002E-2</v>
      </c>
      <c r="BF115" s="535" t="s">
        <v>2179</v>
      </c>
      <c r="BG115" s="537"/>
      <c r="BH115" s="538">
        <f t="shared" si="54"/>
        <v>23.2</v>
      </c>
      <c r="BI115" s="538">
        <f t="shared" si="55"/>
        <v>3.9</v>
      </c>
      <c r="BJ115" s="538">
        <f t="shared" si="56"/>
        <v>33.9</v>
      </c>
      <c r="BK115" s="538">
        <f t="shared" si="57"/>
        <v>6.2</v>
      </c>
      <c r="BL115" s="538">
        <f t="shared" si="58"/>
        <v>9.5</v>
      </c>
      <c r="BM115" s="538">
        <f t="shared" si="59"/>
        <v>5.6</v>
      </c>
      <c r="BN115" s="538">
        <f t="shared" si="60"/>
        <v>8.5</v>
      </c>
      <c r="BO115" s="538">
        <f t="shared" si="61"/>
        <v>9.2000000000000028</v>
      </c>
      <c r="BP115" s="538">
        <f t="shared" si="42"/>
        <v>100</v>
      </c>
      <c r="BQ115" s="535" t="s">
        <v>1979</v>
      </c>
      <c r="BR115" s="557">
        <v>8.8539999999999994E-2</v>
      </c>
      <c r="BS115" s="557">
        <v>8.8539999999999994E-2</v>
      </c>
      <c r="BT115" s="557">
        <v>1.719E-2</v>
      </c>
      <c r="BU115" s="557">
        <v>7.3859999999999995E-2</v>
      </c>
      <c r="BV115" s="557">
        <v>4.929E-2</v>
      </c>
      <c r="BW115" s="558" t="s">
        <v>2275</v>
      </c>
      <c r="BX115" s="535" t="s">
        <v>2276</v>
      </c>
      <c r="DH115" s="540" t="str">
        <f t="shared" si="62"/>
        <v>US-SRMV (SERC Mississippi Valley)</v>
      </c>
      <c r="DI115" s="540" t="str">
        <f t="shared" si="63"/>
        <v>Americas</v>
      </c>
      <c r="DJ115" s="540" t="str">
        <f t="shared" si="64"/>
        <v>North America</v>
      </c>
      <c r="DL115" s="540" t="s">
        <v>35</v>
      </c>
      <c r="DN115" s="540" t="s">
        <v>2525</v>
      </c>
      <c r="DO115" s="540" t="s">
        <v>2526</v>
      </c>
    </row>
    <row r="116" spans="3:119">
      <c r="C116" s="463" t="s">
        <v>2533</v>
      </c>
      <c r="D116" s="520"/>
      <c r="E116" s="732">
        <v>14000</v>
      </c>
      <c r="F116" s="521" t="s">
        <v>2079</v>
      </c>
      <c r="G116" s="522" t="s">
        <v>4368</v>
      </c>
      <c r="AW116" s="1394" t="s">
        <v>2242</v>
      </c>
      <c r="AX116" s="1395" t="s">
        <v>2086</v>
      </c>
      <c r="AY116" s="1397" t="s">
        <v>2151</v>
      </c>
      <c r="AZ116" s="1397">
        <v>383.74200714399996</v>
      </c>
      <c r="BA116" s="528" t="s">
        <v>4367</v>
      </c>
      <c r="BB116" s="536">
        <v>2.7478894222810792</v>
      </c>
      <c r="BC116" s="535" t="s">
        <v>2006</v>
      </c>
      <c r="BD116" s="537"/>
      <c r="BE116" s="537"/>
      <c r="BF116" s="535"/>
      <c r="BG116" s="537"/>
      <c r="BH116" s="538">
        <f t="shared" si="54"/>
        <v>23.2</v>
      </c>
      <c r="BI116" s="538">
        <f t="shared" si="55"/>
        <v>3.9</v>
      </c>
      <c r="BJ116" s="538">
        <f t="shared" si="56"/>
        <v>33.9</v>
      </c>
      <c r="BK116" s="538">
        <f t="shared" si="57"/>
        <v>6.2</v>
      </c>
      <c r="BL116" s="538">
        <f t="shared" si="58"/>
        <v>9.5</v>
      </c>
      <c r="BM116" s="538">
        <f t="shared" si="59"/>
        <v>5.6</v>
      </c>
      <c r="BN116" s="538">
        <f t="shared" si="60"/>
        <v>8.5</v>
      </c>
      <c r="BO116" s="538">
        <f t="shared" si="61"/>
        <v>9.2000000000000028</v>
      </c>
      <c r="BP116" s="538">
        <f t="shared" si="42"/>
        <v>100</v>
      </c>
      <c r="BQ116" s="535" t="s">
        <v>1979</v>
      </c>
      <c r="BR116" s="557">
        <v>8.8539999999999994E-2</v>
      </c>
      <c r="BS116" s="557">
        <v>8.8539999999999994E-2</v>
      </c>
      <c r="BT116" s="557">
        <v>1.719E-2</v>
      </c>
      <c r="BU116" s="557">
        <v>7.3859999999999995E-2</v>
      </c>
      <c r="BV116" s="557">
        <v>4.929E-2</v>
      </c>
      <c r="BW116" s="558" t="s">
        <v>2275</v>
      </c>
      <c r="BX116" s="535" t="s">
        <v>2276</v>
      </c>
      <c r="DH116" s="540" t="str">
        <f t="shared" si="62"/>
        <v>US-SRMW (SERC Midwest)</v>
      </c>
      <c r="DI116" s="540" t="str">
        <f t="shared" si="63"/>
        <v>Americas</v>
      </c>
      <c r="DJ116" s="540" t="str">
        <f t="shared" si="64"/>
        <v>North America</v>
      </c>
      <c r="DK116" s="540" t="e">
        <f>VLOOKUP(DH116,#REF!,1)</f>
        <v>#REF!</v>
      </c>
      <c r="DL116" s="540" t="e">
        <f>VLOOKUP(DK116,#REF!,2,FALSE)</f>
        <v>#REF!</v>
      </c>
      <c r="DN116" s="540" t="s">
        <v>2528</v>
      </c>
      <c r="DO116" s="540" t="s">
        <v>2529</v>
      </c>
    </row>
    <row r="117" spans="3:119">
      <c r="C117" s="463" t="s">
        <v>2537</v>
      </c>
      <c r="D117" s="520"/>
      <c r="E117" s="732">
        <v>372</v>
      </c>
      <c r="F117" s="521" t="s">
        <v>2079</v>
      </c>
      <c r="G117" s="522" t="s">
        <v>4368</v>
      </c>
      <c r="AW117" s="1394" t="s">
        <v>2246</v>
      </c>
      <c r="AX117" s="1395" t="s">
        <v>2086</v>
      </c>
      <c r="AY117" s="1397" t="s">
        <v>2151</v>
      </c>
      <c r="AZ117" s="1397">
        <v>409.73237515200003</v>
      </c>
      <c r="BA117" s="528" t="s">
        <v>4367</v>
      </c>
      <c r="BB117" s="552">
        <v>19.330407318027152</v>
      </c>
      <c r="BC117" s="535" t="s">
        <v>2006</v>
      </c>
      <c r="BD117" s="549">
        <v>1.4E-2</v>
      </c>
      <c r="BE117" s="549">
        <v>1E-3</v>
      </c>
      <c r="BF117" s="535" t="s">
        <v>2345</v>
      </c>
      <c r="BG117" s="537"/>
      <c r="BH117" s="538">
        <f t="shared" si="54"/>
        <v>23.2</v>
      </c>
      <c r="BI117" s="538">
        <f t="shared" si="55"/>
        <v>3.9</v>
      </c>
      <c r="BJ117" s="538">
        <f t="shared" si="56"/>
        <v>33.9</v>
      </c>
      <c r="BK117" s="538">
        <f t="shared" si="57"/>
        <v>6.2</v>
      </c>
      <c r="BL117" s="538">
        <f t="shared" si="58"/>
        <v>9.5</v>
      </c>
      <c r="BM117" s="538">
        <f t="shared" si="59"/>
        <v>5.6</v>
      </c>
      <c r="BN117" s="538">
        <f t="shared" si="60"/>
        <v>8.5</v>
      </c>
      <c r="BO117" s="538">
        <f t="shared" si="61"/>
        <v>9.2000000000000028</v>
      </c>
      <c r="BP117" s="538">
        <f t="shared" si="42"/>
        <v>100</v>
      </c>
      <c r="BQ117" s="535" t="s">
        <v>1979</v>
      </c>
      <c r="BR117" s="557">
        <v>8.8539999999999994E-2</v>
      </c>
      <c r="BS117" s="557">
        <v>8.8539999999999994E-2</v>
      </c>
      <c r="BT117" s="557">
        <v>1.719E-2</v>
      </c>
      <c r="BU117" s="557">
        <v>7.3859999999999995E-2</v>
      </c>
      <c r="BV117" s="557">
        <v>4.929E-2</v>
      </c>
      <c r="BW117" s="558" t="s">
        <v>2275</v>
      </c>
      <c r="BX117" s="535" t="s">
        <v>2276</v>
      </c>
      <c r="DH117" s="540" t="str">
        <f t="shared" si="62"/>
        <v>US-SRSO (SERC South)</v>
      </c>
      <c r="DI117" s="540" t="str">
        <f t="shared" si="63"/>
        <v>Americas</v>
      </c>
      <c r="DJ117" s="540" t="str">
        <f t="shared" si="64"/>
        <v>North America</v>
      </c>
      <c r="DL117" s="540" t="s">
        <v>35</v>
      </c>
      <c r="DN117" s="540" t="s">
        <v>2531</v>
      </c>
      <c r="DO117" s="540" t="s">
        <v>2532</v>
      </c>
    </row>
    <row r="118" spans="3:119">
      <c r="C118" s="463" t="s">
        <v>2547</v>
      </c>
      <c r="D118" s="520"/>
      <c r="E118" s="732">
        <v>4775</v>
      </c>
      <c r="F118" s="521" t="s">
        <v>2079</v>
      </c>
      <c r="G118" s="522" t="s">
        <v>4368</v>
      </c>
      <c r="AW118" s="1394" t="s">
        <v>2250</v>
      </c>
      <c r="AX118" s="1396" t="s">
        <v>2086</v>
      </c>
      <c r="AY118" s="1397" t="s">
        <v>2151</v>
      </c>
      <c r="AZ118" s="1397">
        <v>270.48870299200001</v>
      </c>
      <c r="BA118" s="528" t="s">
        <v>4367</v>
      </c>
      <c r="BB118" s="536">
        <v>9.4011655461742354</v>
      </c>
      <c r="BC118" s="535" t="s">
        <v>2006</v>
      </c>
      <c r="BD118" s="549">
        <v>0.2</v>
      </c>
      <c r="BE118" s="549">
        <v>0</v>
      </c>
      <c r="BF118" s="535" t="s">
        <v>2179</v>
      </c>
      <c r="BG118" s="537"/>
      <c r="BH118" s="538">
        <f t="shared" si="54"/>
        <v>23.2</v>
      </c>
      <c r="BI118" s="538">
        <f t="shared" si="55"/>
        <v>3.9</v>
      </c>
      <c r="BJ118" s="538">
        <f t="shared" si="56"/>
        <v>33.9</v>
      </c>
      <c r="BK118" s="538">
        <f t="shared" si="57"/>
        <v>6.2</v>
      </c>
      <c r="BL118" s="538">
        <f t="shared" si="58"/>
        <v>9.5</v>
      </c>
      <c r="BM118" s="538">
        <f t="shared" si="59"/>
        <v>5.6</v>
      </c>
      <c r="BN118" s="538">
        <f t="shared" si="60"/>
        <v>8.5</v>
      </c>
      <c r="BO118" s="538">
        <f t="shared" si="61"/>
        <v>9.2000000000000028</v>
      </c>
      <c r="BP118" s="538">
        <f t="shared" si="42"/>
        <v>100</v>
      </c>
      <c r="BQ118" s="535" t="s">
        <v>1979</v>
      </c>
      <c r="BR118" s="557">
        <v>8.8539999999999994E-2</v>
      </c>
      <c r="BS118" s="557">
        <v>8.8539999999999994E-2</v>
      </c>
      <c r="BT118" s="557">
        <v>1.719E-2</v>
      </c>
      <c r="BU118" s="557">
        <v>7.3859999999999995E-2</v>
      </c>
      <c r="BV118" s="557">
        <v>4.929E-2</v>
      </c>
      <c r="BW118" s="558" t="s">
        <v>2275</v>
      </c>
      <c r="BX118" s="535" t="s">
        <v>2276</v>
      </c>
      <c r="DH118" s="540" t="str">
        <f t="shared" si="62"/>
        <v>US-SRTV (SERC Tennessee Valley)</v>
      </c>
      <c r="DI118" s="540" t="str">
        <f t="shared" si="63"/>
        <v>Americas</v>
      </c>
      <c r="DJ118" s="540" t="str">
        <f t="shared" si="64"/>
        <v>North America</v>
      </c>
      <c r="DK118" s="540" t="e">
        <f>VLOOKUP(DH118,#REF!,1)</f>
        <v>#REF!</v>
      </c>
      <c r="DL118" s="540" t="e">
        <f>VLOOKUP(DK118,#REF!,2,FALSE)</f>
        <v>#REF!</v>
      </c>
      <c r="DN118" s="540" t="s">
        <v>2535</v>
      </c>
      <c r="DO118" s="540" t="s">
        <v>2536</v>
      </c>
    </row>
    <row r="119" spans="3:119">
      <c r="C119" s="463" t="s">
        <v>2556</v>
      </c>
      <c r="D119" s="520"/>
      <c r="E119" s="732">
        <v>5202</v>
      </c>
      <c r="F119" s="521" t="s">
        <v>2079</v>
      </c>
      <c r="G119" s="522" t="s">
        <v>4368</v>
      </c>
      <c r="AW119" s="1394" t="s">
        <v>4403</v>
      </c>
      <c r="AX119" s="1396" t="s">
        <v>2086</v>
      </c>
      <c r="AY119" s="1397" t="s">
        <v>2151</v>
      </c>
      <c r="AZ119" s="1397">
        <v>702.40081975999999</v>
      </c>
      <c r="BA119" s="528" t="s">
        <v>4367</v>
      </c>
      <c r="BB119" s="536">
        <v>12.603374252118465</v>
      </c>
      <c r="BC119" s="535" t="s">
        <v>2006</v>
      </c>
      <c r="BD119" s="537"/>
      <c r="BE119" s="537"/>
      <c r="BF119" s="535"/>
      <c r="BG119" s="537"/>
      <c r="BH119" s="538">
        <f t="shared" si="54"/>
        <v>23.2</v>
      </c>
      <c r="BI119" s="538">
        <f t="shared" si="55"/>
        <v>3.9</v>
      </c>
      <c r="BJ119" s="538">
        <f t="shared" si="56"/>
        <v>33.9</v>
      </c>
      <c r="BK119" s="538">
        <f t="shared" si="57"/>
        <v>6.2</v>
      </c>
      <c r="BL119" s="538">
        <f t="shared" si="58"/>
        <v>9.5</v>
      </c>
      <c r="BM119" s="538">
        <f t="shared" si="59"/>
        <v>5.6</v>
      </c>
      <c r="BN119" s="538">
        <f t="shared" si="60"/>
        <v>8.5</v>
      </c>
      <c r="BO119" s="538">
        <f t="shared" si="61"/>
        <v>9.2000000000000028</v>
      </c>
      <c r="BP119" s="538">
        <f t="shared" si="42"/>
        <v>100</v>
      </c>
      <c r="BQ119" s="535" t="s">
        <v>1979</v>
      </c>
      <c r="BR119" s="557">
        <v>8.8539999999999994E-2</v>
      </c>
      <c r="BS119" s="557">
        <v>8.8539999999999994E-2</v>
      </c>
      <c r="BT119" s="557">
        <v>1.719E-2</v>
      </c>
      <c r="BU119" s="557">
        <v>7.3859999999999995E-2</v>
      </c>
      <c r="BV119" s="557">
        <v>4.929E-2</v>
      </c>
      <c r="BW119" s="558" t="s">
        <v>2275</v>
      </c>
      <c r="BX119" s="535" t="s">
        <v>2276</v>
      </c>
      <c r="DH119" s="540" t="str">
        <f t="shared" si="62"/>
        <v>US-SRVC (SERC Virginia/Carolina)</v>
      </c>
      <c r="DI119" s="540" t="str">
        <f t="shared" si="63"/>
        <v>Americas</v>
      </c>
      <c r="DJ119" s="540" t="str">
        <f t="shared" si="64"/>
        <v>North America</v>
      </c>
      <c r="DK119" s="540" t="e">
        <f>VLOOKUP(DH119,#REF!,1)</f>
        <v>#REF!</v>
      </c>
      <c r="DL119" s="540" t="e">
        <f>VLOOKUP(DK119,#REF!,2,FALSE)</f>
        <v>#REF!</v>
      </c>
      <c r="DN119" s="540" t="s">
        <v>2539</v>
      </c>
      <c r="DO119" s="540" t="s">
        <v>2540</v>
      </c>
    </row>
    <row r="120" spans="3:119">
      <c r="C120" s="463" t="s">
        <v>2565</v>
      </c>
      <c r="D120" s="520"/>
      <c r="E120" s="732">
        <v>232</v>
      </c>
      <c r="F120" s="521" t="s">
        <v>2079</v>
      </c>
      <c r="G120" s="522" t="s">
        <v>4368</v>
      </c>
      <c r="AW120" s="1396" t="s">
        <v>2483</v>
      </c>
      <c r="AX120" s="1395" t="s">
        <v>2005</v>
      </c>
      <c r="AY120" s="1397" t="s">
        <v>2116</v>
      </c>
      <c r="AZ120" s="1396">
        <v>367</v>
      </c>
      <c r="BA120" s="528" t="s">
        <v>1977</v>
      </c>
      <c r="BB120" s="536">
        <v>50.631566521071889</v>
      </c>
      <c r="BC120" s="535" t="s">
        <v>2006</v>
      </c>
      <c r="BD120" s="537"/>
      <c r="BE120" s="537"/>
      <c r="BF120" s="535"/>
      <c r="BG120" s="537"/>
      <c r="BH120" s="538">
        <f t="shared" si="54"/>
        <v>21.8</v>
      </c>
      <c r="BI120" s="538">
        <f t="shared" si="55"/>
        <v>4.7</v>
      </c>
      <c r="BJ120" s="538">
        <f t="shared" si="56"/>
        <v>30.1</v>
      </c>
      <c r="BK120" s="538">
        <f t="shared" si="57"/>
        <v>7.5</v>
      </c>
      <c r="BL120" s="538">
        <f t="shared" si="58"/>
        <v>9.5</v>
      </c>
      <c r="BM120" s="538">
        <f t="shared" si="59"/>
        <v>5.6</v>
      </c>
      <c r="BN120" s="538">
        <f t="shared" si="60"/>
        <v>6.2</v>
      </c>
      <c r="BO120" s="538">
        <f t="shared" si="61"/>
        <v>14.600000000000009</v>
      </c>
      <c r="BP120" s="538">
        <f t="shared" si="42"/>
        <v>100</v>
      </c>
      <c r="BQ120" s="535" t="s">
        <v>1979</v>
      </c>
      <c r="BR120" s="557">
        <v>8.8539999999999994E-2</v>
      </c>
      <c r="BS120" s="557">
        <v>8.8539999999999994E-2</v>
      </c>
      <c r="BT120" s="557">
        <v>1.719E-2</v>
      </c>
      <c r="BU120" s="557">
        <v>7.3859999999999995E-2</v>
      </c>
      <c r="BV120" s="557">
        <v>4.929E-2</v>
      </c>
      <c r="BW120" s="558" t="s">
        <v>2275</v>
      </c>
      <c r="BX120" s="535" t="s">
        <v>2276</v>
      </c>
      <c r="DH120" s="540" t="str">
        <f t="shared" si="62"/>
        <v>US-PRMS (Puerto Rico Miscellaneous)</v>
      </c>
      <c r="DI120" s="540" t="str">
        <f t="shared" si="63"/>
        <v>Americas</v>
      </c>
      <c r="DJ120" s="540" t="str">
        <f t="shared" si="64"/>
        <v>North America</v>
      </c>
      <c r="DL120" s="540" t="s">
        <v>35</v>
      </c>
      <c r="DN120" s="540" t="s">
        <v>2542</v>
      </c>
      <c r="DO120" s="540" t="s">
        <v>2543</v>
      </c>
    </row>
    <row r="121" spans="3:119">
      <c r="C121" s="463" t="s">
        <v>4396</v>
      </c>
      <c r="D121" s="520"/>
      <c r="E121" s="732">
        <v>673</v>
      </c>
      <c r="F121" s="521" t="s">
        <v>2079</v>
      </c>
      <c r="G121" s="522" t="s">
        <v>4368</v>
      </c>
      <c r="AW121" s="1396" t="s">
        <v>46</v>
      </c>
      <c r="AX121" s="1396" t="s">
        <v>2032</v>
      </c>
      <c r="AY121" s="1397" t="s">
        <v>2088</v>
      </c>
      <c r="AZ121" s="1396">
        <v>411</v>
      </c>
      <c r="BA121" s="528" t="s">
        <v>1977</v>
      </c>
      <c r="BB121" s="536">
        <v>7.9200247985120891</v>
      </c>
      <c r="BC121" s="535" t="s">
        <v>2006</v>
      </c>
      <c r="BD121" s="537"/>
      <c r="BE121" s="537"/>
      <c r="BF121" s="535"/>
      <c r="BG121" s="537"/>
      <c r="BH121" s="538">
        <f t="shared" si="54"/>
        <v>16.5</v>
      </c>
      <c r="BI121" s="538">
        <f t="shared" si="55"/>
        <v>2.5</v>
      </c>
      <c r="BJ121" s="538">
        <f t="shared" si="56"/>
        <v>51.1</v>
      </c>
      <c r="BK121" s="538">
        <f t="shared" si="57"/>
        <v>2</v>
      </c>
      <c r="BL121" s="538">
        <f t="shared" si="58"/>
        <v>9.5</v>
      </c>
      <c r="BM121" s="538">
        <f t="shared" si="59"/>
        <v>5.6</v>
      </c>
      <c r="BN121" s="538">
        <f t="shared" si="60"/>
        <v>4.5</v>
      </c>
      <c r="BO121" s="538">
        <f t="shared" si="61"/>
        <v>8.3000000000000114</v>
      </c>
      <c r="BP121" s="538">
        <f t="shared" si="42"/>
        <v>100</v>
      </c>
      <c r="BQ121" s="535" t="s">
        <v>1979</v>
      </c>
      <c r="BR121" s="557">
        <v>8.8539999999999994E-2</v>
      </c>
      <c r="BS121" s="557">
        <v>8.8539999999999994E-2</v>
      </c>
      <c r="BT121" s="557">
        <v>1.719E-2</v>
      </c>
      <c r="BU121" s="557">
        <v>7.3859999999999995E-2</v>
      </c>
      <c r="BV121" s="557">
        <v>4.929E-2</v>
      </c>
      <c r="BW121" s="558" t="s">
        <v>2275</v>
      </c>
      <c r="BX121" s="535" t="s">
        <v>2276</v>
      </c>
      <c r="DH121" s="540" t="str">
        <f t="shared" si="62"/>
        <v>Greenland</v>
      </c>
      <c r="DI121" s="540" t="str">
        <f t="shared" si="63"/>
        <v>Europe</v>
      </c>
      <c r="DJ121" s="540" t="str">
        <f t="shared" si="64"/>
        <v>Eastern Europe</v>
      </c>
      <c r="DL121" s="540" t="s">
        <v>35</v>
      </c>
      <c r="DN121" s="540" t="s">
        <v>2545</v>
      </c>
      <c r="DO121" s="540" t="s">
        <v>2546</v>
      </c>
    </row>
    <row r="122" spans="3:119" ht="25.5">
      <c r="C122" s="463" t="s">
        <v>4397</v>
      </c>
      <c r="D122" s="520"/>
      <c r="E122" s="732">
        <v>316</v>
      </c>
      <c r="F122" s="521" t="s">
        <v>2079</v>
      </c>
      <c r="G122" s="522" t="s">
        <v>4368</v>
      </c>
      <c r="AW122" s="1396" t="s">
        <v>2616</v>
      </c>
      <c r="AX122" s="1396" t="s">
        <v>2032</v>
      </c>
      <c r="AY122" s="1397" t="s">
        <v>2088</v>
      </c>
      <c r="AZ122" s="1396">
        <v>538</v>
      </c>
      <c r="BA122" s="528" t="s">
        <v>1977</v>
      </c>
      <c r="BB122" s="536">
        <v>6.2171813834411278</v>
      </c>
      <c r="BC122" s="535" t="s">
        <v>2062</v>
      </c>
      <c r="BD122" s="537"/>
      <c r="BE122" s="537"/>
      <c r="BF122" s="535"/>
      <c r="BG122" s="537"/>
      <c r="BH122" s="538">
        <f t="shared" si="54"/>
        <v>16.5</v>
      </c>
      <c r="BI122" s="538">
        <f t="shared" si="55"/>
        <v>2.5</v>
      </c>
      <c r="BJ122" s="538">
        <f t="shared" si="56"/>
        <v>51.1</v>
      </c>
      <c r="BK122" s="538">
        <f t="shared" si="57"/>
        <v>2</v>
      </c>
      <c r="BL122" s="538">
        <f t="shared" si="58"/>
        <v>9.5</v>
      </c>
      <c r="BM122" s="538">
        <f t="shared" si="59"/>
        <v>5.6</v>
      </c>
      <c r="BN122" s="538">
        <f t="shared" si="60"/>
        <v>4.5</v>
      </c>
      <c r="BO122" s="538">
        <f t="shared" si="61"/>
        <v>8.3000000000000114</v>
      </c>
      <c r="BP122" s="538">
        <f t="shared" si="42"/>
        <v>100</v>
      </c>
      <c r="BQ122" s="535" t="s">
        <v>1979</v>
      </c>
      <c r="BR122" s="557">
        <v>8.8539999999999994E-2</v>
      </c>
      <c r="BS122" s="557">
        <v>8.8539999999999994E-2</v>
      </c>
      <c r="BT122" s="557">
        <v>1.719E-2</v>
      </c>
      <c r="BU122" s="557">
        <v>7.3859999999999995E-2</v>
      </c>
      <c r="BV122" s="557">
        <v>4.929E-2</v>
      </c>
      <c r="BW122" s="558" t="s">
        <v>2275</v>
      </c>
      <c r="BX122" s="535" t="s">
        <v>2276</v>
      </c>
      <c r="DH122" s="540" t="str">
        <f t="shared" si="62"/>
        <v>Egypt</v>
      </c>
      <c r="DI122" s="540" t="str">
        <f t="shared" si="63"/>
        <v>Africa</v>
      </c>
      <c r="DJ122" s="540" t="str">
        <f t="shared" si="64"/>
        <v>Northern Africa</v>
      </c>
      <c r="DK122" s="540" t="e">
        <f>VLOOKUP(DH122,#REF!,1)</f>
        <v>#REF!</v>
      </c>
      <c r="DL122" s="540" t="e">
        <f>VLOOKUP(DK122,#REF!,2,FALSE)</f>
        <v>#REF!</v>
      </c>
      <c r="DN122" s="540" t="s">
        <v>2549</v>
      </c>
      <c r="DO122" s="540" t="s">
        <v>2550</v>
      </c>
    </row>
    <row r="123" spans="3:119">
      <c r="C123" s="463" t="s">
        <v>2568</v>
      </c>
      <c r="D123" s="520"/>
      <c r="E123" s="732">
        <v>0.01</v>
      </c>
      <c r="F123" s="521" t="s">
        <v>2079</v>
      </c>
      <c r="G123" s="522" t="s">
        <v>4368</v>
      </c>
      <c r="AW123" s="1396" t="s">
        <v>2679</v>
      </c>
      <c r="AX123" s="1396" t="s">
        <v>2032</v>
      </c>
      <c r="AY123" s="1397" t="s">
        <v>2088</v>
      </c>
      <c r="AZ123" s="1396">
        <v>551</v>
      </c>
      <c r="BA123" s="528" t="s">
        <v>1977</v>
      </c>
      <c r="BB123" s="536">
        <v>2.8579415585483368</v>
      </c>
      <c r="BC123" s="535" t="s">
        <v>2006</v>
      </c>
      <c r="BD123" s="537"/>
      <c r="BE123" s="537"/>
      <c r="BF123" s="535"/>
      <c r="BG123" s="537"/>
      <c r="BH123" s="538">
        <f t="shared" si="54"/>
        <v>16.5</v>
      </c>
      <c r="BI123" s="538">
        <f t="shared" si="55"/>
        <v>2.5</v>
      </c>
      <c r="BJ123" s="538">
        <f t="shared" si="56"/>
        <v>51.1</v>
      </c>
      <c r="BK123" s="538">
        <f t="shared" si="57"/>
        <v>2</v>
      </c>
      <c r="BL123" s="538">
        <f t="shared" si="58"/>
        <v>9.5</v>
      </c>
      <c r="BM123" s="538">
        <f t="shared" si="59"/>
        <v>5.6</v>
      </c>
      <c r="BN123" s="538">
        <f t="shared" si="60"/>
        <v>4.5</v>
      </c>
      <c r="BO123" s="538">
        <f t="shared" si="61"/>
        <v>8.3000000000000114</v>
      </c>
      <c r="BP123" s="538">
        <f t="shared" si="42"/>
        <v>100</v>
      </c>
      <c r="BQ123" s="535" t="s">
        <v>1979</v>
      </c>
      <c r="BR123" s="557">
        <v>8.8539999999999994E-2</v>
      </c>
      <c r="BS123" s="557">
        <v>8.8539999999999994E-2</v>
      </c>
      <c r="BT123" s="557">
        <v>1.719E-2</v>
      </c>
      <c r="BU123" s="557">
        <v>7.3859999999999995E-2</v>
      </c>
      <c r="BV123" s="557">
        <v>4.929E-2</v>
      </c>
      <c r="BW123" s="558" t="s">
        <v>2275</v>
      </c>
      <c r="BX123" s="535" t="s">
        <v>2276</v>
      </c>
      <c r="DH123" s="540" t="str">
        <f t="shared" si="62"/>
        <v>Libya</v>
      </c>
      <c r="DI123" s="540" t="str">
        <f t="shared" si="63"/>
        <v>Africa</v>
      </c>
      <c r="DJ123" s="540" t="str">
        <f t="shared" si="64"/>
        <v>Northern Africa</v>
      </c>
      <c r="DL123" s="540" t="s">
        <v>35</v>
      </c>
      <c r="DN123" s="540" t="s">
        <v>2552</v>
      </c>
      <c r="DO123" s="540" t="s">
        <v>2553</v>
      </c>
    </row>
    <row r="124" spans="3:119">
      <c r="C124" s="463" t="s">
        <v>2573</v>
      </c>
      <c r="D124" s="520"/>
      <c r="E124" s="732">
        <v>0.01</v>
      </c>
      <c r="F124" s="521" t="s">
        <v>2079</v>
      </c>
      <c r="G124" s="522" t="s">
        <v>4368</v>
      </c>
      <c r="AW124" s="1396" t="s">
        <v>2742</v>
      </c>
      <c r="AX124" s="1396" t="s">
        <v>2032</v>
      </c>
      <c r="AY124" s="1397" t="s">
        <v>2088</v>
      </c>
      <c r="AZ124" s="1396">
        <v>404</v>
      </c>
      <c r="BA124" s="528" t="s">
        <v>1977</v>
      </c>
      <c r="BB124" s="536">
        <v>6.9938442951861814</v>
      </c>
      <c r="BC124" s="535" t="s">
        <v>2006</v>
      </c>
      <c r="BD124" s="549">
        <v>0.08</v>
      </c>
      <c r="BE124" s="549">
        <v>0.08</v>
      </c>
      <c r="BF124" s="535" t="s">
        <v>2179</v>
      </c>
      <c r="BG124" s="537"/>
      <c r="BH124" s="538">
        <f t="shared" si="54"/>
        <v>16.5</v>
      </c>
      <c r="BI124" s="538">
        <f t="shared" si="55"/>
        <v>2.5</v>
      </c>
      <c r="BJ124" s="538">
        <f t="shared" si="56"/>
        <v>51.1</v>
      </c>
      <c r="BK124" s="538">
        <f t="shared" si="57"/>
        <v>2</v>
      </c>
      <c r="BL124" s="538">
        <f t="shared" si="58"/>
        <v>9.5</v>
      </c>
      <c r="BM124" s="538">
        <f t="shared" si="59"/>
        <v>5.6</v>
      </c>
      <c r="BN124" s="538">
        <f t="shared" si="60"/>
        <v>4.5</v>
      </c>
      <c r="BO124" s="538">
        <f t="shared" si="61"/>
        <v>8.3000000000000114</v>
      </c>
      <c r="BP124" s="538">
        <f t="shared" si="42"/>
        <v>100</v>
      </c>
      <c r="BQ124" s="535" t="s">
        <v>1979</v>
      </c>
      <c r="BR124" s="557">
        <v>8.8539999999999994E-2</v>
      </c>
      <c r="BS124" s="557">
        <v>8.8539999999999994E-2</v>
      </c>
      <c r="BT124" s="557">
        <v>1.719E-2</v>
      </c>
      <c r="BU124" s="557">
        <v>7.3859999999999995E-2</v>
      </c>
      <c r="BV124" s="557">
        <v>4.929E-2</v>
      </c>
      <c r="BW124" s="558" t="s">
        <v>2275</v>
      </c>
      <c r="BX124" s="535" t="s">
        <v>2276</v>
      </c>
      <c r="DH124" s="540" t="str">
        <f t="shared" si="62"/>
        <v>Morocco</v>
      </c>
      <c r="DI124" s="540" t="str">
        <f t="shared" si="63"/>
        <v>Africa</v>
      </c>
      <c r="DJ124" s="540" t="str">
        <f t="shared" si="64"/>
        <v>Northern Africa</v>
      </c>
      <c r="DL124" s="540" t="s">
        <v>35</v>
      </c>
      <c r="DN124" s="540" t="s">
        <v>2555</v>
      </c>
      <c r="DO124" s="540" t="s">
        <v>25</v>
      </c>
    </row>
    <row r="125" spans="3:119">
      <c r="C125" s="463" t="s">
        <v>2577</v>
      </c>
      <c r="D125" s="520"/>
      <c r="E125" s="732">
        <v>0</v>
      </c>
      <c r="F125" s="521" t="s">
        <v>2079</v>
      </c>
      <c r="G125" s="522" t="s">
        <v>4368</v>
      </c>
      <c r="M125" s="559"/>
      <c r="N125" s="559"/>
      <c r="O125" s="559"/>
      <c r="P125" s="559"/>
      <c r="Q125" s="559"/>
      <c r="R125" s="559"/>
      <c r="S125" s="559"/>
      <c r="T125" s="559"/>
      <c r="U125" s="559"/>
      <c r="V125" s="559"/>
      <c r="AW125" s="1396" t="s">
        <v>2336</v>
      </c>
      <c r="AX125" s="1396" t="s">
        <v>2005</v>
      </c>
      <c r="AY125" s="1397" t="s">
        <v>2128</v>
      </c>
      <c r="AZ125" s="1396">
        <v>422</v>
      </c>
      <c r="BA125" s="528" t="s">
        <v>1977</v>
      </c>
      <c r="BB125" s="536">
        <v>26.7458777885548</v>
      </c>
      <c r="BC125" s="535" t="s">
        <v>2006</v>
      </c>
      <c r="BD125" s="537"/>
      <c r="BE125" s="537"/>
      <c r="BF125" s="535"/>
      <c r="BG125" s="537"/>
      <c r="BH125" s="538">
        <f t="shared" si="54"/>
        <v>30.6</v>
      </c>
      <c r="BI125" s="538">
        <f t="shared" si="55"/>
        <v>2</v>
      </c>
      <c r="BJ125" s="538">
        <f t="shared" si="56"/>
        <v>23.8</v>
      </c>
      <c r="BK125" s="538">
        <f t="shared" si="57"/>
        <v>10</v>
      </c>
      <c r="BL125" s="538">
        <f t="shared" si="58"/>
        <v>9.5</v>
      </c>
      <c r="BM125" s="538">
        <f t="shared" si="59"/>
        <v>5.6</v>
      </c>
      <c r="BN125" s="538">
        <f t="shared" si="60"/>
        <v>13</v>
      </c>
      <c r="BO125" s="538">
        <f t="shared" si="61"/>
        <v>5.5</v>
      </c>
      <c r="BP125" s="538">
        <f t="shared" si="42"/>
        <v>100</v>
      </c>
      <c r="BQ125" s="535" t="s">
        <v>1979</v>
      </c>
      <c r="BR125" s="557">
        <v>8.8539999999999994E-2</v>
      </c>
      <c r="BS125" s="557">
        <v>8.8539999999999994E-2</v>
      </c>
      <c r="BT125" s="557">
        <v>1.719E-2</v>
      </c>
      <c r="BU125" s="557">
        <v>7.3859999999999995E-2</v>
      </c>
      <c r="BV125" s="557">
        <v>4.929E-2</v>
      </c>
      <c r="BW125" s="558" t="s">
        <v>2275</v>
      </c>
      <c r="BX125" s="535" t="s">
        <v>2276</v>
      </c>
      <c r="DH125" s="540" t="str">
        <f t="shared" si="62"/>
        <v>Tunisia</v>
      </c>
      <c r="DI125" s="540" t="str">
        <f t="shared" si="63"/>
        <v>Africa</v>
      </c>
      <c r="DJ125" s="540" t="str">
        <f t="shared" si="64"/>
        <v>Northern Africa</v>
      </c>
      <c r="DK125" s="540" t="e">
        <f>VLOOKUP(DH125,#REF!,1)</f>
        <v>#REF!</v>
      </c>
      <c r="DL125" s="540" t="e">
        <f>VLOOKUP(DK125,#REF!,2,FALSE)</f>
        <v>#REF!</v>
      </c>
      <c r="DN125" s="540" t="s">
        <v>2557</v>
      </c>
      <c r="DO125" s="540" t="s">
        <v>2558</v>
      </c>
    </row>
    <row r="126" spans="3:119">
      <c r="C126" s="463" t="s">
        <v>2582</v>
      </c>
      <c r="D126" s="520"/>
      <c r="E126" s="732">
        <v>0</v>
      </c>
      <c r="F126" s="521" t="s">
        <v>2079</v>
      </c>
      <c r="G126" s="522" t="s">
        <v>4368</v>
      </c>
      <c r="M126" s="559"/>
      <c r="N126" s="559"/>
      <c r="O126" s="559"/>
      <c r="P126" s="559"/>
      <c r="Q126" s="559"/>
      <c r="R126" s="559"/>
      <c r="S126" s="559"/>
      <c r="T126" s="559"/>
      <c r="U126" s="559"/>
      <c r="V126" s="559"/>
      <c r="AW126" s="1396" t="s">
        <v>2395</v>
      </c>
      <c r="AX126" s="1396" t="s">
        <v>2005</v>
      </c>
      <c r="AY126" s="1397" t="s">
        <v>2128</v>
      </c>
      <c r="AZ126" s="1396">
        <v>166.1</v>
      </c>
      <c r="BA126" s="528" t="s">
        <v>2178</v>
      </c>
      <c r="BB126" s="536">
        <v>4.3078172265260761</v>
      </c>
      <c r="BC126" s="535" t="s">
        <v>2006</v>
      </c>
      <c r="BD126" s="537"/>
      <c r="BE126" s="537"/>
      <c r="BF126" s="535"/>
      <c r="BG126" s="537"/>
      <c r="BH126" s="538">
        <f t="shared" si="54"/>
        <v>30.6</v>
      </c>
      <c r="BI126" s="538">
        <f t="shared" si="55"/>
        <v>2</v>
      </c>
      <c r="BJ126" s="538">
        <f t="shared" si="56"/>
        <v>23.8</v>
      </c>
      <c r="BK126" s="538">
        <f t="shared" si="57"/>
        <v>10</v>
      </c>
      <c r="BL126" s="538">
        <f t="shared" si="58"/>
        <v>9.5</v>
      </c>
      <c r="BM126" s="538">
        <f t="shared" si="59"/>
        <v>5.6</v>
      </c>
      <c r="BN126" s="538">
        <f t="shared" si="60"/>
        <v>13</v>
      </c>
      <c r="BO126" s="538">
        <f t="shared" si="61"/>
        <v>5.5</v>
      </c>
      <c r="BP126" s="538">
        <f t="shared" si="42"/>
        <v>100</v>
      </c>
      <c r="BQ126" s="535" t="s">
        <v>1979</v>
      </c>
      <c r="BR126" s="557">
        <v>8.8539999999999994E-2</v>
      </c>
      <c r="BS126" s="557">
        <v>8.8539999999999994E-2</v>
      </c>
      <c r="BT126" s="557">
        <v>1.719E-2</v>
      </c>
      <c r="BU126" s="557">
        <v>7.3859999999999995E-2</v>
      </c>
      <c r="BV126" s="557">
        <v>4.929E-2</v>
      </c>
      <c r="BW126" s="558" t="s">
        <v>2275</v>
      </c>
      <c r="BX126" s="535" t="s">
        <v>2276</v>
      </c>
      <c r="DH126" s="540" t="str">
        <f t="shared" si="62"/>
        <v>Channel Islands</v>
      </c>
      <c r="DI126" s="540" t="str">
        <f t="shared" si="63"/>
        <v>Europe</v>
      </c>
      <c r="DJ126" s="540" t="str">
        <f t="shared" si="64"/>
        <v>Northern Europe</v>
      </c>
      <c r="DL126" s="540" t="s">
        <v>35</v>
      </c>
      <c r="DN126" s="540" t="s">
        <v>2560</v>
      </c>
      <c r="DO126" s="540" t="s">
        <v>2561</v>
      </c>
    </row>
    <row r="127" spans="3:119">
      <c r="C127" s="521" t="s">
        <v>4398</v>
      </c>
      <c r="D127" s="521"/>
      <c r="E127" s="521">
        <v>24300</v>
      </c>
      <c r="F127" s="521" t="s">
        <v>2079</v>
      </c>
      <c r="G127" s="522" t="s">
        <v>4368</v>
      </c>
      <c r="AW127" s="1396" t="s">
        <v>2430</v>
      </c>
      <c r="AX127" s="1396" t="s">
        <v>2005</v>
      </c>
      <c r="AY127" s="1397" t="s">
        <v>2128</v>
      </c>
      <c r="AZ127" s="1396">
        <v>818.9</v>
      </c>
      <c r="BA127" s="528" t="s">
        <v>2178</v>
      </c>
      <c r="BB127" s="536">
        <v>10.746432491767289</v>
      </c>
      <c r="BC127" s="535" t="s">
        <v>2006</v>
      </c>
      <c r="BD127" s="537"/>
      <c r="BE127" s="537"/>
      <c r="BF127" s="535"/>
      <c r="BG127" s="537"/>
      <c r="BH127" s="538">
        <f t="shared" si="54"/>
        <v>30.6</v>
      </c>
      <c r="BI127" s="538">
        <f t="shared" si="55"/>
        <v>2</v>
      </c>
      <c r="BJ127" s="538">
        <f t="shared" si="56"/>
        <v>23.8</v>
      </c>
      <c r="BK127" s="538">
        <f t="shared" si="57"/>
        <v>10</v>
      </c>
      <c r="BL127" s="538">
        <f t="shared" si="58"/>
        <v>9.5</v>
      </c>
      <c r="BM127" s="538">
        <f t="shared" si="59"/>
        <v>5.6</v>
      </c>
      <c r="BN127" s="538">
        <f t="shared" si="60"/>
        <v>13</v>
      </c>
      <c r="BO127" s="538">
        <f t="shared" si="61"/>
        <v>5.5</v>
      </c>
      <c r="BP127" s="538">
        <f t="shared" si="42"/>
        <v>100</v>
      </c>
      <c r="BQ127" s="535" t="s">
        <v>1979</v>
      </c>
      <c r="BR127" s="557">
        <v>8.8539999999999994E-2</v>
      </c>
      <c r="BS127" s="557">
        <v>8.8539999999999994E-2</v>
      </c>
      <c r="BT127" s="557">
        <v>1.719E-2</v>
      </c>
      <c r="BU127" s="557">
        <v>7.3859999999999995E-2</v>
      </c>
      <c r="BV127" s="557">
        <v>4.929E-2</v>
      </c>
      <c r="BW127" s="558" t="s">
        <v>2275</v>
      </c>
      <c r="BX127" s="535" t="s">
        <v>2276</v>
      </c>
      <c r="DH127" s="540" t="str">
        <f t="shared" si="62"/>
        <v>Denmark</v>
      </c>
      <c r="DI127" s="540" t="str">
        <f t="shared" si="63"/>
        <v>Europe</v>
      </c>
      <c r="DJ127" s="540" t="str">
        <f t="shared" si="64"/>
        <v>Northern Europe</v>
      </c>
      <c r="DK127" s="540" t="e">
        <f>VLOOKUP(DH127,#REF!,1)</f>
        <v>#REF!</v>
      </c>
      <c r="DL127" s="540" t="e">
        <f>VLOOKUP(DK127,#REF!,2,FALSE)</f>
        <v>#REF!</v>
      </c>
      <c r="DN127" s="540" t="s">
        <v>2563</v>
      </c>
      <c r="DO127" s="540" t="s">
        <v>2564</v>
      </c>
    </row>
    <row r="128" spans="3:119" ht="25.5">
      <c r="C128" s="521" t="s">
        <v>2934</v>
      </c>
      <c r="D128" s="521"/>
      <c r="E128" s="521">
        <v>18500</v>
      </c>
      <c r="F128" s="521" t="s">
        <v>2079</v>
      </c>
      <c r="G128" s="522" t="s">
        <v>4368</v>
      </c>
      <c r="M128" s="560"/>
      <c r="N128" s="560"/>
      <c r="O128" s="560"/>
      <c r="P128" s="560"/>
      <c r="Q128" s="560"/>
      <c r="R128" s="560"/>
      <c r="S128" s="560"/>
      <c r="T128" s="560"/>
      <c r="U128" s="560"/>
      <c r="V128" s="560"/>
      <c r="AW128" s="1396" t="s">
        <v>2442</v>
      </c>
      <c r="AX128" s="1396" t="s">
        <v>2005</v>
      </c>
      <c r="AY128" s="1397" t="s">
        <v>2128</v>
      </c>
      <c r="AZ128" s="1396">
        <v>362</v>
      </c>
      <c r="BA128" s="528" t="s">
        <v>1977</v>
      </c>
      <c r="BB128" s="536">
        <v>6.7403966954734083</v>
      </c>
      <c r="BC128" s="535" t="s">
        <v>2006</v>
      </c>
      <c r="BD128" s="537"/>
      <c r="BE128" s="537"/>
      <c r="BF128" s="535"/>
      <c r="BG128" s="537"/>
      <c r="BH128" s="538">
        <f t="shared" si="54"/>
        <v>30.6</v>
      </c>
      <c r="BI128" s="538">
        <f t="shared" si="55"/>
        <v>2</v>
      </c>
      <c r="BJ128" s="538">
        <f t="shared" si="56"/>
        <v>23.8</v>
      </c>
      <c r="BK128" s="538">
        <f t="shared" si="57"/>
        <v>10</v>
      </c>
      <c r="BL128" s="538">
        <f t="shared" si="58"/>
        <v>9.5</v>
      </c>
      <c r="BM128" s="538">
        <f t="shared" si="59"/>
        <v>5.6</v>
      </c>
      <c r="BN128" s="538">
        <f t="shared" si="60"/>
        <v>13</v>
      </c>
      <c r="BO128" s="538">
        <f t="shared" si="61"/>
        <v>5.5</v>
      </c>
      <c r="BP128" s="538">
        <f t="shared" si="42"/>
        <v>100</v>
      </c>
      <c r="BQ128" s="535" t="s">
        <v>1979</v>
      </c>
      <c r="BR128" s="557">
        <v>8.8539999999999994E-2</v>
      </c>
      <c r="BS128" s="557">
        <v>8.8539999999999994E-2</v>
      </c>
      <c r="BT128" s="557">
        <v>1.719E-2</v>
      </c>
      <c r="BU128" s="557">
        <v>7.3859999999999995E-2</v>
      </c>
      <c r="BV128" s="557">
        <v>4.929E-2</v>
      </c>
      <c r="BW128" s="558" t="s">
        <v>2275</v>
      </c>
      <c r="BX128" s="535" t="s">
        <v>2276</v>
      </c>
      <c r="DH128" s="540" t="str">
        <f t="shared" si="62"/>
        <v>Estonia</v>
      </c>
      <c r="DI128" s="540" t="str">
        <f t="shared" si="63"/>
        <v>Europe</v>
      </c>
      <c r="DJ128" s="540" t="str">
        <f t="shared" si="64"/>
        <v>Northern Europe</v>
      </c>
      <c r="DL128" s="540" t="s">
        <v>35</v>
      </c>
      <c r="DN128" s="540" t="s">
        <v>2566</v>
      </c>
      <c r="DO128" s="540" t="s">
        <v>2567</v>
      </c>
    </row>
    <row r="129" spans="13:119">
      <c r="M129" s="560"/>
      <c r="N129" s="560"/>
      <c r="O129" s="560"/>
      <c r="P129" s="560"/>
      <c r="Q129" s="560"/>
      <c r="R129" s="560"/>
      <c r="S129" s="560"/>
      <c r="T129" s="560"/>
      <c r="U129" s="560"/>
      <c r="V129" s="560"/>
      <c r="AW129" s="1396" t="s">
        <v>2450</v>
      </c>
      <c r="AX129" s="1396" t="s">
        <v>2005</v>
      </c>
      <c r="AY129" s="1397" t="s">
        <v>2128</v>
      </c>
      <c r="AZ129" s="1396">
        <v>112.8</v>
      </c>
      <c r="BA129" s="528" t="s">
        <v>2178</v>
      </c>
      <c r="BB129" s="536">
        <v>17.552387124648952</v>
      </c>
      <c r="BC129" s="535" t="s">
        <v>2006</v>
      </c>
      <c r="BD129" s="537"/>
      <c r="BE129" s="537"/>
      <c r="BF129" s="535"/>
      <c r="BG129" s="537"/>
      <c r="BH129" s="538">
        <f t="shared" si="54"/>
        <v>30.6</v>
      </c>
      <c r="BI129" s="538">
        <f t="shared" si="55"/>
        <v>2</v>
      </c>
      <c r="BJ129" s="538">
        <f t="shared" si="56"/>
        <v>23.8</v>
      </c>
      <c r="BK129" s="538">
        <f t="shared" si="57"/>
        <v>10</v>
      </c>
      <c r="BL129" s="538">
        <f t="shared" si="58"/>
        <v>9.5</v>
      </c>
      <c r="BM129" s="538">
        <f t="shared" si="59"/>
        <v>5.6</v>
      </c>
      <c r="BN129" s="538">
        <f t="shared" si="60"/>
        <v>13</v>
      </c>
      <c r="BO129" s="538">
        <f t="shared" si="61"/>
        <v>5.5</v>
      </c>
      <c r="BP129" s="538">
        <f t="shared" si="42"/>
        <v>100</v>
      </c>
      <c r="BQ129" s="535" t="s">
        <v>1979</v>
      </c>
      <c r="BR129" s="557">
        <v>8.8539999999999994E-2</v>
      </c>
      <c r="BS129" s="557">
        <v>8.8539999999999994E-2</v>
      </c>
      <c r="BT129" s="557">
        <v>1.719E-2</v>
      </c>
      <c r="BU129" s="557">
        <v>7.3859999999999995E-2</v>
      </c>
      <c r="BV129" s="557">
        <v>4.929E-2</v>
      </c>
      <c r="BW129" s="558" t="s">
        <v>2275</v>
      </c>
      <c r="BX129" s="535" t="s">
        <v>2276</v>
      </c>
      <c r="DH129" s="540" t="str">
        <f t="shared" si="62"/>
        <v>Faroe Islands (Denmark)</v>
      </c>
      <c r="DI129" s="540" t="str">
        <f t="shared" si="63"/>
        <v>Europe</v>
      </c>
      <c r="DJ129" s="540" t="str">
        <f t="shared" si="64"/>
        <v>Northern Europe</v>
      </c>
      <c r="DL129" s="540" t="s">
        <v>35</v>
      </c>
      <c r="DN129" s="540" t="s">
        <v>2571</v>
      </c>
      <c r="DO129" s="540" t="s">
        <v>2572</v>
      </c>
    </row>
    <row r="130" spans="13:119" ht="25.5">
      <c r="AW130" s="1396" t="s">
        <v>2530</v>
      </c>
      <c r="AX130" s="1396" t="s">
        <v>2005</v>
      </c>
      <c r="AY130" s="1397" t="s">
        <v>2128</v>
      </c>
      <c r="AZ130" s="1396">
        <v>43</v>
      </c>
      <c r="BA130" s="528" t="s">
        <v>1977</v>
      </c>
      <c r="BB130" s="536">
        <v>5.4123414965002699</v>
      </c>
      <c r="BC130" s="535" t="s">
        <v>2049</v>
      </c>
      <c r="BD130" s="537"/>
      <c r="BE130" s="537"/>
      <c r="BF130" s="535"/>
      <c r="BG130" s="537"/>
      <c r="BH130" s="538">
        <f t="shared" si="54"/>
        <v>30.6</v>
      </c>
      <c r="BI130" s="538">
        <f t="shared" si="55"/>
        <v>2</v>
      </c>
      <c r="BJ130" s="538">
        <f t="shared" si="56"/>
        <v>23.8</v>
      </c>
      <c r="BK130" s="538">
        <f t="shared" si="57"/>
        <v>10</v>
      </c>
      <c r="BL130" s="538">
        <f t="shared" si="58"/>
        <v>9.5</v>
      </c>
      <c r="BM130" s="538">
        <f t="shared" si="59"/>
        <v>5.6</v>
      </c>
      <c r="BN130" s="538">
        <f t="shared" si="60"/>
        <v>13</v>
      </c>
      <c r="BO130" s="538">
        <f t="shared" si="61"/>
        <v>5.5</v>
      </c>
      <c r="BP130" s="538">
        <f t="shared" si="42"/>
        <v>100</v>
      </c>
      <c r="BQ130" s="535" t="s">
        <v>1979</v>
      </c>
      <c r="BR130" s="557">
        <v>8.8539999999999994E-2</v>
      </c>
      <c r="BS130" s="557">
        <v>8.8539999999999994E-2</v>
      </c>
      <c r="BT130" s="557">
        <v>1.719E-2</v>
      </c>
      <c r="BU130" s="557">
        <v>7.3859999999999995E-2</v>
      </c>
      <c r="BV130" s="557">
        <v>4.929E-2</v>
      </c>
      <c r="BW130" s="558" t="s">
        <v>2275</v>
      </c>
      <c r="BX130" s="535" t="s">
        <v>2276</v>
      </c>
      <c r="DH130" s="540" t="str">
        <f t="shared" si="62"/>
        <v>Finland</v>
      </c>
      <c r="DI130" s="540" t="str">
        <f t="shared" si="63"/>
        <v>Europe</v>
      </c>
      <c r="DJ130" s="540" t="str">
        <f t="shared" si="64"/>
        <v>Northern Europe</v>
      </c>
      <c r="DL130" s="540" t="s">
        <v>35</v>
      </c>
      <c r="DN130" s="540" t="s">
        <v>2575</v>
      </c>
      <c r="DO130" s="540" t="s">
        <v>2576</v>
      </c>
    </row>
    <row r="131" spans="13:119">
      <c r="AW131" s="1396" t="s">
        <v>2548</v>
      </c>
      <c r="AX131" s="1396" t="s">
        <v>2005</v>
      </c>
      <c r="AY131" s="1397" t="s">
        <v>2128</v>
      </c>
      <c r="AZ131" s="1396">
        <v>424.9</v>
      </c>
      <c r="BA131" s="528" t="s">
        <v>2178</v>
      </c>
      <c r="BB131" s="536">
        <v>15.813278239991066</v>
      </c>
      <c r="BC131" s="535" t="s">
        <v>2006</v>
      </c>
      <c r="BD131" s="537"/>
      <c r="BE131" s="537"/>
      <c r="BF131" s="535"/>
      <c r="BG131" s="537"/>
      <c r="BH131" s="538">
        <f t="shared" si="54"/>
        <v>30.6</v>
      </c>
      <c r="BI131" s="538">
        <f t="shared" si="55"/>
        <v>2</v>
      </c>
      <c r="BJ131" s="538">
        <f t="shared" si="56"/>
        <v>23.8</v>
      </c>
      <c r="BK131" s="538">
        <f t="shared" si="57"/>
        <v>10</v>
      </c>
      <c r="BL131" s="538">
        <f t="shared" si="58"/>
        <v>9.5</v>
      </c>
      <c r="BM131" s="538">
        <f t="shared" si="59"/>
        <v>5.6</v>
      </c>
      <c r="BN131" s="538">
        <f t="shared" si="60"/>
        <v>13</v>
      </c>
      <c r="BO131" s="538">
        <f t="shared" si="61"/>
        <v>5.5</v>
      </c>
      <c r="BP131" s="538">
        <f t="shared" si="42"/>
        <v>100</v>
      </c>
      <c r="BQ131" s="535" t="s">
        <v>1979</v>
      </c>
      <c r="BR131" s="557">
        <v>8.8539999999999994E-2</v>
      </c>
      <c r="BS131" s="557">
        <v>8.8539999999999994E-2</v>
      </c>
      <c r="BT131" s="557">
        <v>1.719E-2</v>
      </c>
      <c r="BU131" s="557">
        <v>7.3859999999999995E-2</v>
      </c>
      <c r="BV131" s="557">
        <v>4.929E-2</v>
      </c>
      <c r="BW131" s="558" t="s">
        <v>2275</v>
      </c>
      <c r="BX131" s="535" t="s">
        <v>2276</v>
      </c>
      <c r="DH131" s="540" t="str">
        <f t="shared" si="62"/>
        <v>Iceland</v>
      </c>
      <c r="DI131" s="540" t="str">
        <f t="shared" si="63"/>
        <v>Europe</v>
      </c>
      <c r="DJ131" s="540" t="str">
        <f t="shared" si="64"/>
        <v>Northern Europe</v>
      </c>
      <c r="DL131" s="540" t="s">
        <v>35</v>
      </c>
      <c r="DN131" s="540" t="s">
        <v>2580</v>
      </c>
      <c r="DO131" s="540" t="s">
        <v>2581</v>
      </c>
    </row>
    <row r="132" spans="13:119">
      <c r="AW132" s="1396" t="s">
        <v>2551</v>
      </c>
      <c r="AX132" s="1396" t="s">
        <v>2005</v>
      </c>
      <c r="AY132" s="1397" t="s">
        <v>2128</v>
      </c>
      <c r="AZ132" s="1396">
        <v>303</v>
      </c>
      <c r="BA132" s="528" t="s">
        <v>1977</v>
      </c>
      <c r="BB132" s="536">
        <v>3.3469752649917743</v>
      </c>
      <c r="BC132" s="535" t="s">
        <v>2006</v>
      </c>
      <c r="BD132" s="537"/>
      <c r="BE132" s="537"/>
      <c r="BF132" s="535"/>
      <c r="BG132" s="537"/>
      <c r="BH132" s="538">
        <f t="shared" si="54"/>
        <v>30.6</v>
      </c>
      <c r="BI132" s="538">
        <f t="shared" si="55"/>
        <v>2</v>
      </c>
      <c r="BJ132" s="538">
        <f t="shared" si="56"/>
        <v>23.8</v>
      </c>
      <c r="BK132" s="538">
        <f t="shared" si="57"/>
        <v>10</v>
      </c>
      <c r="BL132" s="538">
        <f t="shared" si="58"/>
        <v>9.5</v>
      </c>
      <c r="BM132" s="538">
        <f t="shared" si="59"/>
        <v>5.6</v>
      </c>
      <c r="BN132" s="538">
        <f t="shared" si="60"/>
        <v>13</v>
      </c>
      <c r="BO132" s="538">
        <f t="shared" si="61"/>
        <v>5.5</v>
      </c>
      <c r="BP132" s="538">
        <f t="shared" ref="BP132:BP195" si="65">+SUM(BH132:BO132)</f>
        <v>100</v>
      </c>
      <c r="BQ132" s="535" t="s">
        <v>1979</v>
      </c>
      <c r="BR132" s="557">
        <v>8.8539999999999994E-2</v>
      </c>
      <c r="BS132" s="557">
        <v>8.8539999999999994E-2</v>
      </c>
      <c r="BT132" s="557">
        <v>1.719E-2</v>
      </c>
      <c r="BU132" s="557">
        <v>7.3859999999999995E-2</v>
      </c>
      <c r="BV132" s="557">
        <v>4.929E-2</v>
      </c>
      <c r="BW132" s="558" t="s">
        <v>2275</v>
      </c>
      <c r="BX132" s="535" t="s">
        <v>2276</v>
      </c>
      <c r="DH132" s="540" t="str">
        <f t="shared" si="62"/>
        <v>Ireland</v>
      </c>
      <c r="DI132" s="540" t="str">
        <f t="shared" si="63"/>
        <v>Europe</v>
      </c>
      <c r="DJ132" s="540" t="str">
        <f t="shared" si="64"/>
        <v>Northern Europe</v>
      </c>
      <c r="DL132" s="540" t="s">
        <v>35</v>
      </c>
      <c r="DN132" s="540" t="s">
        <v>2585</v>
      </c>
      <c r="DO132" s="540" t="s">
        <v>2586</v>
      </c>
    </row>
    <row r="133" spans="13:119">
      <c r="AW133" s="1396" t="s">
        <v>2604</v>
      </c>
      <c r="AX133" s="1396" t="s">
        <v>2005</v>
      </c>
      <c r="AY133" s="1397" t="s">
        <v>2128</v>
      </c>
      <c r="AZ133" s="1396">
        <v>104.9</v>
      </c>
      <c r="BA133" s="528" t="s">
        <v>2178</v>
      </c>
      <c r="BB133" s="536">
        <v>15.047829286239883</v>
      </c>
      <c r="BC133" s="535" t="s">
        <v>2006</v>
      </c>
      <c r="BD133" s="537"/>
      <c r="BE133" s="537"/>
      <c r="BF133" s="535"/>
      <c r="BG133" s="537"/>
      <c r="BH133" s="538">
        <f t="shared" si="54"/>
        <v>30.6</v>
      </c>
      <c r="BI133" s="538">
        <f t="shared" si="55"/>
        <v>2</v>
      </c>
      <c r="BJ133" s="538">
        <f t="shared" si="56"/>
        <v>23.8</v>
      </c>
      <c r="BK133" s="538">
        <f t="shared" si="57"/>
        <v>10</v>
      </c>
      <c r="BL133" s="538">
        <f t="shared" si="58"/>
        <v>9.5</v>
      </c>
      <c r="BM133" s="538">
        <f t="shared" si="59"/>
        <v>5.6</v>
      </c>
      <c r="BN133" s="538">
        <f t="shared" si="60"/>
        <v>13</v>
      </c>
      <c r="BO133" s="538">
        <f t="shared" si="61"/>
        <v>5.5</v>
      </c>
      <c r="BP133" s="538">
        <f t="shared" si="65"/>
        <v>100</v>
      </c>
      <c r="BQ133" s="535" t="s">
        <v>1979</v>
      </c>
      <c r="BR133" s="557">
        <v>8.8539999999999994E-2</v>
      </c>
      <c r="BS133" s="557">
        <v>8.8539999999999994E-2</v>
      </c>
      <c r="BT133" s="557">
        <v>1.719E-2</v>
      </c>
      <c r="BU133" s="557">
        <v>7.3859999999999995E-2</v>
      </c>
      <c r="BV133" s="557">
        <v>4.929E-2</v>
      </c>
      <c r="BW133" s="558" t="s">
        <v>2275</v>
      </c>
      <c r="BX133" s="535" t="s">
        <v>2276</v>
      </c>
      <c r="DH133" s="540" t="str">
        <f t="shared" si="62"/>
        <v>Isle of Man</v>
      </c>
      <c r="DI133" s="540" t="str">
        <f t="shared" si="63"/>
        <v>Europe</v>
      </c>
      <c r="DJ133" s="540" t="str">
        <f t="shared" si="64"/>
        <v>Northern Europe</v>
      </c>
      <c r="DK133" s="540" t="s">
        <v>2589</v>
      </c>
      <c r="DL133" s="540" t="e">
        <f>VLOOKUP(DK133,#REF!,2,FALSE)</f>
        <v>#REF!</v>
      </c>
      <c r="DN133" s="540" t="s">
        <v>2590</v>
      </c>
      <c r="DO133" s="540" t="s">
        <v>2591</v>
      </c>
    </row>
    <row r="134" spans="13:119">
      <c r="AW134" s="1396" t="s">
        <v>2622</v>
      </c>
      <c r="AX134" s="1396" t="s">
        <v>2005</v>
      </c>
      <c r="AY134" s="1397" t="s">
        <v>2128</v>
      </c>
      <c r="AZ134" s="1396">
        <v>18</v>
      </c>
      <c r="BA134" s="528" t="s">
        <v>2178</v>
      </c>
      <c r="BB134" s="536">
        <v>11.661037764814246</v>
      </c>
      <c r="BC134" s="535" t="s">
        <v>2006</v>
      </c>
      <c r="BD134" s="537"/>
      <c r="BE134" s="537"/>
      <c r="BF134" s="535"/>
      <c r="BG134" s="537"/>
      <c r="BH134" s="538">
        <f t="shared" si="54"/>
        <v>30.6</v>
      </c>
      <c r="BI134" s="538">
        <f t="shared" si="55"/>
        <v>2</v>
      </c>
      <c r="BJ134" s="538">
        <f t="shared" si="56"/>
        <v>23.8</v>
      </c>
      <c r="BK134" s="538">
        <f t="shared" si="57"/>
        <v>10</v>
      </c>
      <c r="BL134" s="538">
        <f t="shared" si="58"/>
        <v>9.5</v>
      </c>
      <c r="BM134" s="538">
        <f t="shared" si="59"/>
        <v>5.6</v>
      </c>
      <c r="BN134" s="538">
        <f t="shared" si="60"/>
        <v>13</v>
      </c>
      <c r="BO134" s="538">
        <f t="shared" si="61"/>
        <v>5.5</v>
      </c>
      <c r="BP134" s="538">
        <f t="shared" si="65"/>
        <v>100</v>
      </c>
      <c r="BQ134" s="535" t="s">
        <v>1979</v>
      </c>
      <c r="BR134" s="557">
        <v>8.8539999999999994E-2</v>
      </c>
      <c r="BS134" s="557">
        <v>8.8539999999999994E-2</v>
      </c>
      <c r="BT134" s="557">
        <v>1.719E-2</v>
      </c>
      <c r="BU134" s="557">
        <v>7.3859999999999995E-2</v>
      </c>
      <c r="BV134" s="557">
        <v>4.929E-2</v>
      </c>
      <c r="BW134" s="558" t="s">
        <v>2275</v>
      </c>
      <c r="BX134" s="535" t="s">
        <v>2276</v>
      </c>
      <c r="DH134" s="540" t="str">
        <f t="shared" si="62"/>
        <v>Latvia</v>
      </c>
      <c r="DI134" s="540" t="str">
        <f t="shared" si="63"/>
        <v>Europe</v>
      </c>
      <c r="DJ134" s="540" t="str">
        <f t="shared" si="64"/>
        <v>Northern Europe</v>
      </c>
      <c r="DL134" s="540" t="s">
        <v>35</v>
      </c>
      <c r="DN134" s="540" t="s">
        <v>2593</v>
      </c>
      <c r="DO134" s="540" t="s">
        <v>2594</v>
      </c>
    </row>
    <row r="135" spans="13:119">
      <c r="AW135" s="1396" t="s">
        <v>2694</v>
      </c>
      <c r="AX135" s="1396" t="s">
        <v>2005</v>
      </c>
      <c r="AY135" s="1397" t="s">
        <v>2128</v>
      </c>
      <c r="AZ135" s="1396">
        <v>61</v>
      </c>
      <c r="BA135" s="528" t="s">
        <v>1977</v>
      </c>
      <c r="BB135" s="536">
        <v>23.730441943453197</v>
      </c>
      <c r="BC135" s="535" t="s">
        <v>2006</v>
      </c>
      <c r="BD135" s="537"/>
      <c r="BE135" s="537"/>
      <c r="BF135" s="535"/>
      <c r="BG135" s="537"/>
      <c r="BH135" s="538">
        <f t="shared" si="54"/>
        <v>30.6</v>
      </c>
      <c r="BI135" s="538">
        <f t="shared" si="55"/>
        <v>2</v>
      </c>
      <c r="BJ135" s="538">
        <f t="shared" si="56"/>
        <v>23.8</v>
      </c>
      <c r="BK135" s="538">
        <f t="shared" si="57"/>
        <v>10</v>
      </c>
      <c r="BL135" s="538">
        <f t="shared" si="58"/>
        <v>9.5</v>
      </c>
      <c r="BM135" s="538">
        <f t="shared" si="59"/>
        <v>5.6</v>
      </c>
      <c r="BN135" s="538">
        <f t="shared" si="60"/>
        <v>13</v>
      </c>
      <c r="BO135" s="538">
        <f t="shared" si="61"/>
        <v>5.5</v>
      </c>
      <c r="BP135" s="538">
        <f t="shared" si="65"/>
        <v>100</v>
      </c>
      <c r="BQ135" s="535" t="s">
        <v>1979</v>
      </c>
      <c r="BR135" s="557">
        <v>8.8539999999999994E-2</v>
      </c>
      <c r="BS135" s="557">
        <v>8.8539999999999994E-2</v>
      </c>
      <c r="BT135" s="557">
        <v>1.719E-2</v>
      </c>
      <c r="BU135" s="557">
        <v>7.3859999999999995E-2</v>
      </c>
      <c r="BV135" s="557">
        <v>4.929E-2</v>
      </c>
      <c r="BW135" s="558" t="s">
        <v>2275</v>
      </c>
      <c r="BX135" s="535" t="s">
        <v>2276</v>
      </c>
      <c r="DH135" s="540" t="str">
        <f t="shared" si="62"/>
        <v>Lithuania</v>
      </c>
      <c r="DI135" s="540" t="str">
        <f t="shared" si="63"/>
        <v>Europe</v>
      </c>
      <c r="DJ135" s="540" t="str">
        <f t="shared" si="64"/>
        <v>Northern Europe</v>
      </c>
      <c r="DL135" s="540" t="s">
        <v>35</v>
      </c>
      <c r="DN135" s="540" t="s">
        <v>2596</v>
      </c>
      <c r="DO135" s="540" t="s">
        <v>2597</v>
      </c>
    </row>
    <row r="136" spans="13:119" ht="25.5">
      <c r="AW136" s="1396" t="s">
        <v>2732</v>
      </c>
      <c r="AX136" s="1396" t="s">
        <v>2005</v>
      </c>
      <c r="AY136" s="1397" t="s">
        <v>2128</v>
      </c>
      <c r="AZ136" s="1396">
        <v>13.3</v>
      </c>
      <c r="BA136" s="528" t="s">
        <v>2178</v>
      </c>
      <c r="BB136" s="536">
        <v>5.4123414965002699</v>
      </c>
      <c r="BC136" s="535" t="s">
        <v>2049</v>
      </c>
      <c r="BD136" s="537"/>
      <c r="BE136" s="537"/>
      <c r="BF136" s="535"/>
      <c r="BG136" s="537"/>
      <c r="BH136" s="538">
        <f t="shared" si="54"/>
        <v>30.6</v>
      </c>
      <c r="BI136" s="538">
        <f t="shared" si="55"/>
        <v>2</v>
      </c>
      <c r="BJ136" s="538">
        <f t="shared" si="56"/>
        <v>23.8</v>
      </c>
      <c r="BK136" s="538">
        <f t="shared" si="57"/>
        <v>10</v>
      </c>
      <c r="BL136" s="538">
        <f t="shared" si="58"/>
        <v>9.5</v>
      </c>
      <c r="BM136" s="538">
        <f t="shared" si="59"/>
        <v>5.6</v>
      </c>
      <c r="BN136" s="538">
        <f t="shared" si="60"/>
        <v>13</v>
      </c>
      <c r="BO136" s="538">
        <f t="shared" si="61"/>
        <v>5.5</v>
      </c>
      <c r="BP136" s="538">
        <f t="shared" si="65"/>
        <v>100</v>
      </c>
      <c r="BQ136" s="535" t="s">
        <v>1979</v>
      </c>
      <c r="BR136" s="557">
        <v>8.8539999999999994E-2</v>
      </c>
      <c r="BS136" s="557">
        <v>8.8539999999999994E-2</v>
      </c>
      <c r="BT136" s="557">
        <v>1.719E-2</v>
      </c>
      <c r="BU136" s="557">
        <v>7.3859999999999995E-2</v>
      </c>
      <c r="BV136" s="557">
        <v>4.929E-2</v>
      </c>
      <c r="BW136" s="558" t="s">
        <v>2275</v>
      </c>
      <c r="BX136" s="535" t="s">
        <v>2276</v>
      </c>
      <c r="DH136" s="540" t="str">
        <f t="shared" si="62"/>
        <v>Norway</v>
      </c>
      <c r="DI136" s="540" t="str">
        <f t="shared" si="63"/>
        <v>Europe</v>
      </c>
      <c r="DJ136" s="540" t="str">
        <f t="shared" si="64"/>
        <v>Northern Europe</v>
      </c>
      <c r="DL136" s="540" t="s">
        <v>35</v>
      </c>
      <c r="DN136" s="540" t="s">
        <v>2599</v>
      </c>
      <c r="DO136" s="540" t="s">
        <v>2600</v>
      </c>
    </row>
    <row r="137" spans="13:119">
      <c r="AW137" s="1396" t="s">
        <v>2749</v>
      </c>
      <c r="AX137" s="1396" t="s">
        <v>2005</v>
      </c>
      <c r="AY137" s="1397" t="s">
        <v>2128</v>
      </c>
      <c r="AZ137" s="1396">
        <v>233.14</v>
      </c>
      <c r="BA137" s="528" t="s">
        <v>2750</v>
      </c>
      <c r="BB137" s="536">
        <v>9.0449328924333781</v>
      </c>
      <c r="BC137" s="535" t="s">
        <v>2006</v>
      </c>
      <c r="BD137" s="537"/>
      <c r="BE137" s="537"/>
      <c r="BF137" s="535"/>
      <c r="BG137" s="537"/>
      <c r="BH137" s="538">
        <f t="shared" si="54"/>
        <v>30.6</v>
      </c>
      <c r="BI137" s="538">
        <f t="shared" si="55"/>
        <v>2</v>
      </c>
      <c r="BJ137" s="538">
        <f t="shared" si="56"/>
        <v>23.8</v>
      </c>
      <c r="BK137" s="538">
        <f t="shared" si="57"/>
        <v>10</v>
      </c>
      <c r="BL137" s="538">
        <f t="shared" si="58"/>
        <v>9.5</v>
      </c>
      <c r="BM137" s="538">
        <f t="shared" si="59"/>
        <v>5.6</v>
      </c>
      <c r="BN137" s="538">
        <f t="shared" si="60"/>
        <v>13</v>
      </c>
      <c r="BO137" s="538">
        <f t="shared" si="61"/>
        <v>5.5</v>
      </c>
      <c r="BP137" s="538">
        <f t="shared" si="65"/>
        <v>100</v>
      </c>
      <c r="BQ137" s="535" t="s">
        <v>1979</v>
      </c>
      <c r="BR137" s="557">
        <v>8.8539999999999994E-2</v>
      </c>
      <c r="BS137" s="557">
        <v>8.8539999999999994E-2</v>
      </c>
      <c r="BT137" s="557">
        <v>1.719E-2</v>
      </c>
      <c r="BU137" s="557">
        <v>7.3859999999999995E-2</v>
      </c>
      <c r="BV137" s="557">
        <v>4.929E-2</v>
      </c>
      <c r="BW137" s="558" t="s">
        <v>2275</v>
      </c>
      <c r="BX137" s="535" t="s">
        <v>2276</v>
      </c>
      <c r="DH137" s="540" t="str">
        <f t="shared" si="62"/>
        <v>Sweden</v>
      </c>
      <c r="DI137" s="540" t="str">
        <f t="shared" si="63"/>
        <v>Europe</v>
      </c>
      <c r="DJ137" s="540" t="str">
        <f t="shared" si="64"/>
        <v>Northern Europe</v>
      </c>
      <c r="DL137" s="540" t="s">
        <v>35</v>
      </c>
      <c r="DN137" s="540" t="s">
        <v>2602</v>
      </c>
      <c r="DO137" s="540" t="s">
        <v>2603</v>
      </c>
    </row>
    <row r="138" spans="13:119">
      <c r="AW138" s="1396" t="s">
        <v>2362</v>
      </c>
      <c r="AX138" s="1395" t="s">
        <v>2048</v>
      </c>
      <c r="AY138" s="1397" t="s">
        <v>2147</v>
      </c>
      <c r="AZ138" s="1396">
        <v>326</v>
      </c>
      <c r="BA138" s="528" t="s">
        <v>1977</v>
      </c>
      <c r="BB138" s="536">
        <v>10.466800356506239</v>
      </c>
      <c r="BC138" s="535" t="s">
        <v>2006</v>
      </c>
      <c r="BD138" s="537"/>
      <c r="BE138" s="537"/>
      <c r="BF138" s="535"/>
      <c r="BG138" s="537"/>
      <c r="BH138" s="538">
        <f t="shared" si="54"/>
        <v>6</v>
      </c>
      <c r="BI138" s="538">
        <f t="shared" si="55"/>
        <v>2.97</v>
      </c>
      <c r="BJ138" s="538">
        <f t="shared" si="56"/>
        <v>67.5</v>
      </c>
      <c r="BK138" s="538">
        <f t="shared" si="57"/>
        <v>2.5</v>
      </c>
      <c r="BL138" s="538">
        <f t="shared" si="58"/>
        <v>9.5</v>
      </c>
      <c r="BM138" s="538">
        <f t="shared" si="59"/>
        <v>5.6</v>
      </c>
      <c r="BN138" s="538">
        <f t="shared" si="60"/>
        <v>2.97</v>
      </c>
      <c r="BO138" s="538">
        <f t="shared" si="61"/>
        <v>2.9666666666666668</v>
      </c>
      <c r="BP138" s="538">
        <f t="shared" si="65"/>
        <v>100.00666666666666</v>
      </c>
      <c r="BQ138" s="535" t="s">
        <v>1979</v>
      </c>
      <c r="BR138" s="557">
        <v>8.8539999999999994E-2</v>
      </c>
      <c r="BS138" s="557">
        <v>8.8539999999999994E-2</v>
      </c>
      <c r="BT138" s="557">
        <v>1.719E-2</v>
      </c>
      <c r="BU138" s="557">
        <v>7.3859999999999995E-2</v>
      </c>
      <c r="BV138" s="557">
        <v>4.929E-2</v>
      </c>
      <c r="BW138" s="558" t="s">
        <v>2275</v>
      </c>
      <c r="BX138" s="535" t="s">
        <v>2276</v>
      </c>
      <c r="DH138" s="540" t="str">
        <f t="shared" si="62"/>
        <v>United Kingdom</v>
      </c>
      <c r="DI138" s="540" t="str">
        <f t="shared" si="63"/>
        <v>Europe</v>
      </c>
      <c r="DJ138" s="540" t="str">
        <f t="shared" si="64"/>
        <v>Northern Europe</v>
      </c>
      <c r="DK138" s="540" t="e">
        <f>VLOOKUP(DH138,#REF!,1)</f>
        <v>#REF!</v>
      </c>
      <c r="DL138" s="540" t="e">
        <f>VLOOKUP(DK138,#REF!,2,FALSE)</f>
        <v>#REF!</v>
      </c>
      <c r="DN138" s="540" t="s">
        <v>2605</v>
      </c>
      <c r="DO138" s="540" t="s">
        <v>2606</v>
      </c>
    </row>
    <row r="139" spans="13:119" ht="25.5">
      <c r="AW139" s="1396" t="s">
        <v>2446</v>
      </c>
      <c r="AX139" s="1395" t="s">
        <v>2048</v>
      </c>
      <c r="AY139" s="1397" t="s">
        <v>2147</v>
      </c>
      <c r="AZ139" s="1396">
        <v>428</v>
      </c>
      <c r="BA139" s="528" t="s">
        <v>1977</v>
      </c>
      <c r="BB139" s="536">
        <v>11.740747004194485</v>
      </c>
      <c r="BC139" s="535" t="s">
        <v>2263</v>
      </c>
      <c r="BD139" s="537"/>
      <c r="BE139" s="537"/>
      <c r="BF139" s="535"/>
      <c r="BG139" s="537"/>
      <c r="BH139" s="538">
        <f t="shared" ref="BH139:BH158" si="66">+VLOOKUP($AY139,$BZ$3:$CH$21,2,FALSE)</f>
        <v>6</v>
      </c>
      <c r="BI139" s="538">
        <f t="shared" ref="BI139:BI158" si="67">+VLOOKUP($AY139,$BZ$3:$CH$21,3,FALSE)</f>
        <v>2.97</v>
      </c>
      <c r="BJ139" s="538">
        <f t="shared" ref="BJ139:BJ158" si="68">+VLOOKUP($AY139,$BZ$3:$CH$21,4,FALSE)</f>
        <v>67.5</v>
      </c>
      <c r="BK139" s="538">
        <f t="shared" ref="BK139:BK158" si="69">+VLOOKUP($AY139,$BZ$3:$CH$21,5,FALSE)</f>
        <v>2.5</v>
      </c>
      <c r="BL139" s="538">
        <f t="shared" ref="BL139:BL158" si="70">+VLOOKUP($AY139,$BZ$3:$CH$21,6,FALSE)</f>
        <v>9.5</v>
      </c>
      <c r="BM139" s="538">
        <f t="shared" ref="BM139:BM158" si="71">+VLOOKUP($AY139,$BZ$3:$CH$21,7,FALSE)</f>
        <v>5.6</v>
      </c>
      <c r="BN139" s="538">
        <f t="shared" ref="BN139:BN158" si="72">+VLOOKUP($AY139,$BZ$3:$CH$21,8,FALSE)</f>
        <v>2.97</v>
      </c>
      <c r="BO139" s="538">
        <f t="shared" ref="BO139:BO158" si="73">+VLOOKUP($AY139,$BZ$3:$CH$21,9,FALSE)</f>
        <v>2.9666666666666668</v>
      </c>
      <c r="BP139" s="538">
        <f t="shared" si="65"/>
        <v>100.00666666666666</v>
      </c>
      <c r="BQ139" s="535" t="s">
        <v>1979</v>
      </c>
      <c r="BR139" s="557">
        <v>8.8539999999999994E-2</v>
      </c>
      <c r="BS139" s="557">
        <v>8.8539999999999994E-2</v>
      </c>
      <c r="BT139" s="557">
        <v>1.719E-2</v>
      </c>
      <c r="BU139" s="557">
        <v>7.3859999999999995E-2</v>
      </c>
      <c r="BV139" s="557">
        <v>4.929E-2</v>
      </c>
      <c r="BW139" s="558" t="s">
        <v>2275</v>
      </c>
      <c r="BX139" s="535" t="s">
        <v>2276</v>
      </c>
      <c r="DH139" s="540" t="str">
        <f t="shared" si="62"/>
        <v>Cook Islands</v>
      </c>
      <c r="DI139" s="540" t="str">
        <f t="shared" si="63"/>
        <v>Oceania</v>
      </c>
      <c r="DJ139" s="540" t="str">
        <f t="shared" si="64"/>
        <v>Rest of Oceania</v>
      </c>
      <c r="DL139" s="540" t="s">
        <v>35</v>
      </c>
      <c r="DN139" s="540" t="s">
        <v>2608</v>
      </c>
      <c r="DO139" s="540" t="s">
        <v>2609</v>
      </c>
    </row>
    <row r="140" spans="13:119" ht="25.5">
      <c r="AW140" s="1396" t="s">
        <v>2461</v>
      </c>
      <c r="AX140" s="1395" t="s">
        <v>2048</v>
      </c>
      <c r="AY140" s="1397" t="s">
        <v>2147</v>
      </c>
      <c r="AZ140" s="1396">
        <v>443</v>
      </c>
      <c r="BA140" s="528" t="s">
        <v>1977</v>
      </c>
      <c r="BB140" s="536">
        <v>13.490630673342661</v>
      </c>
      <c r="BC140" s="535" t="s">
        <v>2223</v>
      </c>
      <c r="BD140" s="537"/>
      <c r="BE140" s="537"/>
      <c r="BF140" s="535"/>
      <c r="BG140" s="537"/>
      <c r="BH140" s="538">
        <f t="shared" si="66"/>
        <v>6</v>
      </c>
      <c r="BI140" s="538">
        <f t="shared" si="67"/>
        <v>2.97</v>
      </c>
      <c r="BJ140" s="538">
        <f t="shared" si="68"/>
        <v>67.5</v>
      </c>
      <c r="BK140" s="538">
        <f t="shared" si="69"/>
        <v>2.5</v>
      </c>
      <c r="BL140" s="538">
        <f t="shared" si="70"/>
        <v>9.5</v>
      </c>
      <c r="BM140" s="538">
        <f t="shared" si="71"/>
        <v>5.6</v>
      </c>
      <c r="BN140" s="538">
        <f t="shared" si="72"/>
        <v>2.97</v>
      </c>
      <c r="BO140" s="538">
        <f t="shared" si="73"/>
        <v>2.9666666666666668</v>
      </c>
      <c r="BP140" s="538">
        <f t="shared" si="65"/>
        <v>100.00666666666666</v>
      </c>
      <c r="BQ140" s="535" t="s">
        <v>1979</v>
      </c>
      <c r="BR140" s="557">
        <v>8.8539999999999994E-2</v>
      </c>
      <c r="BS140" s="557">
        <v>8.8539999999999994E-2</v>
      </c>
      <c r="BT140" s="557">
        <v>1.719E-2</v>
      </c>
      <c r="BU140" s="557">
        <v>7.3859999999999995E-2</v>
      </c>
      <c r="BV140" s="557">
        <v>4.929E-2</v>
      </c>
      <c r="BW140" s="558" t="s">
        <v>2275</v>
      </c>
      <c r="BX140" s="535" t="s">
        <v>2276</v>
      </c>
      <c r="DH140" s="540" t="str">
        <f t="shared" ref="DH140:DH171" si="74">AW139</f>
        <v>Fiji</v>
      </c>
      <c r="DI140" s="540" t="str">
        <f t="shared" ref="DI140:DI171" si="75">AX139</f>
        <v>Oceania</v>
      </c>
      <c r="DJ140" s="540" t="str">
        <f t="shared" ref="DJ140:DJ171" si="76">AY139</f>
        <v>Rest of Oceania</v>
      </c>
      <c r="DL140" s="540" t="s">
        <v>35</v>
      </c>
      <c r="DN140" s="540" t="s">
        <v>2611</v>
      </c>
      <c r="DO140" s="540" t="s">
        <v>2612</v>
      </c>
    </row>
    <row r="141" spans="13:119">
      <c r="AW141" s="1396" t="s">
        <v>2496</v>
      </c>
      <c r="AX141" s="1395" t="s">
        <v>2048</v>
      </c>
      <c r="AY141" s="1397" t="s">
        <v>2147</v>
      </c>
      <c r="AZ141" s="1396">
        <v>447</v>
      </c>
      <c r="BA141" s="528" t="s">
        <v>1977</v>
      </c>
      <c r="BB141" s="536">
        <v>69.696005936762873</v>
      </c>
      <c r="BC141" s="535" t="s">
        <v>2006</v>
      </c>
      <c r="BD141" s="537"/>
      <c r="BE141" s="537"/>
      <c r="BF141" s="535"/>
      <c r="BG141" s="537"/>
      <c r="BH141" s="538">
        <f t="shared" si="66"/>
        <v>6</v>
      </c>
      <c r="BI141" s="538">
        <f t="shared" si="67"/>
        <v>2.97</v>
      </c>
      <c r="BJ141" s="538">
        <f t="shared" si="68"/>
        <v>67.5</v>
      </c>
      <c r="BK141" s="538">
        <f t="shared" si="69"/>
        <v>2.5</v>
      </c>
      <c r="BL141" s="538">
        <f t="shared" si="70"/>
        <v>9.5</v>
      </c>
      <c r="BM141" s="538">
        <f t="shared" si="71"/>
        <v>5.6</v>
      </c>
      <c r="BN141" s="538">
        <f t="shared" si="72"/>
        <v>2.97</v>
      </c>
      <c r="BO141" s="538">
        <f t="shared" si="73"/>
        <v>2.9666666666666668</v>
      </c>
      <c r="BP141" s="538">
        <f t="shared" si="65"/>
        <v>100.00666666666666</v>
      </c>
      <c r="BQ141" s="535" t="s">
        <v>1979</v>
      </c>
      <c r="BR141" s="557">
        <v>8.8539999999999994E-2</v>
      </c>
      <c r="BS141" s="557">
        <v>8.8539999999999994E-2</v>
      </c>
      <c r="BT141" s="557">
        <v>1.719E-2</v>
      </c>
      <c r="BU141" s="557">
        <v>7.3859999999999995E-2</v>
      </c>
      <c r="BV141" s="557">
        <v>4.929E-2</v>
      </c>
      <c r="BW141" s="558" t="s">
        <v>2275</v>
      </c>
      <c r="BX141" s="535" t="s">
        <v>2276</v>
      </c>
      <c r="DH141" s="540" t="str">
        <f t="shared" si="74"/>
        <v>French Polynesia</v>
      </c>
      <c r="DI141" s="540" t="str">
        <f t="shared" si="75"/>
        <v>Oceania</v>
      </c>
      <c r="DJ141" s="540" t="str">
        <f t="shared" si="76"/>
        <v>Rest of Oceania</v>
      </c>
      <c r="DL141" s="540" t="s">
        <v>35</v>
      </c>
      <c r="DN141" s="540" t="s">
        <v>2614</v>
      </c>
      <c r="DO141" s="540" t="s">
        <v>2615</v>
      </c>
    </row>
    <row r="142" spans="13:119" ht="25.5">
      <c r="AW142" s="1396" t="s">
        <v>2579</v>
      </c>
      <c r="AX142" s="1395" t="s">
        <v>2048</v>
      </c>
      <c r="AY142" s="1397" t="s">
        <v>2147</v>
      </c>
      <c r="AZ142" s="1396">
        <v>602</v>
      </c>
      <c r="BA142" s="528" t="s">
        <v>1977</v>
      </c>
      <c r="BB142" s="536">
        <v>6.2171813834411278</v>
      </c>
      <c r="BC142" s="535" t="s">
        <v>2062</v>
      </c>
      <c r="BD142" s="537"/>
      <c r="BE142" s="537"/>
      <c r="BF142" s="535"/>
      <c r="BG142" s="537"/>
      <c r="BH142" s="538">
        <f t="shared" si="66"/>
        <v>6</v>
      </c>
      <c r="BI142" s="538">
        <f t="shared" si="67"/>
        <v>2.97</v>
      </c>
      <c r="BJ142" s="538">
        <f t="shared" si="68"/>
        <v>67.5</v>
      </c>
      <c r="BK142" s="538">
        <f t="shared" si="69"/>
        <v>2.5</v>
      </c>
      <c r="BL142" s="538">
        <f t="shared" si="70"/>
        <v>9.5</v>
      </c>
      <c r="BM142" s="538">
        <f t="shared" si="71"/>
        <v>5.6</v>
      </c>
      <c r="BN142" s="538">
        <f t="shared" si="72"/>
        <v>2.97</v>
      </c>
      <c r="BO142" s="538">
        <f t="shared" si="73"/>
        <v>2.9666666666666668</v>
      </c>
      <c r="BP142" s="538">
        <f t="shared" si="65"/>
        <v>100.00666666666666</v>
      </c>
      <c r="BQ142" s="535" t="s">
        <v>1979</v>
      </c>
      <c r="BR142" s="557">
        <v>8.8539999999999994E-2</v>
      </c>
      <c r="BS142" s="557">
        <v>8.8539999999999994E-2</v>
      </c>
      <c r="BT142" s="557">
        <v>1.719E-2</v>
      </c>
      <c r="BU142" s="557">
        <v>7.3859999999999995E-2</v>
      </c>
      <c r="BV142" s="557">
        <v>4.929E-2</v>
      </c>
      <c r="BW142" s="558" t="s">
        <v>2275</v>
      </c>
      <c r="BX142" s="535" t="s">
        <v>2276</v>
      </c>
      <c r="DH142" s="540" t="str">
        <f t="shared" si="74"/>
        <v>Guam</v>
      </c>
      <c r="DI142" s="540" t="str">
        <f t="shared" si="75"/>
        <v>Oceania</v>
      </c>
      <c r="DJ142" s="540" t="str">
        <f t="shared" si="76"/>
        <v>Rest of Oceania</v>
      </c>
      <c r="DL142" s="540" t="s">
        <v>35</v>
      </c>
      <c r="DN142" s="540" t="s">
        <v>2617</v>
      </c>
      <c r="DO142" s="540" t="s">
        <v>2618</v>
      </c>
    </row>
    <row r="143" spans="13:119">
      <c r="AW143" s="1396" t="s">
        <v>2653</v>
      </c>
      <c r="AX143" s="1395" t="s">
        <v>2048</v>
      </c>
      <c r="AY143" s="1397" t="s">
        <v>2147</v>
      </c>
      <c r="AZ143" s="1396">
        <v>610</v>
      </c>
      <c r="BA143" s="528" t="s">
        <v>1977</v>
      </c>
      <c r="BB143" s="536">
        <v>21.97950377562028</v>
      </c>
      <c r="BC143" s="535" t="s">
        <v>2006</v>
      </c>
      <c r="BD143" s="537"/>
      <c r="BE143" s="537"/>
      <c r="BF143" s="535"/>
      <c r="BG143" s="537"/>
      <c r="BH143" s="538">
        <f t="shared" si="66"/>
        <v>6</v>
      </c>
      <c r="BI143" s="538">
        <f t="shared" si="67"/>
        <v>2.97</v>
      </c>
      <c r="BJ143" s="538">
        <f t="shared" si="68"/>
        <v>67.5</v>
      </c>
      <c r="BK143" s="538">
        <f t="shared" si="69"/>
        <v>2.5</v>
      </c>
      <c r="BL143" s="538">
        <f t="shared" si="70"/>
        <v>9.5</v>
      </c>
      <c r="BM143" s="538">
        <f t="shared" si="71"/>
        <v>5.6</v>
      </c>
      <c r="BN143" s="538">
        <f t="shared" si="72"/>
        <v>2.97</v>
      </c>
      <c r="BO143" s="538">
        <f t="shared" si="73"/>
        <v>2.9666666666666668</v>
      </c>
      <c r="BP143" s="538">
        <f t="shared" si="65"/>
        <v>100.00666666666666</v>
      </c>
      <c r="BQ143" s="535" t="s">
        <v>1979</v>
      </c>
      <c r="BR143" s="557">
        <v>8.8539999999999994E-2</v>
      </c>
      <c r="BS143" s="557">
        <v>8.8539999999999994E-2</v>
      </c>
      <c r="BT143" s="557">
        <v>1.719E-2</v>
      </c>
      <c r="BU143" s="557">
        <v>7.3859999999999995E-2</v>
      </c>
      <c r="BV143" s="557">
        <v>4.929E-2</v>
      </c>
      <c r="BW143" s="558" t="s">
        <v>2275</v>
      </c>
      <c r="BX143" s="535" t="s">
        <v>2276</v>
      </c>
      <c r="DH143" s="540" t="str">
        <f t="shared" si="74"/>
        <v>Kiribati</v>
      </c>
      <c r="DI143" s="540" t="str">
        <f t="shared" si="75"/>
        <v>Oceania</v>
      </c>
      <c r="DJ143" s="540" t="str">
        <f t="shared" si="76"/>
        <v>Rest of Oceania</v>
      </c>
      <c r="DL143" s="540" t="s">
        <v>35</v>
      </c>
      <c r="DN143" s="540" t="s">
        <v>2620</v>
      </c>
      <c r="DO143" s="540" t="s">
        <v>2621</v>
      </c>
    </row>
    <row r="144" spans="13:119">
      <c r="AW144" s="1396" t="s">
        <v>2672</v>
      </c>
      <c r="AX144" s="1395" t="s">
        <v>2048</v>
      </c>
      <c r="AY144" s="1397" t="s">
        <v>2147</v>
      </c>
      <c r="AZ144" s="1396">
        <v>610</v>
      </c>
      <c r="BA144" s="528" t="s">
        <v>1977</v>
      </c>
      <c r="BB144" s="536">
        <v>6.2992125984251963</v>
      </c>
      <c r="BC144" s="535" t="s">
        <v>2006</v>
      </c>
      <c r="BD144" s="537"/>
      <c r="BE144" s="537"/>
      <c r="BF144" s="535"/>
      <c r="BG144" s="537"/>
      <c r="BH144" s="538">
        <f t="shared" si="66"/>
        <v>6</v>
      </c>
      <c r="BI144" s="538">
        <f t="shared" si="67"/>
        <v>2.97</v>
      </c>
      <c r="BJ144" s="538">
        <f t="shared" si="68"/>
        <v>67.5</v>
      </c>
      <c r="BK144" s="538">
        <f t="shared" si="69"/>
        <v>2.5</v>
      </c>
      <c r="BL144" s="538">
        <f t="shared" si="70"/>
        <v>9.5</v>
      </c>
      <c r="BM144" s="538">
        <f t="shared" si="71"/>
        <v>5.6</v>
      </c>
      <c r="BN144" s="538">
        <f t="shared" si="72"/>
        <v>2.97</v>
      </c>
      <c r="BO144" s="538">
        <f t="shared" si="73"/>
        <v>2.9666666666666668</v>
      </c>
      <c r="BP144" s="538">
        <f t="shared" si="65"/>
        <v>100.00666666666666</v>
      </c>
      <c r="BQ144" s="535" t="s">
        <v>1979</v>
      </c>
      <c r="BR144" s="557">
        <v>8.8539999999999994E-2</v>
      </c>
      <c r="BS144" s="557">
        <v>8.8539999999999994E-2</v>
      </c>
      <c r="BT144" s="557">
        <v>1.719E-2</v>
      </c>
      <c r="BU144" s="557">
        <v>7.3859999999999995E-2</v>
      </c>
      <c r="BV144" s="557">
        <v>4.929E-2</v>
      </c>
      <c r="BW144" s="558" t="s">
        <v>2275</v>
      </c>
      <c r="BX144" s="535" t="s">
        <v>2276</v>
      </c>
      <c r="DH144" s="540" t="str">
        <f t="shared" si="74"/>
        <v>Marshall Islands</v>
      </c>
      <c r="DI144" s="540" t="str">
        <f t="shared" si="75"/>
        <v>Oceania</v>
      </c>
      <c r="DJ144" s="540" t="str">
        <f t="shared" si="76"/>
        <v>Rest of Oceania</v>
      </c>
      <c r="DK144" s="540" t="e">
        <f>VLOOKUP(DH144,#REF!,1)</f>
        <v>#REF!</v>
      </c>
      <c r="DL144" s="540" t="e">
        <f>VLOOKUP(DK144,#REF!,2,FALSE)</f>
        <v>#REF!</v>
      </c>
      <c r="DN144" s="540" t="s">
        <v>2623</v>
      </c>
      <c r="DO144" s="540" t="s">
        <v>2624</v>
      </c>
    </row>
    <row r="145" spans="49:119" ht="25.5">
      <c r="AW145" s="1396" t="s">
        <v>2683</v>
      </c>
      <c r="AX145" s="1395" t="s">
        <v>2048</v>
      </c>
      <c r="AY145" s="1397" t="s">
        <v>2147</v>
      </c>
      <c r="AZ145" s="1396">
        <v>568</v>
      </c>
      <c r="BA145" s="528" t="s">
        <v>1977</v>
      </c>
      <c r="BB145" s="536">
        <v>5.4123414965002699</v>
      </c>
      <c r="BC145" s="535" t="s">
        <v>2049</v>
      </c>
      <c r="BD145" s="537"/>
      <c r="BE145" s="537"/>
      <c r="BF145" s="535"/>
      <c r="BG145" s="537"/>
      <c r="BH145" s="538">
        <f t="shared" si="66"/>
        <v>6</v>
      </c>
      <c r="BI145" s="538">
        <f t="shared" si="67"/>
        <v>2.97</v>
      </c>
      <c r="BJ145" s="538">
        <f t="shared" si="68"/>
        <v>67.5</v>
      </c>
      <c r="BK145" s="538">
        <f t="shared" si="69"/>
        <v>2.5</v>
      </c>
      <c r="BL145" s="538">
        <f t="shared" si="70"/>
        <v>9.5</v>
      </c>
      <c r="BM145" s="538">
        <f t="shared" si="71"/>
        <v>5.6</v>
      </c>
      <c r="BN145" s="538">
        <f t="shared" si="72"/>
        <v>2.97</v>
      </c>
      <c r="BO145" s="538">
        <f t="shared" si="73"/>
        <v>2.9666666666666668</v>
      </c>
      <c r="BP145" s="538">
        <f t="shared" si="65"/>
        <v>100.00666666666666</v>
      </c>
      <c r="BQ145" s="535" t="s">
        <v>1979</v>
      </c>
      <c r="BR145" s="557">
        <v>8.8539999999999994E-2</v>
      </c>
      <c r="BS145" s="557">
        <v>8.8539999999999994E-2</v>
      </c>
      <c r="BT145" s="557">
        <v>1.719E-2</v>
      </c>
      <c r="BU145" s="557">
        <v>7.3859999999999995E-2</v>
      </c>
      <c r="BV145" s="557">
        <v>4.929E-2</v>
      </c>
      <c r="BW145" s="558" t="s">
        <v>2275</v>
      </c>
      <c r="BX145" s="535" t="s">
        <v>2276</v>
      </c>
      <c r="DH145" s="540" t="str">
        <f t="shared" si="74"/>
        <v>Micronesia</v>
      </c>
      <c r="DI145" s="540" t="str">
        <f t="shared" si="75"/>
        <v>Oceania</v>
      </c>
      <c r="DJ145" s="540" t="str">
        <f t="shared" si="76"/>
        <v>Rest of Oceania</v>
      </c>
      <c r="DK145" s="540" t="e">
        <f>VLOOKUP(DH145,#REF!,1)</f>
        <v>#REF!</v>
      </c>
      <c r="DL145" s="540" t="e">
        <f>VLOOKUP(DK145,#REF!,2,FALSE)</f>
        <v>#REF!</v>
      </c>
      <c r="DN145" s="540" t="s">
        <v>2626</v>
      </c>
      <c r="DO145" s="540" t="s">
        <v>2627</v>
      </c>
    </row>
    <row r="146" spans="49:119">
      <c r="AW146" s="1396" t="s">
        <v>2687</v>
      </c>
      <c r="AX146" s="1395" t="s">
        <v>2048</v>
      </c>
      <c r="AY146" s="1397" t="s">
        <v>2147</v>
      </c>
      <c r="AZ146" s="1396">
        <v>417</v>
      </c>
      <c r="BA146" s="528" t="s">
        <v>1977</v>
      </c>
      <c r="BB146" s="536">
        <v>19.892072943803498</v>
      </c>
      <c r="BC146" s="535" t="s">
        <v>2006</v>
      </c>
      <c r="BD146" s="537"/>
      <c r="BE146" s="537"/>
      <c r="BF146" s="535"/>
      <c r="BG146" s="537"/>
      <c r="BH146" s="538">
        <f t="shared" si="66"/>
        <v>6</v>
      </c>
      <c r="BI146" s="538">
        <f t="shared" si="67"/>
        <v>2.97</v>
      </c>
      <c r="BJ146" s="538">
        <f t="shared" si="68"/>
        <v>67.5</v>
      </c>
      <c r="BK146" s="538">
        <f t="shared" si="69"/>
        <v>2.5</v>
      </c>
      <c r="BL146" s="538">
        <f t="shared" si="70"/>
        <v>9.5</v>
      </c>
      <c r="BM146" s="538">
        <f t="shared" si="71"/>
        <v>5.6</v>
      </c>
      <c r="BN146" s="538">
        <f t="shared" si="72"/>
        <v>2.97</v>
      </c>
      <c r="BO146" s="538">
        <f t="shared" si="73"/>
        <v>2.9666666666666668</v>
      </c>
      <c r="BP146" s="538">
        <f t="shared" si="65"/>
        <v>100.00666666666666</v>
      </c>
      <c r="BQ146" s="535" t="s">
        <v>1979</v>
      </c>
      <c r="BR146" s="557">
        <v>8.8539999999999994E-2</v>
      </c>
      <c r="BS146" s="557">
        <v>8.8539999999999994E-2</v>
      </c>
      <c r="BT146" s="557">
        <v>1.719E-2</v>
      </c>
      <c r="BU146" s="557">
        <v>7.3859999999999995E-2</v>
      </c>
      <c r="BV146" s="557">
        <v>4.929E-2</v>
      </c>
      <c r="BW146" s="558" t="s">
        <v>2275</v>
      </c>
      <c r="BX146" s="535" t="s">
        <v>2276</v>
      </c>
      <c r="DH146" s="540" t="str">
        <f t="shared" si="74"/>
        <v>Nauru</v>
      </c>
      <c r="DI146" s="540" t="str">
        <f t="shared" si="75"/>
        <v>Oceania</v>
      </c>
      <c r="DJ146" s="540" t="str">
        <f t="shared" si="76"/>
        <v>Rest of Oceania</v>
      </c>
      <c r="DL146" s="540" t="s">
        <v>35</v>
      </c>
      <c r="DN146" s="540" t="s">
        <v>2629</v>
      </c>
      <c r="DO146" s="540" t="s">
        <v>2630</v>
      </c>
    </row>
    <row r="147" spans="49:119" ht="25.5">
      <c r="AW147" s="1396" t="s">
        <v>2692</v>
      </c>
      <c r="AX147" s="1395" t="s">
        <v>2048</v>
      </c>
      <c r="AY147" s="1397" t="s">
        <v>2147</v>
      </c>
      <c r="AZ147" s="1396">
        <v>355</v>
      </c>
      <c r="BA147" s="528" t="s">
        <v>1977</v>
      </c>
      <c r="BB147" s="536">
        <v>11.740747004194485</v>
      </c>
      <c r="BC147" s="535" t="s">
        <v>2263</v>
      </c>
      <c r="BD147" s="537"/>
      <c r="BE147" s="537"/>
      <c r="BF147" s="535"/>
      <c r="BG147" s="537"/>
      <c r="BH147" s="538">
        <f t="shared" si="66"/>
        <v>6</v>
      </c>
      <c r="BI147" s="538">
        <f t="shared" si="67"/>
        <v>2.97</v>
      </c>
      <c r="BJ147" s="538">
        <f t="shared" si="68"/>
        <v>67.5</v>
      </c>
      <c r="BK147" s="538">
        <f t="shared" si="69"/>
        <v>2.5</v>
      </c>
      <c r="BL147" s="538">
        <f t="shared" si="70"/>
        <v>9.5</v>
      </c>
      <c r="BM147" s="538">
        <f t="shared" si="71"/>
        <v>5.6</v>
      </c>
      <c r="BN147" s="538">
        <f t="shared" si="72"/>
        <v>2.97</v>
      </c>
      <c r="BO147" s="538">
        <f t="shared" si="73"/>
        <v>2.9666666666666668</v>
      </c>
      <c r="BP147" s="538">
        <f t="shared" si="65"/>
        <v>100.00666666666666</v>
      </c>
      <c r="BQ147" s="535" t="s">
        <v>1979</v>
      </c>
      <c r="BR147" s="557">
        <v>8.8539999999999994E-2</v>
      </c>
      <c r="BS147" s="557">
        <v>8.8539999999999994E-2</v>
      </c>
      <c r="BT147" s="557">
        <v>1.719E-2</v>
      </c>
      <c r="BU147" s="557">
        <v>7.3859999999999995E-2</v>
      </c>
      <c r="BV147" s="557">
        <v>4.929E-2</v>
      </c>
      <c r="BW147" s="558" t="s">
        <v>2275</v>
      </c>
      <c r="BX147" s="535" t="s">
        <v>2276</v>
      </c>
      <c r="DH147" s="540" t="str">
        <f t="shared" si="74"/>
        <v>New Caledonia (France)</v>
      </c>
      <c r="DI147" s="540" t="str">
        <f t="shared" si="75"/>
        <v>Oceania</v>
      </c>
      <c r="DJ147" s="540" t="str">
        <f t="shared" si="76"/>
        <v>Rest of Oceania</v>
      </c>
      <c r="DL147" s="540" t="s">
        <v>35</v>
      </c>
      <c r="DN147" s="540" t="s">
        <v>2632</v>
      </c>
      <c r="DO147" s="540" t="s">
        <v>2633</v>
      </c>
    </row>
    <row r="148" spans="49:119">
      <c r="AW148" s="1396" t="s">
        <v>2693</v>
      </c>
      <c r="AX148" s="1395" t="s">
        <v>2048</v>
      </c>
      <c r="AY148" s="1397" t="s">
        <v>2147</v>
      </c>
      <c r="AZ148" s="1396">
        <v>486</v>
      </c>
      <c r="BA148" s="528" t="s">
        <v>1977</v>
      </c>
      <c r="BB148" s="536">
        <v>10.025212186531689</v>
      </c>
      <c r="BC148" s="535" t="s">
        <v>2190</v>
      </c>
      <c r="BD148" s="537"/>
      <c r="BE148" s="537"/>
      <c r="BF148" s="535"/>
      <c r="BG148" s="537"/>
      <c r="BH148" s="538">
        <f t="shared" si="66"/>
        <v>6</v>
      </c>
      <c r="BI148" s="538">
        <f t="shared" si="67"/>
        <v>2.97</v>
      </c>
      <c r="BJ148" s="538">
        <f t="shared" si="68"/>
        <v>67.5</v>
      </c>
      <c r="BK148" s="538">
        <f t="shared" si="69"/>
        <v>2.5</v>
      </c>
      <c r="BL148" s="538">
        <f t="shared" si="70"/>
        <v>9.5</v>
      </c>
      <c r="BM148" s="538">
        <f t="shared" si="71"/>
        <v>5.6</v>
      </c>
      <c r="BN148" s="538">
        <f t="shared" si="72"/>
        <v>2.97</v>
      </c>
      <c r="BO148" s="538">
        <f t="shared" si="73"/>
        <v>2.9666666666666668</v>
      </c>
      <c r="BP148" s="538">
        <f t="shared" si="65"/>
        <v>100.00666666666666</v>
      </c>
      <c r="BQ148" s="535" t="s">
        <v>1979</v>
      </c>
      <c r="BR148" s="557">
        <v>8.8539999999999994E-2</v>
      </c>
      <c r="BS148" s="557">
        <v>8.8539999999999994E-2</v>
      </c>
      <c r="BT148" s="557">
        <v>1.719E-2</v>
      </c>
      <c r="BU148" s="557">
        <v>7.3859999999999995E-2</v>
      </c>
      <c r="BV148" s="557">
        <v>4.929E-2</v>
      </c>
      <c r="BW148" s="558" t="s">
        <v>2275</v>
      </c>
      <c r="BX148" s="535" t="s">
        <v>2276</v>
      </c>
      <c r="DH148" s="540" t="str">
        <f t="shared" si="74"/>
        <v>Niue</v>
      </c>
      <c r="DI148" s="540" t="str">
        <f t="shared" si="75"/>
        <v>Oceania</v>
      </c>
      <c r="DJ148" s="540" t="str">
        <f t="shared" si="76"/>
        <v>Rest of Oceania</v>
      </c>
      <c r="DL148" s="540" t="s">
        <v>35</v>
      </c>
      <c r="DN148" s="540" t="s">
        <v>2635</v>
      </c>
      <c r="DO148" s="540" t="s">
        <v>2636</v>
      </c>
    </row>
    <row r="149" spans="49:119" ht="25.5">
      <c r="AW149" s="1396" t="s">
        <v>2696</v>
      </c>
      <c r="AX149" s="1395" t="s">
        <v>2048</v>
      </c>
      <c r="AY149" s="1397" t="s">
        <v>2147</v>
      </c>
      <c r="AZ149" s="1396">
        <v>530</v>
      </c>
      <c r="BA149" s="528" t="s">
        <v>1977</v>
      </c>
      <c r="BB149" s="536">
        <v>11.740747004194485</v>
      </c>
      <c r="BC149" s="535" t="s">
        <v>2263</v>
      </c>
      <c r="BD149" s="537"/>
      <c r="BE149" s="537"/>
      <c r="BF149" s="535"/>
      <c r="BG149" s="537"/>
      <c r="BH149" s="538">
        <f t="shared" si="66"/>
        <v>6</v>
      </c>
      <c r="BI149" s="538">
        <f t="shared" si="67"/>
        <v>2.97</v>
      </c>
      <c r="BJ149" s="538">
        <f t="shared" si="68"/>
        <v>67.5</v>
      </c>
      <c r="BK149" s="538">
        <f t="shared" si="69"/>
        <v>2.5</v>
      </c>
      <c r="BL149" s="538">
        <f t="shared" si="70"/>
        <v>9.5</v>
      </c>
      <c r="BM149" s="538">
        <f t="shared" si="71"/>
        <v>5.6</v>
      </c>
      <c r="BN149" s="538">
        <f t="shared" si="72"/>
        <v>2.97</v>
      </c>
      <c r="BO149" s="538">
        <f t="shared" si="73"/>
        <v>2.9666666666666668</v>
      </c>
      <c r="BP149" s="538">
        <f t="shared" si="65"/>
        <v>100.00666666666666</v>
      </c>
      <c r="BQ149" s="535" t="s">
        <v>1979</v>
      </c>
      <c r="BR149" s="557">
        <v>8.8539999999999994E-2</v>
      </c>
      <c r="BS149" s="557">
        <v>8.8539999999999994E-2</v>
      </c>
      <c r="BT149" s="557">
        <v>1.719E-2</v>
      </c>
      <c r="BU149" s="557">
        <v>7.3859999999999995E-2</v>
      </c>
      <c r="BV149" s="557">
        <v>4.929E-2</v>
      </c>
      <c r="BW149" s="558" t="s">
        <v>2275</v>
      </c>
      <c r="BX149" s="535" t="s">
        <v>2276</v>
      </c>
      <c r="DH149" s="540" t="str">
        <f t="shared" si="74"/>
        <v>Northern Mariana Islands (U.S.)</v>
      </c>
      <c r="DI149" s="540" t="str">
        <f t="shared" si="75"/>
        <v>Oceania</v>
      </c>
      <c r="DJ149" s="540" t="str">
        <f t="shared" si="76"/>
        <v>Rest of Oceania</v>
      </c>
      <c r="DL149" s="540" t="s">
        <v>35</v>
      </c>
      <c r="DN149" s="540" t="s">
        <v>2638</v>
      </c>
      <c r="DO149" s="540" t="s">
        <v>2639</v>
      </c>
    </row>
    <row r="150" spans="49:119">
      <c r="AW150" s="1396" t="s">
        <v>2698</v>
      </c>
      <c r="AX150" s="1395" t="s">
        <v>2048</v>
      </c>
      <c r="AY150" s="1397" t="s">
        <v>2147</v>
      </c>
      <c r="AZ150" s="1396">
        <v>468</v>
      </c>
      <c r="BA150" s="528" t="s">
        <v>1977</v>
      </c>
      <c r="BB150" s="536">
        <v>5.7924038272450487</v>
      </c>
      <c r="BC150" s="535" t="s">
        <v>2006</v>
      </c>
      <c r="BD150" s="537"/>
      <c r="BE150" s="537"/>
      <c r="BF150" s="535"/>
      <c r="BG150" s="537"/>
      <c r="BH150" s="538">
        <f t="shared" si="66"/>
        <v>6</v>
      </c>
      <c r="BI150" s="538">
        <f t="shared" si="67"/>
        <v>2.97</v>
      </c>
      <c r="BJ150" s="538">
        <f t="shared" si="68"/>
        <v>67.5</v>
      </c>
      <c r="BK150" s="538">
        <f t="shared" si="69"/>
        <v>2.5</v>
      </c>
      <c r="BL150" s="538">
        <f t="shared" si="70"/>
        <v>9.5</v>
      </c>
      <c r="BM150" s="538">
        <f t="shared" si="71"/>
        <v>5.6</v>
      </c>
      <c r="BN150" s="538">
        <f t="shared" si="72"/>
        <v>2.97</v>
      </c>
      <c r="BO150" s="538">
        <f t="shared" si="73"/>
        <v>2.9666666666666668</v>
      </c>
      <c r="BP150" s="538">
        <f t="shared" si="65"/>
        <v>100.00666666666666</v>
      </c>
      <c r="BQ150" s="535" t="s">
        <v>1979</v>
      </c>
      <c r="BR150" s="557">
        <v>8.8539999999999994E-2</v>
      </c>
      <c r="BS150" s="557">
        <v>8.8539999999999994E-2</v>
      </c>
      <c r="BT150" s="557">
        <v>1.719E-2</v>
      </c>
      <c r="BU150" s="557">
        <v>7.3859999999999995E-2</v>
      </c>
      <c r="BV150" s="557">
        <v>4.929E-2</v>
      </c>
      <c r="BW150" s="558" t="s">
        <v>2275</v>
      </c>
      <c r="BX150" s="535" t="s">
        <v>2276</v>
      </c>
      <c r="DH150" s="540" t="str">
        <f t="shared" si="74"/>
        <v>Palau</v>
      </c>
      <c r="DI150" s="540" t="str">
        <f t="shared" si="75"/>
        <v>Oceania</v>
      </c>
      <c r="DJ150" s="540" t="str">
        <f t="shared" si="76"/>
        <v>Rest of Oceania</v>
      </c>
      <c r="DL150" s="540" t="s">
        <v>35</v>
      </c>
      <c r="DN150" s="540" t="s">
        <v>2641</v>
      </c>
      <c r="DO150" s="540" t="s">
        <v>2642</v>
      </c>
    </row>
    <row r="151" spans="49:119">
      <c r="AW151" s="1396" t="s">
        <v>2714</v>
      </c>
      <c r="AX151" s="1395" t="s">
        <v>2048</v>
      </c>
      <c r="AY151" s="1397" t="s">
        <v>2147</v>
      </c>
      <c r="AZ151" s="1396">
        <v>459</v>
      </c>
      <c r="BA151" s="528" t="s">
        <v>1977</v>
      </c>
      <c r="BB151" s="536">
        <v>18.8367793271604</v>
      </c>
      <c r="BC151" s="535" t="s">
        <v>2230</v>
      </c>
      <c r="BD151" s="537"/>
      <c r="BE151" s="537"/>
      <c r="BF151" s="535"/>
      <c r="BG151" s="537"/>
      <c r="BH151" s="538">
        <f t="shared" si="66"/>
        <v>6</v>
      </c>
      <c r="BI151" s="538">
        <f t="shared" si="67"/>
        <v>2.97</v>
      </c>
      <c r="BJ151" s="538">
        <f t="shared" si="68"/>
        <v>67.5</v>
      </c>
      <c r="BK151" s="538">
        <f t="shared" si="69"/>
        <v>2.5</v>
      </c>
      <c r="BL151" s="538">
        <f t="shared" si="70"/>
        <v>9.5</v>
      </c>
      <c r="BM151" s="538">
        <f t="shared" si="71"/>
        <v>5.6</v>
      </c>
      <c r="BN151" s="538">
        <f t="shared" si="72"/>
        <v>2.97</v>
      </c>
      <c r="BO151" s="538">
        <f t="shared" si="73"/>
        <v>2.9666666666666668</v>
      </c>
      <c r="BP151" s="538">
        <f t="shared" si="65"/>
        <v>100.00666666666666</v>
      </c>
      <c r="BQ151" s="535" t="s">
        <v>1979</v>
      </c>
      <c r="BR151" s="557">
        <v>8.8539999999999994E-2</v>
      </c>
      <c r="BS151" s="557">
        <v>8.8539999999999994E-2</v>
      </c>
      <c r="BT151" s="557">
        <v>1.719E-2</v>
      </c>
      <c r="BU151" s="557">
        <v>7.3859999999999995E-2</v>
      </c>
      <c r="BV151" s="557">
        <v>4.929E-2</v>
      </c>
      <c r="BW151" s="558" t="s">
        <v>2275</v>
      </c>
      <c r="BX151" s="535" t="s">
        <v>2276</v>
      </c>
      <c r="DH151" s="540" t="str">
        <f t="shared" si="74"/>
        <v>Papua New Guinea</v>
      </c>
      <c r="DI151" s="540" t="str">
        <f t="shared" si="75"/>
        <v>Oceania</v>
      </c>
      <c r="DJ151" s="540" t="str">
        <f t="shared" si="76"/>
        <v>Rest of Oceania</v>
      </c>
      <c r="DL151" s="540" t="s">
        <v>35</v>
      </c>
      <c r="DN151" s="540" t="s">
        <v>2643</v>
      </c>
      <c r="DO151" s="540" t="s">
        <v>2644</v>
      </c>
    </row>
    <row r="152" spans="49:119" ht="25.5">
      <c r="AW152" s="1396" t="s">
        <v>2725</v>
      </c>
      <c r="AX152" s="1395" t="s">
        <v>2048</v>
      </c>
      <c r="AY152" s="1397" t="s">
        <v>2147</v>
      </c>
      <c r="AZ152" s="1396">
        <v>631</v>
      </c>
      <c r="BA152" s="528" t="s">
        <v>1977</v>
      </c>
      <c r="BB152" s="536">
        <v>13.490630673342661</v>
      </c>
      <c r="BC152" s="535" t="s">
        <v>2223</v>
      </c>
      <c r="BD152" s="537"/>
      <c r="BE152" s="537"/>
      <c r="BF152" s="535"/>
      <c r="BG152" s="537"/>
      <c r="BH152" s="538">
        <f t="shared" si="66"/>
        <v>6</v>
      </c>
      <c r="BI152" s="538">
        <f t="shared" si="67"/>
        <v>2.97</v>
      </c>
      <c r="BJ152" s="538">
        <f t="shared" si="68"/>
        <v>67.5</v>
      </c>
      <c r="BK152" s="538">
        <f t="shared" si="69"/>
        <v>2.5</v>
      </c>
      <c r="BL152" s="538">
        <f t="shared" si="70"/>
        <v>9.5</v>
      </c>
      <c r="BM152" s="538">
        <f t="shared" si="71"/>
        <v>5.6</v>
      </c>
      <c r="BN152" s="538">
        <f t="shared" si="72"/>
        <v>2.97</v>
      </c>
      <c r="BO152" s="538">
        <f t="shared" si="73"/>
        <v>2.9666666666666668</v>
      </c>
      <c r="BP152" s="538">
        <f t="shared" si="65"/>
        <v>100.00666666666666</v>
      </c>
      <c r="BQ152" s="535" t="s">
        <v>1979</v>
      </c>
      <c r="BR152" s="557">
        <v>8.8539999999999994E-2</v>
      </c>
      <c r="BS152" s="557">
        <v>8.8539999999999994E-2</v>
      </c>
      <c r="BT152" s="557">
        <v>1.719E-2</v>
      </c>
      <c r="BU152" s="557">
        <v>7.3859999999999995E-2</v>
      </c>
      <c r="BV152" s="557">
        <v>4.929E-2</v>
      </c>
      <c r="BW152" s="558" t="s">
        <v>2275</v>
      </c>
      <c r="BX152" s="535" t="s">
        <v>2276</v>
      </c>
      <c r="DH152" s="540" t="str">
        <f t="shared" si="74"/>
        <v>Samoa</v>
      </c>
      <c r="DI152" s="540" t="str">
        <f t="shared" si="75"/>
        <v>Oceania</v>
      </c>
      <c r="DJ152" s="540" t="str">
        <f t="shared" si="76"/>
        <v>Rest of Oceania</v>
      </c>
      <c r="DL152" s="540" t="s">
        <v>35</v>
      </c>
      <c r="DN152" s="540" t="s">
        <v>2645</v>
      </c>
      <c r="DO152" s="540" t="s">
        <v>2646</v>
      </c>
    </row>
    <row r="153" spans="49:119">
      <c r="AW153" s="1396" t="s">
        <v>2740</v>
      </c>
      <c r="AX153" s="1395" t="s">
        <v>2048</v>
      </c>
      <c r="AY153" s="1397" t="s">
        <v>2147</v>
      </c>
      <c r="AZ153" s="1396">
        <v>583</v>
      </c>
      <c r="BA153" s="528" t="s">
        <v>1977</v>
      </c>
      <c r="BB153" s="536">
        <v>4.6770601336302899</v>
      </c>
      <c r="BC153" s="535" t="s">
        <v>2006</v>
      </c>
      <c r="BD153" s="537"/>
      <c r="BE153" s="537"/>
      <c r="BF153" s="535"/>
      <c r="BG153" s="537"/>
      <c r="BH153" s="538">
        <f t="shared" si="66"/>
        <v>6</v>
      </c>
      <c r="BI153" s="538">
        <f t="shared" si="67"/>
        <v>2.97</v>
      </c>
      <c r="BJ153" s="538">
        <f t="shared" si="68"/>
        <v>67.5</v>
      </c>
      <c r="BK153" s="538">
        <f t="shared" si="69"/>
        <v>2.5</v>
      </c>
      <c r="BL153" s="538">
        <f t="shared" si="70"/>
        <v>9.5</v>
      </c>
      <c r="BM153" s="538">
        <f t="shared" si="71"/>
        <v>5.6</v>
      </c>
      <c r="BN153" s="538">
        <f t="shared" si="72"/>
        <v>2.97</v>
      </c>
      <c r="BO153" s="538">
        <f t="shared" si="73"/>
        <v>2.9666666666666668</v>
      </c>
      <c r="BP153" s="538">
        <f t="shared" si="65"/>
        <v>100.00666666666666</v>
      </c>
      <c r="BQ153" s="535" t="s">
        <v>1979</v>
      </c>
      <c r="BR153" s="557">
        <v>8.8539999999999994E-2</v>
      </c>
      <c r="BS153" s="557">
        <v>8.8539999999999994E-2</v>
      </c>
      <c r="BT153" s="557">
        <v>1.719E-2</v>
      </c>
      <c r="BU153" s="557">
        <v>7.3859999999999995E-2</v>
      </c>
      <c r="BV153" s="557">
        <v>4.929E-2</v>
      </c>
      <c r="BW153" s="558" t="s">
        <v>2275</v>
      </c>
      <c r="BX153" s="535" t="s">
        <v>2276</v>
      </c>
      <c r="DH153" s="540" t="str">
        <f t="shared" si="74"/>
        <v>Solomon Islands</v>
      </c>
      <c r="DI153" s="540" t="str">
        <f t="shared" si="75"/>
        <v>Oceania</v>
      </c>
      <c r="DJ153" s="540" t="str">
        <f t="shared" si="76"/>
        <v>Rest of Oceania</v>
      </c>
      <c r="DL153" s="540" t="s">
        <v>35</v>
      </c>
      <c r="DN153" s="540" t="s">
        <v>2648</v>
      </c>
      <c r="DO153" s="540" t="s">
        <v>2649</v>
      </c>
    </row>
    <row r="154" spans="49:119" ht="25.5">
      <c r="AW154" s="1396" t="s">
        <v>2746</v>
      </c>
      <c r="AX154" s="1395" t="s">
        <v>2048</v>
      </c>
      <c r="AY154" s="1397" t="s">
        <v>2147</v>
      </c>
      <c r="AZ154" s="1396">
        <v>528</v>
      </c>
      <c r="BA154" s="528" t="s">
        <v>1977</v>
      </c>
      <c r="BB154" s="536">
        <v>5.4123414965002699</v>
      </c>
      <c r="BC154" s="535" t="s">
        <v>2049</v>
      </c>
      <c r="BD154" s="537"/>
      <c r="BE154" s="537"/>
      <c r="BF154" s="535"/>
      <c r="BG154" s="537"/>
      <c r="BH154" s="538">
        <f t="shared" si="66"/>
        <v>6</v>
      </c>
      <c r="BI154" s="538">
        <f t="shared" si="67"/>
        <v>2.97</v>
      </c>
      <c r="BJ154" s="538">
        <f t="shared" si="68"/>
        <v>67.5</v>
      </c>
      <c r="BK154" s="538">
        <f t="shared" si="69"/>
        <v>2.5</v>
      </c>
      <c r="BL154" s="538">
        <f t="shared" si="70"/>
        <v>9.5</v>
      </c>
      <c r="BM154" s="538">
        <f t="shared" si="71"/>
        <v>5.6</v>
      </c>
      <c r="BN154" s="538">
        <f t="shared" si="72"/>
        <v>2.97</v>
      </c>
      <c r="BO154" s="538">
        <f t="shared" si="73"/>
        <v>2.9666666666666668</v>
      </c>
      <c r="BP154" s="538">
        <f t="shared" si="65"/>
        <v>100.00666666666666</v>
      </c>
      <c r="BQ154" s="535" t="s">
        <v>1979</v>
      </c>
      <c r="BR154" s="557">
        <v>8.8539999999999994E-2</v>
      </c>
      <c r="BS154" s="557">
        <v>8.8539999999999994E-2</v>
      </c>
      <c r="BT154" s="557">
        <v>1.719E-2</v>
      </c>
      <c r="BU154" s="557">
        <v>7.3859999999999995E-2</v>
      </c>
      <c r="BV154" s="557">
        <v>4.929E-2</v>
      </c>
      <c r="BW154" s="558" t="s">
        <v>2275</v>
      </c>
      <c r="BX154" s="535" t="s">
        <v>2276</v>
      </c>
      <c r="DH154" s="540" t="str">
        <f t="shared" si="74"/>
        <v>Tonga</v>
      </c>
      <c r="DI154" s="540" t="str">
        <f t="shared" si="75"/>
        <v>Oceania</v>
      </c>
      <c r="DJ154" s="540" t="str">
        <f t="shared" si="76"/>
        <v>Rest of Oceania</v>
      </c>
      <c r="DK154" s="540" t="e">
        <f>VLOOKUP(DH154,#REF!,1)</f>
        <v>#REF!</v>
      </c>
      <c r="DL154" s="540" t="e">
        <f>VLOOKUP(DK154,#REF!,2,FALSE)</f>
        <v>#REF!</v>
      </c>
      <c r="DN154" s="540" t="s">
        <v>2651</v>
      </c>
      <c r="DO154" s="540" t="s">
        <v>2652</v>
      </c>
    </row>
    <row r="155" spans="49:119" ht="25.5">
      <c r="AW155" s="1396" t="s">
        <v>2756</v>
      </c>
      <c r="AX155" s="1395" t="s">
        <v>2048</v>
      </c>
      <c r="AY155" s="1397" t="s">
        <v>2147</v>
      </c>
      <c r="AZ155" s="1396">
        <v>371</v>
      </c>
      <c r="BA155" s="528" t="s">
        <v>1977</v>
      </c>
      <c r="BB155" s="536">
        <v>9.3894684857089938</v>
      </c>
      <c r="BC155" s="535" t="s">
        <v>2087</v>
      </c>
      <c r="BD155" s="537"/>
      <c r="BE155" s="537"/>
      <c r="BF155" s="535"/>
      <c r="BG155" s="537"/>
      <c r="BH155" s="538">
        <f t="shared" si="66"/>
        <v>6</v>
      </c>
      <c r="BI155" s="538">
        <f t="shared" si="67"/>
        <v>2.97</v>
      </c>
      <c r="BJ155" s="538">
        <f t="shared" si="68"/>
        <v>67.5</v>
      </c>
      <c r="BK155" s="538">
        <f t="shared" si="69"/>
        <v>2.5</v>
      </c>
      <c r="BL155" s="538">
        <f t="shared" si="70"/>
        <v>9.5</v>
      </c>
      <c r="BM155" s="538">
        <f t="shared" si="71"/>
        <v>5.6</v>
      </c>
      <c r="BN155" s="538">
        <f t="shared" si="72"/>
        <v>2.97</v>
      </c>
      <c r="BO155" s="538">
        <f t="shared" si="73"/>
        <v>2.9666666666666668</v>
      </c>
      <c r="BP155" s="538">
        <f t="shared" si="65"/>
        <v>100.00666666666666</v>
      </c>
      <c r="BQ155" s="535" t="s">
        <v>1979</v>
      </c>
      <c r="BR155" s="557">
        <v>8.8539999999999994E-2</v>
      </c>
      <c r="BS155" s="557">
        <v>8.8539999999999994E-2</v>
      </c>
      <c r="BT155" s="557">
        <v>1.719E-2</v>
      </c>
      <c r="BU155" s="557">
        <v>7.3859999999999995E-2</v>
      </c>
      <c r="BV155" s="557">
        <v>4.929E-2</v>
      </c>
      <c r="BW155" s="558" t="s">
        <v>2275</v>
      </c>
      <c r="BX155" s="535" t="s">
        <v>2276</v>
      </c>
      <c r="DH155" s="540" t="str">
        <f t="shared" si="74"/>
        <v>Tuvalu</v>
      </c>
      <c r="DI155" s="540" t="str">
        <f t="shared" si="75"/>
        <v>Oceania</v>
      </c>
      <c r="DJ155" s="540" t="str">
        <f t="shared" si="76"/>
        <v>Rest of Oceania</v>
      </c>
      <c r="DL155" s="540" t="s">
        <v>35</v>
      </c>
      <c r="DN155" s="540" t="s">
        <v>2654</v>
      </c>
      <c r="DO155" s="540" t="s">
        <v>2655</v>
      </c>
    </row>
    <row r="156" spans="49:119" ht="25.5">
      <c r="AW156" s="1395" t="s">
        <v>42</v>
      </c>
      <c r="AX156" s="1395" t="s">
        <v>2086</v>
      </c>
      <c r="AY156" s="1397" t="s">
        <v>2162</v>
      </c>
      <c r="AZ156" s="1396">
        <v>418.7</v>
      </c>
      <c r="BA156" s="528" t="s">
        <v>2340</v>
      </c>
      <c r="BB156" s="536">
        <v>13.490630673342661</v>
      </c>
      <c r="BC156" s="535" t="s">
        <v>2223</v>
      </c>
      <c r="BD156" s="537"/>
      <c r="BE156" s="537"/>
      <c r="BF156" s="535"/>
      <c r="BG156" s="537"/>
      <c r="BH156" s="538">
        <f t="shared" si="66"/>
        <v>17.100000000000001</v>
      </c>
      <c r="BI156" s="538">
        <f t="shared" si="67"/>
        <v>2.6</v>
      </c>
      <c r="BJ156" s="538">
        <f t="shared" si="68"/>
        <v>44.9</v>
      </c>
      <c r="BK156" s="538">
        <f t="shared" si="69"/>
        <v>4.7</v>
      </c>
      <c r="BL156" s="538">
        <f t="shared" si="70"/>
        <v>9.5</v>
      </c>
      <c r="BM156" s="538">
        <f t="shared" si="71"/>
        <v>5.6</v>
      </c>
      <c r="BN156" s="538">
        <f t="shared" si="72"/>
        <v>10.8</v>
      </c>
      <c r="BO156" s="538">
        <f t="shared" si="73"/>
        <v>4.8000000000000114</v>
      </c>
      <c r="BP156" s="538">
        <f t="shared" si="65"/>
        <v>100</v>
      </c>
      <c r="BQ156" s="535" t="s">
        <v>1979</v>
      </c>
      <c r="BR156" s="557">
        <v>8.8539999999999994E-2</v>
      </c>
      <c r="BS156" s="557">
        <v>8.8539999999999994E-2</v>
      </c>
      <c r="BT156" s="557">
        <v>1.719E-2</v>
      </c>
      <c r="BU156" s="557">
        <v>7.3859999999999995E-2</v>
      </c>
      <c r="BV156" s="557">
        <v>4.929E-2</v>
      </c>
      <c r="BW156" s="558" t="s">
        <v>2275</v>
      </c>
      <c r="BX156" s="535" t="s">
        <v>2276</v>
      </c>
      <c r="DH156" s="540" t="str">
        <f t="shared" si="74"/>
        <v>Vanatu</v>
      </c>
      <c r="DI156" s="540" t="str">
        <f t="shared" si="75"/>
        <v>Oceania</v>
      </c>
      <c r="DJ156" s="540" t="str">
        <f t="shared" si="76"/>
        <v>Rest of Oceania</v>
      </c>
      <c r="DL156" s="540" t="s">
        <v>35</v>
      </c>
      <c r="DN156" s="540" t="s">
        <v>2657</v>
      </c>
      <c r="DO156" s="540" t="s">
        <v>2658</v>
      </c>
    </row>
    <row r="157" spans="49:119">
      <c r="AW157" s="1395" t="s">
        <v>44</v>
      </c>
      <c r="AX157" s="1395" t="s">
        <v>2086</v>
      </c>
      <c r="AY157" s="1397" t="s">
        <v>2162</v>
      </c>
      <c r="AZ157" s="1395">
        <v>130</v>
      </c>
      <c r="BA157" s="528" t="s">
        <v>2349</v>
      </c>
      <c r="BB157" s="536">
        <v>6.1967994552264214</v>
      </c>
      <c r="BC157" s="535" t="s">
        <v>2006</v>
      </c>
      <c r="BD157" s="537"/>
      <c r="BE157" s="537"/>
      <c r="BF157" s="535"/>
      <c r="BG157" s="537"/>
      <c r="BH157" s="538">
        <f t="shared" si="66"/>
        <v>17.100000000000001</v>
      </c>
      <c r="BI157" s="538">
        <f t="shared" si="67"/>
        <v>2.6</v>
      </c>
      <c r="BJ157" s="538">
        <f t="shared" si="68"/>
        <v>44.9</v>
      </c>
      <c r="BK157" s="538">
        <f t="shared" si="69"/>
        <v>4.7</v>
      </c>
      <c r="BL157" s="538">
        <f t="shared" si="70"/>
        <v>9.5</v>
      </c>
      <c r="BM157" s="538">
        <f t="shared" si="71"/>
        <v>5.6</v>
      </c>
      <c r="BN157" s="538">
        <f t="shared" si="72"/>
        <v>10.8</v>
      </c>
      <c r="BO157" s="538">
        <f t="shared" si="73"/>
        <v>4.8000000000000114</v>
      </c>
      <c r="BP157" s="538">
        <f t="shared" si="65"/>
        <v>100</v>
      </c>
      <c r="BQ157" s="535" t="s">
        <v>1979</v>
      </c>
      <c r="BR157" s="557">
        <v>8.8539999999999994E-2</v>
      </c>
      <c r="BS157" s="557">
        <v>8.8539999999999994E-2</v>
      </c>
      <c r="BT157" s="557">
        <v>1.719E-2</v>
      </c>
      <c r="BU157" s="557">
        <v>7.3859999999999995E-2</v>
      </c>
      <c r="BV157" s="557">
        <v>4.929E-2</v>
      </c>
      <c r="BW157" s="558" t="s">
        <v>2275</v>
      </c>
      <c r="BX157" s="535" t="s">
        <v>2276</v>
      </c>
      <c r="DH157" s="540" t="str">
        <f t="shared" si="74"/>
        <v>Chile</v>
      </c>
      <c r="DI157" s="540" t="str">
        <f t="shared" si="75"/>
        <v>Americas</v>
      </c>
      <c r="DJ157" s="540" t="str">
        <f t="shared" si="76"/>
        <v>South America</v>
      </c>
      <c r="DL157" s="540" t="s">
        <v>35</v>
      </c>
      <c r="DN157" s="540" t="s">
        <v>2660</v>
      </c>
      <c r="DO157" s="540" t="s">
        <v>2661</v>
      </c>
    </row>
    <row r="158" spans="49:119" ht="25.5">
      <c r="AW158" s="1396" t="s">
        <v>2411</v>
      </c>
      <c r="AX158" s="1395" t="s">
        <v>2086</v>
      </c>
      <c r="AY158" s="1397" t="s">
        <v>2162</v>
      </c>
      <c r="AZ158" s="1396">
        <v>404</v>
      </c>
      <c r="BA158" s="528" t="s">
        <v>1977</v>
      </c>
      <c r="BB158" s="536">
        <v>11.740747004194485</v>
      </c>
      <c r="BC158" s="535" t="s">
        <v>2263</v>
      </c>
      <c r="BD158" s="537"/>
      <c r="BE158" s="537"/>
      <c r="BF158" s="535"/>
      <c r="BG158" s="537"/>
      <c r="BH158" s="538">
        <f t="shared" si="66"/>
        <v>17.100000000000001</v>
      </c>
      <c r="BI158" s="538">
        <f t="shared" si="67"/>
        <v>2.6</v>
      </c>
      <c r="BJ158" s="538">
        <f t="shared" si="68"/>
        <v>44.9</v>
      </c>
      <c r="BK158" s="538">
        <f t="shared" si="69"/>
        <v>4.7</v>
      </c>
      <c r="BL158" s="538">
        <f t="shared" si="70"/>
        <v>9.5</v>
      </c>
      <c r="BM158" s="538">
        <f t="shared" si="71"/>
        <v>5.6</v>
      </c>
      <c r="BN158" s="538">
        <f t="shared" si="72"/>
        <v>10.8</v>
      </c>
      <c r="BO158" s="538">
        <f t="shared" si="73"/>
        <v>4.8000000000000114</v>
      </c>
      <c r="BP158" s="538">
        <f t="shared" si="65"/>
        <v>100</v>
      </c>
      <c r="BQ158" s="535" t="s">
        <v>1979</v>
      </c>
      <c r="BR158" s="557">
        <v>8.8539999999999994E-2</v>
      </c>
      <c r="BS158" s="557">
        <v>8.8539999999999994E-2</v>
      </c>
      <c r="BT158" s="557">
        <v>1.719E-2</v>
      </c>
      <c r="BU158" s="557">
        <v>7.3859999999999995E-2</v>
      </c>
      <c r="BV158" s="557">
        <v>4.929E-2</v>
      </c>
      <c r="BW158" s="558" t="s">
        <v>2275</v>
      </c>
      <c r="BX158" s="535" t="s">
        <v>2276</v>
      </c>
      <c r="DH158" s="540" t="str">
        <f t="shared" si="74"/>
        <v>Colombia</v>
      </c>
      <c r="DI158" s="540" t="str">
        <f t="shared" si="75"/>
        <v>Americas</v>
      </c>
      <c r="DJ158" s="540" t="str">
        <f t="shared" si="76"/>
        <v>South America</v>
      </c>
      <c r="DL158" s="540" t="s">
        <v>35</v>
      </c>
      <c r="DN158" s="540" t="s">
        <v>2663</v>
      </c>
      <c r="DO158" s="540" t="s">
        <v>2664</v>
      </c>
    </row>
    <row r="159" spans="49:119">
      <c r="AW159" s="1396" t="s">
        <v>2457</v>
      </c>
      <c r="AX159" s="1395" t="s">
        <v>2086</v>
      </c>
      <c r="AY159" s="1397" t="s">
        <v>2162</v>
      </c>
      <c r="AZ159" s="1396">
        <v>335</v>
      </c>
      <c r="BA159" s="528" t="s">
        <v>1977</v>
      </c>
      <c r="BB159" s="552">
        <v>13.705654469711041</v>
      </c>
      <c r="BC159" s="535" t="s">
        <v>2006</v>
      </c>
      <c r="BD159" s="537"/>
      <c r="BE159" s="537"/>
      <c r="BF159" s="535"/>
      <c r="BG159" s="537"/>
      <c r="BH159" s="518">
        <v>14</v>
      </c>
      <c r="BI159" s="518">
        <v>3</v>
      </c>
      <c r="BJ159" s="518">
        <v>34</v>
      </c>
      <c r="BK159" s="518">
        <v>1</v>
      </c>
      <c r="BL159" s="518">
        <v>15</v>
      </c>
      <c r="BM159" s="518">
        <v>3</v>
      </c>
      <c r="BN159" s="518" t="s">
        <v>1966</v>
      </c>
      <c r="BO159" s="518">
        <f>100-SUM(BH159:BN159)</f>
        <v>30</v>
      </c>
      <c r="BP159" s="538">
        <f t="shared" si="65"/>
        <v>100</v>
      </c>
      <c r="BQ159" s="528" t="s">
        <v>2669</v>
      </c>
      <c r="BR159" s="557">
        <v>8.8539999999999994E-2</v>
      </c>
      <c r="BS159" s="557">
        <v>8.8539999999999994E-2</v>
      </c>
      <c r="BT159" s="557">
        <v>1.719E-2</v>
      </c>
      <c r="BU159" s="557">
        <v>7.3859999999999995E-2</v>
      </c>
      <c r="BV159" s="557">
        <v>4.929E-2</v>
      </c>
      <c r="BW159" s="558" t="s">
        <v>2275</v>
      </c>
      <c r="BX159" s="535" t="s">
        <v>2276</v>
      </c>
      <c r="DH159" s="540" t="str">
        <f t="shared" si="74"/>
        <v>Ecuador</v>
      </c>
      <c r="DI159" s="540" t="str">
        <f t="shared" si="75"/>
        <v>Americas</v>
      </c>
      <c r="DJ159" s="540" t="str">
        <f t="shared" si="76"/>
        <v>South America</v>
      </c>
      <c r="DL159" s="540" t="s">
        <v>35</v>
      </c>
      <c r="DN159" s="540" t="s">
        <v>2666</v>
      </c>
      <c r="DO159" s="540" t="s">
        <v>2667</v>
      </c>
    </row>
    <row r="160" spans="49:119" ht="25.5">
      <c r="AW160" s="1396" t="s">
        <v>2511</v>
      </c>
      <c r="AX160" s="1395" t="s">
        <v>2086</v>
      </c>
      <c r="AY160" s="1397" t="s">
        <v>2162</v>
      </c>
      <c r="AZ160" s="1396">
        <v>607</v>
      </c>
      <c r="BA160" s="528" t="s">
        <v>1977</v>
      </c>
      <c r="BB160" s="536">
        <v>5.4123414965002699</v>
      </c>
      <c r="BC160" s="535" t="s">
        <v>2049</v>
      </c>
      <c r="BD160" s="537"/>
      <c r="BE160" s="537"/>
      <c r="BF160" s="535"/>
      <c r="BG160" s="537"/>
      <c r="BH160" s="538">
        <f t="shared" ref="BH160:BH191" si="77">+VLOOKUP($AY160,$BZ$3:$CH$21,2,FALSE)</f>
        <v>17.100000000000001</v>
      </c>
      <c r="BI160" s="538">
        <f t="shared" ref="BI160:BI191" si="78">+VLOOKUP($AY160,$BZ$3:$CH$21,3,FALSE)</f>
        <v>2.6</v>
      </c>
      <c r="BJ160" s="538">
        <f t="shared" ref="BJ160:BJ191" si="79">+VLOOKUP($AY160,$BZ$3:$CH$21,4,FALSE)</f>
        <v>44.9</v>
      </c>
      <c r="BK160" s="538">
        <f t="shared" ref="BK160:BK191" si="80">+VLOOKUP($AY160,$BZ$3:$CH$21,5,FALSE)</f>
        <v>4.7</v>
      </c>
      <c r="BL160" s="538">
        <f t="shared" ref="BL160:BL191" si="81">+VLOOKUP($AY160,$BZ$3:$CH$21,6,FALSE)</f>
        <v>9.5</v>
      </c>
      <c r="BM160" s="538">
        <f t="shared" ref="BM160:BM191" si="82">+VLOOKUP($AY160,$BZ$3:$CH$21,7,FALSE)</f>
        <v>5.6</v>
      </c>
      <c r="BN160" s="538">
        <f t="shared" ref="BN160:BN191" si="83">+VLOOKUP($AY160,$BZ$3:$CH$21,8,FALSE)</f>
        <v>10.8</v>
      </c>
      <c r="BO160" s="538">
        <f t="shared" ref="BO160:BO191" si="84">+VLOOKUP($AY160,$BZ$3:$CH$21,9,FALSE)</f>
        <v>4.8000000000000114</v>
      </c>
      <c r="BP160" s="538">
        <f t="shared" si="65"/>
        <v>100</v>
      </c>
      <c r="BQ160" s="535" t="s">
        <v>1979</v>
      </c>
      <c r="BR160" s="557">
        <v>8.8539999999999994E-2</v>
      </c>
      <c r="BS160" s="557">
        <v>8.8539999999999994E-2</v>
      </c>
      <c r="BT160" s="557">
        <v>1.719E-2</v>
      </c>
      <c r="BU160" s="557">
        <v>7.3859999999999995E-2</v>
      </c>
      <c r="BV160" s="557">
        <v>4.929E-2</v>
      </c>
      <c r="BW160" s="558" t="s">
        <v>2275</v>
      </c>
      <c r="BX160" s="535" t="s">
        <v>2276</v>
      </c>
      <c r="DH160" s="540" t="str">
        <f t="shared" si="74"/>
        <v>French Guiana</v>
      </c>
      <c r="DI160" s="540" t="str">
        <f t="shared" si="75"/>
        <v>Americas</v>
      </c>
      <c r="DJ160" s="540" t="str">
        <f t="shared" si="76"/>
        <v>South America</v>
      </c>
      <c r="DK160" s="540" t="e">
        <f>VLOOKUP(DH160,#REF!,1)</f>
        <v>#REF!</v>
      </c>
      <c r="DL160" s="540" t="e">
        <f>VLOOKUP(DK160,#REF!,2,FALSE)</f>
        <v>#REF!</v>
      </c>
      <c r="DN160" s="540" t="s">
        <v>2670</v>
      </c>
      <c r="DO160" s="540" t="s">
        <v>2671</v>
      </c>
    </row>
    <row r="161" spans="49:119">
      <c r="AW161" s="1396" t="s">
        <v>2699</v>
      </c>
      <c r="AX161" s="1395" t="s">
        <v>2086</v>
      </c>
      <c r="AY161" s="1397" t="s">
        <v>2162</v>
      </c>
      <c r="AZ161" s="1396">
        <v>43</v>
      </c>
      <c r="BA161" s="528" t="s">
        <v>1977</v>
      </c>
      <c r="BB161" s="536">
        <v>21.528686226873482</v>
      </c>
      <c r="BC161" s="535" t="s">
        <v>2006</v>
      </c>
      <c r="BD161" s="537"/>
      <c r="BE161" s="537"/>
      <c r="BF161" s="535"/>
      <c r="BG161" s="537"/>
      <c r="BH161" s="538">
        <f t="shared" si="77"/>
        <v>17.100000000000001</v>
      </c>
      <c r="BI161" s="538">
        <f t="shared" si="78"/>
        <v>2.6</v>
      </c>
      <c r="BJ161" s="538">
        <f t="shared" si="79"/>
        <v>44.9</v>
      </c>
      <c r="BK161" s="538">
        <f t="shared" si="80"/>
        <v>4.7</v>
      </c>
      <c r="BL161" s="538">
        <f t="shared" si="81"/>
        <v>9.5</v>
      </c>
      <c r="BM161" s="538">
        <f t="shared" si="82"/>
        <v>5.6</v>
      </c>
      <c r="BN161" s="538">
        <f t="shared" si="83"/>
        <v>10.8</v>
      </c>
      <c r="BO161" s="538">
        <f t="shared" si="84"/>
        <v>4.8000000000000114</v>
      </c>
      <c r="BP161" s="538">
        <f t="shared" si="65"/>
        <v>100</v>
      </c>
      <c r="BQ161" s="535" t="s">
        <v>1979</v>
      </c>
      <c r="BR161" s="557">
        <v>8.8539999999999994E-2</v>
      </c>
      <c r="BS161" s="557">
        <v>8.8539999999999994E-2</v>
      </c>
      <c r="BT161" s="557">
        <v>1.719E-2</v>
      </c>
      <c r="BU161" s="557">
        <v>7.3859999999999995E-2</v>
      </c>
      <c r="BV161" s="557">
        <v>4.929E-2</v>
      </c>
      <c r="BW161" s="558" t="s">
        <v>2275</v>
      </c>
      <c r="BX161" s="535" t="s">
        <v>2276</v>
      </c>
      <c r="DH161" s="540" t="str">
        <f t="shared" si="74"/>
        <v>Guyana</v>
      </c>
      <c r="DI161" s="540" t="str">
        <f t="shared" si="75"/>
        <v>Americas</v>
      </c>
      <c r="DJ161" s="540" t="str">
        <f t="shared" si="76"/>
        <v>South America</v>
      </c>
      <c r="DL161" s="540" t="s">
        <v>35</v>
      </c>
      <c r="DN161" s="540" t="s">
        <v>2673</v>
      </c>
      <c r="DO161" s="540" t="s">
        <v>2673</v>
      </c>
    </row>
    <row r="162" spans="49:119" ht="25.5">
      <c r="AW162" s="1396" t="s">
        <v>2700</v>
      </c>
      <c r="AX162" s="1395" t="s">
        <v>2086</v>
      </c>
      <c r="AY162" s="1397" t="s">
        <v>2162</v>
      </c>
      <c r="AZ162" s="1396">
        <v>301</v>
      </c>
      <c r="BA162" s="528" t="s">
        <v>1977</v>
      </c>
      <c r="BB162" s="536">
        <v>6.2171813834411278</v>
      </c>
      <c r="BC162" s="535" t="s">
        <v>2062</v>
      </c>
      <c r="BD162" s="537"/>
      <c r="BE162" s="537"/>
      <c r="BF162" s="535"/>
      <c r="BG162" s="537"/>
      <c r="BH162" s="538">
        <f t="shared" si="77"/>
        <v>17.100000000000001</v>
      </c>
      <c r="BI162" s="538">
        <f t="shared" si="78"/>
        <v>2.6</v>
      </c>
      <c r="BJ162" s="538">
        <f t="shared" si="79"/>
        <v>44.9</v>
      </c>
      <c r="BK162" s="538">
        <f t="shared" si="80"/>
        <v>4.7</v>
      </c>
      <c r="BL162" s="538">
        <f t="shared" si="81"/>
        <v>9.5</v>
      </c>
      <c r="BM162" s="538">
        <f t="shared" si="82"/>
        <v>5.6</v>
      </c>
      <c r="BN162" s="538">
        <f t="shared" si="83"/>
        <v>10.8</v>
      </c>
      <c r="BO162" s="538">
        <f t="shared" si="84"/>
        <v>4.8000000000000114</v>
      </c>
      <c r="BP162" s="538">
        <f t="shared" si="65"/>
        <v>100</v>
      </c>
      <c r="BQ162" s="535" t="s">
        <v>1979</v>
      </c>
      <c r="BR162" s="557">
        <v>8.8539999999999994E-2</v>
      </c>
      <c r="BS162" s="557">
        <v>8.8539999999999994E-2</v>
      </c>
      <c r="BT162" s="557">
        <v>1.719E-2</v>
      </c>
      <c r="BU162" s="557">
        <v>7.3859999999999995E-2</v>
      </c>
      <c r="BV162" s="557">
        <v>4.929E-2</v>
      </c>
      <c r="BW162" s="558" t="s">
        <v>2275</v>
      </c>
      <c r="BX162" s="535" t="s">
        <v>2276</v>
      </c>
      <c r="DH162" s="540" t="str">
        <f t="shared" si="74"/>
        <v>Paraguay</v>
      </c>
      <c r="DI162" s="540" t="str">
        <f t="shared" si="75"/>
        <v>Americas</v>
      </c>
      <c r="DJ162" s="540" t="str">
        <f t="shared" si="76"/>
        <v>South America</v>
      </c>
      <c r="DL162" s="540" t="s">
        <v>35</v>
      </c>
    </row>
    <row r="163" spans="49:119">
      <c r="AW163" s="1396" t="s">
        <v>2731</v>
      </c>
      <c r="AX163" s="1395" t="s">
        <v>2086</v>
      </c>
      <c r="AY163" s="1397" t="s">
        <v>2162</v>
      </c>
      <c r="AZ163" s="1396">
        <v>485</v>
      </c>
      <c r="BA163" s="528" t="s">
        <v>1977</v>
      </c>
      <c r="BB163" s="536">
        <v>14.750744047619047</v>
      </c>
      <c r="BC163" s="535" t="s">
        <v>2006</v>
      </c>
      <c r="BD163" s="537"/>
      <c r="BE163" s="537"/>
      <c r="BF163" s="535"/>
      <c r="BG163" s="537"/>
      <c r="BH163" s="538">
        <f t="shared" si="77"/>
        <v>17.100000000000001</v>
      </c>
      <c r="BI163" s="538">
        <f t="shared" si="78"/>
        <v>2.6</v>
      </c>
      <c r="BJ163" s="538">
        <f t="shared" si="79"/>
        <v>44.9</v>
      </c>
      <c r="BK163" s="538">
        <f t="shared" si="80"/>
        <v>4.7</v>
      </c>
      <c r="BL163" s="538">
        <f t="shared" si="81"/>
        <v>9.5</v>
      </c>
      <c r="BM163" s="538">
        <f t="shared" si="82"/>
        <v>5.6</v>
      </c>
      <c r="BN163" s="538">
        <f t="shared" si="83"/>
        <v>10.8</v>
      </c>
      <c r="BO163" s="538">
        <f t="shared" si="84"/>
        <v>4.8000000000000114</v>
      </c>
      <c r="BP163" s="538">
        <f t="shared" si="65"/>
        <v>100</v>
      </c>
      <c r="BQ163" s="535" t="s">
        <v>1979</v>
      </c>
      <c r="BR163" s="557">
        <v>8.8539999999999994E-2</v>
      </c>
      <c r="BS163" s="557">
        <v>8.8539999999999994E-2</v>
      </c>
      <c r="BT163" s="557">
        <v>1.719E-2</v>
      </c>
      <c r="BU163" s="557">
        <v>7.3859999999999995E-2</v>
      </c>
      <c r="BV163" s="557">
        <v>4.929E-2</v>
      </c>
      <c r="BW163" s="558" t="s">
        <v>2275</v>
      </c>
      <c r="BX163" s="535" t="s">
        <v>2276</v>
      </c>
      <c r="DH163" s="540" t="str">
        <f t="shared" si="74"/>
        <v>Peru</v>
      </c>
      <c r="DI163" s="540" t="str">
        <f t="shared" si="75"/>
        <v>Americas</v>
      </c>
      <c r="DJ163" s="540" t="str">
        <f t="shared" si="76"/>
        <v>South America</v>
      </c>
      <c r="DL163" s="540" t="s">
        <v>35</v>
      </c>
    </row>
    <row r="164" spans="49:119">
      <c r="AW164" s="1395" t="s">
        <v>2752</v>
      </c>
      <c r="AX164" s="1395" t="s">
        <v>2086</v>
      </c>
      <c r="AY164" s="1397" t="s">
        <v>2162</v>
      </c>
      <c r="AZ164" s="1395">
        <v>28</v>
      </c>
      <c r="BA164" s="528" t="s">
        <v>2753</v>
      </c>
      <c r="BB164" s="536">
        <v>17.554364954301924</v>
      </c>
      <c r="BC164" s="535" t="s">
        <v>2006</v>
      </c>
      <c r="BD164" s="537"/>
      <c r="BE164" s="537"/>
      <c r="BF164" s="535"/>
      <c r="BG164" s="537"/>
      <c r="BH164" s="538">
        <f t="shared" si="77"/>
        <v>17.100000000000001</v>
      </c>
      <c r="BI164" s="538">
        <f t="shared" si="78"/>
        <v>2.6</v>
      </c>
      <c r="BJ164" s="538">
        <f t="shared" si="79"/>
        <v>44.9</v>
      </c>
      <c r="BK164" s="538">
        <f t="shared" si="80"/>
        <v>4.7</v>
      </c>
      <c r="BL164" s="538">
        <f t="shared" si="81"/>
        <v>9.5</v>
      </c>
      <c r="BM164" s="538">
        <f t="shared" si="82"/>
        <v>5.6</v>
      </c>
      <c r="BN164" s="538">
        <f t="shared" si="83"/>
        <v>10.8</v>
      </c>
      <c r="BO164" s="538">
        <f t="shared" si="84"/>
        <v>4.8000000000000114</v>
      </c>
      <c r="BP164" s="538">
        <f t="shared" si="65"/>
        <v>100</v>
      </c>
      <c r="BQ164" s="535" t="s">
        <v>1979</v>
      </c>
      <c r="BR164" s="557">
        <v>8.8539999999999994E-2</v>
      </c>
      <c r="BS164" s="557">
        <v>8.8539999999999994E-2</v>
      </c>
      <c r="BT164" s="557">
        <v>1.719E-2</v>
      </c>
      <c r="BU164" s="557">
        <v>7.3859999999999995E-2</v>
      </c>
      <c r="BV164" s="557">
        <v>4.929E-2</v>
      </c>
      <c r="BW164" s="558" t="s">
        <v>2275</v>
      </c>
      <c r="BX164" s="535" t="s">
        <v>2276</v>
      </c>
      <c r="DH164" s="540" t="str">
        <f t="shared" si="74"/>
        <v>Suriname</v>
      </c>
      <c r="DI164" s="540" t="str">
        <f t="shared" si="75"/>
        <v>Americas</v>
      </c>
      <c r="DJ164" s="540" t="str">
        <f t="shared" si="76"/>
        <v>South America</v>
      </c>
      <c r="DL164" s="540" t="s">
        <v>35</v>
      </c>
    </row>
    <row r="165" spans="49:119" ht="25.5">
      <c r="AW165" s="1396" t="s">
        <v>2757</v>
      </c>
      <c r="AX165" s="1395" t="s">
        <v>2086</v>
      </c>
      <c r="AY165" s="1397" t="s">
        <v>2162</v>
      </c>
      <c r="AZ165" s="1396">
        <v>345</v>
      </c>
      <c r="BA165" s="528" t="s">
        <v>1977</v>
      </c>
      <c r="BB165" s="536">
        <v>9.3894684857089938</v>
      </c>
      <c r="BC165" s="535" t="s">
        <v>2087</v>
      </c>
      <c r="BD165" s="537"/>
      <c r="BE165" s="537"/>
      <c r="BF165" s="535"/>
      <c r="BG165" s="537"/>
      <c r="BH165" s="538">
        <f t="shared" si="77"/>
        <v>17.100000000000001</v>
      </c>
      <c r="BI165" s="538">
        <f t="shared" si="78"/>
        <v>2.6</v>
      </c>
      <c r="BJ165" s="538">
        <f t="shared" si="79"/>
        <v>44.9</v>
      </c>
      <c r="BK165" s="538">
        <f t="shared" si="80"/>
        <v>4.7</v>
      </c>
      <c r="BL165" s="538">
        <f t="shared" si="81"/>
        <v>9.5</v>
      </c>
      <c r="BM165" s="538">
        <f t="shared" si="82"/>
        <v>5.6</v>
      </c>
      <c r="BN165" s="538">
        <f t="shared" si="83"/>
        <v>10.8</v>
      </c>
      <c r="BO165" s="538">
        <f t="shared" si="84"/>
        <v>4.8000000000000114</v>
      </c>
      <c r="BP165" s="538">
        <f t="shared" si="65"/>
        <v>100</v>
      </c>
      <c r="BQ165" s="535" t="s">
        <v>1979</v>
      </c>
      <c r="BR165" s="557">
        <v>8.8539999999999994E-2</v>
      </c>
      <c r="BS165" s="557">
        <v>8.8539999999999994E-2</v>
      </c>
      <c r="BT165" s="557">
        <v>1.719E-2</v>
      </c>
      <c r="BU165" s="557">
        <v>7.3859999999999995E-2</v>
      </c>
      <c r="BV165" s="557">
        <v>4.929E-2</v>
      </c>
      <c r="BW165" s="558" t="s">
        <v>2275</v>
      </c>
      <c r="BX165" s="535" t="s">
        <v>2276</v>
      </c>
      <c r="DH165" s="540" t="str">
        <f t="shared" si="74"/>
        <v>Uruguay</v>
      </c>
      <c r="DI165" s="540" t="str">
        <f t="shared" si="75"/>
        <v>Americas</v>
      </c>
      <c r="DJ165" s="540" t="str">
        <f t="shared" si="76"/>
        <v>South America</v>
      </c>
      <c r="DL165" s="540" t="s">
        <v>35</v>
      </c>
    </row>
    <row r="166" spans="49:119">
      <c r="AW166" s="1395" t="s">
        <v>49</v>
      </c>
      <c r="AX166" s="1395" t="s">
        <v>1976</v>
      </c>
      <c r="AY166" s="1397" t="s">
        <v>2007</v>
      </c>
      <c r="AZ166" s="1395">
        <v>708</v>
      </c>
      <c r="BA166" s="528" t="s">
        <v>2534</v>
      </c>
      <c r="BB166" s="536">
        <v>14.704654560634523</v>
      </c>
      <c r="BC166" s="535" t="s">
        <v>2006</v>
      </c>
      <c r="BD166" s="537"/>
      <c r="BE166" s="537"/>
      <c r="BF166" s="535"/>
      <c r="BG166" s="537"/>
      <c r="BH166" s="538">
        <f t="shared" si="77"/>
        <v>11.3</v>
      </c>
      <c r="BI166" s="538">
        <f t="shared" si="78"/>
        <v>2.5</v>
      </c>
      <c r="BJ166" s="538">
        <f t="shared" si="79"/>
        <v>40.299999999999997</v>
      </c>
      <c r="BK166" s="538">
        <f t="shared" si="80"/>
        <v>7.9</v>
      </c>
      <c r="BL166" s="538">
        <f t="shared" si="81"/>
        <v>9.5</v>
      </c>
      <c r="BM166" s="538">
        <f t="shared" si="82"/>
        <v>5.6</v>
      </c>
      <c r="BN166" s="538">
        <f t="shared" si="83"/>
        <v>6.4</v>
      </c>
      <c r="BO166" s="538">
        <f t="shared" si="84"/>
        <v>16.5</v>
      </c>
      <c r="BP166" s="538">
        <f t="shared" si="65"/>
        <v>100</v>
      </c>
      <c r="BQ166" s="535" t="s">
        <v>1979</v>
      </c>
      <c r="BR166" s="557">
        <v>8.8539999999999994E-2</v>
      </c>
      <c r="BS166" s="557">
        <v>8.8539999999999994E-2</v>
      </c>
      <c r="BT166" s="557">
        <v>1.719E-2</v>
      </c>
      <c r="BU166" s="557">
        <v>7.3859999999999995E-2</v>
      </c>
      <c r="BV166" s="557">
        <v>4.929E-2</v>
      </c>
      <c r="BW166" s="558" t="s">
        <v>2275</v>
      </c>
      <c r="BX166" s="535" t="s">
        <v>2276</v>
      </c>
      <c r="DH166" s="540" t="str">
        <f t="shared" si="74"/>
        <v>Venezuela</v>
      </c>
      <c r="DI166" s="540" t="str">
        <f t="shared" si="75"/>
        <v>Americas</v>
      </c>
      <c r="DJ166" s="540" t="str">
        <f t="shared" si="76"/>
        <v>South America</v>
      </c>
      <c r="DL166" s="540" t="s">
        <v>35</v>
      </c>
    </row>
    <row r="167" spans="49:119">
      <c r="AW167" s="1396" t="s">
        <v>2570</v>
      </c>
      <c r="AX167" s="1396" t="s">
        <v>1976</v>
      </c>
      <c r="AY167" s="1397" t="s">
        <v>2007</v>
      </c>
      <c r="AZ167" s="1396">
        <v>653</v>
      </c>
      <c r="BA167" s="528" t="s">
        <v>1977</v>
      </c>
      <c r="BB167" s="536">
        <v>14.720468890892697</v>
      </c>
      <c r="BC167" s="535" t="s">
        <v>2006</v>
      </c>
      <c r="BD167" s="537"/>
      <c r="BE167" s="537"/>
      <c r="BF167" s="535"/>
      <c r="BG167" s="537"/>
      <c r="BH167" s="538">
        <f t="shared" si="77"/>
        <v>11.3</v>
      </c>
      <c r="BI167" s="538">
        <f t="shared" si="78"/>
        <v>2.5</v>
      </c>
      <c r="BJ167" s="538">
        <f t="shared" si="79"/>
        <v>40.299999999999997</v>
      </c>
      <c r="BK167" s="538">
        <f t="shared" si="80"/>
        <v>7.9</v>
      </c>
      <c r="BL167" s="538">
        <f t="shared" si="81"/>
        <v>9.5</v>
      </c>
      <c r="BM167" s="538">
        <f t="shared" si="82"/>
        <v>5.6</v>
      </c>
      <c r="BN167" s="538">
        <f t="shared" si="83"/>
        <v>6.4</v>
      </c>
      <c r="BO167" s="538">
        <f t="shared" si="84"/>
        <v>16.5</v>
      </c>
      <c r="BP167" s="538">
        <f t="shared" si="65"/>
        <v>100</v>
      </c>
      <c r="BQ167" s="535" t="s">
        <v>1979</v>
      </c>
      <c r="BR167" s="557">
        <v>8.8539999999999994E-2</v>
      </c>
      <c r="BS167" s="557">
        <v>8.8539999999999994E-2</v>
      </c>
      <c r="BT167" s="557">
        <v>1.719E-2</v>
      </c>
      <c r="BU167" s="557">
        <v>7.3859999999999995E-2</v>
      </c>
      <c r="BV167" s="557">
        <v>4.929E-2</v>
      </c>
      <c r="BW167" s="558" t="s">
        <v>2275</v>
      </c>
      <c r="BX167" s="535" t="s">
        <v>2276</v>
      </c>
      <c r="DH167" s="540" t="str">
        <f t="shared" si="74"/>
        <v>India</v>
      </c>
      <c r="DI167" s="540" t="str">
        <f t="shared" si="75"/>
        <v>Asia</v>
      </c>
      <c r="DJ167" s="540" t="str">
        <f t="shared" si="76"/>
        <v>South-Central Asia</v>
      </c>
      <c r="DL167" s="540" t="s">
        <v>35</v>
      </c>
    </row>
    <row r="168" spans="49:119">
      <c r="AW168" s="1396" t="s">
        <v>2598</v>
      </c>
      <c r="AX168" s="1396" t="s">
        <v>1976</v>
      </c>
      <c r="AY168" s="1397" t="s">
        <v>2007</v>
      </c>
      <c r="AZ168" s="1396">
        <v>156</v>
      </c>
      <c r="BA168" s="528" t="s">
        <v>1977</v>
      </c>
      <c r="BB168" s="536">
        <v>20.491629582538671</v>
      </c>
      <c r="BC168" s="535" t="s">
        <v>2006</v>
      </c>
      <c r="BD168" s="537"/>
      <c r="BE168" s="537"/>
      <c r="BF168" s="535"/>
      <c r="BG168" s="537"/>
      <c r="BH168" s="538">
        <f t="shared" si="77"/>
        <v>11.3</v>
      </c>
      <c r="BI168" s="538">
        <f t="shared" si="78"/>
        <v>2.5</v>
      </c>
      <c r="BJ168" s="538">
        <f t="shared" si="79"/>
        <v>40.299999999999997</v>
      </c>
      <c r="BK168" s="538">
        <f t="shared" si="80"/>
        <v>7.9</v>
      </c>
      <c r="BL168" s="538">
        <f t="shared" si="81"/>
        <v>9.5</v>
      </c>
      <c r="BM168" s="538">
        <f t="shared" si="82"/>
        <v>5.6</v>
      </c>
      <c r="BN168" s="538">
        <f t="shared" si="83"/>
        <v>6.4</v>
      </c>
      <c r="BO168" s="538">
        <f t="shared" si="84"/>
        <v>16.5</v>
      </c>
      <c r="BP168" s="538">
        <f t="shared" si="65"/>
        <v>100</v>
      </c>
      <c r="BQ168" s="535" t="s">
        <v>1979</v>
      </c>
      <c r="BR168" s="557">
        <v>8.8539999999999994E-2</v>
      </c>
      <c r="BS168" s="557">
        <v>8.8539999999999994E-2</v>
      </c>
      <c r="BT168" s="557">
        <v>1.719E-2</v>
      </c>
      <c r="BU168" s="557">
        <v>7.3859999999999995E-2</v>
      </c>
      <c r="BV168" s="557">
        <v>4.929E-2</v>
      </c>
      <c r="BW168" s="558" t="s">
        <v>2275</v>
      </c>
      <c r="BX168" s="535" t="s">
        <v>2276</v>
      </c>
      <c r="DH168" s="540" t="str">
        <f t="shared" si="74"/>
        <v>Kazakhstan</v>
      </c>
      <c r="DI168" s="540" t="str">
        <f t="shared" si="75"/>
        <v>Asia</v>
      </c>
      <c r="DJ168" s="540" t="str">
        <f t="shared" si="76"/>
        <v>South-Central Asia</v>
      </c>
      <c r="DL168" s="540" t="s">
        <v>35</v>
      </c>
    </row>
    <row r="169" spans="49:119">
      <c r="AW169" s="1396" t="s">
        <v>55</v>
      </c>
      <c r="AX169" s="1396" t="s">
        <v>1976</v>
      </c>
      <c r="AY169" s="1397" t="s">
        <v>2007</v>
      </c>
      <c r="AZ169" s="1396">
        <v>553</v>
      </c>
      <c r="BA169" s="528" t="s">
        <v>1977</v>
      </c>
      <c r="BB169" s="536">
        <v>36.248331108144193</v>
      </c>
      <c r="BC169" s="535" t="s">
        <v>2006</v>
      </c>
      <c r="BD169" s="537"/>
      <c r="BE169" s="537"/>
      <c r="BF169" s="535"/>
      <c r="BG169" s="537"/>
      <c r="BH169" s="538">
        <f t="shared" si="77"/>
        <v>11.3</v>
      </c>
      <c r="BI169" s="538">
        <f t="shared" si="78"/>
        <v>2.5</v>
      </c>
      <c r="BJ169" s="538">
        <f t="shared" si="79"/>
        <v>40.299999999999997</v>
      </c>
      <c r="BK169" s="538">
        <f t="shared" si="80"/>
        <v>7.9</v>
      </c>
      <c r="BL169" s="538">
        <f t="shared" si="81"/>
        <v>9.5</v>
      </c>
      <c r="BM169" s="538">
        <f t="shared" si="82"/>
        <v>5.6</v>
      </c>
      <c r="BN169" s="538">
        <f t="shared" si="83"/>
        <v>6.4</v>
      </c>
      <c r="BO169" s="538">
        <f t="shared" si="84"/>
        <v>16.5</v>
      </c>
      <c r="BP169" s="538">
        <f t="shared" si="65"/>
        <v>100</v>
      </c>
      <c r="BQ169" s="535" t="s">
        <v>1979</v>
      </c>
      <c r="BR169" s="557">
        <v>8.8539999999999994E-2</v>
      </c>
      <c r="BS169" s="557">
        <v>8.8539999999999994E-2</v>
      </c>
      <c r="BT169" s="557">
        <v>1.719E-2</v>
      </c>
      <c r="BU169" s="557">
        <v>7.3859999999999995E-2</v>
      </c>
      <c r="BV169" s="557">
        <v>4.929E-2</v>
      </c>
      <c r="BW169" s="558" t="s">
        <v>2275</v>
      </c>
      <c r="BX169" s="535" t="s">
        <v>2276</v>
      </c>
      <c r="DH169" s="540" t="str">
        <f t="shared" si="74"/>
        <v>Kyrgyzstan</v>
      </c>
      <c r="DI169" s="540" t="str">
        <f t="shared" si="75"/>
        <v>Asia</v>
      </c>
      <c r="DJ169" s="540" t="str">
        <f t="shared" si="76"/>
        <v>South-Central Asia</v>
      </c>
      <c r="DL169" s="540" t="s">
        <v>35</v>
      </c>
    </row>
    <row r="170" spans="49:119" ht="25.5">
      <c r="AW170" s="1396" t="s">
        <v>2684</v>
      </c>
      <c r="AX170" s="1396" t="s">
        <v>1976</v>
      </c>
      <c r="AY170" s="1397" t="s">
        <v>2007</v>
      </c>
      <c r="AZ170" s="1396">
        <v>43</v>
      </c>
      <c r="BA170" s="528" t="s">
        <v>1977</v>
      </c>
      <c r="BB170" s="536">
        <v>5.4123414965002699</v>
      </c>
      <c r="BC170" s="535" t="s">
        <v>2049</v>
      </c>
      <c r="BD170" s="537"/>
      <c r="BE170" s="537"/>
      <c r="BF170" s="535"/>
      <c r="BG170" s="537"/>
      <c r="BH170" s="538">
        <f t="shared" si="77"/>
        <v>11.3</v>
      </c>
      <c r="BI170" s="538">
        <f t="shared" si="78"/>
        <v>2.5</v>
      </c>
      <c r="BJ170" s="538">
        <f t="shared" si="79"/>
        <v>40.299999999999997</v>
      </c>
      <c r="BK170" s="538">
        <f t="shared" si="80"/>
        <v>7.9</v>
      </c>
      <c r="BL170" s="538">
        <f t="shared" si="81"/>
        <v>9.5</v>
      </c>
      <c r="BM170" s="538">
        <f t="shared" si="82"/>
        <v>5.6</v>
      </c>
      <c r="BN170" s="538">
        <f t="shared" si="83"/>
        <v>6.4</v>
      </c>
      <c r="BO170" s="538">
        <f t="shared" si="84"/>
        <v>16.5</v>
      </c>
      <c r="BP170" s="538">
        <f t="shared" si="65"/>
        <v>100</v>
      </c>
      <c r="BQ170" s="535" t="s">
        <v>1979</v>
      </c>
      <c r="BR170" s="557">
        <v>8.8539999999999994E-2</v>
      </c>
      <c r="BS170" s="557">
        <v>8.8539999999999994E-2</v>
      </c>
      <c r="BT170" s="557">
        <v>1.719E-2</v>
      </c>
      <c r="BU170" s="557">
        <v>7.3859999999999995E-2</v>
      </c>
      <c r="BV170" s="557">
        <v>4.929E-2</v>
      </c>
      <c r="BW170" s="558" t="s">
        <v>2275</v>
      </c>
      <c r="BX170" s="535" t="s">
        <v>2276</v>
      </c>
      <c r="DH170" s="540" t="str">
        <f t="shared" si="74"/>
        <v>Maldives</v>
      </c>
      <c r="DI170" s="540" t="str">
        <f t="shared" si="75"/>
        <v>Asia</v>
      </c>
      <c r="DJ170" s="540" t="str">
        <f t="shared" si="76"/>
        <v>South-Central Asia</v>
      </c>
      <c r="DL170" s="540" t="s">
        <v>35</v>
      </c>
    </row>
    <row r="171" spans="49:119">
      <c r="AW171" s="1396" t="s">
        <v>2695</v>
      </c>
      <c r="AX171" s="1396" t="s">
        <v>1976</v>
      </c>
      <c r="AY171" s="1397" t="s">
        <v>2007</v>
      </c>
      <c r="AZ171" s="1396">
        <v>453</v>
      </c>
      <c r="BA171" s="528" t="s">
        <v>1977</v>
      </c>
      <c r="BB171" s="536">
        <v>32.209639188833286</v>
      </c>
      <c r="BC171" s="535" t="s">
        <v>2006</v>
      </c>
      <c r="BD171" s="537"/>
      <c r="BE171" s="537"/>
      <c r="BF171" s="535"/>
      <c r="BG171" s="537"/>
      <c r="BH171" s="538">
        <f t="shared" si="77"/>
        <v>11.3</v>
      </c>
      <c r="BI171" s="538">
        <f t="shared" si="78"/>
        <v>2.5</v>
      </c>
      <c r="BJ171" s="538">
        <f t="shared" si="79"/>
        <v>40.299999999999997</v>
      </c>
      <c r="BK171" s="538">
        <f t="shared" si="80"/>
        <v>7.9</v>
      </c>
      <c r="BL171" s="538">
        <f t="shared" si="81"/>
        <v>9.5</v>
      </c>
      <c r="BM171" s="538">
        <f t="shared" si="82"/>
        <v>5.6</v>
      </c>
      <c r="BN171" s="538">
        <f t="shared" si="83"/>
        <v>6.4</v>
      </c>
      <c r="BO171" s="538">
        <f t="shared" si="84"/>
        <v>16.5</v>
      </c>
      <c r="BP171" s="538">
        <f t="shared" si="65"/>
        <v>100</v>
      </c>
      <c r="BQ171" s="535" t="s">
        <v>1979</v>
      </c>
      <c r="BR171" s="557">
        <v>8.8539999999999994E-2</v>
      </c>
      <c r="BS171" s="557">
        <v>8.8539999999999994E-2</v>
      </c>
      <c r="BT171" s="557">
        <v>1.719E-2</v>
      </c>
      <c r="BU171" s="557">
        <v>7.3859999999999995E-2</v>
      </c>
      <c r="BV171" s="557">
        <v>4.929E-2</v>
      </c>
      <c r="BW171" s="558" t="s">
        <v>2275</v>
      </c>
      <c r="BX171" s="535" t="s">
        <v>2276</v>
      </c>
      <c r="DH171" s="540" t="str">
        <f t="shared" si="74"/>
        <v>Nepal</v>
      </c>
      <c r="DI171" s="540" t="str">
        <f t="shared" si="75"/>
        <v>Asia</v>
      </c>
      <c r="DJ171" s="540" t="str">
        <f t="shared" si="76"/>
        <v>South-Central Asia</v>
      </c>
      <c r="DL171" s="540" t="s">
        <v>35</v>
      </c>
    </row>
    <row r="172" spans="49:119">
      <c r="AW172" s="1396" t="s">
        <v>2729</v>
      </c>
      <c r="AX172" s="1396" t="s">
        <v>1976</v>
      </c>
      <c r="AY172" s="1397" t="s">
        <v>2007</v>
      </c>
      <c r="AZ172" s="1396">
        <v>468</v>
      </c>
      <c r="BA172" s="528" t="s">
        <v>1977</v>
      </c>
      <c r="BB172" s="536">
        <v>4.770929625403701</v>
      </c>
      <c r="BC172" s="535" t="s">
        <v>2006</v>
      </c>
      <c r="BD172" s="537"/>
      <c r="BE172" s="537"/>
      <c r="BF172" s="535"/>
      <c r="BG172" s="537"/>
      <c r="BH172" s="538">
        <f t="shared" si="77"/>
        <v>11.3</v>
      </c>
      <c r="BI172" s="538">
        <f t="shared" si="78"/>
        <v>2.5</v>
      </c>
      <c r="BJ172" s="538">
        <f t="shared" si="79"/>
        <v>40.299999999999997</v>
      </c>
      <c r="BK172" s="538">
        <f t="shared" si="80"/>
        <v>7.9</v>
      </c>
      <c r="BL172" s="538">
        <f t="shared" si="81"/>
        <v>9.5</v>
      </c>
      <c r="BM172" s="538">
        <f t="shared" si="82"/>
        <v>5.6</v>
      </c>
      <c r="BN172" s="538">
        <f t="shared" si="83"/>
        <v>6.4</v>
      </c>
      <c r="BO172" s="538">
        <f t="shared" si="84"/>
        <v>16.5</v>
      </c>
      <c r="BP172" s="538">
        <f t="shared" si="65"/>
        <v>100</v>
      </c>
      <c r="BQ172" s="535" t="s">
        <v>1979</v>
      </c>
      <c r="BR172" s="557">
        <v>8.8539999999999994E-2</v>
      </c>
      <c r="BS172" s="557">
        <v>8.8539999999999994E-2</v>
      </c>
      <c r="BT172" s="557">
        <v>1.719E-2</v>
      </c>
      <c r="BU172" s="557">
        <v>7.3859999999999995E-2</v>
      </c>
      <c r="BV172" s="557">
        <v>4.929E-2</v>
      </c>
      <c r="BW172" s="558" t="s">
        <v>2275</v>
      </c>
      <c r="BX172" s="535" t="s">
        <v>2276</v>
      </c>
      <c r="DH172" s="540" t="str">
        <f t="shared" ref="DH172:DH203" si="85">AW171</f>
        <v>Pakistan</v>
      </c>
      <c r="DI172" s="540" t="str">
        <f t="shared" ref="DI172:DI203" si="86">AX171</f>
        <v>Asia</v>
      </c>
      <c r="DJ172" s="540" t="str">
        <f t="shared" ref="DJ172:DJ203" si="87">AY171</f>
        <v>South-Central Asia</v>
      </c>
      <c r="DL172" s="540" t="s">
        <v>35</v>
      </c>
    </row>
    <row r="173" spans="49:119" ht="25.5">
      <c r="AW173" s="1396" t="s">
        <v>2736</v>
      </c>
      <c r="AX173" s="1396" t="s">
        <v>1976</v>
      </c>
      <c r="AY173" s="1397" t="s">
        <v>2007</v>
      </c>
      <c r="AZ173" s="1396">
        <v>63</v>
      </c>
      <c r="BA173" s="528" t="s">
        <v>1977</v>
      </c>
      <c r="BB173" s="536">
        <v>9.3894684857089938</v>
      </c>
      <c r="BC173" s="535" t="s">
        <v>2087</v>
      </c>
      <c r="BD173" s="537"/>
      <c r="BE173" s="537"/>
      <c r="BF173" s="535"/>
      <c r="BG173" s="537"/>
      <c r="BH173" s="538">
        <f t="shared" si="77"/>
        <v>11.3</v>
      </c>
      <c r="BI173" s="538">
        <f t="shared" si="78"/>
        <v>2.5</v>
      </c>
      <c r="BJ173" s="538">
        <f t="shared" si="79"/>
        <v>40.299999999999997</v>
      </c>
      <c r="BK173" s="538">
        <f t="shared" si="80"/>
        <v>7.9</v>
      </c>
      <c r="BL173" s="538">
        <f t="shared" si="81"/>
        <v>9.5</v>
      </c>
      <c r="BM173" s="538">
        <f t="shared" si="82"/>
        <v>5.6</v>
      </c>
      <c r="BN173" s="538">
        <f t="shared" si="83"/>
        <v>6.4</v>
      </c>
      <c r="BO173" s="538">
        <f t="shared" si="84"/>
        <v>16.5</v>
      </c>
      <c r="BP173" s="538">
        <f t="shared" si="65"/>
        <v>100</v>
      </c>
      <c r="BQ173" s="535" t="s">
        <v>1979</v>
      </c>
      <c r="BR173" s="557">
        <v>8.8539999999999994E-2</v>
      </c>
      <c r="BS173" s="557">
        <v>8.8539999999999994E-2</v>
      </c>
      <c r="BT173" s="557">
        <v>1.719E-2</v>
      </c>
      <c r="BU173" s="557">
        <v>7.3859999999999995E-2</v>
      </c>
      <c r="BV173" s="557">
        <v>4.929E-2</v>
      </c>
      <c r="BW173" s="558" t="s">
        <v>2275</v>
      </c>
      <c r="BX173" s="535" t="s">
        <v>2276</v>
      </c>
      <c r="DH173" s="540" t="str">
        <f t="shared" si="85"/>
        <v>Sri Lanka</v>
      </c>
      <c r="DI173" s="540" t="str">
        <f t="shared" si="86"/>
        <v>Asia</v>
      </c>
      <c r="DJ173" s="540" t="str">
        <f t="shared" si="87"/>
        <v>South-Central Asia</v>
      </c>
      <c r="DK173" s="540" t="s">
        <v>2685</v>
      </c>
      <c r="DL173" s="540" t="e">
        <f>VLOOKUP(DK173,#REF!,2,FALSE)</f>
        <v>#REF!</v>
      </c>
    </row>
    <row r="174" spans="49:119" ht="25.5">
      <c r="AW174" s="1396" t="s">
        <v>2744</v>
      </c>
      <c r="AX174" s="1396" t="s">
        <v>1976</v>
      </c>
      <c r="AY174" s="1397" t="s">
        <v>2007</v>
      </c>
      <c r="AZ174" s="1396">
        <v>691</v>
      </c>
      <c r="BA174" s="528" t="s">
        <v>1977</v>
      </c>
      <c r="BB174" s="536">
        <v>5.4123414965002699</v>
      </c>
      <c r="BC174" s="535" t="s">
        <v>2049</v>
      </c>
      <c r="BD174" s="537"/>
      <c r="BE174" s="537"/>
      <c r="BF174" s="535"/>
      <c r="BG174" s="537"/>
      <c r="BH174" s="538">
        <f t="shared" si="77"/>
        <v>11.3</v>
      </c>
      <c r="BI174" s="538">
        <f t="shared" si="78"/>
        <v>2.5</v>
      </c>
      <c r="BJ174" s="538">
        <f t="shared" si="79"/>
        <v>40.299999999999997</v>
      </c>
      <c r="BK174" s="538">
        <f t="shared" si="80"/>
        <v>7.9</v>
      </c>
      <c r="BL174" s="538">
        <f t="shared" si="81"/>
        <v>9.5</v>
      </c>
      <c r="BM174" s="538">
        <f t="shared" si="82"/>
        <v>5.6</v>
      </c>
      <c r="BN174" s="538">
        <f t="shared" si="83"/>
        <v>6.4</v>
      </c>
      <c r="BO174" s="538">
        <f t="shared" si="84"/>
        <v>16.5</v>
      </c>
      <c r="BP174" s="538">
        <f t="shared" si="65"/>
        <v>100</v>
      </c>
      <c r="BQ174" s="535" t="s">
        <v>1979</v>
      </c>
      <c r="BR174" s="557">
        <v>8.8539999999999994E-2</v>
      </c>
      <c r="BS174" s="557">
        <v>8.8539999999999994E-2</v>
      </c>
      <c r="BT174" s="557">
        <v>1.719E-2</v>
      </c>
      <c r="BU174" s="557">
        <v>7.3859999999999995E-2</v>
      </c>
      <c r="BV174" s="557">
        <v>4.929E-2</v>
      </c>
      <c r="BW174" s="558" t="s">
        <v>2275</v>
      </c>
      <c r="BX174" s="535" t="s">
        <v>2276</v>
      </c>
      <c r="DH174" s="540" t="str">
        <f t="shared" si="85"/>
        <v>Tajikistan</v>
      </c>
      <c r="DI174" s="540" t="str">
        <f t="shared" si="86"/>
        <v>Asia</v>
      </c>
      <c r="DJ174" s="540" t="str">
        <f t="shared" si="87"/>
        <v>South-Central Asia</v>
      </c>
      <c r="DL174" s="540" t="s">
        <v>35</v>
      </c>
    </row>
    <row r="175" spans="49:119">
      <c r="AW175" s="1396" t="s">
        <v>2755</v>
      </c>
      <c r="AX175" s="1396" t="s">
        <v>1976</v>
      </c>
      <c r="AY175" s="1397" t="s">
        <v>2007</v>
      </c>
      <c r="AZ175" s="1396">
        <v>506</v>
      </c>
      <c r="BA175" s="528" t="s">
        <v>1977</v>
      </c>
      <c r="BB175" s="536">
        <v>6.5440753936329159</v>
      </c>
      <c r="BC175" s="535" t="s">
        <v>2006</v>
      </c>
      <c r="BD175" s="537"/>
      <c r="BE175" s="537"/>
      <c r="BF175" s="535"/>
      <c r="BG175" s="537"/>
      <c r="BH175" s="538">
        <f t="shared" si="77"/>
        <v>11.3</v>
      </c>
      <c r="BI175" s="538">
        <f t="shared" si="78"/>
        <v>2.5</v>
      </c>
      <c r="BJ175" s="538">
        <f t="shared" si="79"/>
        <v>40.299999999999997</v>
      </c>
      <c r="BK175" s="538">
        <f t="shared" si="80"/>
        <v>7.9</v>
      </c>
      <c r="BL175" s="538">
        <f t="shared" si="81"/>
        <v>9.5</v>
      </c>
      <c r="BM175" s="538">
        <f t="shared" si="82"/>
        <v>5.6</v>
      </c>
      <c r="BN175" s="538">
        <f t="shared" si="83"/>
        <v>6.4</v>
      </c>
      <c r="BO175" s="538">
        <f t="shared" si="84"/>
        <v>16.5</v>
      </c>
      <c r="BP175" s="538">
        <f t="shared" si="65"/>
        <v>100</v>
      </c>
      <c r="BQ175" s="535" t="s">
        <v>1979</v>
      </c>
      <c r="BR175" s="557">
        <v>8.8539999999999994E-2</v>
      </c>
      <c r="BS175" s="557">
        <v>8.8539999999999994E-2</v>
      </c>
      <c r="BT175" s="557">
        <v>1.719E-2</v>
      </c>
      <c r="BU175" s="557">
        <v>7.3859999999999995E-2</v>
      </c>
      <c r="BV175" s="557">
        <v>4.929E-2</v>
      </c>
      <c r="BW175" s="558" t="s">
        <v>2275</v>
      </c>
      <c r="BX175" s="535" t="s">
        <v>2276</v>
      </c>
      <c r="DH175" s="540" t="str">
        <f t="shared" si="85"/>
        <v>Turkmenistan</v>
      </c>
      <c r="DI175" s="540" t="str">
        <f t="shared" si="86"/>
        <v>Asia</v>
      </c>
      <c r="DJ175" s="540" t="str">
        <f t="shared" si="87"/>
        <v>South-Central Asia</v>
      </c>
      <c r="DL175" s="540" t="s">
        <v>35</v>
      </c>
    </row>
    <row r="176" spans="49:119">
      <c r="AW176" s="1396" t="s">
        <v>2267</v>
      </c>
      <c r="AX176" s="1396" t="s">
        <v>1976</v>
      </c>
      <c r="AY176" s="1397" t="s">
        <v>2033</v>
      </c>
      <c r="AZ176" s="1396">
        <v>580</v>
      </c>
      <c r="BA176" s="528" t="s">
        <v>1977</v>
      </c>
      <c r="BB176" s="536">
        <v>20.827710301394511</v>
      </c>
      <c r="BC176" s="535" t="s">
        <v>2006</v>
      </c>
      <c r="BD176" s="537"/>
      <c r="BE176" s="537"/>
      <c r="BF176" s="535"/>
      <c r="BG176" s="537"/>
      <c r="BH176" s="538">
        <f t="shared" si="77"/>
        <v>12.9</v>
      </c>
      <c r="BI176" s="538">
        <f t="shared" si="78"/>
        <v>2.7</v>
      </c>
      <c r="BJ176" s="538">
        <f t="shared" si="79"/>
        <v>43.5</v>
      </c>
      <c r="BK176" s="538">
        <f t="shared" si="80"/>
        <v>9.9</v>
      </c>
      <c r="BL176" s="538">
        <f t="shared" si="81"/>
        <v>9.5</v>
      </c>
      <c r="BM176" s="538">
        <f t="shared" si="82"/>
        <v>5.6</v>
      </c>
      <c r="BN176" s="538">
        <f t="shared" si="83"/>
        <v>7.2</v>
      </c>
      <c r="BO176" s="538">
        <f t="shared" si="84"/>
        <v>8.7000000000000028</v>
      </c>
      <c r="BP176" s="538">
        <f t="shared" si="65"/>
        <v>100</v>
      </c>
      <c r="BQ176" s="535" t="s">
        <v>1979</v>
      </c>
      <c r="BR176" s="557">
        <v>8.8539999999999994E-2</v>
      </c>
      <c r="BS176" s="557">
        <v>8.8539999999999994E-2</v>
      </c>
      <c r="BT176" s="557">
        <v>1.719E-2</v>
      </c>
      <c r="BU176" s="557">
        <v>7.3859999999999995E-2</v>
      </c>
      <c r="BV176" s="557">
        <v>4.929E-2</v>
      </c>
      <c r="BW176" s="558" t="s">
        <v>2275</v>
      </c>
      <c r="BX176" s="535" t="s">
        <v>2276</v>
      </c>
      <c r="DH176" s="540" t="str">
        <f t="shared" si="85"/>
        <v>Uzbekistan</v>
      </c>
      <c r="DI176" s="540" t="str">
        <f t="shared" si="86"/>
        <v>Asia</v>
      </c>
      <c r="DJ176" s="540" t="str">
        <f t="shared" si="87"/>
        <v>South-Central Asia</v>
      </c>
      <c r="DL176" s="540" t="s">
        <v>35</v>
      </c>
    </row>
    <row r="177" spans="49:116">
      <c r="AW177" s="1396" t="s">
        <v>50</v>
      </c>
      <c r="AX177" s="1396" t="s">
        <v>1976</v>
      </c>
      <c r="AY177" s="1397" t="s">
        <v>2033</v>
      </c>
      <c r="AZ177" s="1396">
        <v>761</v>
      </c>
      <c r="BA177" s="528" t="s">
        <v>2538</v>
      </c>
      <c r="BB177" s="536">
        <v>41.760722347629795</v>
      </c>
      <c r="BC177" s="535" t="s">
        <v>2006</v>
      </c>
      <c r="BD177" s="537"/>
      <c r="BE177" s="537"/>
      <c r="BF177" s="535"/>
      <c r="BG177" s="537"/>
      <c r="BH177" s="538">
        <f t="shared" si="77"/>
        <v>12.9</v>
      </c>
      <c r="BI177" s="538">
        <f t="shared" si="78"/>
        <v>2.7</v>
      </c>
      <c r="BJ177" s="538">
        <f t="shared" si="79"/>
        <v>43.5</v>
      </c>
      <c r="BK177" s="538">
        <f t="shared" si="80"/>
        <v>9.9</v>
      </c>
      <c r="BL177" s="538">
        <f t="shared" si="81"/>
        <v>9.5</v>
      </c>
      <c r="BM177" s="538">
        <f t="shared" si="82"/>
        <v>5.6</v>
      </c>
      <c r="BN177" s="538">
        <f t="shared" si="83"/>
        <v>7.2</v>
      </c>
      <c r="BO177" s="538">
        <f t="shared" si="84"/>
        <v>8.7000000000000028</v>
      </c>
      <c r="BP177" s="538">
        <f t="shared" si="65"/>
        <v>100</v>
      </c>
      <c r="BQ177" s="535" t="s">
        <v>1979</v>
      </c>
      <c r="BR177" s="557">
        <v>8.8539999999999994E-2</v>
      </c>
      <c r="BS177" s="557">
        <v>8.8539999999999994E-2</v>
      </c>
      <c r="BT177" s="557">
        <v>1.719E-2</v>
      </c>
      <c r="BU177" s="557">
        <v>7.3859999999999995E-2</v>
      </c>
      <c r="BV177" s="557">
        <v>4.929E-2</v>
      </c>
      <c r="BW177" s="558" t="s">
        <v>2275</v>
      </c>
      <c r="BX177" s="535" t="s">
        <v>2276</v>
      </c>
      <c r="DH177" s="540" t="str">
        <f t="shared" si="85"/>
        <v>Cambodia</v>
      </c>
      <c r="DI177" s="540" t="str">
        <f t="shared" si="86"/>
        <v>Asia</v>
      </c>
      <c r="DJ177" s="540" t="str">
        <f t="shared" si="87"/>
        <v>South-Eastern Asia</v>
      </c>
      <c r="DL177" s="540" t="s">
        <v>35</v>
      </c>
    </row>
    <row r="178" spans="49:116">
      <c r="AW178" s="1396" t="s">
        <v>2601</v>
      </c>
      <c r="AX178" s="1396" t="s">
        <v>1976</v>
      </c>
      <c r="AY178" s="1397" t="s">
        <v>2033</v>
      </c>
      <c r="AZ178" s="1396">
        <v>366</v>
      </c>
      <c r="BA178" s="528" t="s">
        <v>1977</v>
      </c>
      <c r="BB178" s="536">
        <v>16.107272128989798</v>
      </c>
      <c r="BC178" s="535" t="s">
        <v>2006</v>
      </c>
      <c r="BD178" s="537"/>
      <c r="BE178" s="537"/>
      <c r="BF178" s="535"/>
      <c r="BG178" s="537"/>
      <c r="BH178" s="538">
        <f t="shared" si="77"/>
        <v>12.9</v>
      </c>
      <c r="BI178" s="538">
        <f t="shared" si="78"/>
        <v>2.7</v>
      </c>
      <c r="BJ178" s="538">
        <f t="shared" si="79"/>
        <v>43.5</v>
      </c>
      <c r="BK178" s="538">
        <f t="shared" si="80"/>
        <v>9.9</v>
      </c>
      <c r="BL178" s="538">
        <f t="shared" si="81"/>
        <v>9.5</v>
      </c>
      <c r="BM178" s="538">
        <f t="shared" si="82"/>
        <v>5.6</v>
      </c>
      <c r="BN178" s="538">
        <f t="shared" si="83"/>
        <v>7.2</v>
      </c>
      <c r="BO178" s="538">
        <f t="shared" si="84"/>
        <v>8.7000000000000028</v>
      </c>
      <c r="BP178" s="538">
        <f t="shared" si="65"/>
        <v>100</v>
      </c>
      <c r="BQ178" s="535" t="s">
        <v>1979</v>
      </c>
      <c r="BR178" s="557">
        <v>8.8539999999999994E-2</v>
      </c>
      <c r="BS178" s="557">
        <v>8.8539999999999994E-2</v>
      </c>
      <c r="BT178" s="557">
        <v>1.719E-2</v>
      </c>
      <c r="BU178" s="557">
        <v>7.3859999999999995E-2</v>
      </c>
      <c r="BV178" s="557">
        <v>4.929E-2</v>
      </c>
      <c r="BW178" s="558" t="s">
        <v>2275</v>
      </c>
      <c r="BX178" s="535" t="s">
        <v>2276</v>
      </c>
      <c r="DH178" s="540" t="str">
        <f t="shared" si="85"/>
        <v>Indonesia</v>
      </c>
      <c r="DI178" s="540" t="str">
        <f t="shared" si="86"/>
        <v>Asia</v>
      </c>
      <c r="DJ178" s="540" t="str">
        <f t="shared" si="87"/>
        <v>South-Eastern Asia</v>
      </c>
      <c r="DL178" s="540" t="s">
        <v>35</v>
      </c>
    </row>
    <row r="179" spans="49:116" ht="25.5">
      <c r="AW179" s="1396" t="s">
        <v>54</v>
      </c>
      <c r="AX179" s="1396" t="s">
        <v>1976</v>
      </c>
      <c r="AY179" s="1397" t="s">
        <v>2033</v>
      </c>
      <c r="AZ179" s="1396">
        <v>470</v>
      </c>
      <c r="BA179" s="528" t="s">
        <v>1977</v>
      </c>
      <c r="BB179" s="536">
        <v>5.4123414965002699</v>
      </c>
      <c r="BC179" s="535" t="s">
        <v>2049</v>
      </c>
      <c r="BD179" s="537"/>
      <c r="BE179" s="537"/>
      <c r="BF179" s="535"/>
      <c r="BG179" s="537"/>
      <c r="BH179" s="538">
        <f t="shared" si="77"/>
        <v>12.9</v>
      </c>
      <c r="BI179" s="538">
        <f t="shared" si="78"/>
        <v>2.7</v>
      </c>
      <c r="BJ179" s="538">
        <f t="shared" si="79"/>
        <v>43.5</v>
      </c>
      <c r="BK179" s="538">
        <f t="shared" si="80"/>
        <v>9.9</v>
      </c>
      <c r="BL179" s="538">
        <f t="shared" si="81"/>
        <v>9.5</v>
      </c>
      <c r="BM179" s="538">
        <f t="shared" si="82"/>
        <v>5.6</v>
      </c>
      <c r="BN179" s="538">
        <f t="shared" si="83"/>
        <v>7.2</v>
      </c>
      <c r="BO179" s="538">
        <f t="shared" si="84"/>
        <v>8.7000000000000028</v>
      </c>
      <c r="BP179" s="538">
        <f t="shared" si="65"/>
        <v>100</v>
      </c>
      <c r="BQ179" s="535" t="s">
        <v>1979</v>
      </c>
      <c r="BR179" s="557">
        <v>8.8539999999999994E-2</v>
      </c>
      <c r="BS179" s="557">
        <v>8.8539999999999994E-2</v>
      </c>
      <c r="BT179" s="557">
        <v>1.719E-2</v>
      </c>
      <c r="BU179" s="557">
        <v>7.3859999999999995E-2</v>
      </c>
      <c r="BV179" s="557">
        <v>4.929E-2</v>
      </c>
      <c r="BW179" s="558" t="s">
        <v>2275</v>
      </c>
      <c r="BX179" s="535" t="s">
        <v>2276</v>
      </c>
      <c r="DH179" s="540" t="str">
        <f t="shared" si="85"/>
        <v>Laos</v>
      </c>
      <c r="DI179" s="540" t="str">
        <f t="shared" si="86"/>
        <v>Asia</v>
      </c>
      <c r="DJ179" s="540" t="str">
        <f t="shared" si="87"/>
        <v>South-Eastern Asia</v>
      </c>
      <c r="DL179" s="540" t="s">
        <v>35</v>
      </c>
    </row>
    <row r="180" spans="49:116" ht="25.5">
      <c r="AW180" s="1396" t="s">
        <v>2681</v>
      </c>
      <c r="AX180" s="1396" t="s">
        <v>1976</v>
      </c>
      <c r="AY180" s="1397" t="s">
        <v>2033</v>
      </c>
      <c r="AZ180" s="1396">
        <v>367</v>
      </c>
      <c r="BA180" s="528" t="s">
        <v>1977</v>
      </c>
      <c r="BB180" s="536">
        <v>5.4123414965002699</v>
      </c>
      <c r="BC180" s="535" t="s">
        <v>2049</v>
      </c>
      <c r="BD180" s="537"/>
      <c r="BE180" s="537"/>
      <c r="BF180" s="535"/>
      <c r="BG180" s="537"/>
      <c r="BH180" s="538">
        <f t="shared" si="77"/>
        <v>12.9</v>
      </c>
      <c r="BI180" s="538">
        <f t="shared" si="78"/>
        <v>2.7</v>
      </c>
      <c r="BJ180" s="538">
        <f t="shared" si="79"/>
        <v>43.5</v>
      </c>
      <c r="BK180" s="538">
        <f t="shared" si="80"/>
        <v>9.9</v>
      </c>
      <c r="BL180" s="538">
        <f t="shared" si="81"/>
        <v>9.5</v>
      </c>
      <c r="BM180" s="538">
        <f t="shared" si="82"/>
        <v>5.6</v>
      </c>
      <c r="BN180" s="538">
        <f t="shared" si="83"/>
        <v>7.2</v>
      </c>
      <c r="BO180" s="538">
        <f t="shared" si="84"/>
        <v>8.7000000000000028</v>
      </c>
      <c r="BP180" s="538">
        <f t="shared" si="65"/>
        <v>100</v>
      </c>
      <c r="BQ180" s="535" t="s">
        <v>1979</v>
      </c>
      <c r="BR180" s="557">
        <v>8.8539999999999994E-2</v>
      </c>
      <c r="BS180" s="557">
        <v>8.8539999999999994E-2</v>
      </c>
      <c r="BT180" s="557">
        <v>1.719E-2</v>
      </c>
      <c r="BU180" s="557">
        <v>7.3859999999999995E-2</v>
      </c>
      <c r="BV180" s="557">
        <v>4.929E-2</v>
      </c>
      <c r="BW180" s="558" t="s">
        <v>2275</v>
      </c>
      <c r="BX180" s="535" t="s">
        <v>2276</v>
      </c>
      <c r="DH180" s="540" t="str">
        <f t="shared" si="85"/>
        <v>Malaysia</v>
      </c>
      <c r="DI180" s="540" t="str">
        <f t="shared" si="86"/>
        <v>Asia</v>
      </c>
      <c r="DJ180" s="540" t="str">
        <f t="shared" si="87"/>
        <v>South-Eastern Asia</v>
      </c>
      <c r="DL180" s="540" t="s">
        <v>35</v>
      </c>
    </row>
    <row r="181" spans="49:116">
      <c r="AW181" s="1396" t="s">
        <v>58</v>
      </c>
      <c r="AX181" s="1396" t="s">
        <v>1976</v>
      </c>
      <c r="AY181" s="1397" t="s">
        <v>2033</v>
      </c>
      <c r="AZ181" s="1396">
        <v>381</v>
      </c>
      <c r="BA181" s="528" t="s">
        <v>1977</v>
      </c>
      <c r="BB181" s="536">
        <v>6.0796170676787558</v>
      </c>
      <c r="BC181" s="535" t="s">
        <v>2006</v>
      </c>
      <c r="BD181" s="549">
        <v>0.04</v>
      </c>
      <c r="BE181" s="549">
        <v>0</v>
      </c>
      <c r="BF181" s="535" t="s">
        <v>2179</v>
      </c>
      <c r="BG181" s="537"/>
      <c r="BH181" s="538">
        <f t="shared" si="77"/>
        <v>12.9</v>
      </c>
      <c r="BI181" s="538">
        <f t="shared" si="78"/>
        <v>2.7</v>
      </c>
      <c r="BJ181" s="538">
        <f t="shared" si="79"/>
        <v>43.5</v>
      </c>
      <c r="BK181" s="538">
        <f t="shared" si="80"/>
        <v>9.9</v>
      </c>
      <c r="BL181" s="538">
        <f t="shared" si="81"/>
        <v>9.5</v>
      </c>
      <c r="BM181" s="538">
        <f t="shared" si="82"/>
        <v>5.6</v>
      </c>
      <c r="BN181" s="538">
        <f t="shared" si="83"/>
        <v>7.2</v>
      </c>
      <c r="BO181" s="538">
        <f t="shared" si="84"/>
        <v>8.7000000000000028</v>
      </c>
      <c r="BP181" s="538">
        <f t="shared" si="65"/>
        <v>100</v>
      </c>
      <c r="BQ181" s="535" t="s">
        <v>1979</v>
      </c>
      <c r="BR181" s="557">
        <v>8.8539999999999994E-2</v>
      </c>
      <c r="BS181" s="557">
        <v>8.8539999999999994E-2</v>
      </c>
      <c r="BT181" s="557">
        <v>1.719E-2</v>
      </c>
      <c r="BU181" s="557">
        <v>7.3859999999999995E-2</v>
      </c>
      <c r="BV181" s="557">
        <v>4.929E-2</v>
      </c>
      <c r="BW181" s="558" t="s">
        <v>2275</v>
      </c>
      <c r="BX181" s="535" t="s">
        <v>2276</v>
      </c>
      <c r="DH181" s="540" t="str">
        <f t="shared" si="85"/>
        <v>Myanmar</v>
      </c>
      <c r="DI181" s="540" t="str">
        <f t="shared" si="86"/>
        <v>Asia</v>
      </c>
      <c r="DJ181" s="540" t="str">
        <f t="shared" si="87"/>
        <v>South-Eastern Asia</v>
      </c>
      <c r="DL181" s="540" t="s">
        <v>35</v>
      </c>
    </row>
    <row r="182" spans="49:116">
      <c r="AW182" s="1396" t="s">
        <v>59</v>
      </c>
      <c r="AX182" s="1396" t="s">
        <v>1976</v>
      </c>
      <c r="AY182" s="1397" t="s">
        <v>2033</v>
      </c>
      <c r="AZ182" s="1396">
        <v>489</v>
      </c>
      <c r="BA182" s="528" t="s">
        <v>1977</v>
      </c>
      <c r="BB182" s="536">
        <v>10.882999176050536</v>
      </c>
      <c r="BC182" s="535" t="s">
        <v>2006</v>
      </c>
      <c r="BD182" s="537"/>
      <c r="BE182" s="537"/>
      <c r="BF182" s="535"/>
      <c r="BG182" s="537"/>
      <c r="BH182" s="538">
        <f t="shared" si="77"/>
        <v>12.9</v>
      </c>
      <c r="BI182" s="538">
        <f t="shared" si="78"/>
        <v>2.7</v>
      </c>
      <c r="BJ182" s="538">
        <f t="shared" si="79"/>
        <v>43.5</v>
      </c>
      <c r="BK182" s="538">
        <f t="shared" si="80"/>
        <v>9.9</v>
      </c>
      <c r="BL182" s="538">
        <f t="shared" si="81"/>
        <v>9.5</v>
      </c>
      <c r="BM182" s="538">
        <f t="shared" si="82"/>
        <v>5.6</v>
      </c>
      <c r="BN182" s="538">
        <f t="shared" si="83"/>
        <v>7.2</v>
      </c>
      <c r="BO182" s="538">
        <f t="shared" si="84"/>
        <v>8.7000000000000028</v>
      </c>
      <c r="BP182" s="538">
        <f t="shared" si="65"/>
        <v>100</v>
      </c>
      <c r="BQ182" s="535" t="s">
        <v>1979</v>
      </c>
      <c r="BR182" s="557">
        <v>8.8539999999999994E-2</v>
      </c>
      <c r="BS182" s="557">
        <v>8.8539999999999994E-2</v>
      </c>
      <c r="BT182" s="557">
        <v>1.719E-2</v>
      </c>
      <c r="BU182" s="557">
        <v>7.3859999999999995E-2</v>
      </c>
      <c r="BV182" s="557">
        <v>4.929E-2</v>
      </c>
      <c r="BW182" s="558" t="s">
        <v>2275</v>
      </c>
      <c r="BX182" s="535" t="s">
        <v>2276</v>
      </c>
      <c r="DH182" s="540" t="str">
        <f t="shared" si="85"/>
        <v>Oman</v>
      </c>
      <c r="DI182" s="540" t="str">
        <f t="shared" si="86"/>
        <v>Asia</v>
      </c>
      <c r="DJ182" s="540" t="str">
        <f t="shared" si="87"/>
        <v>South-Eastern Asia</v>
      </c>
      <c r="DK182" s="540" t="e">
        <f>VLOOKUP(DH182,#REF!,1)</f>
        <v>#REF!</v>
      </c>
      <c r="DL182" s="540" t="e">
        <f>VLOOKUP(DK182,#REF!,2,FALSE)</f>
        <v>#REF!</v>
      </c>
    </row>
    <row r="183" spans="49:116">
      <c r="AW183" s="1396" t="s">
        <v>61</v>
      </c>
      <c r="AX183" s="1396" t="s">
        <v>1976</v>
      </c>
      <c r="AY183" s="1397" t="s">
        <v>2033</v>
      </c>
      <c r="AZ183" s="1396">
        <v>276</v>
      </c>
      <c r="BA183" s="528" t="s">
        <v>1977</v>
      </c>
      <c r="BB183" s="536">
        <v>17.135566605600626</v>
      </c>
      <c r="BC183" s="535" t="s">
        <v>2006</v>
      </c>
      <c r="BD183" s="537"/>
      <c r="BE183" s="537"/>
      <c r="BF183" s="535"/>
      <c r="BG183" s="537"/>
      <c r="BH183" s="538">
        <f t="shared" si="77"/>
        <v>12.9</v>
      </c>
      <c r="BI183" s="538">
        <f t="shared" si="78"/>
        <v>2.7</v>
      </c>
      <c r="BJ183" s="538">
        <f t="shared" si="79"/>
        <v>43.5</v>
      </c>
      <c r="BK183" s="538">
        <f t="shared" si="80"/>
        <v>9.9</v>
      </c>
      <c r="BL183" s="538">
        <f t="shared" si="81"/>
        <v>9.5</v>
      </c>
      <c r="BM183" s="538">
        <f t="shared" si="82"/>
        <v>5.6</v>
      </c>
      <c r="BN183" s="538">
        <f t="shared" si="83"/>
        <v>7.2</v>
      </c>
      <c r="BO183" s="538">
        <f t="shared" si="84"/>
        <v>8.7000000000000028</v>
      </c>
      <c r="BP183" s="538">
        <f t="shared" si="65"/>
        <v>100</v>
      </c>
      <c r="BQ183" s="535" t="s">
        <v>1979</v>
      </c>
      <c r="BR183" s="557">
        <v>8.8539999999999994E-2</v>
      </c>
      <c r="BS183" s="557">
        <v>8.8539999999999994E-2</v>
      </c>
      <c r="BT183" s="557">
        <v>1.719E-2</v>
      </c>
      <c r="BU183" s="557">
        <v>7.3859999999999995E-2</v>
      </c>
      <c r="BV183" s="557">
        <v>4.929E-2</v>
      </c>
      <c r="BW183" s="558" t="s">
        <v>2275</v>
      </c>
      <c r="BX183" s="535" t="s">
        <v>2276</v>
      </c>
      <c r="DH183" s="540" t="str">
        <f t="shared" si="85"/>
        <v>Philippines</v>
      </c>
      <c r="DI183" s="540" t="str">
        <f t="shared" si="86"/>
        <v>Asia</v>
      </c>
      <c r="DJ183" s="540" t="str">
        <f t="shared" si="87"/>
        <v>South-Eastern Asia</v>
      </c>
      <c r="DL183" s="540" t="s">
        <v>35</v>
      </c>
    </row>
    <row r="184" spans="49:116" ht="25.5">
      <c r="AW184" s="1396" t="s">
        <v>63</v>
      </c>
      <c r="AX184" s="1396" t="s">
        <v>1976</v>
      </c>
      <c r="AY184" s="1397" t="s">
        <v>2033</v>
      </c>
      <c r="AZ184" s="1396">
        <v>732</v>
      </c>
      <c r="BA184" s="528" t="s">
        <v>2717</v>
      </c>
      <c r="BB184" s="536">
        <v>5.4123414965002699</v>
      </c>
      <c r="BC184" s="535" t="s">
        <v>2049</v>
      </c>
      <c r="BD184" s="537"/>
      <c r="BE184" s="537"/>
      <c r="BF184" s="535"/>
      <c r="BG184" s="537"/>
      <c r="BH184" s="538">
        <f t="shared" si="77"/>
        <v>12.9</v>
      </c>
      <c r="BI184" s="538">
        <f t="shared" si="78"/>
        <v>2.7</v>
      </c>
      <c r="BJ184" s="538">
        <f t="shared" si="79"/>
        <v>43.5</v>
      </c>
      <c r="BK184" s="538">
        <f t="shared" si="80"/>
        <v>9.9</v>
      </c>
      <c r="BL184" s="538">
        <f t="shared" si="81"/>
        <v>9.5</v>
      </c>
      <c r="BM184" s="538">
        <f t="shared" si="82"/>
        <v>5.6</v>
      </c>
      <c r="BN184" s="538">
        <f t="shared" si="83"/>
        <v>7.2</v>
      </c>
      <c r="BO184" s="538">
        <f t="shared" si="84"/>
        <v>8.7000000000000028</v>
      </c>
      <c r="BP184" s="538">
        <f t="shared" si="65"/>
        <v>100</v>
      </c>
      <c r="BQ184" s="535" t="s">
        <v>1979</v>
      </c>
      <c r="BR184" s="557">
        <v>8.8539999999999994E-2</v>
      </c>
      <c r="BS184" s="557">
        <v>8.8539999999999994E-2</v>
      </c>
      <c r="BT184" s="557">
        <v>1.719E-2</v>
      </c>
      <c r="BU184" s="557">
        <v>7.3859999999999995E-2</v>
      </c>
      <c r="BV184" s="557">
        <v>4.929E-2</v>
      </c>
      <c r="BW184" s="558" t="s">
        <v>2275</v>
      </c>
      <c r="BX184" s="535" t="s">
        <v>2276</v>
      </c>
      <c r="DH184" s="540" t="str">
        <f t="shared" si="85"/>
        <v>Qatar</v>
      </c>
      <c r="DI184" s="540" t="str">
        <f t="shared" si="86"/>
        <v>Asia</v>
      </c>
      <c r="DJ184" s="540" t="str">
        <f t="shared" si="87"/>
        <v>South-Eastern Asia</v>
      </c>
      <c r="DL184" s="540" t="s">
        <v>35</v>
      </c>
    </row>
    <row r="185" spans="49:116">
      <c r="AW185" s="1396" t="s">
        <v>64</v>
      </c>
      <c r="AX185" s="1396" t="s">
        <v>1976</v>
      </c>
      <c r="AY185" s="1397" t="s">
        <v>2033</v>
      </c>
      <c r="AZ185" s="1396">
        <v>249</v>
      </c>
      <c r="BA185" s="528" t="s">
        <v>1977</v>
      </c>
      <c r="BB185" s="536">
        <v>14.299558522666093</v>
      </c>
      <c r="BC185" s="535" t="s">
        <v>2006</v>
      </c>
      <c r="BD185" s="537"/>
      <c r="BE185" s="537"/>
      <c r="BF185" s="535"/>
      <c r="BG185" s="537"/>
      <c r="BH185" s="538">
        <f t="shared" si="77"/>
        <v>12.9</v>
      </c>
      <c r="BI185" s="538">
        <f t="shared" si="78"/>
        <v>2.7</v>
      </c>
      <c r="BJ185" s="538">
        <f t="shared" si="79"/>
        <v>43.5</v>
      </c>
      <c r="BK185" s="538">
        <f t="shared" si="80"/>
        <v>9.9</v>
      </c>
      <c r="BL185" s="538">
        <f t="shared" si="81"/>
        <v>9.5</v>
      </c>
      <c r="BM185" s="538">
        <f t="shared" si="82"/>
        <v>5.6</v>
      </c>
      <c r="BN185" s="538">
        <f t="shared" si="83"/>
        <v>7.2</v>
      </c>
      <c r="BO185" s="538">
        <f t="shared" si="84"/>
        <v>8.7000000000000028</v>
      </c>
      <c r="BP185" s="538">
        <f t="shared" si="65"/>
        <v>100</v>
      </c>
      <c r="BQ185" s="535" t="s">
        <v>1979</v>
      </c>
      <c r="BR185" s="557">
        <v>8.8539999999999994E-2</v>
      </c>
      <c r="BS185" s="557">
        <v>8.8539999999999994E-2</v>
      </c>
      <c r="BT185" s="557">
        <v>1.719E-2</v>
      </c>
      <c r="BU185" s="557">
        <v>7.3859999999999995E-2</v>
      </c>
      <c r="BV185" s="557">
        <v>4.929E-2</v>
      </c>
      <c r="BW185" s="558" t="s">
        <v>2275</v>
      </c>
      <c r="BX185" s="535" t="s">
        <v>2276</v>
      </c>
      <c r="DH185" s="540" t="str">
        <f t="shared" si="85"/>
        <v>Saudi Arabia</v>
      </c>
      <c r="DI185" s="540" t="str">
        <f t="shared" si="86"/>
        <v>Asia</v>
      </c>
      <c r="DJ185" s="540" t="str">
        <f t="shared" si="87"/>
        <v>South-Eastern Asia</v>
      </c>
      <c r="DL185" s="540" t="s">
        <v>35</v>
      </c>
    </row>
    <row r="186" spans="49:116" ht="25.5">
      <c r="AW186" s="1396" t="s">
        <v>68</v>
      </c>
      <c r="AX186" s="1396" t="s">
        <v>1976</v>
      </c>
      <c r="AY186" s="1397" t="s">
        <v>2033</v>
      </c>
      <c r="AZ186" s="1396">
        <v>390</v>
      </c>
      <c r="BA186" s="528" t="s">
        <v>1977</v>
      </c>
      <c r="BB186" s="536">
        <v>5.4123414965002699</v>
      </c>
      <c r="BC186" s="535" t="s">
        <v>2049</v>
      </c>
      <c r="BD186" s="537"/>
      <c r="BE186" s="537"/>
      <c r="BF186" s="535"/>
      <c r="BG186" s="537"/>
      <c r="BH186" s="538">
        <f t="shared" si="77"/>
        <v>12.9</v>
      </c>
      <c r="BI186" s="538">
        <f t="shared" si="78"/>
        <v>2.7</v>
      </c>
      <c r="BJ186" s="538">
        <f t="shared" si="79"/>
        <v>43.5</v>
      </c>
      <c r="BK186" s="538">
        <f t="shared" si="80"/>
        <v>9.9</v>
      </c>
      <c r="BL186" s="538">
        <f t="shared" si="81"/>
        <v>9.5</v>
      </c>
      <c r="BM186" s="538">
        <f t="shared" si="82"/>
        <v>5.6</v>
      </c>
      <c r="BN186" s="538">
        <f t="shared" si="83"/>
        <v>7.2</v>
      </c>
      <c r="BO186" s="538">
        <f t="shared" si="84"/>
        <v>8.7000000000000028</v>
      </c>
      <c r="BP186" s="538">
        <f t="shared" si="65"/>
        <v>100</v>
      </c>
      <c r="BQ186" s="535" t="s">
        <v>1979</v>
      </c>
      <c r="BR186" s="557">
        <v>8.8539999999999994E-2</v>
      </c>
      <c r="BS186" s="557">
        <v>8.8539999999999994E-2</v>
      </c>
      <c r="BT186" s="557">
        <v>1.719E-2</v>
      </c>
      <c r="BU186" s="557">
        <v>7.3859999999999995E-2</v>
      </c>
      <c r="BV186" s="557">
        <v>4.929E-2</v>
      </c>
      <c r="BW186" s="558" t="s">
        <v>2275</v>
      </c>
      <c r="BX186" s="535" t="s">
        <v>2276</v>
      </c>
      <c r="DH186" s="540" t="str">
        <f t="shared" si="85"/>
        <v>Singapore</v>
      </c>
      <c r="DI186" s="540" t="str">
        <f t="shared" si="86"/>
        <v>Asia</v>
      </c>
      <c r="DJ186" s="540" t="str">
        <f t="shared" si="87"/>
        <v>South-Eastern Asia</v>
      </c>
      <c r="DL186" s="540" t="s">
        <v>35</v>
      </c>
    </row>
    <row r="187" spans="49:116">
      <c r="AW187" s="1396" t="s">
        <v>2738</v>
      </c>
      <c r="AX187" s="1396" t="s">
        <v>1976</v>
      </c>
      <c r="AY187" s="1397" t="s">
        <v>2033</v>
      </c>
      <c r="AZ187" s="1396">
        <v>630</v>
      </c>
      <c r="BA187" s="528" t="s">
        <v>1977</v>
      </c>
      <c r="BB187" s="536">
        <v>6.5789949712383775</v>
      </c>
      <c r="BC187" s="535" t="s">
        <v>2006</v>
      </c>
      <c r="BD187" s="549">
        <v>0.02</v>
      </c>
      <c r="BE187" s="549">
        <v>0.25</v>
      </c>
      <c r="BF187" s="535" t="s">
        <v>2179</v>
      </c>
      <c r="BG187" s="537"/>
      <c r="BH187" s="538">
        <f t="shared" si="77"/>
        <v>12.9</v>
      </c>
      <c r="BI187" s="538">
        <f t="shared" si="78"/>
        <v>2.7</v>
      </c>
      <c r="BJ187" s="538">
        <f t="shared" si="79"/>
        <v>43.5</v>
      </c>
      <c r="BK187" s="538">
        <f t="shared" si="80"/>
        <v>9.9</v>
      </c>
      <c r="BL187" s="538">
        <f t="shared" si="81"/>
        <v>9.5</v>
      </c>
      <c r="BM187" s="538">
        <f t="shared" si="82"/>
        <v>5.6</v>
      </c>
      <c r="BN187" s="538">
        <f t="shared" si="83"/>
        <v>7.2</v>
      </c>
      <c r="BO187" s="538">
        <f t="shared" si="84"/>
        <v>8.7000000000000028</v>
      </c>
      <c r="BP187" s="538">
        <f t="shared" si="65"/>
        <v>100</v>
      </c>
      <c r="BQ187" s="535" t="s">
        <v>1979</v>
      </c>
      <c r="BR187" s="557">
        <v>8.8539999999999994E-2</v>
      </c>
      <c r="BS187" s="557">
        <v>8.8539999999999994E-2</v>
      </c>
      <c r="BT187" s="557">
        <v>1.719E-2</v>
      </c>
      <c r="BU187" s="557">
        <v>7.3859999999999995E-2</v>
      </c>
      <c r="BV187" s="557">
        <v>4.929E-2</v>
      </c>
      <c r="BW187" s="558" t="s">
        <v>2275</v>
      </c>
      <c r="BX187" s="535" t="s">
        <v>2276</v>
      </c>
      <c r="DH187" s="540" t="str">
        <f t="shared" si="85"/>
        <v>Thailand</v>
      </c>
      <c r="DI187" s="540" t="str">
        <f t="shared" si="86"/>
        <v>Asia</v>
      </c>
      <c r="DJ187" s="540" t="str">
        <f t="shared" si="87"/>
        <v>South-Eastern Asia</v>
      </c>
      <c r="DL187" s="540" t="s">
        <v>35</v>
      </c>
    </row>
    <row r="188" spans="49:116">
      <c r="AW188" s="1396" t="s">
        <v>70</v>
      </c>
      <c r="AX188" s="1396" t="s">
        <v>1976</v>
      </c>
      <c r="AY188" s="1397" t="s">
        <v>2033</v>
      </c>
      <c r="AZ188" s="1396">
        <v>353</v>
      </c>
      <c r="BA188" s="528" t="s">
        <v>1977</v>
      </c>
      <c r="BB188" s="536">
        <v>10.969689017189346</v>
      </c>
      <c r="BC188" s="535" t="s">
        <v>2006</v>
      </c>
      <c r="BD188" s="549">
        <v>0.05</v>
      </c>
      <c r="BE188" s="549">
        <v>0.08</v>
      </c>
      <c r="BF188" s="535" t="s">
        <v>2179</v>
      </c>
      <c r="BG188" s="537"/>
      <c r="BH188" s="538">
        <f t="shared" si="77"/>
        <v>12.9</v>
      </c>
      <c r="BI188" s="538">
        <f t="shared" si="78"/>
        <v>2.7</v>
      </c>
      <c r="BJ188" s="538">
        <f t="shared" si="79"/>
        <v>43.5</v>
      </c>
      <c r="BK188" s="538">
        <f t="shared" si="80"/>
        <v>9.9</v>
      </c>
      <c r="BL188" s="538">
        <f t="shared" si="81"/>
        <v>9.5</v>
      </c>
      <c r="BM188" s="538">
        <f t="shared" si="82"/>
        <v>5.6</v>
      </c>
      <c r="BN188" s="538">
        <f t="shared" si="83"/>
        <v>7.2</v>
      </c>
      <c r="BO188" s="538">
        <f t="shared" si="84"/>
        <v>8.7000000000000028</v>
      </c>
      <c r="BP188" s="538">
        <f t="shared" si="65"/>
        <v>100</v>
      </c>
      <c r="BQ188" s="535" t="s">
        <v>1979</v>
      </c>
      <c r="BR188" s="557">
        <v>8.8539999999999994E-2</v>
      </c>
      <c r="BS188" s="557">
        <v>8.8539999999999994E-2</v>
      </c>
      <c r="BT188" s="557">
        <v>1.719E-2</v>
      </c>
      <c r="BU188" s="557">
        <v>7.3859999999999995E-2</v>
      </c>
      <c r="BV188" s="557">
        <v>4.929E-2</v>
      </c>
      <c r="BW188" s="558" t="s">
        <v>2275</v>
      </c>
      <c r="BX188" s="535" t="s">
        <v>2276</v>
      </c>
      <c r="DH188" s="540" t="str">
        <f t="shared" si="85"/>
        <v>Timor-Leste</v>
      </c>
      <c r="DI188" s="540" t="str">
        <f t="shared" si="86"/>
        <v>Asia</v>
      </c>
      <c r="DJ188" s="540" t="str">
        <f t="shared" si="87"/>
        <v>South-Eastern Asia</v>
      </c>
      <c r="DL188" s="540" t="s">
        <v>35</v>
      </c>
    </row>
    <row r="189" spans="49:116">
      <c r="AW189" s="1396" t="s">
        <v>71</v>
      </c>
      <c r="AX189" s="1396" t="s">
        <v>1976</v>
      </c>
      <c r="AY189" s="1397" t="s">
        <v>2033</v>
      </c>
      <c r="AZ189" s="1396">
        <v>356</v>
      </c>
      <c r="BA189" s="528" t="s">
        <v>1977</v>
      </c>
      <c r="BB189" s="536">
        <v>9.4095415598871366</v>
      </c>
      <c r="BC189" s="535" t="s">
        <v>2006</v>
      </c>
      <c r="BD189" s="537"/>
      <c r="BE189" s="537"/>
      <c r="BF189" s="535"/>
      <c r="BG189" s="537"/>
      <c r="BH189" s="538">
        <f t="shared" si="77"/>
        <v>12.9</v>
      </c>
      <c r="BI189" s="538">
        <f t="shared" si="78"/>
        <v>2.7</v>
      </c>
      <c r="BJ189" s="538">
        <f t="shared" si="79"/>
        <v>43.5</v>
      </c>
      <c r="BK189" s="538">
        <f t="shared" si="80"/>
        <v>9.9</v>
      </c>
      <c r="BL189" s="538">
        <f t="shared" si="81"/>
        <v>9.5</v>
      </c>
      <c r="BM189" s="538">
        <f t="shared" si="82"/>
        <v>5.6</v>
      </c>
      <c r="BN189" s="538">
        <f t="shared" si="83"/>
        <v>7.2</v>
      </c>
      <c r="BO189" s="538">
        <f t="shared" si="84"/>
        <v>8.7000000000000028</v>
      </c>
      <c r="BP189" s="538">
        <f t="shared" si="65"/>
        <v>100</v>
      </c>
      <c r="BQ189" s="535" t="s">
        <v>1979</v>
      </c>
      <c r="BR189" s="557">
        <v>8.8539999999999994E-2</v>
      </c>
      <c r="BS189" s="557">
        <v>8.8539999999999994E-2</v>
      </c>
      <c r="BT189" s="557">
        <v>1.719E-2</v>
      </c>
      <c r="BU189" s="557">
        <v>7.3859999999999995E-2</v>
      </c>
      <c r="BV189" s="557">
        <v>4.929E-2</v>
      </c>
      <c r="BW189" s="558" t="s">
        <v>2275</v>
      </c>
      <c r="BX189" s="535" t="s">
        <v>2276</v>
      </c>
      <c r="DH189" s="540" t="str">
        <f t="shared" si="85"/>
        <v>United Arab Emirates</v>
      </c>
      <c r="DI189" s="540" t="str">
        <f t="shared" si="86"/>
        <v>Asia</v>
      </c>
      <c r="DJ189" s="540" t="str">
        <f t="shared" si="87"/>
        <v>South-Eastern Asia</v>
      </c>
      <c r="DL189" s="540" t="s">
        <v>35</v>
      </c>
    </row>
    <row r="190" spans="49:116">
      <c r="AW190" s="1396" t="s">
        <v>2760</v>
      </c>
      <c r="AX190" s="1396" t="s">
        <v>1976</v>
      </c>
      <c r="AY190" s="1397" t="s">
        <v>2033</v>
      </c>
      <c r="AZ190" s="1396">
        <v>636</v>
      </c>
      <c r="BA190" s="528" t="s">
        <v>1977</v>
      </c>
      <c r="BB190" s="536">
        <v>6.4665505841976429</v>
      </c>
      <c r="BC190" s="535" t="s">
        <v>2006</v>
      </c>
      <c r="BD190" s="549">
        <v>0.08</v>
      </c>
      <c r="BE190" s="549">
        <v>0.08</v>
      </c>
      <c r="BF190" s="535" t="s">
        <v>2179</v>
      </c>
      <c r="BG190" s="537"/>
      <c r="BH190" s="538">
        <f t="shared" si="77"/>
        <v>12.9</v>
      </c>
      <c r="BI190" s="538">
        <f t="shared" si="78"/>
        <v>2.7</v>
      </c>
      <c r="BJ190" s="538">
        <f t="shared" si="79"/>
        <v>43.5</v>
      </c>
      <c r="BK190" s="538">
        <f t="shared" si="80"/>
        <v>9.9</v>
      </c>
      <c r="BL190" s="538">
        <f t="shared" si="81"/>
        <v>9.5</v>
      </c>
      <c r="BM190" s="538">
        <f t="shared" si="82"/>
        <v>5.6</v>
      </c>
      <c r="BN190" s="538">
        <f t="shared" si="83"/>
        <v>7.2</v>
      </c>
      <c r="BO190" s="538">
        <f t="shared" si="84"/>
        <v>8.7000000000000028</v>
      </c>
      <c r="BP190" s="538">
        <f t="shared" si="65"/>
        <v>100</v>
      </c>
      <c r="BQ190" s="535" t="s">
        <v>1979</v>
      </c>
      <c r="BR190" s="557">
        <v>8.8539999999999994E-2</v>
      </c>
      <c r="BS190" s="557">
        <v>8.8539999999999994E-2</v>
      </c>
      <c r="BT190" s="557">
        <v>1.719E-2</v>
      </c>
      <c r="BU190" s="557">
        <v>7.3859999999999995E-2</v>
      </c>
      <c r="BV190" s="557">
        <v>4.929E-2</v>
      </c>
      <c r="BW190" s="558" t="s">
        <v>2275</v>
      </c>
      <c r="BX190" s="535" t="s">
        <v>2276</v>
      </c>
      <c r="DH190" s="540" t="str">
        <f t="shared" si="85"/>
        <v>Vietnam</v>
      </c>
      <c r="DI190" s="540" t="str">
        <f t="shared" si="86"/>
        <v>Asia</v>
      </c>
      <c r="DJ190" s="540" t="str">
        <f t="shared" si="87"/>
        <v>South-Eastern Asia</v>
      </c>
      <c r="DL190" s="540" t="s">
        <v>35</v>
      </c>
    </row>
    <row r="191" spans="49:116">
      <c r="AW191" s="1396" t="s">
        <v>2316</v>
      </c>
      <c r="AX191" s="1396" t="s">
        <v>2032</v>
      </c>
      <c r="AY191" s="1397" t="s">
        <v>2098</v>
      </c>
      <c r="AZ191" s="1396">
        <v>474</v>
      </c>
      <c r="BA191" s="528" t="s">
        <v>1977</v>
      </c>
      <c r="BB191" s="536">
        <v>10.025212186531689</v>
      </c>
      <c r="BC191" s="535" t="s">
        <v>2006</v>
      </c>
      <c r="BD191" s="537"/>
      <c r="BE191" s="537"/>
      <c r="BF191" s="535"/>
      <c r="BG191" s="537"/>
      <c r="BH191" s="538">
        <f t="shared" si="77"/>
        <v>25</v>
      </c>
      <c r="BI191" s="538">
        <f t="shared" si="78"/>
        <v>7.3</v>
      </c>
      <c r="BJ191" s="538">
        <f t="shared" si="79"/>
        <v>23</v>
      </c>
      <c r="BK191" s="538">
        <f t="shared" si="80"/>
        <v>15</v>
      </c>
      <c r="BL191" s="538">
        <f t="shared" si="81"/>
        <v>9.5</v>
      </c>
      <c r="BM191" s="538">
        <f t="shared" si="82"/>
        <v>5.6</v>
      </c>
      <c r="BN191" s="538">
        <f t="shared" si="83"/>
        <v>7.3</v>
      </c>
      <c r="BO191" s="538">
        <f t="shared" si="84"/>
        <v>7.3</v>
      </c>
      <c r="BP191" s="538">
        <f t="shared" si="65"/>
        <v>99.999999999999986</v>
      </c>
      <c r="BQ191" s="535" t="s">
        <v>1979</v>
      </c>
      <c r="BR191" s="557">
        <v>8.8539999999999994E-2</v>
      </c>
      <c r="BS191" s="557">
        <v>8.8539999999999994E-2</v>
      </c>
      <c r="BT191" s="557">
        <v>1.719E-2</v>
      </c>
      <c r="BU191" s="557">
        <v>7.3859999999999995E-2</v>
      </c>
      <c r="BV191" s="557">
        <v>4.929E-2</v>
      </c>
      <c r="BW191" s="558" t="s">
        <v>2275</v>
      </c>
      <c r="BX191" s="535" t="s">
        <v>2276</v>
      </c>
      <c r="DH191" s="540" t="str">
        <f t="shared" si="85"/>
        <v>Yemen</v>
      </c>
      <c r="DI191" s="540" t="str">
        <f t="shared" si="86"/>
        <v>Asia</v>
      </c>
      <c r="DJ191" s="540" t="str">
        <f t="shared" si="87"/>
        <v>South-Eastern Asia</v>
      </c>
      <c r="DK191" s="540" t="e">
        <f>VLOOKUP(DH191,#REF!,1)</f>
        <v>#REF!</v>
      </c>
      <c r="DL191" s="540" t="e">
        <f>VLOOKUP(DK191,#REF!,2,FALSE)</f>
        <v>#REF!</v>
      </c>
    </row>
    <row r="192" spans="49:116" ht="25.5">
      <c r="AW192" s="1396" t="s">
        <v>2434</v>
      </c>
      <c r="AX192" s="1396" t="s">
        <v>2032</v>
      </c>
      <c r="AY192" s="1397" t="s">
        <v>2098</v>
      </c>
      <c r="AZ192" s="1396">
        <v>43</v>
      </c>
      <c r="BA192" s="528" t="s">
        <v>1977</v>
      </c>
      <c r="BB192" s="536">
        <v>9.3894684857089938</v>
      </c>
      <c r="BC192" s="535" t="s">
        <v>2087</v>
      </c>
      <c r="BD192" s="537"/>
      <c r="BE192" s="537"/>
      <c r="BF192" s="535"/>
      <c r="BG192" s="537"/>
      <c r="BH192" s="538">
        <f t="shared" ref="BH192:BH223" si="88">+VLOOKUP($AY192,$BZ$3:$CH$21,2,FALSE)</f>
        <v>25</v>
      </c>
      <c r="BI192" s="538">
        <f t="shared" ref="BI192:BI223" si="89">+VLOOKUP($AY192,$BZ$3:$CH$21,3,FALSE)</f>
        <v>7.3</v>
      </c>
      <c r="BJ192" s="538">
        <f t="shared" ref="BJ192:BJ223" si="90">+VLOOKUP($AY192,$BZ$3:$CH$21,4,FALSE)</f>
        <v>23</v>
      </c>
      <c r="BK192" s="538">
        <f t="shared" ref="BK192:BK223" si="91">+VLOOKUP($AY192,$BZ$3:$CH$21,5,FALSE)</f>
        <v>15</v>
      </c>
      <c r="BL192" s="538">
        <f t="shared" ref="BL192:BL223" si="92">+VLOOKUP($AY192,$BZ$3:$CH$21,6,FALSE)</f>
        <v>9.5</v>
      </c>
      <c r="BM192" s="538">
        <f t="shared" ref="BM192:BM223" si="93">+VLOOKUP($AY192,$BZ$3:$CH$21,7,FALSE)</f>
        <v>5.6</v>
      </c>
      <c r="BN192" s="538">
        <f t="shared" ref="BN192:BN223" si="94">+VLOOKUP($AY192,$BZ$3:$CH$21,8,FALSE)</f>
        <v>7.3</v>
      </c>
      <c r="BO192" s="538">
        <f t="shared" ref="BO192:BO223" si="95">+VLOOKUP($AY192,$BZ$3:$CH$21,9,FALSE)</f>
        <v>7.3</v>
      </c>
      <c r="BP192" s="538">
        <f t="shared" si="65"/>
        <v>99.999999999999986</v>
      </c>
      <c r="BQ192" s="535" t="s">
        <v>1979</v>
      </c>
      <c r="BR192" s="557">
        <v>8.8539999999999994E-2</v>
      </c>
      <c r="BS192" s="557">
        <v>8.8539999999999994E-2</v>
      </c>
      <c r="BT192" s="557">
        <v>1.719E-2</v>
      </c>
      <c r="BU192" s="557">
        <v>7.3859999999999995E-2</v>
      </c>
      <c r="BV192" s="557">
        <v>4.929E-2</v>
      </c>
      <c r="BW192" s="558" t="s">
        <v>2275</v>
      </c>
      <c r="BX192" s="535" t="s">
        <v>2276</v>
      </c>
      <c r="DH192" s="540" t="str">
        <f t="shared" si="85"/>
        <v>Canary Islands (Spain)</v>
      </c>
      <c r="DI192" s="540" t="str">
        <f t="shared" si="86"/>
        <v>Africa</v>
      </c>
      <c r="DJ192" s="540" t="str">
        <f t="shared" si="87"/>
        <v>Southern Africa</v>
      </c>
      <c r="DK192" s="540" t="e">
        <f>VLOOKUP(DH192,#REF!,1)</f>
        <v>#REF!</v>
      </c>
      <c r="DL192" s="540" t="e">
        <f>VLOOKUP(DK192,#REF!,2,FALSE)</f>
        <v>#REF!</v>
      </c>
    </row>
    <row r="193" spans="49:116">
      <c r="AW193" s="1396" t="s">
        <v>2610</v>
      </c>
      <c r="AX193" s="1396" t="s">
        <v>2032</v>
      </c>
      <c r="AY193" s="1397" t="s">
        <v>2098</v>
      </c>
      <c r="AZ193" s="1396">
        <v>43</v>
      </c>
      <c r="BA193" s="528" t="s">
        <v>1977</v>
      </c>
      <c r="BB193" s="536">
        <v>6.0503463248216685</v>
      </c>
      <c r="BC193" s="535" t="s">
        <v>2006</v>
      </c>
      <c r="BD193" s="537"/>
      <c r="BE193" s="537"/>
      <c r="BF193" s="535"/>
      <c r="BG193" s="537"/>
      <c r="BH193" s="538">
        <f t="shared" si="88"/>
        <v>25</v>
      </c>
      <c r="BI193" s="538">
        <f t="shared" si="89"/>
        <v>7.3</v>
      </c>
      <c r="BJ193" s="538">
        <f t="shared" si="90"/>
        <v>23</v>
      </c>
      <c r="BK193" s="538">
        <f t="shared" si="91"/>
        <v>15</v>
      </c>
      <c r="BL193" s="538">
        <f t="shared" si="92"/>
        <v>9.5</v>
      </c>
      <c r="BM193" s="538">
        <f t="shared" si="93"/>
        <v>5.6</v>
      </c>
      <c r="BN193" s="538">
        <f t="shared" si="94"/>
        <v>7.3</v>
      </c>
      <c r="BO193" s="538">
        <f t="shared" si="95"/>
        <v>7.3</v>
      </c>
      <c r="BP193" s="538">
        <f t="shared" si="65"/>
        <v>99.999999999999986</v>
      </c>
      <c r="BQ193" s="535" t="s">
        <v>1979</v>
      </c>
      <c r="BR193" s="557">
        <v>8.8539999999999994E-2</v>
      </c>
      <c r="BS193" s="557">
        <v>8.8539999999999994E-2</v>
      </c>
      <c r="BT193" s="557">
        <v>1.719E-2</v>
      </c>
      <c r="BU193" s="557">
        <v>7.3859999999999995E-2</v>
      </c>
      <c r="BV193" s="557">
        <v>4.929E-2</v>
      </c>
      <c r="BW193" s="558" t="s">
        <v>2275</v>
      </c>
      <c r="BX193" s="535" t="s">
        <v>2276</v>
      </c>
      <c r="DH193" s="540" t="str">
        <f t="shared" si="85"/>
        <v>Eswatini</v>
      </c>
      <c r="DI193" s="540" t="str">
        <f t="shared" si="86"/>
        <v>Africa</v>
      </c>
      <c r="DJ193" s="540" t="str">
        <f t="shared" si="87"/>
        <v>Southern Africa</v>
      </c>
      <c r="DL193" s="540" t="s">
        <v>35</v>
      </c>
    </row>
    <row r="194" spans="49:116" ht="25.5">
      <c r="AW194" s="1396" t="s">
        <v>2682</v>
      </c>
      <c r="AX194" s="1396" t="s">
        <v>2032</v>
      </c>
      <c r="AY194" s="1397" t="s">
        <v>2098</v>
      </c>
      <c r="AZ194" s="1396">
        <v>134</v>
      </c>
      <c r="BA194" s="528" t="s">
        <v>1977</v>
      </c>
      <c r="BB194" s="536">
        <v>11.740747004194485</v>
      </c>
      <c r="BC194" s="535" t="s">
        <v>2263</v>
      </c>
      <c r="BD194" s="537"/>
      <c r="BE194" s="537"/>
      <c r="BF194" s="535"/>
      <c r="BG194" s="537"/>
      <c r="BH194" s="538">
        <f t="shared" si="88"/>
        <v>25</v>
      </c>
      <c r="BI194" s="538">
        <f t="shared" si="89"/>
        <v>7.3</v>
      </c>
      <c r="BJ194" s="538">
        <f t="shared" si="90"/>
        <v>23</v>
      </c>
      <c r="BK194" s="538">
        <f t="shared" si="91"/>
        <v>15</v>
      </c>
      <c r="BL194" s="538">
        <f t="shared" si="92"/>
        <v>9.5</v>
      </c>
      <c r="BM194" s="538">
        <f t="shared" si="93"/>
        <v>5.6</v>
      </c>
      <c r="BN194" s="538">
        <f t="shared" si="94"/>
        <v>7.3</v>
      </c>
      <c r="BO194" s="538">
        <f t="shared" si="95"/>
        <v>7.3</v>
      </c>
      <c r="BP194" s="538">
        <f t="shared" si="65"/>
        <v>99.999999999999986</v>
      </c>
      <c r="BQ194" s="535" t="s">
        <v>1979</v>
      </c>
      <c r="BR194" s="557">
        <v>8.8539999999999994E-2</v>
      </c>
      <c r="BS194" s="557">
        <v>8.8539999999999994E-2</v>
      </c>
      <c r="BT194" s="557">
        <v>1.719E-2</v>
      </c>
      <c r="BU194" s="557">
        <v>7.3859999999999995E-2</v>
      </c>
      <c r="BV194" s="557">
        <v>4.929E-2</v>
      </c>
      <c r="BW194" s="558" t="s">
        <v>2275</v>
      </c>
      <c r="BX194" s="535" t="s">
        <v>2276</v>
      </c>
      <c r="DH194" s="540" t="str">
        <f t="shared" si="85"/>
        <v>Lesotho</v>
      </c>
      <c r="DI194" s="540" t="str">
        <f t="shared" si="86"/>
        <v>Africa</v>
      </c>
      <c r="DJ194" s="540" t="str">
        <f t="shared" si="87"/>
        <v>Southern Africa</v>
      </c>
      <c r="DL194" s="540" t="s">
        <v>35</v>
      </c>
    </row>
    <row r="195" spans="49:116">
      <c r="AW195" s="1396" t="s">
        <v>65</v>
      </c>
      <c r="AX195" s="1396" t="s">
        <v>2032</v>
      </c>
      <c r="AY195" s="1397" t="s">
        <v>2098</v>
      </c>
      <c r="AZ195" s="1396">
        <v>928</v>
      </c>
      <c r="BA195" s="528" t="s">
        <v>2727</v>
      </c>
      <c r="BB195" s="536">
        <v>10.884635440630655</v>
      </c>
      <c r="BC195" s="535" t="s">
        <v>2006</v>
      </c>
      <c r="BD195" s="537"/>
      <c r="BE195" s="537"/>
      <c r="BF195" s="535"/>
      <c r="BG195" s="537"/>
      <c r="BH195" s="538">
        <f t="shared" si="88"/>
        <v>25</v>
      </c>
      <c r="BI195" s="538">
        <f t="shared" si="89"/>
        <v>7.3</v>
      </c>
      <c r="BJ195" s="538">
        <f t="shared" si="90"/>
        <v>23</v>
      </c>
      <c r="BK195" s="538">
        <f t="shared" si="91"/>
        <v>15</v>
      </c>
      <c r="BL195" s="538">
        <f t="shared" si="92"/>
        <v>9.5</v>
      </c>
      <c r="BM195" s="538">
        <f t="shared" si="93"/>
        <v>5.6</v>
      </c>
      <c r="BN195" s="538">
        <f t="shared" si="94"/>
        <v>7.3</v>
      </c>
      <c r="BO195" s="538">
        <f t="shared" si="95"/>
        <v>7.3</v>
      </c>
      <c r="BP195" s="538">
        <f t="shared" si="65"/>
        <v>99.999999999999986</v>
      </c>
      <c r="BQ195" s="535" t="s">
        <v>1979</v>
      </c>
      <c r="BR195" s="557">
        <v>8.8539999999999994E-2</v>
      </c>
      <c r="BS195" s="557">
        <v>8.8539999999999994E-2</v>
      </c>
      <c r="BT195" s="557">
        <v>1.719E-2</v>
      </c>
      <c r="BU195" s="557">
        <v>7.3859999999999995E-2</v>
      </c>
      <c r="BV195" s="557">
        <v>4.929E-2</v>
      </c>
      <c r="BW195" s="558" t="s">
        <v>2275</v>
      </c>
      <c r="BX195" s="535" t="s">
        <v>2276</v>
      </c>
      <c r="DH195" s="540" t="str">
        <f t="shared" si="85"/>
        <v>Namibia</v>
      </c>
      <c r="DI195" s="540" t="str">
        <f t="shared" si="86"/>
        <v>Africa</v>
      </c>
      <c r="DJ195" s="540" t="str">
        <f t="shared" si="87"/>
        <v>Southern Africa</v>
      </c>
      <c r="DL195" s="540" t="s">
        <v>35</v>
      </c>
    </row>
    <row r="196" spans="49:116">
      <c r="AW196" s="1396" t="s">
        <v>2375</v>
      </c>
      <c r="AX196" s="1396" t="s">
        <v>2005</v>
      </c>
      <c r="AY196" s="1397" t="s">
        <v>2134</v>
      </c>
      <c r="AZ196" s="1396">
        <v>210</v>
      </c>
      <c r="BA196" s="528" t="s">
        <v>2178</v>
      </c>
      <c r="BB196" s="536">
        <v>10.031411996050203</v>
      </c>
      <c r="BC196" s="535" t="s">
        <v>2006</v>
      </c>
      <c r="BD196" s="537"/>
      <c r="BE196" s="537"/>
      <c r="BF196" s="535"/>
      <c r="BG196" s="537"/>
      <c r="BH196" s="538">
        <f t="shared" si="88"/>
        <v>17</v>
      </c>
      <c r="BI196" s="538">
        <f t="shared" si="89"/>
        <v>6.8</v>
      </c>
      <c r="BJ196" s="538">
        <f t="shared" si="90"/>
        <v>36.9</v>
      </c>
      <c r="BK196" s="538">
        <f t="shared" si="91"/>
        <v>10.6</v>
      </c>
      <c r="BL196" s="538">
        <f t="shared" si="92"/>
        <v>9.5</v>
      </c>
      <c r="BM196" s="538">
        <f t="shared" si="93"/>
        <v>5.6</v>
      </c>
      <c r="BN196" s="538">
        <f t="shared" si="94"/>
        <v>6.8</v>
      </c>
      <c r="BO196" s="538">
        <f t="shared" si="95"/>
        <v>6.8</v>
      </c>
      <c r="BP196" s="538">
        <f t="shared" ref="BP196:BP259" si="96">+SUM(BH196:BO196)</f>
        <v>99.999999999999986</v>
      </c>
      <c r="BQ196" s="535" t="s">
        <v>1979</v>
      </c>
      <c r="BR196" s="557">
        <v>8.8539999999999994E-2</v>
      </c>
      <c r="BS196" s="557">
        <v>8.8539999999999994E-2</v>
      </c>
      <c r="BT196" s="557">
        <v>1.719E-2</v>
      </c>
      <c r="BU196" s="557">
        <v>7.3859999999999995E-2</v>
      </c>
      <c r="BV196" s="557">
        <v>4.929E-2</v>
      </c>
      <c r="BW196" s="558" t="s">
        <v>2275</v>
      </c>
      <c r="BX196" s="535" t="s">
        <v>2276</v>
      </c>
      <c r="DH196" s="540" t="str">
        <f t="shared" si="85"/>
        <v>South Africa</v>
      </c>
      <c r="DI196" s="540" t="str">
        <f t="shared" si="86"/>
        <v>Africa</v>
      </c>
      <c r="DJ196" s="540" t="str">
        <f t="shared" si="87"/>
        <v>Southern Africa</v>
      </c>
      <c r="DK196" s="540" t="e">
        <f>VLOOKUP(DH196,#REF!,1)</f>
        <v>#REF!</v>
      </c>
      <c r="DL196" s="540" t="e">
        <f>VLOOKUP(DK196,#REF!,2,FALSE)</f>
        <v>#REF!</v>
      </c>
    </row>
    <row r="197" spans="49:116" ht="25.5">
      <c r="AW197" s="1396" t="s">
        <v>2480</v>
      </c>
      <c r="AX197" s="1396" t="s">
        <v>2005</v>
      </c>
      <c r="AY197" s="1397" t="s">
        <v>2134</v>
      </c>
      <c r="AZ197" s="1396">
        <v>623</v>
      </c>
      <c r="BA197" s="528" t="s">
        <v>2178</v>
      </c>
      <c r="BB197" s="536">
        <v>11.740747004194485</v>
      </c>
      <c r="BC197" s="535" t="s">
        <v>2263</v>
      </c>
      <c r="BD197" s="537"/>
      <c r="BE197" s="537"/>
      <c r="BF197" s="535"/>
      <c r="BG197" s="537"/>
      <c r="BH197" s="538">
        <f t="shared" si="88"/>
        <v>17</v>
      </c>
      <c r="BI197" s="538">
        <f t="shared" si="89"/>
        <v>6.8</v>
      </c>
      <c r="BJ197" s="538">
        <f t="shared" si="90"/>
        <v>36.9</v>
      </c>
      <c r="BK197" s="538">
        <f t="shared" si="91"/>
        <v>10.6</v>
      </c>
      <c r="BL197" s="538">
        <f t="shared" si="92"/>
        <v>9.5</v>
      </c>
      <c r="BM197" s="538">
        <f t="shared" si="93"/>
        <v>5.6</v>
      </c>
      <c r="BN197" s="538">
        <f t="shared" si="94"/>
        <v>6.8</v>
      </c>
      <c r="BO197" s="538">
        <f t="shared" si="95"/>
        <v>6.8</v>
      </c>
      <c r="BP197" s="538">
        <f t="shared" si="96"/>
        <v>99.999999999999986</v>
      </c>
      <c r="BQ197" s="535" t="s">
        <v>1979</v>
      </c>
      <c r="BR197" s="557">
        <v>8.8539999999999994E-2</v>
      </c>
      <c r="BS197" s="557">
        <v>8.8539999999999994E-2</v>
      </c>
      <c r="BT197" s="557">
        <v>1.719E-2</v>
      </c>
      <c r="BU197" s="557">
        <v>7.3859999999999995E-2</v>
      </c>
      <c r="BV197" s="557">
        <v>4.929E-2</v>
      </c>
      <c r="BW197" s="558" t="s">
        <v>2275</v>
      </c>
      <c r="BX197" s="535" t="s">
        <v>2276</v>
      </c>
      <c r="DH197" s="540" t="str">
        <f t="shared" si="85"/>
        <v>Croatia</v>
      </c>
      <c r="DI197" s="540" t="str">
        <f t="shared" si="86"/>
        <v>Europe</v>
      </c>
      <c r="DJ197" s="540" t="str">
        <f t="shared" si="87"/>
        <v>Southern Europe</v>
      </c>
      <c r="DK197" s="540" t="s">
        <v>2706</v>
      </c>
      <c r="DL197" s="540" t="e">
        <f>VLOOKUP(DK197,#REF!,2,FALSE)</f>
        <v>#REF!</v>
      </c>
    </row>
    <row r="198" spans="49:116" ht="25.5">
      <c r="AW198" s="1396" t="s">
        <v>51</v>
      </c>
      <c r="AX198" s="1396" t="s">
        <v>2005</v>
      </c>
      <c r="AY198" s="1397" t="s">
        <v>2134</v>
      </c>
      <c r="AZ198" s="1396">
        <v>256.2</v>
      </c>
      <c r="BA198" s="528" t="s">
        <v>2178</v>
      </c>
      <c r="BB198" s="536">
        <v>11.740747004194485</v>
      </c>
      <c r="BC198" s="535" t="s">
        <v>2263</v>
      </c>
      <c r="BD198" s="537"/>
      <c r="BE198" s="537"/>
      <c r="BF198" s="535"/>
      <c r="BG198" s="537"/>
      <c r="BH198" s="538">
        <f t="shared" si="88"/>
        <v>17</v>
      </c>
      <c r="BI198" s="538">
        <f t="shared" si="89"/>
        <v>6.8</v>
      </c>
      <c r="BJ198" s="538">
        <f t="shared" si="90"/>
        <v>36.9</v>
      </c>
      <c r="BK198" s="538">
        <f t="shared" si="91"/>
        <v>10.6</v>
      </c>
      <c r="BL198" s="538">
        <f t="shared" si="92"/>
        <v>9.5</v>
      </c>
      <c r="BM198" s="538">
        <f t="shared" si="93"/>
        <v>5.6</v>
      </c>
      <c r="BN198" s="538">
        <f t="shared" si="94"/>
        <v>6.8</v>
      </c>
      <c r="BO198" s="538">
        <f t="shared" si="95"/>
        <v>6.8</v>
      </c>
      <c r="BP198" s="538">
        <f t="shared" si="96"/>
        <v>99.999999999999986</v>
      </c>
      <c r="BQ198" s="535" t="s">
        <v>1979</v>
      </c>
      <c r="BR198" s="557">
        <v>8.8539999999999994E-2</v>
      </c>
      <c r="BS198" s="557">
        <v>8.8539999999999994E-2</v>
      </c>
      <c r="BT198" s="557">
        <v>1.719E-2</v>
      </c>
      <c r="BU198" s="557">
        <v>7.3859999999999995E-2</v>
      </c>
      <c r="BV198" s="557">
        <v>4.929E-2</v>
      </c>
      <c r="BW198" s="558" t="s">
        <v>2275</v>
      </c>
      <c r="BX198" s="535" t="s">
        <v>2276</v>
      </c>
      <c r="DH198" s="540" t="str">
        <f t="shared" si="85"/>
        <v>Greece</v>
      </c>
      <c r="DI198" s="540" t="str">
        <f t="shared" si="86"/>
        <v>Europe</v>
      </c>
      <c r="DJ198" s="540" t="str">
        <f t="shared" si="87"/>
        <v>Southern Europe</v>
      </c>
      <c r="DL198" s="540" t="s">
        <v>35</v>
      </c>
    </row>
    <row r="199" spans="49:116" ht="25.5">
      <c r="AW199" s="1396" t="s">
        <v>2631</v>
      </c>
      <c r="AX199" s="1396" t="s">
        <v>2005</v>
      </c>
      <c r="AY199" s="1397" t="s">
        <v>2134</v>
      </c>
      <c r="AZ199" s="1396">
        <v>691</v>
      </c>
      <c r="BA199" s="528" t="s">
        <v>1977</v>
      </c>
      <c r="BB199" s="536">
        <v>9.3894684857089938</v>
      </c>
      <c r="BC199" s="535" t="s">
        <v>2087</v>
      </c>
      <c r="BD199" s="537"/>
      <c r="BE199" s="537"/>
      <c r="BF199" s="535"/>
      <c r="BG199" s="537"/>
      <c r="BH199" s="538">
        <f t="shared" si="88"/>
        <v>17</v>
      </c>
      <c r="BI199" s="538">
        <f t="shared" si="89"/>
        <v>6.8</v>
      </c>
      <c r="BJ199" s="538">
        <f t="shared" si="90"/>
        <v>36.9</v>
      </c>
      <c r="BK199" s="538">
        <f t="shared" si="91"/>
        <v>10.6</v>
      </c>
      <c r="BL199" s="538">
        <f t="shared" si="92"/>
        <v>9.5</v>
      </c>
      <c r="BM199" s="538">
        <f t="shared" si="93"/>
        <v>5.6</v>
      </c>
      <c r="BN199" s="538">
        <f t="shared" si="94"/>
        <v>6.8</v>
      </c>
      <c r="BO199" s="538">
        <f t="shared" si="95"/>
        <v>6.8</v>
      </c>
      <c r="BP199" s="538">
        <f t="shared" si="96"/>
        <v>99.999999999999986</v>
      </c>
      <c r="BQ199" s="535" t="s">
        <v>1979</v>
      </c>
      <c r="BR199" s="557">
        <v>8.8539999999999994E-2</v>
      </c>
      <c r="BS199" s="557">
        <v>8.8539999999999994E-2</v>
      </c>
      <c r="BT199" s="557">
        <v>1.719E-2</v>
      </c>
      <c r="BU199" s="557">
        <v>7.3859999999999995E-2</v>
      </c>
      <c r="BV199" s="557">
        <v>4.929E-2</v>
      </c>
      <c r="BW199" s="558" t="s">
        <v>2275</v>
      </c>
      <c r="BX199" s="535" t="s">
        <v>2276</v>
      </c>
      <c r="DH199" s="540" t="str">
        <f t="shared" si="85"/>
        <v>Italy</v>
      </c>
      <c r="DI199" s="540" t="str">
        <f t="shared" si="86"/>
        <v>Europe</v>
      </c>
      <c r="DJ199" s="540" t="str">
        <f t="shared" si="87"/>
        <v>Southern Europe</v>
      </c>
      <c r="DL199" s="540" t="s">
        <v>35</v>
      </c>
    </row>
    <row r="200" spans="49:116" ht="25.5">
      <c r="AW200" s="1396" t="s">
        <v>2637</v>
      </c>
      <c r="AX200" s="1396" t="s">
        <v>2005</v>
      </c>
      <c r="AY200" s="1397" t="s">
        <v>2134</v>
      </c>
      <c r="AZ200" s="1396">
        <v>474</v>
      </c>
      <c r="BA200" s="528" t="s">
        <v>1977</v>
      </c>
      <c r="BB200" s="536">
        <v>9.3894684857089938</v>
      </c>
      <c r="BC200" s="535" t="s">
        <v>2087</v>
      </c>
      <c r="BD200" s="537"/>
      <c r="BE200" s="537"/>
      <c r="BF200" s="535"/>
      <c r="BG200" s="537"/>
      <c r="BH200" s="538">
        <f t="shared" si="88"/>
        <v>17</v>
      </c>
      <c r="BI200" s="538">
        <f t="shared" si="89"/>
        <v>6.8</v>
      </c>
      <c r="BJ200" s="538">
        <f t="shared" si="90"/>
        <v>36.9</v>
      </c>
      <c r="BK200" s="538">
        <f t="shared" si="91"/>
        <v>10.6</v>
      </c>
      <c r="BL200" s="538">
        <f t="shared" si="92"/>
        <v>9.5</v>
      </c>
      <c r="BM200" s="538">
        <f t="shared" si="93"/>
        <v>5.6</v>
      </c>
      <c r="BN200" s="538">
        <f t="shared" si="94"/>
        <v>6.8</v>
      </c>
      <c r="BO200" s="538">
        <f t="shared" si="95"/>
        <v>6.8</v>
      </c>
      <c r="BP200" s="538">
        <f t="shared" si="96"/>
        <v>99.999999999999986</v>
      </c>
      <c r="BQ200" s="535" t="s">
        <v>1979</v>
      </c>
      <c r="BR200" s="557">
        <v>8.8539999999999994E-2</v>
      </c>
      <c r="BS200" s="557">
        <v>8.8539999999999994E-2</v>
      </c>
      <c r="BT200" s="557">
        <v>1.719E-2</v>
      </c>
      <c r="BU200" s="557">
        <v>7.3859999999999995E-2</v>
      </c>
      <c r="BV200" s="557">
        <v>4.929E-2</v>
      </c>
      <c r="BW200" s="558" t="s">
        <v>2275</v>
      </c>
      <c r="BX200" s="535" t="s">
        <v>2276</v>
      </c>
      <c r="DH200" s="540" t="str">
        <f t="shared" si="85"/>
        <v>Macedonia. North</v>
      </c>
      <c r="DI200" s="540" t="str">
        <f t="shared" si="86"/>
        <v>Europe</v>
      </c>
      <c r="DJ200" s="540" t="str">
        <f t="shared" si="87"/>
        <v>Southern Europe</v>
      </c>
      <c r="DL200" s="540" t="s">
        <v>35</v>
      </c>
    </row>
    <row r="201" spans="49:116" ht="25.5">
      <c r="AW201" s="1396" t="s">
        <v>2650</v>
      </c>
      <c r="AX201" s="1396" t="s">
        <v>2005</v>
      </c>
      <c r="AY201" s="1397" t="s">
        <v>2134</v>
      </c>
      <c r="AZ201" s="1396">
        <v>648</v>
      </c>
      <c r="BA201" s="528" t="s">
        <v>2178</v>
      </c>
      <c r="BB201" s="536">
        <v>9.3894684857089938</v>
      </c>
      <c r="BC201" s="535" t="s">
        <v>2087</v>
      </c>
      <c r="BD201" s="537"/>
      <c r="BE201" s="537"/>
      <c r="BF201" s="535"/>
      <c r="BG201" s="537"/>
      <c r="BH201" s="538">
        <f t="shared" si="88"/>
        <v>17</v>
      </c>
      <c r="BI201" s="538">
        <f t="shared" si="89"/>
        <v>6.8</v>
      </c>
      <c r="BJ201" s="538">
        <f t="shared" si="90"/>
        <v>36.9</v>
      </c>
      <c r="BK201" s="538">
        <f t="shared" si="91"/>
        <v>10.6</v>
      </c>
      <c r="BL201" s="538">
        <f t="shared" si="92"/>
        <v>9.5</v>
      </c>
      <c r="BM201" s="538">
        <f t="shared" si="93"/>
        <v>5.6</v>
      </c>
      <c r="BN201" s="538">
        <f t="shared" si="94"/>
        <v>6.8</v>
      </c>
      <c r="BO201" s="538">
        <f t="shared" si="95"/>
        <v>6.8</v>
      </c>
      <c r="BP201" s="538">
        <f t="shared" si="96"/>
        <v>99.999999999999986</v>
      </c>
      <c r="BQ201" s="535" t="s">
        <v>1979</v>
      </c>
      <c r="BR201" s="557">
        <v>8.8539999999999994E-2</v>
      </c>
      <c r="BS201" s="557">
        <v>8.8539999999999994E-2</v>
      </c>
      <c r="BT201" s="557">
        <v>1.719E-2</v>
      </c>
      <c r="BU201" s="557">
        <v>7.3859999999999995E-2</v>
      </c>
      <c r="BV201" s="557">
        <v>4.929E-2</v>
      </c>
      <c r="BW201" s="558" t="s">
        <v>2275</v>
      </c>
      <c r="BX201" s="535" t="s">
        <v>2276</v>
      </c>
      <c r="DH201" s="540" t="str">
        <f t="shared" si="85"/>
        <v>Madeira (Portugal)</v>
      </c>
      <c r="DI201" s="540" t="str">
        <f t="shared" si="86"/>
        <v>Europe</v>
      </c>
      <c r="DJ201" s="540" t="str">
        <f t="shared" si="87"/>
        <v>Southern Europe</v>
      </c>
      <c r="DL201" s="540" t="s">
        <v>35</v>
      </c>
    </row>
    <row r="202" spans="49:116">
      <c r="AW202" s="1396" t="s">
        <v>2677</v>
      </c>
      <c r="AX202" s="1396" t="s">
        <v>2005</v>
      </c>
      <c r="AY202" s="1397" t="s">
        <v>2134</v>
      </c>
      <c r="AZ202" s="1396">
        <v>544</v>
      </c>
      <c r="BA202" s="528" t="s">
        <v>1977</v>
      </c>
      <c r="BB202" s="552">
        <v>8.2505991847772364</v>
      </c>
      <c r="BC202" s="535" t="s">
        <v>2484</v>
      </c>
      <c r="BD202" s="537"/>
      <c r="BE202" s="537"/>
      <c r="BF202" s="535"/>
      <c r="BG202" s="537"/>
      <c r="BH202" s="538">
        <f t="shared" si="88"/>
        <v>17</v>
      </c>
      <c r="BI202" s="538">
        <f t="shared" si="89"/>
        <v>6.8</v>
      </c>
      <c r="BJ202" s="538">
        <f t="shared" si="90"/>
        <v>36.9</v>
      </c>
      <c r="BK202" s="538">
        <f t="shared" si="91"/>
        <v>10.6</v>
      </c>
      <c r="BL202" s="538">
        <f t="shared" si="92"/>
        <v>9.5</v>
      </c>
      <c r="BM202" s="538">
        <f t="shared" si="93"/>
        <v>5.6</v>
      </c>
      <c r="BN202" s="538">
        <f t="shared" si="94"/>
        <v>6.8</v>
      </c>
      <c r="BO202" s="538">
        <f t="shared" si="95"/>
        <v>6.8</v>
      </c>
      <c r="BP202" s="538">
        <f t="shared" si="96"/>
        <v>99.999999999999986</v>
      </c>
      <c r="BQ202" s="535" t="s">
        <v>1979</v>
      </c>
      <c r="BR202" s="557">
        <v>8.8539999999999994E-2</v>
      </c>
      <c r="BS202" s="557">
        <v>8.8539999999999994E-2</v>
      </c>
      <c r="BT202" s="557">
        <v>1.719E-2</v>
      </c>
      <c r="BU202" s="557">
        <v>7.3859999999999995E-2</v>
      </c>
      <c r="BV202" s="557">
        <v>4.929E-2</v>
      </c>
      <c r="BW202" s="558" t="s">
        <v>2275</v>
      </c>
      <c r="BX202" s="535" t="s">
        <v>2276</v>
      </c>
      <c r="DH202" s="540" t="str">
        <f t="shared" si="85"/>
        <v>Malta</v>
      </c>
      <c r="DI202" s="540" t="str">
        <f t="shared" si="86"/>
        <v>Europe</v>
      </c>
      <c r="DJ202" s="540" t="str">
        <f t="shared" si="87"/>
        <v>Southern Europe</v>
      </c>
      <c r="DL202" s="540" t="s">
        <v>35</v>
      </c>
    </row>
    <row r="203" spans="49:116" ht="25.5">
      <c r="AW203" s="1396" t="s">
        <v>60</v>
      </c>
      <c r="AX203" s="1396" t="s">
        <v>2005</v>
      </c>
      <c r="AY203" s="1397" t="s">
        <v>2134</v>
      </c>
      <c r="AZ203" s="1396">
        <v>324.7</v>
      </c>
      <c r="BA203" s="528" t="s">
        <v>2178</v>
      </c>
      <c r="BB203" s="536">
        <v>9.3894684857089938</v>
      </c>
      <c r="BC203" s="535" t="s">
        <v>2087</v>
      </c>
      <c r="BD203" s="537"/>
      <c r="BE203" s="537"/>
      <c r="BF203" s="535"/>
      <c r="BG203" s="537"/>
      <c r="BH203" s="538">
        <f t="shared" si="88"/>
        <v>17</v>
      </c>
      <c r="BI203" s="538">
        <f t="shared" si="89"/>
        <v>6.8</v>
      </c>
      <c r="BJ203" s="538">
        <f t="shared" si="90"/>
        <v>36.9</v>
      </c>
      <c r="BK203" s="538">
        <f t="shared" si="91"/>
        <v>10.6</v>
      </c>
      <c r="BL203" s="538">
        <f t="shared" si="92"/>
        <v>9.5</v>
      </c>
      <c r="BM203" s="538">
        <f t="shared" si="93"/>
        <v>5.6</v>
      </c>
      <c r="BN203" s="538">
        <f t="shared" si="94"/>
        <v>6.8</v>
      </c>
      <c r="BO203" s="538">
        <f t="shared" si="95"/>
        <v>6.8</v>
      </c>
      <c r="BP203" s="538">
        <f t="shared" si="96"/>
        <v>99.999999999999986</v>
      </c>
      <c r="BQ203" s="535" t="s">
        <v>1979</v>
      </c>
      <c r="BR203" s="557">
        <v>8.8539999999999994E-2</v>
      </c>
      <c r="BS203" s="557">
        <v>8.8539999999999994E-2</v>
      </c>
      <c r="BT203" s="557">
        <v>1.719E-2</v>
      </c>
      <c r="BU203" s="557">
        <v>7.3859999999999995E-2</v>
      </c>
      <c r="BV203" s="557">
        <v>4.929E-2</v>
      </c>
      <c r="BW203" s="558" t="s">
        <v>2275</v>
      </c>
      <c r="BX203" s="535" t="s">
        <v>2276</v>
      </c>
      <c r="DH203" s="540" t="str">
        <f t="shared" si="85"/>
        <v>Montenegro</v>
      </c>
      <c r="DI203" s="540" t="str">
        <f t="shared" si="86"/>
        <v>Europe</v>
      </c>
      <c r="DJ203" s="540" t="str">
        <f t="shared" si="87"/>
        <v>Southern Europe</v>
      </c>
      <c r="DL203" s="540" t="s">
        <v>35</v>
      </c>
    </row>
    <row r="204" spans="49:116" ht="25.5">
      <c r="AW204" s="1396" t="s">
        <v>2715</v>
      </c>
      <c r="AX204" s="1396" t="s">
        <v>2005</v>
      </c>
      <c r="AY204" s="1397" t="s">
        <v>2134</v>
      </c>
      <c r="AZ204" s="1396">
        <v>43</v>
      </c>
      <c r="BA204" s="528" t="s">
        <v>1977</v>
      </c>
      <c r="BB204" s="536">
        <v>5.4123414965002699</v>
      </c>
      <c r="BC204" s="535" t="s">
        <v>2049</v>
      </c>
      <c r="BD204" s="537"/>
      <c r="BE204" s="537"/>
      <c r="BF204" s="535"/>
      <c r="BG204" s="537"/>
      <c r="BH204" s="538">
        <f t="shared" si="88"/>
        <v>17</v>
      </c>
      <c r="BI204" s="538">
        <f t="shared" si="89"/>
        <v>6.8</v>
      </c>
      <c r="BJ204" s="538">
        <f t="shared" si="90"/>
        <v>36.9</v>
      </c>
      <c r="BK204" s="538">
        <f t="shared" si="91"/>
        <v>10.6</v>
      </c>
      <c r="BL204" s="538">
        <f t="shared" si="92"/>
        <v>9.5</v>
      </c>
      <c r="BM204" s="538">
        <f t="shared" si="93"/>
        <v>5.6</v>
      </c>
      <c r="BN204" s="538">
        <f t="shared" si="94"/>
        <v>6.8</v>
      </c>
      <c r="BO204" s="538">
        <f t="shared" si="95"/>
        <v>6.8</v>
      </c>
      <c r="BP204" s="538">
        <f t="shared" si="96"/>
        <v>99.999999999999986</v>
      </c>
      <c r="BQ204" s="535" t="s">
        <v>1979</v>
      </c>
      <c r="BR204" s="557">
        <v>8.8539999999999994E-2</v>
      </c>
      <c r="BS204" s="557">
        <v>8.8539999999999994E-2</v>
      </c>
      <c r="BT204" s="557">
        <v>1.719E-2</v>
      </c>
      <c r="BU204" s="557">
        <v>7.3859999999999995E-2</v>
      </c>
      <c r="BV204" s="557">
        <v>4.929E-2</v>
      </c>
      <c r="BW204" s="558" t="s">
        <v>2275</v>
      </c>
      <c r="BX204" s="535" t="s">
        <v>2276</v>
      </c>
      <c r="DH204" s="540" t="str">
        <f t="shared" ref="DH204:DH235" si="97">AW203</f>
        <v>Portugal</v>
      </c>
      <c r="DI204" s="540" t="str">
        <f t="shared" ref="DI204:DI235" si="98">AX203</f>
        <v>Europe</v>
      </c>
      <c r="DJ204" s="540" t="str">
        <f t="shared" ref="DJ204:DJ235" si="99">AY203</f>
        <v>Southern Europe</v>
      </c>
      <c r="DL204" s="540" t="s">
        <v>35</v>
      </c>
    </row>
    <row r="205" spans="49:116" ht="25.5">
      <c r="AW205" s="1396" t="s">
        <v>2719</v>
      </c>
      <c r="AX205" s="1396" t="s">
        <v>2005</v>
      </c>
      <c r="AY205" s="1397" t="s">
        <v>2134</v>
      </c>
      <c r="AZ205" s="1396">
        <v>690</v>
      </c>
      <c r="BA205" s="528" t="s">
        <v>1977</v>
      </c>
      <c r="BB205" s="536">
        <v>6.2171813834411278</v>
      </c>
      <c r="BC205" s="535" t="s">
        <v>2062</v>
      </c>
      <c r="BD205" s="537"/>
      <c r="BE205" s="537"/>
      <c r="BF205" s="535"/>
      <c r="BG205" s="537"/>
      <c r="BH205" s="538">
        <f t="shared" si="88"/>
        <v>17</v>
      </c>
      <c r="BI205" s="538">
        <f t="shared" si="89"/>
        <v>6.8</v>
      </c>
      <c r="BJ205" s="538">
        <f t="shared" si="90"/>
        <v>36.9</v>
      </c>
      <c r="BK205" s="538">
        <f t="shared" si="91"/>
        <v>10.6</v>
      </c>
      <c r="BL205" s="538">
        <f t="shared" si="92"/>
        <v>9.5</v>
      </c>
      <c r="BM205" s="538">
        <f t="shared" si="93"/>
        <v>5.6</v>
      </c>
      <c r="BN205" s="538">
        <f t="shared" si="94"/>
        <v>6.8</v>
      </c>
      <c r="BO205" s="538">
        <f t="shared" si="95"/>
        <v>6.8</v>
      </c>
      <c r="BP205" s="538">
        <f t="shared" si="96"/>
        <v>99.999999999999986</v>
      </c>
      <c r="BQ205" s="535" t="s">
        <v>1979</v>
      </c>
      <c r="BR205" s="557">
        <v>8.8539999999999994E-2</v>
      </c>
      <c r="BS205" s="557">
        <v>8.8539999999999994E-2</v>
      </c>
      <c r="BT205" s="557">
        <v>1.719E-2</v>
      </c>
      <c r="BU205" s="557">
        <v>7.3859999999999995E-2</v>
      </c>
      <c r="BV205" s="557">
        <v>4.929E-2</v>
      </c>
      <c r="BW205" s="558" t="s">
        <v>2275</v>
      </c>
      <c r="BX205" s="535" t="s">
        <v>2276</v>
      </c>
      <c r="DH205" s="540" t="str">
        <f t="shared" si="97"/>
        <v>San Marino</v>
      </c>
      <c r="DI205" s="540" t="str">
        <f t="shared" si="98"/>
        <v>Europe</v>
      </c>
      <c r="DJ205" s="540" t="str">
        <f t="shared" si="99"/>
        <v>Southern Europe</v>
      </c>
      <c r="DL205" s="540" t="s">
        <v>35</v>
      </c>
    </row>
    <row r="206" spans="49:116" ht="25.5">
      <c r="AW206" s="1396" t="s">
        <v>2724</v>
      </c>
      <c r="AX206" s="1396" t="s">
        <v>2005</v>
      </c>
      <c r="AY206" s="1397" t="s">
        <v>2134</v>
      </c>
      <c r="AZ206" s="1396">
        <v>254.1</v>
      </c>
      <c r="BA206" s="528" t="s">
        <v>2178</v>
      </c>
      <c r="BB206" s="536">
        <v>11.740747004194485</v>
      </c>
      <c r="BC206" s="535" t="s">
        <v>2263</v>
      </c>
      <c r="BD206" s="537"/>
      <c r="BE206" s="537"/>
      <c r="BF206" s="535"/>
      <c r="BG206" s="537"/>
      <c r="BH206" s="538">
        <f t="shared" si="88"/>
        <v>17</v>
      </c>
      <c r="BI206" s="538">
        <f t="shared" si="89"/>
        <v>6.8</v>
      </c>
      <c r="BJ206" s="538">
        <f t="shared" si="90"/>
        <v>36.9</v>
      </c>
      <c r="BK206" s="538">
        <f t="shared" si="91"/>
        <v>10.6</v>
      </c>
      <c r="BL206" s="538">
        <f t="shared" si="92"/>
        <v>9.5</v>
      </c>
      <c r="BM206" s="538">
        <f t="shared" si="93"/>
        <v>5.6</v>
      </c>
      <c r="BN206" s="538">
        <f t="shared" si="94"/>
        <v>6.8</v>
      </c>
      <c r="BO206" s="538">
        <f t="shared" si="95"/>
        <v>6.8</v>
      </c>
      <c r="BP206" s="538">
        <f t="shared" si="96"/>
        <v>99.999999999999986</v>
      </c>
      <c r="BQ206" s="535" t="s">
        <v>1979</v>
      </c>
      <c r="BR206" s="557">
        <v>8.8539999999999994E-2</v>
      </c>
      <c r="BS206" s="557">
        <v>8.8539999999999994E-2</v>
      </c>
      <c r="BT206" s="557">
        <v>1.719E-2</v>
      </c>
      <c r="BU206" s="557">
        <v>7.3859999999999995E-2</v>
      </c>
      <c r="BV206" s="557">
        <v>4.929E-2</v>
      </c>
      <c r="BW206" s="558" t="s">
        <v>2275</v>
      </c>
      <c r="BX206" s="535" t="s">
        <v>2276</v>
      </c>
      <c r="DH206" s="540" t="str">
        <f t="shared" si="97"/>
        <v>Serbia</v>
      </c>
      <c r="DI206" s="540" t="str">
        <f t="shared" si="98"/>
        <v>Europe</v>
      </c>
      <c r="DJ206" s="540" t="str">
        <f t="shared" si="99"/>
        <v>Southern Europe</v>
      </c>
      <c r="DL206" s="540" t="s">
        <v>35</v>
      </c>
    </row>
    <row r="207" spans="49:116">
      <c r="AW207" s="1396" t="s">
        <v>66</v>
      </c>
      <c r="AX207" s="1396" t="s">
        <v>2005</v>
      </c>
      <c r="AY207" s="1397" t="s">
        <v>2134</v>
      </c>
      <c r="AZ207" s="1396">
        <v>265.39999999999998</v>
      </c>
      <c r="BA207" s="528" t="s">
        <v>2178</v>
      </c>
      <c r="BB207" s="536">
        <v>6.7811395547231283</v>
      </c>
      <c r="BC207" s="535" t="s">
        <v>2006</v>
      </c>
      <c r="BD207" s="537"/>
      <c r="BE207" s="537"/>
      <c r="BF207" s="535"/>
      <c r="BG207" s="537"/>
      <c r="BH207" s="538">
        <f t="shared" si="88"/>
        <v>17</v>
      </c>
      <c r="BI207" s="538">
        <f t="shared" si="89"/>
        <v>6.8</v>
      </c>
      <c r="BJ207" s="538">
        <f t="shared" si="90"/>
        <v>36.9</v>
      </c>
      <c r="BK207" s="538">
        <f t="shared" si="91"/>
        <v>10.6</v>
      </c>
      <c r="BL207" s="538">
        <f t="shared" si="92"/>
        <v>9.5</v>
      </c>
      <c r="BM207" s="538">
        <f t="shared" si="93"/>
        <v>5.6</v>
      </c>
      <c r="BN207" s="538">
        <f t="shared" si="94"/>
        <v>6.8</v>
      </c>
      <c r="BO207" s="538">
        <f t="shared" si="95"/>
        <v>6.8</v>
      </c>
      <c r="BP207" s="538">
        <f t="shared" si="96"/>
        <v>99.999999999999986</v>
      </c>
      <c r="BQ207" s="535" t="s">
        <v>1979</v>
      </c>
      <c r="BR207" s="557">
        <v>8.8539999999999994E-2</v>
      </c>
      <c r="BS207" s="557">
        <v>8.8539999999999994E-2</v>
      </c>
      <c r="BT207" s="557">
        <v>1.719E-2</v>
      </c>
      <c r="BU207" s="557">
        <v>7.3859999999999995E-2</v>
      </c>
      <c r="BV207" s="557">
        <v>4.929E-2</v>
      </c>
      <c r="BW207" s="558" t="s">
        <v>2275</v>
      </c>
      <c r="BX207" s="535" t="s">
        <v>2276</v>
      </c>
      <c r="DH207" s="540" t="str">
        <f t="shared" si="97"/>
        <v>Slovenia</v>
      </c>
      <c r="DI207" s="540" t="str">
        <f t="shared" si="98"/>
        <v>Europe</v>
      </c>
      <c r="DJ207" s="540" t="str">
        <f t="shared" si="99"/>
        <v>Southern Europe</v>
      </c>
      <c r="DL207" s="540" t="s">
        <v>35</v>
      </c>
    </row>
    <row r="208" spans="49:116">
      <c r="AW208" s="1396" t="s">
        <v>2258</v>
      </c>
      <c r="AX208" s="1396" t="s">
        <v>2032</v>
      </c>
      <c r="AY208" s="1397" t="s">
        <v>2108</v>
      </c>
      <c r="AZ208" s="1396">
        <v>636</v>
      </c>
      <c r="BA208" s="528" t="s">
        <v>1977</v>
      </c>
      <c r="BB208" s="536">
        <v>12.866756393001348</v>
      </c>
      <c r="BC208" s="535" t="s">
        <v>2006</v>
      </c>
      <c r="BD208" s="537"/>
      <c r="BE208" s="537"/>
      <c r="BF208" s="535"/>
      <c r="BG208" s="537"/>
      <c r="BH208" s="538">
        <f t="shared" si="88"/>
        <v>9.8000000000000007</v>
      </c>
      <c r="BI208" s="538">
        <f t="shared" si="89"/>
        <v>1</v>
      </c>
      <c r="BJ208" s="538">
        <f t="shared" si="90"/>
        <v>40.4</v>
      </c>
      <c r="BK208" s="538">
        <f t="shared" si="91"/>
        <v>4.4000000000000004</v>
      </c>
      <c r="BL208" s="538">
        <f t="shared" si="92"/>
        <v>9.5</v>
      </c>
      <c r="BM208" s="538">
        <f t="shared" si="93"/>
        <v>5.6</v>
      </c>
      <c r="BN208" s="538">
        <f t="shared" si="94"/>
        <v>3</v>
      </c>
      <c r="BO208" s="538">
        <f t="shared" si="95"/>
        <v>26.300000000000011</v>
      </c>
      <c r="BP208" s="538">
        <f t="shared" si="96"/>
        <v>100</v>
      </c>
      <c r="BQ208" s="535" t="s">
        <v>1979</v>
      </c>
      <c r="BR208" s="557">
        <v>8.8539999999999994E-2</v>
      </c>
      <c r="BS208" s="557">
        <v>8.8539999999999994E-2</v>
      </c>
      <c r="BT208" s="557">
        <v>1.719E-2</v>
      </c>
      <c r="BU208" s="557">
        <v>7.3859999999999995E-2</v>
      </c>
      <c r="BV208" s="557">
        <v>4.929E-2</v>
      </c>
      <c r="BW208" s="558" t="s">
        <v>2275</v>
      </c>
      <c r="BX208" s="535" t="s">
        <v>2276</v>
      </c>
      <c r="DH208" s="540" t="str">
        <f t="shared" si="97"/>
        <v>Spain</v>
      </c>
      <c r="DI208" s="540" t="str">
        <f t="shared" si="98"/>
        <v>Europe</v>
      </c>
      <c r="DJ208" s="540" t="str">
        <f t="shared" si="99"/>
        <v>Southern Europe</v>
      </c>
      <c r="DL208" s="540" t="s">
        <v>35</v>
      </c>
    </row>
    <row r="209" spans="49:116">
      <c r="AW209" s="1396" t="s">
        <v>2320</v>
      </c>
      <c r="AX209" s="1396" t="s">
        <v>2032</v>
      </c>
      <c r="AY209" s="1397" t="s">
        <v>2108</v>
      </c>
      <c r="AZ209" s="1396">
        <v>544</v>
      </c>
      <c r="BA209" s="528" t="s">
        <v>1977</v>
      </c>
      <c r="BB209" s="536">
        <v>15.436823536446809</v>
      </c>
      <c r="BC209" s="535" t="s">
        <v>2006</v>
      </c>
      <c r="BD209" s="537"/>
      <c r="BE209" s="537"/>
      <c r="BF209" s="535"/>
      <c r="BG209" s="537"/>
      <c r="BH209" s="538">
        <f t="shared" si="88"/>
        <v>9.8000000000000007</v>
      </c>
      <c r="BI209" s="538">
        <f t="shared" si="89"/>
        <v>1</v>
      </c>
      <c r="BJ209" s="538">
        <f t="shared" si="90"/>
        <v>40.4</v>
      </c>
      <c r="BK209" s="538">
        <f t="shared" si="91"/>
        <v>4.4000000000000004</v>
      </c>
      <c r="BL209" s="538">
        <f t="shared" si="92"/>
        <v>9.5</v>
      </c>
      <c r="BM209" s="538">
        <f t="shared" si="93"/>
        <v>5.6</v>
      </c>
      <c r="BN209" s="538">
        <f t="shared" si="94"/>
        <v>3</v>
      </c>
      <c r="BO209" s="538">
        <f t="shared" si="95"/>
        <v>26.300000000000011</v>
      </c>
      <c r="BP209" s="538">
        <f t="shared" si="96"/>
        <v>100</v>
      </c>
      <c r="BQ209" s="535" t="s">
        <v>1979</v>
      </c>
      <c r="BR209" s="557">
        <v>8.8539999999999994E-2</v>
      </c>
      <c r="BS209" s="557">
        <v>8.8539999999999994E-2</v>
      </c>
      <c r="BT209" s="557">
        <v>1.719E-2</v>
      </c>
      <c r="BU209" s="557">
        <v>7.3859999999999995E-2</v>
      </c>
      <c r="BV209" s="557">
        <v>4.929E-2</v>
      </c>
      <c r="BW209" s="558" t="s">
        <v>2275</v>
      </c>
      <c r="BX209" s="535" t="s">
        <v>2276</v>
      </c>
      <c r="DH209" s="540" t="str">
        <f t="shared" si="97"/>
        <v>Burkina Faso</v>
      </c>
      <c r="DI209" s="540" t="str">
        <f t="shared" si="98"/>
        <v>Africa</v>
      </c>
      <c r="DJ209" s="540" t="str">
        <f t="shared" si="99"/>
        <v>Western Africa</v>
      </c>
      <c r="DL209" s="540" t="s">
        <v>35</v>
      </c>
    </row>
    <row r="210" spans="49:116" ht="25.5">
      <c r="AW210" s="1396" t="s">
        <v>2371</v>
      </c>
      <c r="AX210" s="1396" t="s">
        <v>2032</v>
      </c>
      <c r="AY210" s="1397" t="s">
        <v>2108</v>
      </c>
      <c r="AZ210" s="1396">
        <v>436</v>
      </c>
      <c r="BA210" s="528" t="s">
        <v>1977</v>
      </c>
      <c r="BB210" s="536">
        <v>11.740747004194485</v>
      </c>
      <c r="BC210" s="535" t="s">
        <v>2263</v>
      </c>
      <c r="BD210" s="537"/>
      <c r="BE210" s="537"/>
      <c r="BF210" s="535"/>
      <c r="BG210" s="537"/>
      <c r="BH210" s="538">
        <f t="shared" si="88"/>
        <v>9.8000000000000007</v>
      </c>
      <c r="BI210" s="538">
        <f t="shared" si="89"/>
        <v>1</v>
      </c>
      <c r="BJ210" s="538">
        <f t="shared" si="90"/>
        <v>40.4</v>
      </c>
      <c r="BK210" s="538">
        <f t="shared" si="91"/>
        <v>4.4000000000000004</v>
      </c>
      <c r="BL210" s="538">
        <f t="shared" si="92"/>
        <v>9.5</v>
      </c>
      <c r="BM210" s="538">
        <f t="shared" si="93"/>
        <v>5.6</v>
      </c>
      <c r="BN210" s="538">
        <f t="shared" si="94"/>
        <v>3</v>
      </c>
      <c r="BO210" s="538">
        <f t="shared" si="95"/>
        <v>26.300000000000011</v>
      </c>
      <c r="BP210" s="538">
        <f t="shared" si="96"/>
        <v>100</v>
      </c>
      <c r="BQ210" s="535" t="s">
        <v>1979</v>
      </c>
      <c r="BR210" s="557">
        <v>8.8539999999999994E-2</v>
      </c>
      <c r="BS210" s="557">
        <v>8.8539999999999994E-2</v>
      </c>
      <c r="BT210" s="557">
        <v>1.719E-2</v>
      </c>
      <c r="BU210" s="557">
        <v>7.3859999999999995E-2</v>
      </c>
      <c r="BV210" s="557">
        <v>4.929E-2</v>
      </c>
      <c r="BW210" s="558" t="s">
        <v>2275</v>
      </c>
      <c r="BX210" s="535" t="s">
        <v>2276</v>
      </c>
      <c r="DH210" s="540" t="str">
        <f t="shared" si="97"/>
        <v>Cape Verde</v>
      </c>
      <c r="DI210" s="540" t="str">
        <f t="shared" si="98"/>
        <v>Africa</v>
      </c>
      <c r="DJ210" s="540" t="str">
        <f t="shared" si="99"/>
        <v>Western Africa</v>
      </c>
      <c r="DL210" s="540" t="s">
        <v>35</v>
      </c>
    </row>
    <row r="211" spans="49:116" ht="25.5">
      <c r="AW211" s="1396" t="s">
        <v>2468</v>
      </c>
      <c r="AX211" s="1396" t="s">
        <v>2032</v>
      </c>
      <c r="AY211" s="1397" t="s">
        <v>2108</v>
      </c>
      <c r="AZ211" s="1396">
        <v>643</v>
      </c>
      <c r="BA211" s="528" t="s">
        <v>1977</v>
      </c>
      <c r="BB211" s="536">
        <v>13.490630673342661</v>
      </c>
      <c r="BC211" s="535" t="s">
        <v>2223</v>
      </c>
      <c r="BD211" s="537"/>
      <c r="BE211" s="537"/>
      <c r="BF211" s="535"/>
      <c r="BG211" s="537"/>
      <c r="BH211" s="538">
        <f t="shared" si="88"/>
        <v>9.8000000000000007</v>
      </c>
      <c r="BI211" s="538">
        <f t="shared" si="89"/>
        <v>1</v>
      </c>
      <c r="BJ211" s="538">
        <f t="shared" si="90"/>
        <v>40.4</v>
      </c>
      <c r="BK211" s="538">
        <f t="shared" si="91"/>
        <v>4.4000000000000004</v>
      </c>
      <c r="BL211" s="538">
        <f t="shared" si="92"/>
        <v>9.5</v>
      </c>
      <c r="BM211" s="538">
        <f t="shared" si="93"/>
        <v>5.6</v>
      </c>
      <c r="BN211" s="538">
        <f t="shared" si="94"/>
        <v>3</v>
      </c>
      <c r="BO211" s="538">
        <f t="shared" si="95"/>
        <v>26.300000000000011</v>
      </c>
      <c r="BP211" s="538">
        <f t="shared" si="96"/>
        <v>100</v>
      </c>
      <c r="BQ211" s="535" t="s">
        <v>1979</v>
      </c>
      <c r="BR211" s="557">
        <v>8.8539999999999994E-2</v>
      </c>
      <c r="BS211" s="557">
        <v>8.8539999999999994E-2</v>
      </c>
      <c r="BT211" s="557">
        <v>1.719E-2</v>
      </c>
      <c r="BU211" s="557">
        <v>7.3859999999999995E-2</v>
      </c>
      <c r="BV211" s="557">
        <v>4.929E-2</v>
      </c>
      <c r="BW211" s="558" t="s">
        <v>2275</v>
      </c>
      <c r="BX211" s="535" t="s">
        <v>2276</v>
      </c>
      <c r="DH211" s="540" t="str">
        <f t="shared" si="97"/>
        <v>Côte d'Ivoire</v>
      </c>
      <c r="DI211" s="540" t="str">
        <f t="shared" si="98"/>
        <v>Africa</v>
      </c>
      <c r="DJ211" s="540" t="str">
        <f t="shared" si="99"/>
        <v>Western Africa</v>
      </c>
      <c r="DL211" s="540" t="s">
        <v>35</v>
      </c>
    </row>
    <row r="212" spans="49:116">
      <c r="AW212" s="1396" t="s">
        <v>2477</v>
      </c>
      <c r="AX212" s="1396" t="s">
        <v>2032</v>
      </c>
      <c r="AY212" s="1397" t="s">
        <v>2108</v>
      </c>
      <c r="AZ212" s="1396">
        <v>360</v>
      </c>
      <c r="BA212" s="528" t="s">
        <v>1977</v>
      </c>
      <c r="BB212" s="536">
        <v>2.0291616038882139</v>
      </c>
      <c r="BC212" s="535" t="s">
        <v>2006</v>
      </c>
      <c r="BD212" s="537"/>
      <c r="BE212" s="537"/>
      <c r="BF212" s="535"/>
      <c r="BG212" s="537"/>
      <c r="BH212" s="538">
        <f t="shared" si="88"/>
        <v>9.8000000000000007</v>
      </c>
      <c r="BI212" s="538">
        <f t="shared" si="89"/>
        <v>1</v>
      </c>
      <c r="BJ212" s="538">
        <f t="shared" si="90"/>
        <v>40.4</v>
      </c>
      <c r="BK212" s="538">
        <f t="shared" si="91"/>
        <v>4.4000000000000004</v>
      </c>
      <c r="BL212" s="538">
        <f t="shared" si="92"/>
        <v>9.5</v>
      </c>
      <c r="BM212" s="538">
        <f t="shared" si="93"/>
        <v>5.6</v>
      </c>
      <c r="BN212" s="538">
        <f t="shared" si="94"/>
        <v>3</v>
      </c>
      <c r="BO212" s="538">
        <f t="shared" si="95"/>
        <v>26.300000000000011</v>
      </c>
      <c r="BP212" s="538">
        <f t="shared" si="96"/>
        <v>100</v>
      </c>
      <c r="BQ212" s="535" t="s">
        <v>1979</v>
      </c>
      <c r="BR212" s="557">
        <v>8.8539999999999994E-2</v>
      </c>
      <c r="BS212" s="557">
        <v>8.8539999999999994E-2</v>
      </c>
      <c r="BT212" s="557">
        <v>1.719E-2</v>
      </c>
      <c r="BU212" s="557">
        <v>7.3859999999999995E-2</v>
      </c>
      <c r="BV212" s="557">
        <v>4.929E-2</v>
      </c>
      <c r="BW212" s="558" t="s">
        <v>2275</v>
      </c>
      <c r="BX212" s="535" t="s">
        <v>2276</v>
      </c>
      <c r="DH212" s="540" t="str">
        <f t="shared" si="97"/>
        <v>Gambia</v>
      </c>
      <c r="DI212" s="540" t="str">
        <f t="shared" si="98"/>
        <v>Africa</v>
      </c>
      <c r="DJ212" s="540" t="str">
        <f t="shared" si="99"/>
        <v>Western Africa</v>
      </c>
      <c r="DL212" s="540" t="s">
        <v>35</v>
      </c>
    </row>
    <row r="213" spans="49:116" ht="25.5">
      <c r="AW213" s="1396" t="s">
        <v>2504</v>
      </c>
      <c r="AX213" s="1396" t="s">
        <v>2032</v>
      </c>
      <c r="AY213" s="1397" t="s">
        <v>2108</v>
      </c>
      <c r="AZ213" s="1396">
        <v>484</v>
      </c>
      <c r="BA213" s="528" t="s">
        <v>1977</v>
      </c>
      <c r="BB213" s="536">
        <v>9.3894684857089938</v>
      </c>
      <c r="BC213" s="535" t="s">
        <v>2087</v>
      </c>
      <c r="BD213" s="537"/>
      <c r="BE213" s="537"/>
      <c r="BF213" s="535"/>
      <c r="BG213" s="537"/>
      <c r="BH213" s="538">
        <f t="shared" si="88"/>
        <v>9.8000000000000007</v>
      </c>
      <c r="BI213" s="538">
        <f t="shared" si="89"/>
        <v>1</v>
      </c>
      <c r="BJ213" s="538">
        <f t="shared" si="90"/>
        <v>40.4</v>
      </c>
      <c r="BK213" s="538">
        <f t="shared" si="91"/>
        <v>4.4000000000000004</v>
      </c>
      <c r="BL213" s="538">
        <f t="shared" si="92"/>
        <v>9.5</v>
      </c>
      <c r="BM213" s="538">
        <f t="shared" si="93"/>
        <v>5.6</v>
      </c>
      <c r="BN213" s="538">
        <f t="shared" si="94"/>
        <v>3</v>
      </c>
      <c r="BO213" s="538">
        <f t="shared" si="95"/>
        <v>26.300000000000011</v>
      </c>
      <c r="BP213" s="538">
        <f t="shared" si="96"/>
        <v>100</v>
      </c>
      <c r="BQ213" s="535" t="s">
        <v>1979</v>
      </c>
      <c r="BR213" s="557">
        <v>8.8539999999999994E-2</v>
      </c>
      <c r="BS213" s="557">
        <v>8.8539999999999994E-2</v>
      </c>
      <c r="BT213" s="557">
        <v>1.719E-2</v>
      </c>
      <c r="BU213" s="557">
        <v>7.3859999999999995E-2</v>
      </c>
      <c r="BV213" s="557">
        <v>4.929E-2</v>
      </c>
      <c r="BW213" s="558" t="s">
        <v>2275</v>
      </c>
      <c r="BX213" s="535" t="s">
        <v>2276</v>
      </c>
      <c r="DH213" s="540" t="str">
        <f t="shared" si="97"/>
        <v>Ghana</v>
      </c>
      <c r="DI213" s="540" t="str">
        <f t="shared" si="98"/>
        <v>Africa</v>
      </c>
      <c r="DJ213" s="540" t="str">
        <f t="shared" si="99"/>
        <v>Western Africa</v>
      </c>
      <c r="DL213" s="540" t="s">
        <v>35</v>
      </c>
    </row>
    <row r="214" spans="49:116">
      <c r="AW214" s="1396" t="s">
        <v>2508</v>
      </c>
      <c r="AX214" s="1396" t="s">
        <v>2032</v>
      </c>
      <c r="AY214" s="1397" t="s">
        <v>2108</v>
      </c>
      <c r="AZ214" s="1396">
        <v>656</v>
      </c>
      <c r="BA214" s="528" t="s">
        <v>1977</v>
      </c>
      <c r="BB214" s="536">
        <v>2.456902902607927</v>
      </c>
      <c r="BC214" s="535" t="s">
        <v>2006</v>
      </c>
      <c r="BD214" s="537"/>
      <c r="BE214" s="537"/>
      <c r="BF214" s="535"/>
      <c r="BG214" s="537"/>
      <c r="BH214" s="538">
        <f t="shared" si="88"/>
        <v>9.8000000000000007</v>
      </c>
      <c r="BI214" s="538">
        <f t="shared" si="89"/>
        <v>1</v>
      </c>
      <c r="BJ214" s="538">
        <f t="shared" si="90"/>
        <v>40.4</v>
      </c>
      <c r="BK214" s="538">
        <f t="shared" si="91"/>
        <v>4.4000000000000004</v>
      </c>
      <c r="BL214" s="538">
        <f t="shared" si="92"/>
        <v>9.5</v>
      </c>
      <c r="BM214" s="538">
        <f t="shared" si="93"/>
        <v>5.6</v>
      </c>
      <c r="BN214" s="538">
        <f t="shared" si="94"/>
        <v>3</v>
      </c>
      <c r="BO214" s="538">
        <f t="shared" si="95"/>
        <v>26.300000000000011</v>
      </c>
      <c r="BP214" s="538">
        <f t="shared" si="96"/>
        <v>100</v>
      </c>
      <c r="BQ214" s="535" t="s">
        <v>1979</v>
      </c>
      <c r="BR214" s="557">
        <v>8.8539999999999994E-2</v>
      </c>
      <c r="BS214" s="557">
        <v>8.8539999999999994E-2</v>
      </c>
      <c r="BT214" s="557">
        <v>1.719E-2</v>
      </c>
      <c r="BU214" s="557">
        <v>7.3859999999999995E-2</v>
      </c>
      <c r="BV214" s="557">
        <v>4.929E-2</v>
      </c>
      <c r="BW214" s="558" t="s">
        <v>2275</v>
      </c>
      <c r="BX214" s="535" t="s">
        <v>2276</v>
      </c>
      <c r="DH214" s="540" t="str">
        <f t="shared" si="97"/>
        <v>Guinea</v>
      </c>
      <c r="DI214" s="540" t="str">
        <f t="shared" si="98"/>
        <v>Africa</v>
      </c>
      <c r="DJ214" s="540" t="str">
        <f t="shared" si="99"/>
        <v>Western Africa</v>
      </c>
      <c r="DL214" s="540" t="s">
        <v>35</v>
      </c>
    </row>
    <row r="215" spans="49:116">
      <c r="AW215" s="1396" t="s">
        <v>2613</v>
      </c>
      <c r="AX215" s="1396" t="s">
        <v>2032</v>
      </c>
      <c r="AY215" s="1397" t="s">
        <v>2108</v>
      </c>
      <c r="AZ215" s="1396">
        <v>407</v>
      </c>
      <c r="BA215" s="528" t="s">
        <v>1977</v>
      </c>
      <c r="BB215" s="536">
        <v>4.7835460001165302</v>
      </c>
      <c r="BC215" s="535" t="s">
        <v>2006</v>
      </c>
      <c r="BD215" s="537"/>
      <c r="BE215" s="537"/>
      <c r="BF215" s="535"/>
      <c r="BG215" s="537"/>
      <c r="BH215" s="538">
        <f t="shared" si="88"/>
        <v>9.8000000000000007</v>
      </c>
      <c r="BI215" s="538">
        <f t="shared" si="89"/>
        <v>1</v>
      </c>
      <c r="BJ215" s="538">
        <f t="shared" si="90"/>
        <v>40.4</v>
      </c>
      <c r="BK215" s="538">
        <f t="shared" si="91"/>
        <v>4.4000000000000004</v>
      </c>
      <c r="BL215" s="538">
        <f t="shared" si="92"/>
        <v>9.5</v>
      </c>
      <c r="BM215" s="538">
        <f t="shared" si="93"/>
        <v>5.6</v>
      </c>
      <c r="BN215" s="538">
        <f t="shared" si="94"/>
        <v>3</v>
      </c>
      <c r="BO215" s="538">
        <f t="shared" si="95"/>
        <v>26.300000000000011</v>
      </c>
      <c r="BP215" s="538">
        <f t="shared" si="96"/>
        <v>100</v>
      </c>
      <c r="BQ215" s="535" t="s">
        <v>1979</v>
      </c>
      <c r="BR215" s="557">
        <v>8.8539999999999994E-2</v>
      </c>
      <c r="BS215" s="557">
        <v>8.8539999999999994E-2</v>
      </c>
      <c r="BT215" s="557">
        <v>1.719E-2</v>
      </c>
      <c r="BU215" s="557">
        <v>7.3859999999999995E-2</v>
      </c>
      <c r="BV215" s="557">
        <v>4.929E-2</v>
      </c>
      <c r="BW215" s="558" t="s">
        <v>2275</v>
      </c>
      <c r="BX215" s="535" t="s">
        <v>2276</v>
      </c>
      <c r="DH215" s="540" t="str">
        <f t="shared" si="97"/>
        <v>Guinea-Bissau</v>
      </c>
      <c r="DI215" s="540" t="str">
        <f t="shared" si="98"/>
        <v>Africa</v>
      </c>
      <c r="DJ215" s="540" t="str">
        <f t="shared" si="99"/>
        <v>Western Africa</v>
      </c>
      <c r="DK215" s="540" t="e">
        <f>VLOOKUP(DH215,#REF!,1)</f>
        <v>#REF!</v>
      </c>
      <c r="DL215" s="540" t="e">
        <f>VLOOKUP(DK215,#REF!,2,FALSE)</f>
        <v>#REF!</v>
      </c>
    </row>
    <row r="216" spans="49:116" ht="25.5">
      <c r="AW216" s="1396" t="s">
        <v>2647</v>
      </c>
      <c r="AX216" s="1396" t="s">
        <v>2032</v>
      </c>
      <c r="AY216" s="1397" t="s">
        <v>2108</v>
      </c>
      <c r="AZ216" s="1396">
        <v>550</v>
      </c>
      <c r="BA216" s="528" t="s">
        <v>1977</v>
      </c>
      <c r="BB216" s="536">
        <v>5.4123414965002699</v>
      </c>
      <c r="BC216" s="535" t="s">
        <v>2049</v>
      </c>
      <c r="BD216" s="537"/>
      <c r="BE216" s="537"/>
      <c r="BF216" s="535"/>
      <c r="BG216" s="537"/>
      <c r="BH216" s="538">
        <f t="shared" si="88"/>
        <v>9.8000000000000007</v>
      </c>
      <c r="BI216" s="538">
        <f t="shared" si="89"/>
        <v>1</v>
      </c>
      <c r="BJ216" s="538">
        <f t="shared" si="90"/>
        <v>40.4</v>
      </c>
      <c r="BK216" s="538">
        <f t="shared" si="91"/>
        <v>4.4000000000000004</v>
      </c>
      <c r="BL216" s="538">
        <f t="shared" si="92"/>
        <v>9.5</v>
      </c>
      <c r="BM216" s="538">
        <f t="shared" si="93"/>
        <v>5.6</v>
      </c>
      <c r="BN216" s="538">
        <f t="shared" si="94"/>
        <v>3</v>
      </c>
      <c r="BO216" s="538">
        <f t="shared" si="95"/>
        <v>26.300000000000011</v>
      </c>
      <c r="BP216" s="538">
        <f t="shared" si="96"/>
        <v>100</v>
      </c>
      <c r="BQ216" s="535" t="s">
        <v>1979</v>
      </c>
      <c r="BR216" s="557">
        <v>8.8539999999999994E-2</v>
      </c>
      <c r="BS216" s="557">
        <v>8.8539999999999994E-2</v>
      </c>
      <c r="BT216" s="557">
        <v>1.719E-2</v>
      </c>
      <c r="BU216" s="557">
        <v>7.3859999999999995E-2</v>
      </c>
      <c r="BV216" s="557">
        <v>4.929E-2</v>
      </c>
      <c r="BW216" s="558" t="s">
        <v>2275</v>
      </c>
      <c r="BX216" s="535" t="s">
        <v>2276</v>
      </c>
      <c r="DH216" s="540" t="str">
        <f t="shared" si="97"/>
        <v>Liberia</v>
      </c>
      <c r="DI216" s="540" t="str">
        <f t="shared" si="98"/>
        <v>Africa</v>
      </c>
      <c r="DJ216" s="540" t="str">
        <f t="shared" si="99"/>
        <v>Western Africa</v>
      </c>
      <c r="DK216" s="540" t="e">
        <f>VLOOKUP(DH216,#REF!,1)</f>
        <v>#REF!</v>
      </c>
      <c r="DL216" s="540" t="e">
        <f>VLOOKUP(DK216,#REF!,2,FALSE)</f>
        <v>#REF!</v>
      </c>
    </row>
    <row r="217" spans="49:116" ht="25.5">
      <c r="AW217" s="1396" t="s">
        <v>2659</v>
      </c>
      <c r="AX217" s="1396" t="s">
        <v>2032</v>
      </c>
      <c r="AY217" s="1397" t="s">
        <v>2108</v>
      </c>
      <c r="AZ217" s="1396">
        <v>512</v>
      </c>
      <c r="BA217" s="528" t="s">
        <v>1977</v>
      </c>
      <c r="BB217" s="536">
        <v>13.490630673342661</v>
      </c>
      <c r="BC217" s="535" t="s">
        <v>2223</v>
      </c>
      <c r="BD217" s="537"/>
      <c r="BE217" s="537"/>
      <c r="BF217" s="535"/>
      <c r="BG217" s="537"/>
      <c r="BH217" s="538">
        <f t="shared" si="88"/>
        <v>9.8000000000000007</v>
      </c>
      <c r="BI217" s="538">
        <f t="shared" si="89"/>
        <v>1</v>
      </c>
      <c r="BJ217" s="538">
        <f t="shared" si="90"/>
        <v>40.4</v>
      </c>
      <c r="BK217" s="538">
        <f t="shared" si="91"/>
        <v>4.4000000000000004</v>
      </c>
      <c r="BL217" s="538">
        <f t="shared" si="92"/>
        <v>9.5</v>
      </c>
      <c r="BM217" s="538">
        <f t="shared" si="93"/>
        <v>5.6</v>
      </c>
      <c r="BN217" s="538">
        <f t="shared" si="94"/>
        <v>3</v>
      </c>
      <c r="BO217" s="538">
        <f t="shared" si="95"/>
        <v>26.300000000000011</v>
      </c>
      <c r="BP217" s="538">
        <f t="shared" si="96"/>
        <v>100</v>
      </c>
      <c r="BQ217" s="535" t="s">
        <v>1979</v>
      </c>
      <c r="BR217" s="557">
        <v>8.8539999999999994E-2</v>
      </c>
      <c r="BS217" s="557">
        <v>8.8539999999999994E-2</v>
      </c>
      <c r="BT217" s="557">
        <v>1.719E-2</v>
      </c>
      <c r="BU217" s="557">
        <v>7.3859999999999995E-2</v>
      </c>
      <c r="BV217" s="557">
        <v>4.929E-2</v>
      </c>
      <c r="BW217" s="558" t="s">
        <v>2275</v>
      </c>
      <c r="BX217" s="535" t="s">
        <v>2276</v>
      </c>
      <c r="DH217" s="540" t="str">
        <f t="shared" si="97"/>
        <v>Mali</v>
      </c>
      <c r="DI217" s="540" t="str">
        <f t="shared" si="98"/>
        <v>Africa</v>
      </c>
      <c r="DJ217" s="540" t="str">
        <f t="shared" si="99"/>
        <v>Western Africa</v>
      </c>
      <c r="DL217" s="540" t="s">
        <v>35</v>
      </c>
    </row>
    <row r="218" spans="49:116">
      <c r="AW218" s="1396" t="s">
        <v>2690</v>
      </c>
      <c r="AX218" s="1396" t="s">
        <v>2032</v>
      </c>
      <c r="AY218" s="1397" t="s">
        <v>2108</v>
      </c>
      <c r="AZ218" s="1396">
        <v>749</v>
      </c>
      <c r="BA218" s="528" t="s">
        <v>1977</v>
      </c>
      <c r="BB218" s="536">
        <v>8.393761198696442</v>
      </c>
      <c r="BC218" s="535" t="s">
        <v>2006</v>
      </c>
      <c r="BD218" s="537"/>
      <c r="BE218" s="537"/>
      <c r="BF218" s="535"/>
      <c r="BG218" s="537"/>
      <c r="BH218" s="538">
        <f t="shared" si="88"/>
        <v>9.8000000000000007</v>
      </c>
      <c r="BI218" s="538">
        <f t="shared" si="89"/>
        <v>1</v>
      </c>
      <c r="BJ218" s="538">
        <f t="shared" si="90"/>
        <v>40.4</v>
      </c>
      <c r="BK218" s="538">
        <f t="shared" si="91"/>
        <v>4.4000000000000004</v>
      </c>
      <c r="BL218" s="538">
        <f t="shared" si="92"/>
        <v>9.5</v>
      </c>
      <c r="BM218" s="538">
        <f t="shared" si="93"/>
        <v>5.6</v>
      </c>
      <c r="BN218" s="538">
        <f t="shared" si="94"/>
        <v>3</v>
      </c>
      <c r="BO218" s="538">
        <f t="shared" si="95"/>
        <v>26.300000000000011</v>
      </c>
      <c r="BP218" s="538">
        <f t="shared" si="96"/>
        <v>100</v>
      </c>
      <c r="BQ218" s="535" t="s">
        <v>1979</v>
      </c>
      <c r="BR218" s="557">
        <v>8.8539999999999994E-2</v>
      </c>
      <c r="BS218" s="557">
        <v>8.8539999999999994E-2</v>
      </c>
      <c r="BT218" s="557">
        <v>1.719E-2</v>
      </c>
      <c r="BU218" s="557">
        <v>7.3859999999999995E-2</v>
      </c>
      <c r="BV218" s="557">
        <v>4.929E-2</v>
      </c>
      <c r="BW218" s="558" t="s">
        <v>2275</v>
      </c>
      <c r="BX218" s="535" t="s">
        <v>2276</v>
      </c>
      <c r="DH218" s="540" t="str">
        <f t="shared" si="97"/>
        <v>Mauritania</v>
      </c>
      <c r="DI218" s="540" t="str">
        <f t="shared" si="98"/>
        <v>Africa</v>
      </c>
      <c r="DJ218" s="540" t="str">
        <f t="shared" si="99"/>
        <v>Western Africa</v>
      </c>
      <c r="DL218" s="540" t="s">
        <v>35</v>
      </c>
    </row>
    <row r="219" spans="49:116">
      <c r="AW219" s="1396" t="s">
        <v>2691</v>
      </c>
      <c r="AX219" s="1396" t="s">
        <v>2032</v>
      </c>
      <c r="AY219" s="1397" t="s">
        <v>2108</v>
      </c>
      <c r="AZ219" s="1396">
        <v>395</v>
      </c>
      <c r="BA219" s="528" t="s">
        <v>1977</v>
      </c>
      <c r="BB219" s="536">
        <v>5.7377049180327866</v>
      </c>
      <c r="BC219" s="535" t="s">
        <v>2006</v>
      </c>
      <c r="BD219" s="537"/>
      <c r="BE219" s="537"/>
      <c r="BF219" s="535"/>
      <c r="BG219" s="537"/>
      <c r="BH219" s="538">
        <f t="shared" si="88"/>
        <v>9.8000000000000007</v>
      </c>
      <c r="BI219" s="538">
        <f t="shared" si="89"/>
        <v>1</v>
      </c>
      <c r="BJ219" s="538">
        <f t="shared" si="90"/>
        <v>40.4</v>
      </c>
      <c r="BK219" s="538">
        <f t="shared" si="91"/>
        <v>4.4000000000000004</v>
      </c>
      <c r="BL219" s="538">
        <f t="shared" si="92"/>
        <v>9.5</v>
      </c>
      <c r="BM219" s="538">
        <f t="shared" si="93"/>
        <v>5.6</v>
      </c>
      <c r="BN219" s="538">
        <f t="shared" si="94"/>
        <v>3</v>
      </c>
      <c r="BO219" s="538">
        <f t="shared" si="95"/>
        <v>26.300000000000011</v>
      </c>
      <c r="BP219" s="538">
        <f t="shared" si="96"/>
        <v>100</v>
      </c>
      <c r="BQ219" s="535" t="s">
        <v>1979</v>
      </c>
      <c r="BR219" s="557">
        <v>8.8539999999999994E-2</v>
      </c>
      <c r="BS219" s="557">
        <v>8.8539999999999994E-2</v>
      </c>
      <c r="BT219" s="557">
        <v>1.719E-2</v>
      </c>
      <c r="BU219" s="557">
        <v>7.3859999999999995E-2</v>
      </c>
      <c r="BV219" s="557">
        <v>4.929E-2</v>
      </c>
      <c r="BW219" s="558" t="s">
        <v>2275</v>
      </c>
      <c r="BX219" s="535" t="s">
        <v>2276</v>
      </c>
      <c r="DH219" s="540" t="str">
        <f t="shared" si="97"/>
        <v>Niger</v>
      </c>
      <c r="DI219" s="540" t="str">
        <f t="shared" si="98"/>
        <v>Africa</v>
      </c>
      <c r="DJ219" s="540" t="str">
        <f t="shared" si="99"/>
        <v>Western Africa</v>
      </c>
      <c r="DL219" s="540" t="s">
        <v>35</v>
      </c>
    </row>
    <row r="220" spans="49:116">
      <c r="AW220" s="1396" t="s">
        <v>2708</v>
      </c>
      <c r="AX220" s="1396" t="s">
        <v>2032</v>
      </c>
      <c r="AY220" s="1397" t="s">
        <v>2108</v>
      </c>
      <c r="AZ220" s="1396">
        <v>310</v>
      </c>
      <c r="BA220" s="528" t="s">
        <v>1977</v>
      </c>
      <c r="BB220" s="536">
        <v>9.5992347671750036</v>
      </c>
      <c r="BC220" s="535" t="s">
        <v>2006</v>
      </c>
      <c r="BD220" s="537"/>
      <c r="BE220" s="537"/>
      <c r="BF220" s="535"/>
      <c r="BG220" s="537"/>
      <c r="BH220" s="538">
        <f t="shared" si="88"/>
        <v>9.8000000000000007</v>
      </c>
      <c r="BI220" s="538">
        <f t="shared" si="89"/>
        <v>1</v>
      </c>
      <c r="BJ220" s="538">
        <f t="shared" si="90"/>
        <v>40.4</v>
      </c>
      <c r="BK220" s="538">
        <f t="shared" si="91"/>
        <v>4.4000000000000004</v>
      </c>
      <c r="BL220" s="538">
        <f t="shared" si="92"/>
        <v>9.5</v>
      </c>
      <c r="BM220" s="538">
        <f t="shared" si="93"/>
        <v>5.6</v>
      </c>
      <c r="BN220" s="538">
        <f t="shared" si="94"/>
        <v>3</v>
      </c>
      <c r="BO220" s="538">
        <f t="shared" si="95"/>
        <v>26.300000000000011</v>
      </c>
      <c r="BP220" s="538">
        <f t="shared" si="96"/>
        <v>100</v>
      </c>
      <c r="BQ220" s="535" t="s">
        <v>1979</v>
      </c>
      <c r="BR220" s="557">
        <v>8.8539999999999994E-2</v>
      </c>
      <c r="BS220" s="557">
        <v>8.8539999999999994E-2</v>
      </c>
      <c r="BT220" s="557">
        <v>1.719E-2</v>
      </c>
      <c r="BU220" s="557">
        <v>7.3859999999999995E-2</v>
      </c>
      <c r="BV220" s="557">
        <v>4.929E-2</v>
      </c>
      <c r="BW220" s="558" t="s">
        <v>2275</v>
      </c>
      <c r="BX220" s="535" t="s">
        <v>2276</v>
      </c>
      <c r="DH220" s="540" t="str">
        <f t="shared" si="97"/>
        <v>Nigeria</v>
      </c>
      <c r="DI220" s="540" t="str">
        <f t="shared" si="98"/>
        <v>Africa</v>
      </c>
      <c r="DJ220" s="540" t="str">
        <f t="shared" si="99"/>
        <v>Western Africa</v>
      </c>
      <c r="DL220" s="540" t="s">
        <v>35</v>
      </c>
    </row>
    <row r="221" spans="49:116">
      <c r="AW221" s="1396" t="s">
        <v>2718</v>
      </c>
      <c r="AX221" s="1396" t="s">
        <v>2032</v>
      </c>
      <c r="AY221" s="1397" t="s">
        <v>2108</v>
      </c>
      <c r="AZ221" s="1396">
        <v>568</v>
      </c>
      <c r="BA221" s="528" t="s">
        <v>1977</v>
      </c>
      <c r="BB221" s="536">
        <v>11.443704357595699</v>
      </c>
      <c r="BC221" s="535" t="s">
        <v>2006</v>
      </c>
      <c r="BD221" s="537"/>
      <c r="BE221" s="537"/>
      <c r="BF221" s="535"/>
      <c r="BG221" s="537"/>
      <c r="BH221" s="538">
        <f t="shared" si="88"/>
        <v>9.8000000000000007</v>
      </c>
      <c r="BI221" s="538">
        <f t="shared" si="89"/>
        <v>1</v>
      </c>
      <c r="BJ221" s="538">
        <f t="shared" si="90"/>
        <v>40.4</v>
      </c>
      <c r="BK221" s="538">
        <f t="shared" si="91"/>
        <v>4.4000000000000004</v>
      </c>
      <c r="BL221" s="538">
        <f t="shared" si="92"/>
        <v>9.5</v>
      </c>
      <c r="BM221" s="538">
        <f t="shared" si="93"/>
        <v>5.6</v>
      </c>
      <c r="BN221" s="538">
        <f t="shared" si="94"/>
        <v>3</v>
      </c>
      <c r="BO221" s="538">
        <f t="shared" si="95"/>
        <v>26.300000000000011</v>
      </c>
      <c r="BP221" s="538">
        <f t="shared" si="96"/>
        <v>100</v>
      </c>
      <c r="BQ221" s="535" t="s">
        <v>1979</v>
      </c>
      <c r="BR221" s="557">
        <v>8.8539999999999994E-2</v>
      </c>
      <c r="BS221" s="557">
        <v>8.8539999999999994E-2</v>
      </c>
      <c r="BT221" s="557">
        <v>1.719E-2</v>
      </c>
      <c r="BU221" s="557">
        <v>7.3859999999999995E-2</v>
      </c>
      <c r="BV221" s="557">
        <v>4.929E-2</v>
      </c>
      <c r="BW221" s="558" t="s">
        <v>2275</v>
      </c>
      <c r="BX221" s="535" t="s">
        <v>2276</v>
      </c>
      <c r="DH221" s="540" t="str">
        <f t="shared" si="97"/>
        <v>Saint Helena (U.K.)</v>
      </c>
      <c r="DI221" s="540" t="str">
        <f t="shared" si="98"/>
        <v>Africa</v>
      </c>
      <c r="DJ221" s="540" t="str">
        <f t="shared" si="99"/>
        <v>Western Africa</v>
      </c>
      <c r="DK221" s="540" t="e">
        <f>VLOOKUP(DH221,#REF!,1)</f>
        <v>#REF!</v>
      </c>
      <c r="DL221" s="540" t="e">
        <f>VLOOKUP(DK221,#REF!,2,FALSE)</f>
        <v>#REF!</v>
      </c>
    </row>
    <row r="222" spans="49:116">
      <c r="AW222" s="1396" t="s">
        <v>2721</v>
      </c>
      <c r="AX222" s="1396" t="s">
        <v>2032</v>
      </c>
      <c r="AY222" s="1397" t="s">
        <v>2108</v>
      </c>
      <c r="AZ222" s="1396">
        <v>455</v>
      </c>
      <c r="BA222" s="528" t="s">
        <v>1977</v>
      </c>
      <c r="BB222" s="536">
        <v>14.284458509142054</v>
      </c>
      <c r="BC222" s="535" t="s">
        <v>2006</v>
      </c>
      <c r="BD222" s="537"/>
      <c r="BE222" s="537"/>
      <c r="BF222" s="535"/>
      <c r="BG222" s="537"/>
      <c r="BH222" s="538">
        <f t="shared" si="88"/>
        <v>9.8000000000000007</v>
      </c>
      <c r="BI222" s="538">
        <f t="shared" si="89"/>
        <v>1</v>
      </c>
      <c r="BJ222" s="538">
        <f t="shared" si="90"/>
        <v>40.4</v>
      </c>
      <c r="BK222" s="538">
        <f t="shared" si="91"/>
        <v>4.4000000000000004</v>
      </c>
      <c r="BL222" s="538">
        <f t="shared" si="92"/>
        <v>9.5</v>
      </c>
      <c r="BM222" s="538">
        <f t="shared" si="93"/>
        <v>5.6</v>
      </c>
      <c r="BN222" s="538">
        <f t="shared" si="94"/>
        <v>3</v>
      </c>
      <c r="BO222" s="538">
        <f t="shared" si="95"/>
        <v>26.300000000000011</v>
      </c>
      <c r="BP222" s="538">
        <f t="shared" si="96"/>
        <v>100</v>
      </c>
      <c r="BQ222" s="535" t="s">
        <v>1979</v>
      </c>
      <c r="BR222" s="557">
        <v>8.8539999999999994E-2</v>
      </c>
      <c r="BS222" s="557">
        <v>8.8539999999999994E-2</v>
      </c>
      <c r="BT222" s="557">
        <v>1.719E-2</v>
      </c>
      <c r="BU222" s="557">
        <v>7.3859999999999995E-2</v>
      </c>
      <c r="BV222" s="557">
        <v>4.929E-2</v>
      </c>
      <c r="BW222" s="558" t="s">
        <v>2275</v>
      </c>
      <c r="BX222" s="535" t="s">
        <v>2276</v>
      </c>
      <c r="DH222" s="540" t="str">
        <f t="shared" si="97"/>
        <v>Senegal</v>
      </c>
      <c r="DI222" s="540" t="str">
        <f t="shared" si="98"/>
        <v>Africa</v>
      </c>
      <c r="DJ222" s="540" t="str">
        <f t="shared" si="99"/>
        <v>Western Africa</v>
      </c>
      <c r="DL222" s="540" t="s">
        <v>35</v>
      </c>
    </row>
    <row r="223" spans="49:116">
      <c r="AW223" s="1396" t="s">
        <v>2739</v>
      </c>
      <c r="AX223" s="1396" t="s">
        <v>2032</v>
      </c>
      <c r="AY223" s="1397" t="s">
        <v>2108</v>
      </c>
      <c r="AZ223" s="1396">
        <v>341</v>
      </c>
      <c r="BA223" s="528" t="s">
        <v>1977</v>
      </c>
      <c r="BB223" s="536">
        <v>8.7155963302752291</v>
      </c>
      <c r="BC223" s="535" t="s">
        <v>2006</v>
      </c>
      <c r="BD223" s="537"/>
      <c r="BE223" s="537"/>
      <c r="BF223" s="535"/>
      <c r="BG223" s="537"/>
      <c r="BH223" s="538">
        <f t="shared" si="88"/>
        <v>9.8000000000000007</v>
      </c>
      <c r="BI223" s="538">
        <f t="shared" si="89"/>
        <v>1</v>
      </c>
      <c r="BJ223" s="538">
        <f t="shared" si="90"/>
        <v>40.4</v>
      </c>
      <c r="BK223" s="538">
        <f t="shared" si="91"/>
        <v>4.4000000000000004</v>
      </c>
      <c r="BL223" s="538">
        <f t="shared" si="92"/>
        <v>9.5</v>
      </c>
      <c r="BM223" s="538">
        <f t="shared" si="93"/>
        <v>5.6</v>
      </c>
      <c r="BN223" s="538">
        <f t="shared" si="94"/>
        <v>3</v>
      </c>
      <c r="BO223" s="538">
        <f t="shared" si="95"/>
        <v>26.300000000000011</v>
      </c>
      <c r="BP223" s="538">
        <f t="shared" si="96"/>
        <v>100</v>
      </c>
      <c r="BQ223" s="535" t="s">
        <v>1979</v>
      </c>
      <c r="BR223" s="557">
        <v>8.8539999999999994E-2</v>
      </c>
      <c r="BS223" s="557">
        <v>8.8539999999999994E-2</v>
      </c>
      <c r="BT223" s="557">
        <v>1.719E-2</v>
      </c>
      <c r="BU223" s="557">
        <v>7.3859999999999995E-2</v>
      </c>
      <c r="BV223" s="557">
        <v>4.929E-2</v>
      </c>
      <c r="BW223" s="558" t="s">
        <v>2275</v>
      </c>
      <c r="BX223" s="535" t="s">
        <v>2276</v>
      </c>
      <c r="DH223" s="540" t="str">
        <f t="shared" si="97"/>
        <v>Sierra Leone</v>
      </c>
      <c r="DI223" s="540" t="str">
        <f t="shared" si="98"/>
        <v>Africa</v>
      </c>
      <c r="DJ223" s="540" t="str">
        <f t="shared" si="99"/>
        <v>Western Africa</v>
      </c>
      <c r="DL223" s="540" t="s">
        <v>35</v>
      </c>
    </row>
    <row r="224" spans="49:116">
      <c r="AW224" s="1396" t="s">
        <v>2387</v>
      </c>
      <c r="AX224" s="1396" t="s">
        <v>1976</v>
      </c>
      <c r="AY224" s="1397" t="s">
        <v>2050</v>
      </c>
      <c r="AZ224" s="1396">
        <v>676.9</v>
      </c>
      <c r="BA224" s="528" t="s">
        <v>2178</v>
      </c>
      <c r="BB224" s="536">
        <v>4.7761699467288379</v>
      </c>
      <c r="BC224" s="535" t="s">
        <v>2006</v>
      </c>
      <c r="BD224" s="537"/>
      <c r="BE224" s="537"/>
      <c r="BF224" s="535"/>
      <c r="BG224" s="537"/>
      <c r="BH224" s="538">
        <f t="shared" ref="BH224:BH255" si="100">+VLOOKUP($AY224,$BZ$3:$CH$21,2,FALSE)</f>
        <v>18</v>
      </c>
      <c r="BI224" s="538">
        <f t="shared" ref="BI224:BI255" si="101">+VLOOKUP($AY224,$BZ$3:$CH$21,3,FALSE)</f>
        <v>2.9</v>
      </c>
      <c r="BJ224" s="538">
        <f t="shared" ref="BJ224:BJ255" si="102">+VLOOKUP($AY224,$BZ$3:$CH$21,4,FALSE)</f>
        <v>41.1</v>
      </c>
      <c r="BK224" s="538">
        <f t="shared" ref="BK224:BK255" si="103">+VLOOKUP($AY224,$BZ$3:$CH$21,5,FALSE)</f>
        <v>9.8000000000000007</v>
      </c>
      <c r="BL224" s="538">
        <f t="shared" ref="BL224:BL255" si="104">+VLOOKUP($AY224,$BZ$3:$CH$21,6,FALSE)</f>
        <v>9.5</v>
      </c>
      <c r="BM224" s="538">
        <f t="shared" ref="BM224:BM255" si="105">+VLOOKUP($AY224,$BZ$3:$CH$21,7,FALSE)</f>
        <v>5.6</v>
      </c>
      <c r="BN224" s="538">
        <f t="shared" ref="BN224:BN255" si="106">+VLOOKUP($AY224,$BZ$3:$CH$21,8,FALSE)</f>
        <v>6.3</v>
      </c>
      <c r="BO224" s="538">
        <f t="shared" ref="BO224:BO255" si="107">+VLOOKUP($AY224,$BZ$3:$CH$21,9,FALSE)</f>
        <v>6.8000000000000114</v>
      </c>
      <c r="BP224" s="538">
        <f t="shared" si="96"/>
        <v>100</v>
      </c>
      <c r="BQ224" s="535" t="s">
        <v>1979</v>
      </c>
      <c r="BR224" s="557">
        <v>8.8539999999999994E-2</v>
      </c>
      <c r="BS224" s="557">
        <v>8.8539999999999994E-2</v>
      </c>
      <c r="BT224" s="557">
        <v>1.719E-2</v>
      </c>
      <c r="BU224" s="557">
        <v>7.3859999999999995E-2</v>
      </c>
      <c r="BV224" s="557">
        <v>4.929E-2</v>
      </c>
      <c r="BW224" s="558" t="s">
        <v>2275</v>
      </c>
      <c r="BX224" s="535" t="s">
        <v>2276</v>
      </c>
      <c r="DH224" s="540" t="str">
        <f t="shared" si="97"/>
        <v>Togo</v>
      </c>
      <c r="DI224" s="540" t="str">
        <f t="shared" si="98"/>
        <v>Africa</v>
      </c>
      <c r="DJ224" s="540" t="str">
        <f t="shared" si="99"/>
        <v>Western Africa</v>
      </c>
      <c r="DL224" s="540" t="s">
        <v>35</v>
      </c>
    </row>
    <row r="225" spans="49:116">
      <c r="AW225" s="1396" t="s">
        <v>5</v>
      </c>
      <c r="AX225" s="1396" t="s">
        <v>1976</v>
      </c>
      <c r="AY225" s="1397" t="s">
        <v>2050</v>
      </c>
      <c r="AZ225" s="1396">
        <v>195</v>
      </c>
      <c r="BA225" s="528" t="s">
        <v>1977</v>
      </c>
      <c r="BB225" s="536">
        <v>6.6988103049841667</v>
      </c>
      <c r="BC225" s="535" t="s">
        <v>2006</v>
      </c>
      <c r="BD225" s="537"/>
      <c r="BE225" s="537"/>
      <c r="BF225" s="535"/>
      <c r="BG225" s="537"/>
      <c r="BH225" s="538">
        <f t="shared" si="100"/>
        <v>18</v>
      </c>
      <c r="BI225" s="538">
        <f t="shared" si="101"/>
        <v>2.9</v>
      </c>
      <c r="BJ225" s="538">
        <f t="shared" si="102"/>
        <v>41.1</v>
      </c>
      <c r="BK225" s="538">
        <f t="shared" si="103"/>
        <v>9.8000000000000007</v>
      </c>
      <c r="BL225" s="538">
        <f t="shared" si="104"/>
        <v>9.5</v>
      </c>
      <c r="BM225" s="538">
        <f t="shared" si="105"/>
        <v>5.6</v>
      </c>
      <c r="BN225" s="538">
        <f t="shared" si="106"/>
        <v>6.3</v>
      </c>
      <c r="BO225" s="538">
        <f t="shared" si="107"/>
        <v>6.8000000000000114</v>
      </c>
      <c r="BP225" s="538">
        <f t="shared" si="96"/>
        <v>100</v>
      </c>
      <c r="BQ225" s="535" t="s">
        <v>1979</v>
      </c>
      <c r="BR225" s="557">
        <v>8.8539999999999994E-2</v>
      </c>
      <c r="BS225" s="557">
        <v>8.8539999999999994E-2</v>
      </c>
      <c r="BT225" s="557">
        <v>1.719E-2</v>
      </c>
      <c r="BU225" s="557">
        <v>7.3859999999999995E-2</v>
      </c>
      <c r="BV225" s="557">
        <v>4.929E-2</v>
      </c>
      <c r="BW225" s="558" t="s">
        <v>2275</v>
      </c>
      <c r="BX225" s="535" t="s">
        <v>2276</v>
      </c>
      <c r="DH225" s="540" t="str">
        <f t="shared" si="97"/>
        <v>Cyprus</v>
      </c>
      <c r="DI225" s="540" t="str">
        <f t="shared" si="98"/>
        <v>Asia</v>
      </c>
      <c r="DJ225" s="540" t="str">
        <f t="shared" si="99"/>
        <v>Western Asia &amp; Middle East</v>
      </c>
      <c r="DK225" s="540" t="e">
        <f>VLOOKUP(DH225,#REF!,1)</f>
        <v>#REF!</v>
      </c>
      <c r="DL225" s="540" t="e">
        <f>VLOOKUP(DK225,#REF!,2,FALSE)</f>
        <v>#REF!</v>
      </c>
    </row>
    <row r="226" spans="49:116">
      <c r="AW226" s="1396" t="s">
        <v>2541</v>
      </c>
      <c r="AX226" s="1396" t="s">
        <v>1976</v>
      </c>
      <c r="AY226" s="1397" t="s">
        <v>2050</v>
      </c>
      <c r="AZ226" s="1396">
        <v>470</v>
      </c>
      <c r="BA226" s="528" t="s">
        <v>1977</v>
      </c>
      <c r="BB226" s="536">
        <v>15.915887406844828</v>
      </c>
      <c r="BC226" s="535" t="s">
        <v>2006</v>
      </c>
      <c r="BD226" s="537"/>
      <c r="BE226" s="537"/>
      <c r="BF226" s="535"/>
      <c r="BG226" s="537"/>
      <c r="BH226" s="538">
        <f t="shared" si="100"/>
        <v>18</v>
      </c>
      <c r="BI226" s="538">
        <f t="shared" si="101"/>
        <v>2.9</v>
      </c>
      <c r="BJ226" s="538">
        <f t="shared" si="102"/>
        <v>41.1</v>
      </c>
      <c r="BK226" s="538">
        <f t="shared" si="103"/>
        <v>9.8000000000000007</v>
      </c>
      <c r="BL226" s="538">
        <f t="shared" si="104"/>
        <v>9.5</v>
      </c>
      <c r="BM226" s="538">
        <f t="shared" si="105"/>
        <v>5.6</v>
      </c>
      <c r="BN226" s="538">
        <f t="shared" si="106"/>
        <v>6.3</v>
      </c>
      <c r="BO226" s="538">
        <f t="shared" si="107"/>
        <v>6.8000000000000114</v>
      </c>
      <c r="BP226" s="538">
        <f t="shared" si="96"/>
        <v>100</v>
      </c>
      <c r="BQ226" s="535" t="s">
        <v>1979</v>
      </c>
      <c r="BR226" s="557">
        <v>8.8539999999999994E-2</v>
      </c>
      <c r="BS226" s="557">
        <v>8.8539999999999994E-2</v>
      </c>
      <c r="BT226" s="557">
        <v>1.719E-2</v>
      </c>
      <c r="BU226" s="557">
        <v>7.3859999999999995E-2</v>
      </c>
      <c r="BV226" s="557">
        <v>4.929E-2</v>
      </c>
      <c r="BW226" s="558" t="s">
        <v>2275</v>
      </c>
      <c r="BX226" s="535" t="s">
        <v>2276</v>
      </c>
      <c r="DH226" s="540" t="str">
        <f t="shared" si="97"/>
        <v>Georgia</v>
      </c>
      <c r="DI226" s="540" t="str">
        <f t="shared" si="98"/>
        <v>Asia</v>
      </c>
      <c r="DJ226" s="540" t="str">
        <f t="shared" si="99"/>
        <v>Western Asia &amp; Middle East</v>
      </c>
      <c r="DK226" s="540" t="e">
        <f>VLOOKUP(DH226,#REF!,1)</f>
        <v>#REF!</v>
      </c>
      <c r="DL226" s="540" t="e">
        <f>VLOOKUP(DK226,#REF!,2,FALSE)</f>
        <v>#REF!</v>
      </c>
    </row>
    <row r="227" spans="49:116" ht="25.5">
      <c r="AW227" s="1396" t="s">
        <v>2544</v>
      </c>
      <c r="AX227" s="1396" t="s">
        <v>1976</v>
      </c>
      <c r="AY227" s="1397" t="s">
        <v>2050</v>
      </c>
      <c r="AZ227" s="1396">
        <v>934</v>
      </c>
      <c r="BA227" s="528" t="s">
        <v>1977</v>
      </c>
      <c r="BB227" s="536">
        <v>5.4123414965002699</v>
      </c>
      <c r="BC227" s="535" t="s">
        <v>2049</v>
      </c>
      <c r="BD227" s="537"/>
      <c r="BE227" s="537"/>
      <c r="BF227" s="535"/>
      <c r="BG227" s="537"/>
      <c r="BH227" s="538">
        <f t="shared" si="100"/>
        <v>18</v>
      </c>
      <c r="BI227" s="538">
        <f t="shared" si="101"/>
        <v>2.9</v>
      </c>
      <c r="BJ227" s="538">
        <f t="shared" si="102"/>
        <v>41.1</v>
      </c>
      <c r="BK227" s="538">
        <f t="shared" si="103"/>
        <v>9.8000000000000007</v>
      </c>
      <c r="BL227" s="538">
        <f t="shared" si="104"/>
        <v>9.5</v>
      </c>
      <c r="BM227" s="538">
        <f t="shared" si="105"/>
        <v>5.6</v>
      </c>
      <c r="BN227" s="538">
        <f t="shared" si="106"/>
        <v>6.3</v>
      </c>
      <c r="BO227" s="538">
        <f t="shared" si="107"/>
        <v>6.8000000000000114</v>
      </c>
      <c r="BP227" s="538">
        <f t="shared" si="96"/>
        <v>100</v>
      </c>
      <c r="BQ227" s="535" t="s">
        <v>1979</v>
      </c>
      <c r="BR227" s="557">
        <v>8.8539999999999994E-2</v>
      </c>
      <c r="BS227" s="557">
        <v>8.8539999999999994E-2</v>
      </c>
      <c r="BT227" s="557">
        <v>1.719E-2</v>
      </c>
      <c r="BU227" s="557">
        <v>7.3859999999999995E-2</v>
      </c>
      <c r="BV227" s="557">
        <v>4.929E-2</v>
      </c>
      <c r="BW227" s="558" t="s">
        <v>2275</v>
      </c>
      <c r="BX227" s="535" t="s">
        <v>2276</v>
      </c>
      <c r="DH227" s="540" t="str">
        <f t="shared" si="97"/>
        <v>Iran</v>
      </c>
      <c r="DI227" s="540" t="str">
        <f t="shared" si="98"/>
        <v>Asia</v>
      </c>
      <c r="DJ227" s="540" t="str">
        <f t="shared" si="99"/>
        <v>Western Asia &amp; Middle East</v>
      </c>
      <c r="DL227" s="540" t="s">
        <v>35</v>
      </c>
    </row>
    <row r="228" spans="49:116">
      <c r="AW228" s="1396" t="s">
        <v>2554</v>
      </c>
      <c r="AX228" s="1396" t="s">
        <v>1976</v>
      </c>
      <c r="AY228" s="1397" t="s">
        <v>2050</v>
      </c>
      <c r="AZ228" s="1396">
        <v>303</v>
      </c>
      <c r="BA228" s="528" t="s">
        <v>1977</v>
      </c>
      <c r="BB228" s="536">
        <v>17.022826614861582</v>
      </c>
      <c r="BC228" s="535" t="s">
        <v>2006</v>
      </c>
      <c r="BD228" s="537"/>
      <c r="BE228" s="537"/>
      <c r="BF228" s="535"/>
      <c r="BG228" s="537"/>
      <c r="BH228" s="538">
        <f t="shared" si="100"/>
        <v>18</v>
      </c>
      <c r="BI228" s="538">
        <f t="shared" si="101"/>
        <v>2.9</v>
      </c>
      <c r="BJ228" s="538">
        <f t="shared" si="102"/>
        <v>41.1</v>
      </c>
      <c r="BK228" s="538">
        <f t="shared" si="103"/>
        <v>9.8000000000000007</v>
      </c>
      <c r="BL228" s="538">
        <f t="shared" si="104"/>
        <v>9.5</v>
      </c>
      <c r="BM228" s="538">
        <f t="shared" si="105"/>
        <v>5.6</v>
      </c>
      <c r="BN228" s="538">
        <f t="shared" si="106"/>
        <v>6.3</v>
      </c>
      <c r="BO228" s="538">
        <f t="shared" si="107"/>
        <v>6.8000000000000114</v>
      </c>
      <c r="BP228" s="538">
        <f t="shared" si="96"/>
        <v>100</v>
      </c>
      <c r="BQ228" s="535" t="s">
        <v>1979</v>
      </c>
      <c r="BR228" s="557">
        <v>8.8539999999999994E-2</v>
      </c>
      <c r="BS228" s="557">
        <v>8.8539999999999994E-2</v>
      </c>
      <c r="BT228" s="557">
        <v>1.719E-2</v>
      </c>
      <c r="BU228" s="557">
        <v>7.3859999999999995E-2</v>
      </c>
      <c r="BV228" s="557">
        <v>4.929E-2</v>
      </c>
      <c r="BW228" s="558" t="s">
        <v>2275</v>
      </c>
      <c r="BX228" s="535" t="s">
        <v>2276</v>
      </c>
      <c r="DH228" s="540" t="str">
        <f t="shared" si="97"/>
        <v>Iraq</v>
      </c>
      <c r="DI228" s="540" t="str">
        <f t="shared" si="98"/>
        <v>Asia</v>
      </c>
      <c r="DJ228" s="540" t="str">
        <f t="shared" si="99"/>
        <v>Western Asia &amp; Middle East</v>
      </c>
      <c r="DK228" s="540" t="s">
        <v>2735</v>
      </c>
      <c r="DL228" s="540" t="e">
        <f>VLOOKUP(DK228,#REF!,2,FALSE)</f>
        <v>#REF!</v>
      </c>
    </row>
    <row r="229" spans="49:116">
      <c r="AW229" s="1396" t="s">
        <v>53</v>
      </c>
      <c r="AX229" s="1396" t="s">
        <v>1976</v>
      </c>
      <c r="AY229" s="1397" t="s">
        <v>2050</v>
      </c>
      <c r="AZ229" s="1396">
        <v>516</v>
      </c>
      <c r="BA229" s="528" t="s">
        <v>1977</v>
      </c>
      <c r="BB229" s="536">
        <v>17.655571635311144</v>
      </c>
      <c r="BC229" s="535" t="s">
        <v>2006</v>
      </c>
      <c r="BD229" s="537"/>
      <c r="BE229" s="537"/>
      <c r="BF229" s="535"/>
      <c r="BG229" s="537"/>
      <c r="BH229" s="538">
        <f t="shared" si="100"/>
        <v>18</v>
      </c>
      <c r="BI229" s="538">
        <f t="shared" si="101"/>
        <v>2.9</v>
      </c>
      <c r="BJ229" s="538">
        <f t="shared" si="102"/>
        <v>41.1</v>
      </c>
      <c r="BK229" s="538">
        <f t="shared" si="103"/>
        <v>9.8000000000000007</v>
      </c>
      <c r="BL229" s="538">
        <f t="shared" si="104"/>
        <v>9.5</v>
      </c>
      <c r="BM229" s="538">
        <f t="shared" si="105"/>
        <v>5.6</v>
      </c>
      <c r="BN229" s="538">
        <f t="shared" si="106"/>
        <v>6.3</v>
      </c>
      <c r="BO229" s="538">
        <f t="shared" si="107"/>
        <v>6.8000000000000114</v>
      </c>
      <c r="BP229" s="538">
        <f t="shared" si="96"/>
        <v>100</v>
      </c>
      <c r="BQ229" s="535" t="s">
        <v>1979</v>
      </c>
      <c r="BR229" s="557">
        <v>8.8539999999999994E-2</v>
      </c>
      <c r="BS229" s="557">
        <v>8.8539999999999994E-2</v>
      </c>
      <c r="BT229" s="557">
        <v>1.719E-2</v>
      </c>
      <c r="BU229" s="557">
        <v>7.3859999999999995E-2</v>
      </c>
      <c r="BV229" s="557">
        <v>4.929E-2</v>
      </c>
      <c r="BW229" s="558" t="s">
        <v>2275</v>
      </c>
      <c r="BX229" s="535" t="s">
        <v>2276</v>
      </c>
      <c r="DH229" s="540" t="str">
        <f t="shared" si="97"/>
        <v>Israel</v>
      </c>
      <c r="DI229" s="540" t="str">
        <f t="shared" si="98"/>
        <v>Asia</v>
      </c>
      <c r="DJ229" s="540" t="str">
        <f t="shared" si="99"/>
        <v>Western Asia &amp; Middle East</v>
      </c>
      <c r="DL229" s="540" t="s">
        <v>35</v>
      </c>
    </row>
    <row r="230" spans="49:116">
      <c r="AW230" s="1396" t="s">
        <v>2595</v>
      </c>
      <c r="AX230" s="1396" t="s">
        <v>1976</v>
      </c>
      <c r="AY230" s="1397" t="s">
        <v>2050</v>
      </c>
      <c r="AZ230" s="1396">
        <v>407</v>
      </c>
      <c r="BA230" s="528" t="s">
        <v>1977</v>
      </c>
      <c r="BB230" s="536">
        <v>6.1112012610691266</v>
      </c>
      <c r="BC230" s="535" t="s">
        <v>2006</v>
      </c>
      <c r="BD230" s="549">
        <v>7.0000000000000007E-2</v>
      </c>
      <c r="BE230" s="549">
        <v>0.14000000000000001</v>
      </c>
      <c r="BF230" s="535" t="s">
        <v>2179</v>
      </c>
      <c r="BG230" s="537"/>
      <c r="BH230" s="538">
        <f t="shared" si="100"/>
        <v>18</v>
      </c>
      <c r="BI230" s="538">
        <f t="shared" si="101"/>
        <v>2.9</v>
      </c>
      <c r="BJ230" s="538">
        <f t="shared" si="102"/>
        <v>41.1</v>
      </c>
      <c r="BK230" s="538">
        <f t="shared" si="103"/>
        <v>9.8000000000000007</v>
      </c>
      <c r="BL230" s="538">
        <f t="shared" si="104"/>
        <v>9.5</v>
      </c>
      <c r="BM230" s="538">
        <f t="shared" si="105"/>
        <v>5.6</v>
      </c>
      <c r="BN230" s="538">
        <f t="shared" si="106"/>
        <v>6.3</v>
      </c>
      <c r="BO230" s="538">
        <f t="shared" si="107"/>
        <v>6.8000000000000114</v>
      </c>
      <c r="BP230" s="538">
        <f t="shared" si="96"/>
        <v>100</v>
      </c>
      <c r="BQ230" s="535" t="s">
        <v>1979</v>
      </c>
      <c r="BR230" s="557">
        <v>8.8539999999999994E-2</v>
      </c>
      <c r="BS230" s="557">
        <v>8.8539999999999994E-2</v>
      </c>
      <c r="BT230" s="557">
        <v>1.719E-2</v>
      </c>
      <c r="BU230" s="557">
        <v>7.3859999999999995E-2</v>
      </c>
      <c r="BV230" s="557">
        <v>4.929E-2</v>
      </c>
      <c r="BW230" s="558" t="s">
        <v>2275</v>
      </c>
      <c r="BX230" s="535" t="s">
        <v>2276</v>
      </c>
      <c r="DH230" s="540" t="str">
        <f t="shared" si="97"/>
        <v>Jordan</v>
      </c>
      <c r="DI230" s="540" t="str">
        <f t="shared" si="98"/>
        <v>Asia</v>
      </c>
      <c r="DJ230" s="540" t="str">
        <f t="shared" si="99"/>
        <v>Western Asia &amp; Middle East</v>
      </c>
      <c r="DL230" s="540" t="s">
        <v>35</v>
      </c>
    </row>
    <row r="231" spans="49:116" ht="25.5">
      <c r="AW231" s="1396" t="s">
        <v>2607</v>
      </c>
      <c r="AX231" s="1396" t="s">
        <v>1976</v>
      </c>
      <c r="AY231" s="1397" t="s">
        <v>2050</v>
      </c>
      <c r="AZ231" s="1396">
        <v>552</v>
      </c>
      <c r="BA231" s="528" t="s">
        <v>1977</v>
      </c>
      <c r="BB231" s="536">
        <v>5.4123414965002699</v>
      </c>
      <c r="BC231" s="535" t="s">
        <v>2049</v>
      </c>
      <c r="BD231" s="537"/>
      <c r="BE231" s="537"/>
      <c r="BF231" s="535"/>
      <c r="BG231" s="537"/>
      <c r="BH231" s="538">
        <f t="shared" si="100"/>
        <v>18</v>
      </c>
      <c r="BI231" s="538">
        <f t="shared" si="101"/>
        <v>2.9</v>
      </c>
      <c r="BJ231" s="538">
        <f t="shared" si="102"/>
        <v>41.1</v>
      </c>
      <c r="BK231" s="538">
        <f t="shared" si="103"/>
        <v>9.8000000000000007</v>
      </c>
      <c r="BL231" s="538">
        <f t="shared" si="104"/>
        <v>9.5</v>
      </c>
      <c r="BM231" s="538">
        <f t="shared" si="105"/>
        <v>5.6</v>
      </c>
      <c r="BN231" s="538">
        <f t="shared" si="106"/>
        <v>6.3</v>
      </c>
      <c r="BO231" s="538">
        <f t="shared" si="107"/>
        <v>6.8000000000000114</v>
      </c>
      <c r="BP231" s="538">
        <f t="shared" si="96"/>
        <v>100</v>
      </c>
      <c r="BQ231" s="535" t="s">
        <v>1979</v>
      </c>
      <c r="BR231" s="557">
        <v>8.8539999999999994E-2</v>
      </c>
      <c r="BS231" s="557">
        <v>8.8539999999999994E-2</v>
      </c>
      <c r="BT231" s="557">
        <v>1.719E-2</v>
      </c>
      <c r="BU231" s="557">
        <v>7.3859999999999995E-2</v>
      </c>
      <c r="BV231" s="557">
        <v>4.929E-2</v>
      </c>
      <c r="BW231" s="558" t="s">
        <v>2275</v>
      </c>
      <c r="BX231" s="535" t="s">
        <v>2276</v>
      </c>
      <c r="DH231" s="540" t="str">
        <f t="shared" si="97"/>
        <v>Kuwait</v>
      </c>
      <c r="DI231" s="540" t="str">
        <f t="shared" si="98"/>
        <v>Asia</v>
      </c>
      <c r="DJ231" s="540" t="str">
        <f t="shared" si="99"/>
        <v>Western Asia &amp; Middle East</v>
      </c>
      <c r="DL231" s="540" t="s">
        <v>35</v>
      </c>
    </row>
    <row r="232" spans="49:116">
      <c r="AW232" s="1396" t="s">
        <v>2733</v>
      </c>
      <c r="AX232" s="1396" t="s">
        <v>1976</v>
      </c>
      <c r="AY232" s="1397" t="s">
        <v>2050</v>
      </c>
      <c r="AZ232" s="1396">
        <v>525</v>
      </c>
      <c r="BA232" s="528" t="s">
        <v>1977</v>
      </c>
      <c r="BB232" s="536">
        <v>71.034482758620683</v>
      </c>
      <c r="BC232" s="535" t="s">
        <v>2006</v>
      </c>
      <c r="BD232" s="537"/>
      <c r="BE232" s="537"/>
      <c r="BF232" s="535"/>
      <c r="BG232" s="537"/>
      <c r="BH232" s="538">
        <f t="shared" si="100"/>
        <v>18</v>
      </c>
      <c r="BI232" s="538">
        <f t="shared" si="101"/>
        <v>2.9</v>
      </c>
      <c r="BJ232" s="538">
        <f t="shared" si="102"/>
        <v>41.1</v>
      </c>
      <c r="BK232" s="538">
        <f t="shared" si="103"/>
        <v>9.8000000000000007</v>
      </c>
      <c r="BL232" s="538">
        <f t="shared" si="104"/>
        <v>9.5</v>
      </c>
      <c r="BM232" s="538">
        <f t="shared" si="105"/>
        <v>5.6</v>
      </c>
      <c r="BN232" s="538">
        <f t="shared" si="106"/>
        <v>6.3</v>
      </c>
      <c r="BO232" s="538">
        <f t="shared" si="107"/>
        <v>6.8000000000000114</v>
      </c>
      <c r="BP232" s="538">
        <f t="shared" si="96"/>
        <v>100</v>
      </c>
      <c r="BQ232" s="535" t="s">
        <v>1979</v>
      </c>
      <c r="BR232" s="557">
        <v>8.8539999999999994E-2</v>
      </c>
      <c r="BS232" s="557">
        <v>8.8539999999999994E-2</v>
      </c>
      <c r="BT232" s="557">
        <v>1.719E-2</v>
      </c>
      <c r="BU232" s="557">
        <v>7.3859999999999995E-2</v>
      </c>
      <c r="BV232" s="557">
        <v>4.929E-2</v>
      </c>
      <c r="BW232" s="558" t="s">
        <v>2275</v>
      </c>
      <c r="BX232" s="535" t="s">
        <v>2276</v>
      </c>
      <c r="DH232" s="540" t="str">
        <f t="shared" si="97"/>
        <v>Lebanon</v>
      </c>
      <c r="DI232" s="540" t="str">
        <f t="shared" si="98"/>
        <v>Asia</v>
      </c>
      <c r="DJ232" s="540" t="str">
        <f t="shared" si="99"/>
        <v>Western Asia &amp; Middle East</v>
      </c>
      <c r="DL232" s="540" t="s">
        <v>35</v>
      </c>
    </row>
    <row r="233" spans="49:116" ht="25.5">
      <c r="AW233" s="1396" t="s">
        <v>69</v>
      </c>
      <c r="AX233" s="1396" t="s">
        <v>1976</v>
      </c>
      <c r="AY233" s="1397" t="s">
        <v>2050</v>
      </c>
      <c r="AZ233" s="1396">
        <v>481</v>
      </c>
      <c r="BA233" s="528" t="s">
        <v>2743</v>
      </c>
      <c r="BB233" s="536">
        <v>5.4123414965002699</v>
      </c>
      <c r="BC233" s="535" t="s">
        <v>2049</v>
      </c>
      <c r="BD233" s="537"/>
      <c r="BE233" s="537"/>
      <c r="BF233" s="535"/>
      <c r="BG233" s="537"/>
      <c r="BH233" s="538">
        <f t="shared" si="100"/>
        <v>18</v>
      </c>
      <c r="BI233" s="538">
        <f t="shared" si="101"/>
        <v>2.9</v>
      </c>
      <c r="BJ233" s="538">
        <f t="shared" si="102"/>
        <v>41.1</v>
      </c>
      <c r="BK233" s="538">
        <f t="shared" si="103"/>
        <v>9.8000000000000007</v>
      </c>
      <c r="BL233" s="538">
        <f t="shared" si="104"/>
        <v>9.5</v>
      </c>
      <c r="BM233" s="538">
        <f t="shared" si="105"/>
        <v>5.6</v>
      </c>
      <c r="BN233" s="538">
        <f t="shared" si="106"/>
        <v>6.3</v>
      </c>
      <c r="BO233" s="538">
        <f t="shared" si="107"/>
        <v>6.8000000000000114</v>
      </c>
      <c r="BP233" s="538">
        <f t="shared" si="96"/>
        <v>100</v>
      </c>
      <c r="BQ233" s="535" t="s">
        <v>1979</v>
      </c>
      <c r="BR233" s="557">
        <v>8.8539999999999994E-2</v>
      </c>
      <c r="BS233" s="557">
        <v>8.8539999999999994E-2</v>
      </c>
      <c r="BT233" s="557">
        <v>1.719E-2</v>
      </c>
      <c r="BU233" s="557">
        <v>7.3859999999999995E-2</v>
      </c>
      <c r="BV233" s="557">
        <v>4.929E-2</v>
      </c>
      <c r="BW233" s="558" t="s">
        <v>2275</v>
      </c>
      <c r="BX233" s="535" t="s">
        <v>2276</v>
      </c>
      <c r="DH233" s="540" t="str">
        <f t="shared" si="97"/>
        <v>Syrian Arab Republic</v>
      </c>
      <c r="DI233" s="540" t="str">
        <f t="shared" si="98"/>
        <v>Asia</v>
      </c>
      <c r="DJ233" s="540" t="str">
        <f t="shared" si="99"/>
        <v>Western Asia &amp; Middle East</v>
      </c>
      <c r="DL233" s="540" t="s">
        <v>35</v>
      </c>
    </row>
    <row r="234" spans="49:116">
      <c r="AW234" s="1396" t="s">
        <v>2759</v>
      </c>
      <c r="AX234" s="1396" t="s">
        <v>1976</v>
      </c>
      <c r="AY234" s="1397" t="s">
        <v>2050</v>
      </c>
      <c r="AZ234" s="1396">
        <v>625</v>
      </c>
      <c r="BA234" s="528" t="s">
        <v>1977</v>
      </c>
      <c r="BB234" s="536">
        <v>2.3041940373926222</v>
      </c>
      <c r="BC234" s="535" t="s">
        <v>2006</v>
      </c>
      <c r="BD234" s="537"/>
      <c r="BE234" s="537"/>
      <c r="BF234" s="535"/>
      <c r="BG234" s="537"/>
      <c r="BH234" s="538">
        <f t="shared" si="100"/>
        <v>18</v>
      </c>
      <c r="BI234" s="538">
        <f t="shared" si="101"/>
        <v>2.9</v>
      </c>
      <c r="BJ234" s="538">
        <f t="shared" si="102"/>
        <v>41.1</v>
      </c>
      <c r="BK234" s="538">
        <f t="shared" si="103"/>
        <v>9.8000000000000007</v>
      </c>
      <c r="BL234" s="538">
        <f t="shared" si="104"/>
        <v>9.5</v>
      </c>
      <c r="BM234" s="538">
        <f t="shared" si="105"/>
        <v>5.6</v>
      </c>
      <c r="BN234" s="538">
        <f t="shared" si="106"/>
        <v>6.3</v>
      </c>
      <c r="BO234" s="538">
        <f t="shared" si="107"/>
        <v>6.8000000000000114</v>
      </c>
      <c r="BP234" s="538">
        <f t="shared" si="96"/>
        <v>100</v>
      </c>
      <c r="BQ234" s="535" t="s">
        <v>1979</v>
      </c>
      <c r="BR234" s="557">
        <v>8.8539999999999994E-2</v>
      </c>
      <c r="BS234" s="557">
        <v>8.8539999999999994E-2</v>
      </c>
      <c r="BT234" s="557">
        <v>1.719E-2</v>
      </c>
      <c r="BU234" s="557">
        <v>7.3859999999999995E-2</v>
      </c>
      <c r="BV234" s="557">
        <v>4.929E-2</v>
      </c>
      <c r="BW234" s="558" t="s">
        <v>2275</v>
      </c>
      <c r="BX234" s="535" t="s">
        <v>2276</v>
      </c>
      <c r="DH234" s="540" t="str">
        <f t="shared" si="97"/>
        <v>Turkey</v>
      </c>
      <c r="DI234" s="540" t="str">
        <f t="shared" si="98"/>
        <v>Asia</v>
      </c>
      <c r="DJ234" s="540" t="str">
        <f t="shared" si="99"/>
        <v>Western Asia &amp; Middle East</v>
      </c>
      <c r="DL234" s="540" t="s">
        <v>35</v>
      </c>
    </row>
    <row r="235" spans="49:116">
      <c r="AW235" s="1396" t="s">
        <v>2712</v>
      </c>
      <c r="AX235" s="1395" t="s">
        <v>2005</v>
      </c>
      <c r="AY235" s="1397" t="s">
        <v>2138</v>
      </c>
      <c r="AZ235" s="1396">
        <v>432</v>
      </c>
      <c r="BA235" s="528" t="s">
        <v>1977</v>
      </c>
      <c r="BB235" s="536">
        <v>14.799770869135031</v>
      </c>
      <c r="BC235" s="535" t="s">
        <v>2006</v>
      </c>
      <c r="BD235" s="537"/>
      <c r="BE235" s="537"/>
      <c r="BF235" s="535"/>
      <c r="BG235" s="537"/>
      <c r="BH235" s="538">
        <f t="shared" si="100"/>
        <v>27.5</v>
      </c>
      <c r="BI235" s="538">
        <f t="shared" si="101"/>
        <v>7.4</v>
      </c>
      <c r="BJ235" s="538">
        <f t="shared" si="102"/>
        <v>24.2</v>
      </c>
      <c r="BK235" s="538">
        <f t="shared" si="103"/>
        <v>11</v>
      </c>
      <c r="BL235" s="538">
        <f t="shared" si="104"/>
        <v>9.5</v>
      </c>
      <c r="BM235" s="538">
        <f t="shared" si="105"/>
        <v>5.6</v>
      </c>
      <c r="BN235" s="538">
        <f t="shared" si="106"/>
        <v>7.4</v>
      </c>
      <c r="BO235" s="538">
        <f t="shared" si="107"/>
        <v>7.3999999999999986</v>
      </c>
      <c r="BP235" s="538">
        <f t="shared" si="96"/>
        <v>100</v>
      </c>
      <c r="BQ235" s="535" t="s">
        <v>1979</v>
      </c>
      <c r="BR235" s="557">
        <v>8.8539999999999994E-2</v>
      </c>
      <c r="BS235" s="557">
        <v>8.8539999999999994E-2</v>
      </c>
      <c r="BT235" s="557">
        <v>1.719E-2</v>
      </c>
      <c r="BU235" s="557">
        <v>7.3859999999999995E-2</v>
      </c>
      <c r="BV235" s="557">
        <v>4.929E-2</v>
      </c>
      <c r="BW235" s="558" t="s">
        <v>2275</v>
      </c>
      <c r="BX235" s="535" t="s">
        <v>2276</v>
      </c>
      <c r="DH235" s="540" t="str">
        <f t="shared" si="97"/>
        <v>West Bank and Gaza</v>
      </c>
      <c r="DI235" s="540" t="str">
        <f t="shared" si="98"/>
        <v>Asia</v>
      </c>
      <c r="DJ235" s="540" t="str">
        <f t="shared" si="99"/>
        <v>Western Asia &amp; Middle East</v>
      </c>
      <c r="DL235" s="540" t="s">
        <v>35</v>
      </c>
    </row>
    <row r="236" spans="49:116">
      <c r="AW236" s="1396" t="s">
        <v>47</v>
      </c>
      <c r="AX236" s="1396" t="s">
        <v>2005</v>
      </c>
      <c r="AY236" s="1397" t="s">
        <v>2138</v>
      </c>
      <c r="AZ236" s="1396">
        <v>58.5</v>
      </c>
      <c r="BA236" s="528" t="s">
        <v>2178</v>
      </c>
      <c r="BB236" s="536">
        <v>14.816064263403753</v>
      </c>
      <c r="BC236" s="535" t="s">
        <v>2006</v>
      </c>
      <c r="BD236" s="537"/>
      <c r="BE236" s="537"/>
      <c r="BF236" s="535"/>
      <c r="BG236" s="537"/>
      <c r="BH236" s="538">
        <f t="shared" si="100"/>
        <v>27.5</v>
      </c>
      <c r="BI236" s="538">
        <f t="shared" si="101"/>
        <v>7.4</v>
      </c>
      <c r="BJ236" s="538">
        <f t="shared" si="102"/>
        <v>24.2</v>
      </c>
      <c r="BK236" s="538">
        <f t="shared" si="103"/>
        <v>11</v>
      </c>
      <c r="BL236" s="538">
        <f t="shared" si="104"/>
        <v>9.5</v>
      </c>
      <c r="BM236" s="538">
        <f t="shared" si="105"/>
        <v>5.6</v>
      </c>
      <c r="BN236" s="538">
        <f t="shared" si="106"/>
        <v>7.4</v>
      </c>
      <c r="BO236" s="538">
        <f t="shared" si="107"/>
        <v>7.3999999999999986</v>
      </c>
      <c r="BP236" s="538">
        <f t="shared" si="96"/>
        <v>100</v>
      </c>
      <c r="BQ236" s="535" t="s">
        <v>1979</v>
      </c>
      <c r="BR236" s="557">
        <v>8.8539999999999994E-2</v>
      </c>
      <c r="BS236" s="557">
        <v>8.8539999999999994E-2</v>
      </c>
      <c r="BT236" s="557">
        <v>1.719E-2</v>
      </c>
      <c r="BU236" s="557">
        <v>7.3859999999999995E-2</v>
      </c>
      <c r="BV236" s="557">
        <v>4.929E-2</v>
      </c>
      <c r="BW236" s="558" t="s">
        <v>2275</v>
      </c>
      <c r="BX236" s="535" t="s">
        <v>2276</v>
      </c>
      <c r="DH236" s="540" t="str">
        <f t="shared" ref="DH236:DH267" si="108">AW235</f>
        <v>Saint Pierre and Miquelon (France)</v>
      </c>
      <c r="DI236" s="540" t="str">
        <f t="shared" ref="DI236:DI267" si="109">AX235</f>
        <v>Europe</v>
      </c>
      <c r="DJ236" s="540" t="str">
        <f t="shared" ref="DJ236:DJ267" si="110">AY235</f>
        <v>Western Europe</v>
      </c>
      <c r="DL236" s="540" t="s">
        <v>35</v>
      </c>
    </row>
    <row r="237" spans="49:116">
      <c r="AW237" s="1396" t="s">
        <v>48</v>
      </c>
      <c r="AX237" s="1396" t="s">
        <v>2005</v>
      </c>
      <c r="AY237" s="1397" t="s">
        <v>2138</v>
      </c>
      <c r="AZ237" s="1396">
        <v>440.8</v>
      </c>
      <c r="BA237" s="528" t="s">
        <v>2178</v>
      </c>
      <c r="BB237" s="536">
        <v>12.485294117647058</v>
      </c>
      <c r="BC237" s="535" t="s">
        <v>2006</v>
      </c>
      <c r="BD237" s="537"/>
      <c r="BE237" s="537"/>
      <c r="BF237" s="535"/>
      <c r="BG237" s="537"/>
      <c r="BH237" s="538">
        <f t="shared" si="100"/>
        <v>27.5</v>
      </c>
      <c r="BI237" s="538">
        <f t="shared" si="101"/>
        <v>7.4</v>
      </c>
      <c r="BJ237" s="538">
        <f t="shared" si="102"/>
        <v>24.2</v>
      </c>
      <c r="BK237" s="538">
        <f t="shared" si="103"/>
        <v>11</v>
      </c>
      <c r="BL237" s="538">
        <f t="shared" si="104"/>
        <v>9.5</v>
      </c>
      <c r="BM237" s="538">
        <f t="shared" si="105"/>
        <v>5.6</v>
      </c>
      <c r="BN237" s="538">
        <f t="shared" si="106"/>
        <v>7.4</v>
      </c>
      <c r="BO237" s="538">
        <f t="shared" si="107"/>
        <v>7.3999999999999986</v>
      </c>
      <c r="BP237" s="538">
        <f t="shared" si="96"/>
        <v>100</v>
      </c>
      <c r="BQ237" s="535" t="s">
        <v>1979</v>
      </c>
      <c r="BR237" s="557">
        <v>8.8539999999999994E-2</v>
      </c>
      <c r="BS237" s="557">
        <v>8.8539999999999994E-2</v>
      </c>
      <c r="BT237" s="557">
        <v>1.719E-2</v>
      </c>
      <c r="BU237" s="557">
        <v>7.3859999999999995E-2</v>
      </c>
      <c r="BV237" s="557">
        <v>4.929E-2</v>
      </c>
      <c r="BW237" s="558" t="s">
        <v>2275</v>
      </c>
      <c r="BX237" s="535" t="s">
        <v>2276</v>
      </c>
      <c r="DH237" s="540" t="str">
        <f t="shared" si="108"/>
        <v>France</v>
      </c>
      <c r="DI237" s="540" t="str">
        <f t="shared" si="109"/>
        <v>Europe</v>
      </c>
      <c r="DJ237" s="540" t="str">
        <f t="shared" si="110"/>
        <v>Western Europe</v>
      </c>
      <c r="DK237" s="540" t="e">
        <f>VLOOKUP(DH237,#REF!,1)</f>
        <v>#REF!</v>
      </c>
      <c r="DL237" s="540" t="e">
        <f>VLOOKUP(DK237,#REF!,2,FALSE)</f>
        <v>#REF!</v>
      </c>
    </row>
    <row r="238" spans="49:116" ht="25.5">
      <c r="AW238" s="1396" t="s">
        <v>2619</v>
      </c>
      <c r="AX238" s="1396" t="s">
        <v>2005</v>
      </c>
      <c r="AY238" s="1397" t="s">
        <v>2138</v>
      </c>
      <c r="AZ238" s="1396">
        <v>97</v>
      </c>
      <c r="BA238" s="528" t="s">
        <v>1977</v>
      </c>
      <c r="BB238" s="536">
        <v>9.3894684857089938</v>
      </c>
      <c r="BC238" s="535" t="s">
        <v>2087</v>
      </c>
      <c r="BD238" s="537"/>
      <c r="BE238" s="537"/>
      <c r="BF238" s="535"/>
      <c r="BG238" s="537"/>
      <c r="BH238" s="538">
        <f t="shared" si="100"/>
        <v>27.5</v>
      </c>
      <c r="BI238" s="538">
        <f t="shared" si="101"/>
        <v>7.4</v>
      </c>
      <c r="BJ238" s="538">
        <f t="shared" si="102"/>
        <v>24.2</v>
      </c>
      <c r="BK238" s="538">
        <f t="shared" si="103"/>
        <v>11</v>
      </c>
      <c r="BL238" s="538">
        <f t="shared" si="104"/>
        <v>9.5</v>
      </c>
      <c r="BM238" s="538">
        <f t="shared" si="105"/>
        <v>5.6</v>
      </c>
      <c r="BN238" s="538">
        <f t="shared" si="106"/>
        <v>7.4</v>
      </c>
      <c r="BO238" s="538">
        <f t="shared" si="107"/>
        <v>7.3999999999999986</v>
      </c>
      <c r="BP238" s="538">
        <f t="shared" si="96"/>
        <v>100</v>
      </c>
      <c r="BQ238" s="535" t="s">
        <v>1979</v>
      </c>
      <c r="BR238" s="557">
        <v>8.8539999999999994E-2</v>
      </c>
      <c r="BS238" s="557">
        <v>8.8539999999999994E-2</v>
      </c>
      <c r="BT238" s="557">
        <v>1.719E-2</v>
      </c>
      <c r="BU238" s="557">
        <v>7.3859999999999995E-2</v>
      </c>
      <c r="BV238" s="557">
        <v>4.929E-2</v>
      </c>
      <c r="BW238" s="558" t="s">
        <v>2275</v>
      </c>
      <c r="BX238" s="535" t="s">
        <v>2276</v>
      </c>
      <c r="DH238" s="540" t="str">
        <f t="shared" si="108"/>
        <v>Germany</v>
      </c>
      <c r="DI238" s="540" t="str">
        <f t="shared" si="109"/>
        <v>Europe</v>
      </c>
      <c r="DJ238" s="540" t="str">
        <f t="shared" si="110"/>
        <v>Western Europe</v>
      </c>
      <c r="DL238" s="540" t="s">
        <v>35</v>
      </c>
    </row>
    <row r="239" spans="49:116" ht="25.5">
      <c r="AW239" s="1396" t="s">
        <v>2625</v>
      </c>
      <c r="AX239" s="1396" t="s">
        <v>2005</v>
      </c>
      <c r="AY239" s="1397" t="s">
        <v>2138</v>
      </c>
      <c r="AZ239" s="1396">
        <v>219.3</v>
      </c>
      <c r="BA239" s="528" t="s">
        <v>2178</v>
      </c>
      <c r="BB239" s="536">
        <v>5.4123414965002699</v>
      </c>
      <c r="BC239" s="535" t="s">
        <v>2049</v>
      </c>
      <c r="BD239" s="537"/>
      <c r="BE239" s="537"/>
      <c r="BF239" s="535"/>
      <c r="BG239" s="537"/>
      <c r="BH239" s="538">
        <f t="shared" si="100"/>
        <v>27.5</v>
      </c>
      <c r="BI239" s="538">
        <f t="shared" si="101"/>
        <v>7.4</v>
      </c>
      <c r="BJ239" s="538">
        <f t="shared" si="102"/>
        <v>24.2</v>
      </c>
      <c r="BK239" s="538">
        <f t="shared" si="103"/>
        <v>11</v>
      </c>
      <c r="BL239" s="538">
        <f t="shared" si="104"/>
        <v>9.5</v>
      </c>
      <c r="BM239" s="538">
        <f t="shared" si="105"/>
        <v>5.6</v>
      </c>
      <c r="BN239" s="538">
        <f t="shared" si="106"/>
        <v>7.4</v>
      </c>
      <c r="BO239" s="538">
        <f t="shared" si="107"/>
        <v>7.3999999999999986</v>
      </c>
      <c r="BP239" s="538">
        <f t="shared" si="96"/>
        <v>100</v>
      </c>
      <c r="BQ239" s="535" t="s">
        <v>1979</v>
      </c>
      <c r="BR239" s="557">
        <v>8.8539999999999994E-2</v>
      </c>
      <c r="BS239" s="557">
        <v>8.8539999999999994E-2</v>
      </c>
      <c r="BT239" s="557">
        <v>1.719E-2</v>
      </c>
      <c r="BU239" s="557">
        <v>7.3859999999999995E-2</v>
      </c>
      <c r="BV239" s="557">
        <v>4.929E-2</v>
      </c>
      <c r="BW239" s="558" t="s">
        <v>2275</v>
      </c>
      <c r="BX239" s="535" t="s">
        <v>2276</v>
      </c>
      <c r="DH239" s="540" t="str">
        <f t="shared" si="108"/>
        <v>Liechtenstein</v>
      </c>
      <c r="DI239" s="540" t="str">
        <f t="shared" si="109"/>
        <v>Europe</v>
      </c>
      <c r="DJ239" s="540" t="str">
        <f t="shared" si="110"/>
        <v>Western Europe</v>
      </c>
      <c r="DL239" s="540" t="s">
        <v>35</v>
      </c>
    </row>
    <row r="240" spans="49:116" ht="25.5">
      <c r="AW240" s="1396" t="s">
        <v>2675</v>
      </c>
      <c r="AX240" s="1396" t="s">
        <v>2005</v>
      </c>
      <c r="AY240" s="1397" t="s">
        <v>2138</v>
      </c>
      <c r="AZ240" s="1396">
        <v>43</v>
      </c>
      <c r="BA240" s="528" t="s">
        <v>1977</v>
      </c>
      <c r="BB240" s="536">
        <v>11.740747004194485</v>
      </c>
      <c r="BC240" s="535" t="s">
        <v>2263</v>
      </c>
      <c r="BD240" s="537"/>
      <c r="BE240" s="537"/>
      <c r="BF240" s="535"/>
      <c r="BG240" s="537"/>
      <c r="BH240" s="538">
        <f t="shared" si="100"/>
        <v>27.5</v>
      </c>
      <c r="BI240" s="538">
        <f t="shared" si="101"/>
        <v>7.4</v>
      </c>
      <c r="BJ240" s="538">
        <f t="shared" si="102"/>
        <v>24.2</v>
      </c>
      <c r="BK240" s="538">
        <f t="shared" si="103"/>
        <v>11</v>
      </c>
      <c r="BL240" s="538">
        <f t="shared" si="104"/>
        <v>9.5</v>
      </c>
      <c r="BM240" s="538">
        <f t="shared" si="105"/>
        <v>5.6</v>
      </c>
      <c r="BN240" s="538">
        <f t="shared" si="106"/>
        <v>7.4</v>
      </c>
      <c r="BO240" s="538">
        <f t="shared" si="107"/>
        <v>7.3999999999999986</v>
      </c>
      <c r="BP240" s="538">
        <f t="shared" si="96"/>
        <v>100</v>
      </c>
      <c r="BQ240" s="535" t="s">
        <v>1979</v>
      </c>
      <c r="BR240" s="557">
        <v>8.8539999999999994E-2</v>
      </c>
      <c r="BS240" s="557">
        <v>8.8539999999999994E-2</v>
      </c>
      <c r="BT240" s="557">
        <v>1.719E-2</v>
      </c>
      <c r="BU240" s="557">
        <v>7.3859999999999995E-2</v>
      </c>
      <c r="BV240" s="557">
        <v>4.929E-2</v>
      </c>
      <c r="BW240" s="558" t="s">
        <v>2275</v>
      </c>
      <c r="BX240" s="535" t="s">
        <v>2276</v>
      </c>
      <c r="DH240" s="540" t="str">
        <f t="shared" si="108"/>
        <v>Luxembourg</v>
      </c>
      <c r="DI240" s="540" t="str">
        <f t="shared" si="109"/>
        <v>Europe</v>
      </c>
      <c r="DJ240" s="540" t="str">
        <f t="shared" si="110"/>
        <v>Western Europe</v>
      </c>
      <c r="DL240" s="540" t="s">
        <v>35</v>
      </c>
    </row>
    <row r="241" spans="49:116">
      <c r="AW241" s="1396" t="s">
        <v>57</v>
      </c>
      <c r="AX241" s="1396" t="s">
        <v>2005</v>
      </c>
      <c r="AY241" s="1397" t="s">
        <v>2138</v>
      </c>
      <c r="AZ241" s="1396">
        <v>505.2</v>
      </c>
      <c r="BA241" s="528" t="s">
        <v>2178</v>
      </c>
      <c r="BB241" s="536">
        <v>10.77895315290562</v>
      </c>
      <c r="BC241" s="535" t="s">
        <v>2006</v>
      </c>
      <c r="BD241" s="537"/>
      <c r="BE241" s="537"/>
      <c r="BF241" s="535"/>
      <c r="BG241" s="537"/>
      <c r="BH241" s="538">
        <f t="shared" si="100"/>
        <v>27.5</v>
      </c>
      <c r="BI241" s="538">
        <f t="shared" si="101"/>
        <v>7.4</v>
      </c>
      <c r="BJ241" s="538">
        <f t="shared" si="102"/>
        <v>24.2</v>
      </c>
      <c r="BK241" s="538">
        <f t="shared" si="103"/>
        <v>11</v>
      </c>
      <c r="BL241" s="538">
        <f t="shared" si="104"/>
        <v>9.5</v>
      </c>
      <c r="BM241" s="538">
        <f t="shared" si="105"/>
        <v>5.6</v>
      </c>
      <c r="BN241" s="538">
        <f t="shared" si="106"/>
        <v>7.4</v>
      </c>
      <c r="BO241" s="538">
        <f t="shared" si="107"/>
        <v>7.3999999999999986</v>
      </c>
      <c r="BP241" s="538">
        <f t="shared" si="96"/>
        <v>100</v>
      </c>
      <c r="BQ241" s="535" t="s">
        <v>1979</v>
      </c>
      <c r="BR241" s="557">
        <v>8.8539999999999994E-2</v>
      </c>
      <c r="BS241" s="557">
        <v>8.8539999999999994E-2</v>
      </c>
      <c r="BT241" s="557">
        <v>1.719E-2</v>
      </c>
      <c r="BU241" s="557">
        <v>7.3859999999999995E-2</v>
      </c>
      <c r="BV241" s="557">
        <v>4.929E-2</v>
      </c>
      <c r="BW241" s="558" t="s">
        <v>2275</v>
      </c>
      <c r="BX241" s="535" t="s">
        <v>2276</v>
      </c>
      <c r="DH241" s="540" t="str">
        <f t="shared" si="108"/>
        <v>Monaco</v>
      </c>
      <c r="DI241" s="540" t="str">
        <f t="shared" si="109"/>
        <v>Europe</v>
      </c>
      <c r="DJ241" s="540" t="str">
        <f t="shared" si="110"/>
        <v>Western Europe</v>
      </c>
      <c r="DL241" s="540" t="s">
        <v>35</v>
      </c>
    </row>
    <row r="242" spans="49:116">
      <c r="AW242" s="1396" t="s">
        <v>67</v>
      </c>
      <c r="AX242" s="1396" t="s">
        <v>2005</v>
      </c>
      <c r="AY242" s="1397" t="s">
        <v>2138</v>
      </c>
      <c r="AZ242" s="1396">
        <v>55</v>
      </c>
      <c r="BA242" s="528" t="s">
        <v>1977</v>
      </c>
      <c r="BB242" s="536">
        <v>6.773479335438692</v>
      </c>
      <c r="BC242" s="535" t="s">
        <v>2006</v>
      </c>
      <c r="BD242" s="537"/>
      <c r="BE242" s="537"/>
      <c r="BF242" s="535"/>
      <c r="BG242" s="537"/>
      <c r="BH242" s="538">
        <f t="shared" si="100"/>
        <v>27.5</v>
      </c>
      <c r="BI242" s="538">
        <f t="shared" si="101"/>
        <v>7.4</v>
      </c>
      <c r="BJ242" s="538">
        <f t="shared" si="102"/>
        <v>24.2</v>
      </c>
      <c r="BK242" s="538">
        <f t="shared" si="103"/>
        <v>11</v>
      </c>
      <c r="BL242" s="538">
        <f t="shared" si="104"/>
        <v>9.5</v>
      </c>
      <c r="BM242" s="538">
        <f t="shared" si="105"/>
        <v>5.6</v>
      </c>
      <c r="BN242" s="538">
        <f t="shared" si="106"/>
        <v>7.4</v>
      </c>
      <c r="BO242" s="538">
        <f t="shared" si="107"/>
        <v>7.3999999999999986</v>
      </c>
      <c r="BP242" s="538">
        <f t="shared" si="96"/>
        <v>100</v>
      </c>
      <c r="BQ242" s="535" t="s">
        <v>1979</v>
      </c>
      <c r="BR242" s="557">
        <v>8.8539999999999994E-2</v>
      </c>
      <c r="BS242" s="557">
        <v>8.8539999999999994E-2</v>
      </c>
      <c r="BT242" s="557">
        <v>1.719E-2</v>
      </c>
      <c r="BU242" s="557">
        <v>7.3859999999999995E-2</v>
      </c>
      <c r="BV242" s="557">
        <v>4.929E-2</v>
      </c>
      <c r="BW242" s="558" t="s">
        <v>2275</v>
      </c>
      <c r="BX242" s="535" t="s">
        <v>2276</v>
      </c>
      <c r="DH242" s="540" t="str">
        <f t="shared" si="108"/>
        <v>Netherlands</v>
      </c>
      <c r="DI242" s="540" t="str">
        <f t="shared" si="109"/>
        <v>Europe</v>
      </c>
      <c r="DJ242" s="540" t="str">
        <f t="shared" si="110"/>
        <v>Western Europe</v>
      </c>
      <c r="DL242" s="540" t="s">
        <v>35</v>
      </c>
    </row>
    <row r="243" spans="49:116">
      <c r="AW243" s="533"/>
      <c r="AX243" s="533"/>
      <c r="AY243" s="534"/>
      <c r="AZ243" s="533"/>
      <c r="BA243" s="535"/>
      <c r="BB243" s="536">
        <v>8.5999828429269964</v>
      </c>
      <c r="BC243" s="535" t="s">
        <v>2750</v>
      </c>
      <c r="BD243" s="537"/>
      <c r="BE243" s="537"/>
      <c r="BF243" s="535"/>
      <c r="BG243" s="537"/>
      <c r="BH243" s="538" t="e">
        <f t="shared" si="100"/>
        <v>#N/A</v>
      </c>
      <c r="BI243" s="538" t="e">
        <f t="shared" si="101"/>
        <v>#N/A</v>
      </c>
      <c r="BJ243" s="538" t="e">
        <f t="shared" si="102"/>
        <v>#N/A</v>
      </c>
      <c r="BK243" s="538" t="e">
        <f t="shared" si="103"/>
        <v>#N/A</v>
      </c>
      <c r="BL243" s="538" t="e">
        <f t="shared" si="104"/>
        <v>#N/A</v>
      </c>
      <c r="BM243" s="538" t="e">
        <f t="shared" si="105"/>
        <v>#N/A</v>
      </c>
      <c r="BN243" s="538" t="e">
        <f t="shared" si="106"/>
        <v>#N/A</v>
      </c>
      <c r="BO243" s="538" t="e">
        <f t="shared" si="107"/>
        <v>#N/A</v>
      </c>
      <c r="BP243" s="538" t="e">
        <f t="shared" si="96"/>
        <v>#N/A</v>
      </c>
      <c r="BQ243" s="535" t="s">
        <v>1979</v>
      </c>
      <c r="BR243" s="557">
        <v>8.8539999999999994E-2</v>
      </c>
      <c r="BS243" s="557">
        <v>8.8539999999999994E-2</v>
      </c>
      <c r="BT243" s="557">
        <v>1.719E-2</v>
      </c>
      <c r="BU243" s="557">
        <v>7.3859999999999995E-2</v>
      </c>
      <c r="BV243" s="557">
        <v>4.929E-2</v>
      </c>
      <c r="BW243" s="558" t="s">
        <v>2275</v>
      </c>
      <c r="BX243" s="535" t="s">
        <v>2276</v>
      </c>
      <c r="DH243" s="540" t="str">
        <f t="shared" si="108"/>
        <v>Switzerland</v>
      </c>
      <c r="DI243" s="540" t="str">
        <f t="shared" si="109"/>
        <v>Europe</v>
      </c>
      <c r="DJ243" s="540" t="str">
        <f t="shared" si="110"/>
        <v>Western Europe</v>
      </c>
      <c r="DL243" s="540" t="s">
        <v>35</v>
      </c>
    </row>
    <row r="244" spans="49:116">
      <c r="AW244" s="533"/>
      <c r="AX244" s="533"/>
      <c r="AY244" s="534"/>
      <c r="AZ244" s="533"/>
      <c r="BA244" s="535"/>
      <c r="BB244" s="552">
        <v>9.6273530541682675</v>
      </c>
      <c r="BC244" s="535" t="s">
        <v>2006</v>
      </c>
      <c r="BD244" s="549">
        <v>0.05</v>
      </c>
      <c r="BE244" s="549">
        <v>0.08</v>
      </c>
      <c r="BF244" s="535" t="s">
        <v>2179</v>
      </c>
      <c r="BG244" s="537"/>
      <c r="BH244" s="538" t="e">
        <f t="shared" si="100"/>
        <v>#N/A</v>
      </c>
      <c r="BI244" s="538" t="e">
        <f t="shared" si="101"/>
        <v>#N/A</v>
      </c>
      <c r="BJ244" s="538" t="e">
        <f t="shared" si="102"/>
        <v>#N/A</v>
      </c>
      <c r="BK244" s="538" t="e">
        <f t="shared" si="103"/>
        <v>#N/A</v>
      </c>
      <c r="BL244" s="538" t="e">
        <f t="shared" si="104"/>
        <v>#N/A</v>
      </c>
      <c r="BM244" s="538" t="e">
        <f t="shared" si="105"/>
        <v>#N/A</v>
      </c>
      <c r="BN244" s="538" t="e">
        <f t="shared" si="106"/>
        <v>#N/A</v>
      </c>
      <c r="BO244" s="538" t="e">
        <f t="shared" si="107"/>
        <v>#N/A</v>
      </c>
      <c r="BP244" s="538" t="e">
        <f t="shared" si="96"/>
        <v>#N/A</v>
      </c>
      <c r="BQ244" s="535" t="s">
        <v>2754</v>
      </c>
      <c r="BR244" s="557">
        <v>8.8539999999999994E-2</v>
      </c>
      <c r="BS244" s="557">
        <v>8.8539999999999994E-2</v>
      </c>
      <c r="BT244" s="557">
        <v>1.719E-2</v>
      </c>
      <c r="BU244" s="557">
        <v>7.3859999999999995E-2</v>
      </c>
      <c r="BV244" s="557">
        <v>4.929E-2</v>
      </c>
      <c r="BW244" s="558" t="s">
        <v>2275</v>
      </c>
      <c r="BX244" s="535" t="s">
        <v>2276</v>
      </c>
      <c r="DH244" s="540">
        <f t="shared" si="108"/>
        <v>0</v>
      </c>
      <c r="DI244" s="540">
        <f t="shared" si="109"/>
        <v>0</v>
      </c>
      <c r="DJ244" s="540">
        <f t="shared" si="110"/>
        <v>0</v>
      </c>
      <c r="DK244" s="540" t="s">
        <v>2751</v>
      </c>
      <c r="DL244" s="540" t="e">
        <f>VLOOKUP(DK244,#REF!,2,FALSE)</f>
        <v>#REF!</v>
      </c>
    </row>
    <row r="245" spans="49:116">
      <c r="AW245" s="533"/>
      <c r="AX245" s="533"/>
      <c r="AY245" s="534"/>
      <c r="AZ245" s="533"/>
      <c r="BA245" s="535"/>
      <c r="BB245" s="552">
        <v>5.9113863912301383</v>
      </c>
      <c r="BC245" s="535" t="s">
        <v>2006</v>
      </c>
      <c r="BD245" s="549">
        <v>0.04</v>
      </c>
      <c r="BE245" s="549">
        <v>0.1</v>
      </c>
      <c r="BF245" s="535" t="s">
        <v>2179</v>
      </c>
      <c r="BG245" s="537"/>
      <c r="BH245" s="538" t="e">
        <f t="shared" si="100"/>
        <v>#N/A</v>
      </c>
      <c r="BI245" s="538" t="e">
        <f t="shared" si="101"/>
        <v>#N/A</v>
      </c>
      <c r="BJ245" s="538" t="e">
        <f t="shared" si="102"/>
        <v>#N/A</v>
      </c>
      <c r="BK245" s="538" t="e">
        <f t="shared" si="103"/>
        <v>#N/A</v>
      </c>
      <c r="BL245" s="538" t="e">
        <f t="shared" si="104"/>
        <v>#N/A</v>
      </c>
      <c r="BM245" s="538" t="e">
        <f t="shared" si="105"/>
        <v>#N/A</v>
      </c>
      <c r="BN245" s="538" t="e">
        <f t="shared" si="106"/>
        <v>#N/A</v>
      </c>
      <c r="BO245" s="538" t="e">
        <f t="shared" si="107"/>
        <v>#N/A</v>
      </c>
      <c r="BP245" s="538" t="e">
        <f t="shared" si="96"/>
        <v>#N/A</v>
      </c>
      <c r="BQ245" s="535" t="s">
        <v>1979</v>
      </c>
      <c r="BR245" s="557">
        <v>8.8539999999999994E-2</v>
      </c>
      <c r="BS245" s="557">
        <v>8.8539999999999994E-2</v>
      </c>
      <c r="BT245" s="557">
        <v>1.719E-2</v>
      </c>
      <c r="BU245" s="557">
        <v>7.3859999999999995E-2</v>
      </c>
      <c r="BV245" s="557">
        <v>4.929E-2</v>
      </c>
      <c r="BW245" s="558" t="s">
        <v>2275</v>
      </c>
      <c r="BX245" s="535" t="s">
        <v>2276</v>
      </c>
      <c r="DH245" s="540">
        <f t="shared" si="108"/>
        <v>0</v>
      </c>
      <c r="DI245" s="540">
        <f t="shared" si="109"/>
        <v>0</v>
      </c>
      <c r="DJ245" s="540">
        <f t="shared" si="110"/>
        <v>0</v>
      </c>
      <c r="DK245" s="540" t="e">
        <f>VLOOKUP(DH245,#REF!,1)</f>
        <v>#REF!</v>
      </c>
      <c r="DL245" s="540" t="e">
        <f>VLOOKUP(DK245,#REF!,2,FALSE)</f>
        <v>#REF!</v>
      </c>
    </row>
    <row r="246" spans="49:116">
      <c r="AW246" s="533"/>
      <c r="AX246" s="533"/>
      <c r="AY246" s="534"/>
      <c r="AZ246" s="533"/>
      <c r="BA246" s="535"/>
      <c r="BB246" s="552">
        <v>5.9113863912301383</v>
      </c>
      <c r="BC246" s="535" t="s">
        <v>2006</v>
      </c>
      <c r="BD246" s="549">
        <v>0.04</v>
      </c>
      <c r="BE246" s="549">
        <v>0.1</v>
      </c>
      <c r="BF246" s="535" t="s">
        <v>2179</v>
      </c>
      <c r="BG246" s="537"/>
      <c r="BH246" s="538" t="e">
        <f t="shared" si="100"/>
        <v>#N/A</v>
      </c>
      <c r="BI246" s="538" t="e">
        <f t="shared" si="101"/>
        <v>#N/A</v>
      </c>
      <c r="BJ246" s="538" t="e">
        <f t="shared" si="102"/>
        <v>#N/A</v>
      </c>
      <c r="BK246" s="538" t="e">
        <f t="shared" si="103"/>
        <v>#N/A</v>
      </c>
      <c r="BL246" s="538" t="e">
        <f t="shared" si="104"/>
        <v>#N/A</v>
      </c>
      <c r="BM246" s="538" t="e">
        <f t="shared" si="105"/>
        <v>#N/A</v>
      </c>
      <c r="BN246" s="538" t="e">
        <f t="shared" si="106"/>
        <v>#N/A</v>
      </c>
      <c r="BO246" s="538" t="e">
        <f t="shared" si="107"/>
        <v>#N/A</v>
      </c>
      <c r="BP246" s="538" t="e">
        <f t="shared" si="96"/>
        <v>#N/A</v>
      </c>
      <c r="BQ246" s="535" t="s">
        <v>1979</v>
      </c>
      <c r="BR246" s="557">
        <v>8.8539999999999994E-2</v>
      </c>
      <c r="BS246" s="557">
        <v>8.8539999999999994E-2</v>
      </c>
      <c r="BT246" s="557">
        <v>1.719E-2</v>
      </c>
      <c r="BU246" s="557">
        <v>7.3859999999999995E-2</v>
      </c>
      <c r="BV246" s="557">
        <v>4.929E-2</v>
      </c>
      <c r="BW246" s="558" t="s">
        <v>2275</v>
      </c>
      <c r="BX246" s="535" t="s">
        <v>2276</v>
      </c>
      <c r="DH246" s="540">
        <f t="shared" si="108"/>
        <v>0</v>
      </c>
      <c r="DI246" s="540">
        <f t="shared" si="109"/>
        <v>0</v>
      </c>
      <c r="DJ246" s="540">
        <f t="shared" si="110"/>
        <v>0</v>
      </c>
      <c r="DK246" s="540" t="e">
        <f>VLOOKUP(DH246,#REF!,1)</f>
        <v>#REF!</v>
      </c>
      <c r="DL246" s="540" t="e">
        <f>VLOOKUP(DK246,#REF!,2,FALSE)</f>
        <v>#REF!</v>
      </c>
    </row>
    <row r="247" spans="49:116">
      <c r="AW247" s="533"/>
      <c r="AX247" s="533"/>
      <c r="AY247" s="534"/>
      <c r="AZ247" s="533"/>
      <c r="BA247" s="535"/>
      <c r="BB247" s="552">
        <v>5.9113863912301383</v>
      </c>
      <c r="BC247" s="535" t="s">
        <v>2006</v>
      </c>
      <c r="BD247" s="549">
        <v>0.04</v>
      </c>
      <c r="BE247" s="549">
        <v>0.1</v>
      </c>
      <c r="BF247" s="535" t="s">
        <v>2179</v>
      </c>
      <c r="BG247" s="537"/>
      <c r="BH247" s="538" t="e">
        <f t="shared" si="100"/>
        <v>#N/A</v>
      </c>
      <c r="BI247" s="538" t="e">
        <f t="shared" si="101"/>
        <v>#N/A</v>
      </c>
      <c r="BJ247" s="538" t="e">
        <f t="shared" si="102"/>
        <v>#N/A</v>
      </c>
      <c r="BK247" s="538" t="e">
        <f t="shared" si="103"/>
        <v>#N/A</v>
      </c>
      <c r="BL247" s="538" t="e">
        <f t="shared" si="104"/>
        <v>#N/A</v>
      </c>
      <c r="BM247" s="538" t="e">
        <f t="shared" si="105"/>
        <v>#N/A</v>
      </c>
      <c r="BN247" s="538" t="e">
        <f t="shared" si="106"/>
        <v>#N/A</v>
      </c>
      <c r="BO247" s="538" t="e">
        <f t="shared" si="107"/>
        <v>#N/A</v>
      </c>
      <c r="BP247" s="538" t="e">
        <f t="shared" si="96"/>
        <v>#N/A</v>
      </c>
      <c r="BQ247" s="535" t="s">
        <v>1979</v>
      </c>
      <c r="BR247" s="557">
        <v>8.8539999999999994E-2</v>
      </c>
      <c r="BS247" s="557">
        <v>8.8539999999999994E-2</v>
      </c>
      <c r="BT247" s="557">
        <v>1.719E-2</v>
      </c>
      <c r="BU247" s="557">
        <v>7.3859999999999995E-2</v>
      </c>
      <c r="BV247" s="557">
        <v>4.929E-2</v>
      </c>
      <c r="BW247" s="558" t="s">
        <v>2275</v>
      </c>
      <c r="BX247" s="535" t="s">
        <v>2276</v>
      </c>
      <c r="DH247" s="540">
        <f t="shared" si="108"/>
        <v>0</v>
      </c>
      <c r="DI247" s="540">
        <f t="shared" si="109"/>
        <v>0</v>
      </c>
      <c r="DJ247" s="540">
        <f t="shared" si="110"/>
        <v>0</v>
      </c>
      <c r="DK247" s="540" t="e">
        <f>VLOOKUP(DH247,#REF!,1)</f>
        <v>#REF!</v>
      </c>
      <c r="DL247" s="540" t="e">
        <f>VLOOKUP(DK247,#REF!,2,FALSE)</f>
        <v>#REF!</v>
      </c>
    </row>
    <row r="248" spans="49:116">
      <c r="AW248" s="533"/>
      <c r="AX248" s="533"/>
      <c r="AY248" s="534"/>
      <c r="AZ248" s="533"/>
      <c r="BA248" s="535"/>
      <c r="BB248" s="552">
        <v>5.9113863912301383</v>
      </c>
      <c r="BC248" s="535" t="s">
        <v>2006</v>
      </c>
      <c r="BD248" s="549">
        <v>0.04</v>
      </c>
      <c r="BE248" s="549">
        <v>0.1</v>
      </c>
      <c r="BF248" s="535" t="s">
        <v>2179</v>
      </c>
      <c r="BG248" s="537"/>
      <c r="BH248" s="538" t="e">
        <f t="shared" si="100"/>
        <v>#N/A</v>
      </c>
      <c r="BI248" s="538" t="e">
        <f t="shared" si="101"/>
        <v>#N/A</v>
      </c>
      <c r="BJ248" s="538" t="e">
        <f t="shared" si="102"/>
        <v>#N/A</v>
      </c>
      <c r="BK248" s="538" t="e">
        <f t="shared" si="103"/>
        <v>#N/A</v>
      </c>
      <c r="BL248" s="538" t="e">
        <f t="shared" si="104"/>
        <v>#N/A</v>
      </c>
      <c r="BM248" s="538" t="e">
        <f t="shared" si="105"/>
        <v>#N/A</v>
      </c>
      <c r="BN248" s="538" t="e">
        <f t="shared" si="106"/>
        <v>#N/A</v>
      </c>
      <c r="BO248" s="538" t="e">
        <f t="shared" si="107"/>
        <v>#N/A</v>
      </c>
      <c r="BP248" s="538" t="e">
        <f t="shared" si="96"/>
        <v>#N/A</v>
      </c>
      <c r="BQ248" s="535" t="s">
        <v>1979</v>
      </c>
      <c r="BR248" s="557">
        <v>8.8539999999999994E-2</v>
      </c>
      <c r="BS248" s="557">
        <v>8.8539999999999994E-2</v>
      </c>
      <c r="BT248" s="557">
        <v>1.719E-2</v>
      </c>
      <c r="BU248" s="557">
        <v>7.3859999999999995E-2</v>
      </c>
      <c r="BV248" s="557">
        <v>4.929E-2</v>
      </c>
      <c r="BW248" s="558" t="s">
        <v>2275</v>
      </c>
      <c r="BX248" s="535" t="s">
        <v>2276</v>
      </c>
      <c r="DH248" s="540">
        <f t="shared" si="108"/>
        <v>0</v>
      </c>
      <c r="DI248" s="540">
        <f t="shared" si="109"/>
        <v>0</v>
      </c>
      <c r="DJ248" s="540">
        <f t="shared" si="110"/>
        <v>0</v>
      </c>
      <c r="DK248" s="540" t="e">
        <f>VLOOKUP(DH248,#REF!,1)</f>
        <v>#REF!</v>
      </c>
      <c r="DL248" s="540" t="e">
        <f>VLOOKUP(DK248,#REF!,2,FALSE)</f>
        <v>#REF!</v>
      </c>
    </row>
    <row r="249" spans="49:116">
      <c r="AW249" s="533"/>
      <c r="AX249" s="533"/>
      <c r="AY249" s="534"/>
      <c r="AZ249" s="533"/>
      <c r="BA249" s="535"/>
      <c r="BB249" s="552">
        <v>5.9113863912301383</v>
      </c>
      <c r="BC249" s="535" t="s">
        <v>2006</v>
      </c>
      <c r="BD249" s="549">
        <v>0.04</v>
      </c>
      <c r="BE249" s="549">
        <v>0.1</v>
      </c>
      <c r="BF249" s="535" t="s">
        <v>2179</v>
      </c>
      <c r="BG249" s="537"/>
      <c r="BH249" s="538" t="e">
        <f t="shared" si="100"/>
        <v>#N/A</v>
      </c>
      <c r="BI249" s="538" t="e">
        <f t="shared" si="101"/>
        <v>#N/A</v>
      </c>
      <c r="BJ249" s="538" t="e">
        <f t="shared" si="102"/>
        <v>#N/A</v>
      </c>
      <c r="BK249" s="538" t="e">
        <f t="shared" si="103"/>
        <v>#N/A</v>
      </c>
      <c r="BL249" s="538" t="e">
        <f t="shared" si="104"/>
        <v>#N/A</v>
      </c>
      <c r="BM249" s="538" t="e">
        <f t="shared" si="105"/>
        <v>#N/A</v>
      </c>
      <c r="BN249" s="538" t="e">
        <f t="shared" si="106"/>
        <v>#N/A</v>
      </c>
      <c r="BO249" s="538" t="e">
        <f t="shared" si="107"/>
        <v>#N/A</v>
      </c>
      <c r="BP249" s="538" t="e">
        <f t="shared" si="96"/>
        <v>#N/A</v>
      </c>
      <c r="BQ249" s="535" t="s">
        <v>1979</v>
      </c>
      <c r="BR249" s="557">
        <v>8.8539999999999994E-2</v>
      </c>
      <c r="BS249" s="557">
        <v>8.8539999999999994E-2</v>
      </c>
      <c r="BT249" s="557">
        <v>1.719E-2</v>
      </c>
      <c r="BU249" s="557">
        <v>7.3859999999999995E-2</v>
      </c>
      <c r="BV249" s="557">
        <v>4.929E-2</v>
      </c>
      <c r="BW249" s="558" t="s">
        <v>2275</v>
      </c>
      <c r="BX249" s="535" t="s">
        <v>2276</v>
      </c>
      <c r="DH249" s="540">
        <f t="shared" si="108"/>
        <v>0</v>
      </c>
      <c r="DI249" s="540">
        <f t="shared" si="109"/>
        <v>0</v>
      </c>
      <c r="DJ249" s="540">
        <f t="shared" si="110"/>
        <v>0</v>
      </c>
      <c r="DK249" s="540" t="e">
        <f>VLOOKUP(DH249,#REF!,1)</f>
        <v>#REF!</v>
      </c>
      <c r="DL249" s="540" t="e">
        <f>VLOOKUP(DK249,#REF!,2,FALSE)</f>
        <v>#REF!</v>
      </c>
    </row>
    <row r="250" spans="49:116">
      <c r="AW250" s="533"/>
      <c r="AX250" s="533"/>
      <c r="AY250" s="534"/>
      <c r="AZ250" s="533"/>
      <c r="BA250" s="535"/>
      <c r="BB250" s="552">
        <v>5.9113863912301383</v>
      </c>
      <c r="BC250" s="535" t="s">
        <v>2006</v>
      </c>
      <c r="BD250" s="549">
        <v>0.04</v>
      </c>
      <c r="BE250" s="549">
        <v>0.1</v>
      </c>
      <c r="BF250" s="535" t="s">
        <v>2179</v>
      </c>
      <c r="BG250" s="537"/>
      <c r="BH250" s="538" t="e">
        <f t="shared" si="100"/>
        <v>#N/A</v>
      </c>
      <c r="BI250" s="538" t="e">
        <f t="shared" si="101"/>
        <v>#N/A</v>
      </c>
      <c r="BJ250" s="538" t="e">
        <f t="shared" si="102"/>
        <v>#N/A</v>
      </c>
      <c r="BK250" s="538" t="e">
        <f t="shared" si="103"/>
        <v>#N/A</v>
      </c>
      <c r="BL250" s="538" t="e">
        <f t="shared" si="104"/>
        <v>#N/A</v>
      </c>
      <c r="BM250" s="538" t="e">
        <f t="shared" si="105"/>
        <v>#N/A</v>
      </c>
      <c r="BN250" s="538" t="e">
        <f t="shared" si="106"/>
        <v>#N/A</v>
      </c>
      <c r="BO250" s="538" t="e">
        <f t="shared" si="107"/>
        <v>#N/A</v>
      </c>
      <c r="BP250" s="538" t="e">
        <f t="shared" si="96"/>
        <v>#N/A</v>
      </c>
      <c r="BQ250" s="535" t="s">
        <v>1979</v>
      </c>
      <c r="BR250" s="557">
        <v>8.8539999999999994E-2</v>
      </c>
      <c r="BS250" s="557">
        <v>8.8539999999999994E-2</v>
      </c>
      <c r="BT250" s="557">
        <v>1.719E-2</v>
      </c>
      <c r="BU250" s="557">
        <v>7.3859999999999995E-2</v>
      </c>
      <c r="BV250" s="557">
        <v>4.929E-2</v>
      </c>
      <c r="BW250" s="558" t="s">
        <v>2275</v>
      </c>
      <c r="BX250" s="535" t="s">
        <v>2276</v>
      </c>
      <c r="DH250" s="540">
        <f t="shared" si="108"/>
        <v>0</v>
      </c>
      <c r="DI250" s="540">
        <f t="shared" si="109"/>
        <v>0</v>
      </c>
      <c r="DJ250" s="540">
        <f t="shared" si="110"/>
        <v>0</v>
      </c>
      <c r="DK250" s="540" t="e">
        <f>VLOOKUP(DH250,#REF!,1)</f>
        <v>#REF!</v>
      </c>
      <c r="DL250" s="540" t="e">
        <f>VLOOKUP(DK250,#REF!,2,FALSE)</f>
        <v>#REF!</v>
      </c>
    </row>
    <row r="251" spans="49:116">
      <c r="AW251" s="533"/>
      <c r="AX251" s="533"/>
      <c r="AY251" s="534"/>
      <c r="AZ251" s="533"/>
      <c r="BA251" s="535"/>
      <c r="BB251" s="552">
        <v>5.9113863912301383</v>
      </c>
      <c r="BC251" s="535" t="s">
        <v>2006</v>
      </c>
      <c r="BD251" s="549">
        <v>0.04</v>
      </c>
      <c r="BE251" s="549">
        <v>0.1</v>
      </c>
      <c r="BF251" s="535" t="s">
        <v>2179</v>
      </c>
      <c r="BG251" s="537"/>
      <c r="BH251" s="538" t="e">
        <f t="shared" si="100"/>
        <v>#N/A</v>
      </c>
      <c r="BI251" s="538" t="e">
        <f t="shared" si="101"/>
        <v>#N/A</v>
      </c>
      <c r="BJ251" s="538" t="e">
        <f t="shared" si="102"/>
        <v>#N/A</v>
      </c>
      <c r="BK251" s="538" t="e">
        <f t="shared" si="103"/>
        <v>#N/A</v>
      </c>
      <c r="BL251" s="538" t="e">
        <f t="shared" si="104"/>
        <v>#N/A</v>
      </c>
      <c r="BM251" s="538" t="e">
        <f t="shared" si="105"/>
        <v>#N/A</v>
      </c>
      <c r="BN251" s="538" t="e">
        <f t="shared" si="106"/>
        <v>#N/A</v>
      </c>
      <c r="BO251" s="538" t="e">
        <f t="shared" si="107"/>
        <v>#N/A</v>
      </c>
      <c r="BP251" s="538" t="e">
        <f t="shared" si="96"/>
        <v>#N/A</v>
      </c>
      <c r="BQ251" s="535" t="s">
        <v>1979</v>
      </c>
      <c r="BR251" s="557">
        <v>8.8539999999999994E-2</v>
      </c>
      <c r="BS251" s="557">
        <v>8.8539999999999994E-2</v>
      </c>
      <c r="BT251" s="557">
        <v>1.719E-2</v>
      </c>
      <c r="BU251" s="557">
        <v>7.3859999999999995E-2</v>
      </c>
      <c r="BV251" s="557">
        <v>4.929E-2</v>
      </c>
      <c r="BW251" s="558" t="s">
        <v>2275</v>
      </c>
      <c r="BX251" s="535" t="s">
        <v>2276</v>
      </c>
      <c r="DH251" s="540">
        <f t="shared" si="108"/>
        <v>0</v>
      </c>
      <c r="DI251" s="540">
        <f t="shared" si="109"/>
        <v>0</v>
      </c>
      <c r="DJ251" s="540">
        <f t="shared" si="110"/>
        <v>0</v>
      </c>
      <c r="DK251" s="540" t="e">
        <f>VLOOKUP(DH251,#REF!,1)</f>
        <v>#REF!</v>
      </c>
      <c r="DL251" s="540" t="e">
        <f>VLOOKUP(DK251,#REF!,2,FALSE)</f>
        <v>#REF!</v>
      </c>
    </row>
    <row r="252" spans="49:116">
      <c r="AW252" s="533"/>
      <c r="AX252" s="533"/>
      <c r="AY252" s="534"/>
      <c r="AZ252" s="533"/>
      <c r="BA252" s="535"/>
      <c r="BB252" s="552">
        <v>5.9113863912301383</v>
      </c>
      <c r="BC252" s="535" t="s">
        <v>2006</v>
      </c>
      <c r="BD252" s="549">
        <v>0.04</v>
      </c>
      <c r="BE252" s="549">
        <v>0.1</v>
      </c>
      <c r="BF252" s="535" t="s">
        <v>2179</v>
      </c>
      <c r="BG252" s="537"/>
      <c r="BH252" s="538" t="e">
        <f t="shared" si="100"/>
        <v>#N/A</v>
      </c>
      <c r="BI252" s="538" t="e">
        <f t="shared" si="101"/>
        <v>#N/A</v>
      </c>
      <c r="BJ252" s="538" t="e">
        <f t="shared" si="102"/>
        <v>#N/A</v>
      </c>
      <c r="BK252" s="538" t="e">
        <f t="shared" si="103"/>
        <v>#N/A</v>
      </c>
      <c r="BL252" s="538" t="e">
        <f t="shared" si="104"/>
        <v>#N/A</v>
      </c>
      <c r="BM252" s="538" t="e">
        <f t="shared" si="105"/>
        <v>#N/A</v>
      </c>
      <c r="BN252" s="538" t="e">
        <f t="shared" si="106"/>
        <v>#N/A</v>
      </c>
      <c r="BO252" s="538" t="e">
        <f t="shared" si="107"/>
        <v>#N/A</v>
      </c>
      <c r="BP252" s="538" t="e">
        <f t="shared" si="96"/>
        <v>#N/A</v>
      </c>
      <c r="BQ252" s="535" t="s">
        <v>1979</v>
      </c>
      <c r="BR252" s="557">
        <v>8.8539999999999994E-2</v>
      </c>
      <c r="BS252" s="557">
        <v>8.8539999999999994E-2</v>
      </c>
      <c r="BT252" s="557">
        <v>1.719E-2</v>
      </c>
      <c r="BU252" s="557">
        <v>7.3859999999999995E-2</v>
      </c>
      <c r="BV252" s="557">
        <v>4.929E-2</v>
      </c>
      <c r="BW252" s="558" t="s">
        <v>2275</v>
      </c>
      <c r="BX252" s="535" t="s">
        <v>2276</v>
      </c>
      <c r="DH252" s="540">
        <f t="shared" si="108"/>
        <v>0</v>
      </c>
      <c r="DI252" s="540">
        <f t="shared" si="109"/>
        <v>0</v>
      </c>
      <c r="DJ252" s="540">
        <f t="shared" si="110"/>
        <v>0</v>
      </c>
      <c r="DK252" s="540" t="e">
        <f>VLOOKUP(DH252,#REF!,1)</f>
        <v>#REF!</v>
      </c>
      <c r="DL252" s="540" t="e">
        <f>VLOOKUP(DK252,#REF!,2,FALSE)</f>
        <v>#REF!</v>
      </c>
    </row>
    <row r="253" spans="49:116">
      <c r="AW253" s="533"/>
      <c r="AX253" s="533"/>
      <c r="AY253" s="534"/>
      <c r="AZ253" s="533"/>
      <c r="BA253" s="535"/>
      <c r="BB253" s="552">
        <v>5.9113863912301383</v>
      </c>
      <c r="BC253" s="535" t="s">
        <v>2006</v>
      </c>
      <c r="BD253" s="549">
        <v>0.04</v>
      </c>
      <c r="BE253" s="549">
        <v>0.1</v>
      </c>
      <c r="BF253" s="535" t="s">
        <v>2179</v>
      </c>
      <c r="BG253" s="537"/>
      <c r="BH253" s="538" t="e">
        <f t="shared" si="100"/>
        <v>#N/A</v>
      </c>
      <c r="BI253" s="538" t="e">
        <f t="shared" si="101"/>
        <v>#N/A</v>
      </c>
      <c r="BJ253" s="538" t="e">
        <f t="shared" si="102"/>
        <v>#N/A</v>
      </c>
      <c r="BK253" s="538" t="e">
        <f t="shared" si="103"/>
        <v>#N/A</v>
      </c>
      <c r="BL253" s="538" t="e">
        <f t="shared" si="104"/>
        <v>#N/A</v>
      </c>
      <c r="BM253" s="538" t="e">
        <f t="shared" si="105"/>
        <v>#N/A</v>
      </c>
      <c r="BN253" s="538" t="e">
        <f t="shared" si="106"/>
        <v>#N/A</v>
      </c>
      <c r="BO253" s="538" t="e">
        <f t="shared" si="107"/>
        <v>#N/A</v>
      </c>
      <c r="BP253" s="538" t="e">
        <f t="shared" si="96"/>
        <v>#N/A</v>
      </c>
      <c r="BQ253" s="535" t="s">
        <v>1979</v>
      </c>
      <c r="BR253" s="557">
        <v>8.8539999999999994E-2</v>
      </c>
      <c r="BS253" s="557">
        <v>8.8539999999999994E-2</v>
      </c>
      <c r="BT253" s="557">
        <v>1.719E-2</v>
      </c>
      <c r="BU253" s="557">
        <v>7.3859999999999995E-2</v>
      </c>
      <c r="BV253" s="557">
        <v>4.929E-2</v>
      </c>
      <c r="BW253" s="558" t="s">
        <v>2275</v>
      </c>
      <c r="BX253" s="535" t="s">
        <v>2276</v>
      </c>
      <c r="DH253" s="540">
        <f t="shared" si="108"/>
        <v>0</v>
      </c>
      <c r="DI253" s="540">
        <f t="shared" si="109"/>
        <v>0</v>
      </c>
      <c r="DJ253" s="540">
        <f t="shared" si="110"/>
        <v>0</v>
      </c>
      <c r="DK253" s="540" t="e">
        <f>VLOOKUP(DH253,#REF!,1)</f>
        <v>#REF!</v>
      </c>
      <c r="DL253" s="540" t="e">
        <f>VLOOKUP(DK253,#REF!,2,FALSE)</f>
        <v>#REF!</v>
      </c>
    </row>
    <row r="254" spans="49:116">
      <c r="AW254" s="533"/>
      <c r="AX254" s="533"/>
      <c r="AY254" s="534"/>
      <c r="AZ254" s="533"/>
      <c r="BA254" s="535"/>
      <c r="BB254" s="552">
        <v>5.9113863912301383</v>
      </c>
      <c r="BC254" s="535" t="s">
        <v>2006</v>
      </c>
      <c r="BD254" s="549">
        <v>0.04</v>
      </c>
      <c r="BE254" s="549">
        <v>0.1</v>
      </c>
      <c r="BF254" s="535" t="s">
        <v>2179</v>
      </c>
      <c r="BG254" s="537"/>
      <c r="BH254" s="538" t="e">
        <f t="shared" si="100"/>
        <v>#N/A</v>
      </c>
      <c r="BI254" s="538" t="e">
        <f t="shared" si="101"/>
        <v>#N/A</v>
      </c>
      <c r="BJ254" s="538" t="e">
        <f t="shared" si="102"/>
        <v>#N/A</v>
      </c>
      <c r="BK254" s="538" t="e">
        <f t="shared" si="103"/>
        <v>#N/A</v>
      </c>
      <c r="BL254" s="538" t="e">
        <f t="shared" si="104"/>
        <v>#N/A</v>
      </c>
      <c r="BM254" s="538" t="e">
        <f t="shared" si="105"/>
        <v>#N/A</v>
      </c>
      <c r="BN254" s="538" t="e">
        <f t="shared" si="106"/>
        <v>#N/A</v>
      </c>
      <c r="BO254" s="538" t="e">
        <f t="shared" si="107"/>
        <v>#N/A</v>
      </c>
      <c r="BP254" s="538" t="e">
        <f t="shared" si="96"/>
        <v>#N/A</v>
      </c>
      <c r="BQ254" s="535" t="s">
        <v>1979</v>
      </c>
      <c r="BR254" s="557">
        <v>8.8539999999999994E-2</v>
      </c>
      <c r="BS254" s="557">
        <v>8.8539999999999994E-2</v>
      </c>
      <c r="BT254" s="557">
        <v>1.719E-2</v>
      </c>
      <c r="BU254" s="557">
        <v>7.3859999999999995E-2</v>
      </c>
      <c r="BV254" s="557">
        <v>4.929E-2</v>
      </c>
      <c r="BW254" s="558" t="s">
        <v>2275</v>
      </c>
      <c r="BX254" s="535" t="s">
        <v>2276</v>
      </c>
      <c r="DH254" s="540">
        <f t="shared" si="108"/>
        <v>0</v>
      </c>
      <c r="DI254" s="540">
        <f t="shared" si="109"/>
        <v>0</v>
      </c>
      <c r="DJ254" s="540">
        <f t="shared" si="110"/>
        <v>0</v>
      </c>
      <c r="DK254" s="540" t="e">
        <f>VLOOKUP(DH254,#REF!,1)</f>
        <v>#REF!</v>
      </c>
      <c r="DL254" s="540" t="e">
        <f>VLOOKUP(DK254,#REF!,2,FALSE)</f>
        <v>#REF!</v>
      </c>
    </row>
    <row r="255" spans="49:116">
      <c r="AW255" s="533"/>
      <c r="AX255" s="533"/>
      <c r="AY255" s="534"/>
      <c r="AZ255" s="533"/>
      <c r="BA255" s="535"/>
      <c r="BB255" s="552">
        <v>5.9113863912301383</v>
      </c>
      <c r="BC255" s="535" t="s">
        <v>2006</v>
      </c>
      <c r="BD255" s="549">
        <v>0.04</v>
      </c>
      <c r="BE255" s="549">
        <v>0.1</v>
      </c>
      <c r="BF255" s="535" t="s">
        <v>2179</v>
      </c>
      <c r="BG255" s="537"/>
      <c r="BH255" s="538" t="e">
        <f t="shared" si="100"/>
        <v>#N/A</v>
      </c>
      <c r="BI255" s="538" t="e">
        <f t="shared" si="101"/>
        <v>#N/A</v>
      </c>
      <c r="BJ255" s="538" t="e">
        <f t="shared" si="102"/>
        <v>#N/A</v>
      </c>
      <c r="BK255" s="538" t="e">
        <f t="shared" si="103"/>
        <v>#N/A</v>
      </c>
      <c r="BL255" s="538" t="e">
        <f t="shared" si="104"/>
        <v>#N/A</v>
      </c>
      <c r="BM255" s="538" t="e">
        <f t="shared" si="105"/>
        <v>#N/A</v>
      </c>
      <c r="BN255" s="538" t="e">
        <f t="shared" si="106"/>
        <v>#N/A</v>
      </c>
      <c r="BO255" s="538" t="e">
        <f t="shared" si="107"/>
        <v>#N/A</v>
      </c>
      <c r="BP255" s="538" t="e">
        <f t="shared" si="96"/>
        <v>#N/A</v>
      </c>
      <c r="BQ255" s="535" t="s">
        <v>1979</v>
      </c>
      <c r="BR255" s="557">
        <v>8.8539999999999994E-2</v>
      </c>
      <c r="BS255" s="557">
        <v>8.8539999999999994E-2</v>
      </c>
      <c r="BT255" s="557">
        <v>1.719E-2</v>
      </c>
      <c r="BU255" s="557">
        <v>7.3859999999999995E-2</v>
      </c>
      <c r="BV255" s="557">
        <v>4.929E-2</v>
      </c>
      <c r="BW255" s="558" t="s">
        <v>2275</v>
      </c>
      <c r="BX255" s="535" t="s">
        <v>2276</v>
      </c>
      <c r="DH255" s="540">
        <f t="shared" si="108"/>
        <v>0</v>
      </c>
      <c r="DI255" s="540">
        <f t="shared" si="109"/>
        <v>0</v>
      </c>
      <c r="DJ255" s="540">
        <f t="shared" si="110"/>
        <v>0</v>
      </c>
      <c r="DK255" s="540" t="e">
        <f>VLOOKUP(DH255,#REF!,1)</f>
        <v>#REF!</v>
      </c>
      <c r="DL255" s="540" t="e">
        <f>VLOOKUP(DK255,#REF!,2,FALSE)</f>
        <v>#REF!</v>
      </c>
    </row>
    <row r="256" spans="49:116">
      <c r="AW256" s="533"/>
      <c r="AX256" s="533"/>
      <c r="AY256" s="534"/>
      <c r="AZ256" s="533"/>
      <c r="BA256" s="535"/>
      <c r="BB256" s="552">
        <v>5.9113863912301383</v>
      </c>
      <c r="BC256" s="535" t="s">
        <v>2006</v>
      </c>
      <c r="BD256" s="549">
        <v>0.04</v>
      </c>
      <c r="BE256" s="549">
        <v>0.1</v>
      </c>
      <c r="BF256" s="535" t="s">
        <v>2179</v>
      </c>
      <c r="BG256" s="537"/>
      <c r="BH256" s="538" t="e">
        <f t="shared" ref="BH256:BH280" si="111">+VLOOKUP($AY256,$BZ$3:$CH$21,2,FALSE)</f>
        <v>#N/A</v>
      </c>
      <c r="BI256" s="538" t="e">
        <f t="shared" ref="BI256:BI280" si="112">+VLOOKUP($AY256,$BZ$3:$CH$21,3,FALSE)</f>
        <v>#N/A</v>
      </c>
      <c r="BJ256" s="538" t="e">
        <f t="shared" ref="BJ256:BJ280" si="113">+VLOOKUP($AY256,$BZ$3:$CH$21,4,FALSE)</f>
        <v>#N/A</v>
      </c>
      <c r="BK256" s="538" t="e">
        <f t="shared" ref="BK256:BK280" si="114">+VLOOKUP($AY256,$BZ$3:$CH$21,5,FALSE)</f>
        <v>#N/A</v>
      </c>
      <c r="BL256" s="538" t="e">
        <f t="shared" ref="BL256:BL280" si="115">+VLOOKUP($AY256,$BZ$3:$CH$21,6,FALSE)</f>
        <v>#N/A</v>
      </c>
      <c r="BM256" s="538" t="e">
        <f t="shared" ref="BM256:BM280" si="116">+VLOOKUP($AY256,$BZ$3:$CH$21,7,FALSE)</f>
        <v>#N/A</v>
      </c>
      <c r="BN256" s="538" t="e">
        <f t="shared" ref="BN256:BN280" si="117">+VLOOKUP($AY256,$BZ$3:$CH$21,8,FALSE)</f>
        <v>#N/A</v>
      </c>
      <c r="BO256" s="538" t="e">
        <f t="shared" ref="BO256:BO280" si="118">+VLOOKUP($AY256,$BZ$3:$CH$21,9,FALSE)</f>
        <v>#N/A</v>
      </c>
      <c r="BP256" s="538" t="e">
        <f t="shared" si="96"/>
        <v>#N/A</v>
      </c>
      <c r="BQ256" s="535" t="s">
        <v>1979</v>
      </c>
      <c r="BR256" s="557">
        <v>8.8539999999999994E-2</v>
      </c>
      <c r="BS256" s="557">
        <v>8.8539999999999994E-2</v>
      </c>
      <c r="BT256" s="557">
        <v>1.719E-2</v>
      </c>
      <c r="BU256" s="557">
        <v>7.3859999999999995E-2</v>
      </c>
      <c r="BV256" s="557">
        <v>4.929E-2</v>
      </c>
      <c r="BW256" s="558" t="s">
        <v>2275</v>
      </c>
      <c r="BX256" s="535" t="s">
        <v>2276</v>
      </c>
      <c r="DH256" s="540">
        <f t="shared" si="108"/>
        <v>0</v>
      </c>
      <c r="DI256" s="540">
        <f t="shared" si="109"/>
        <v>0</v>
      </c>
      <c r="DJ256" s="540">
        <f t="shared" si="110"/>
        <v>0</v>
      </c>
      <c r="DK256" s="540" t="e">
        <f>VLOOKUP(DH256,#REF!,1)</f>
        <v>#REF!</v>
      </c>
      <c r="DL256" s="540" t="e">
        <f>VLOOKUP(DK256,#REF!,2,FALSE)</f>
        <v>#REF!</v>
      </c>
    </row>
    <row r="257" spans="49:116">
      <c r="AW257" s="533"/>
      <c r="AX257" s="533"/>
      <c r="AY257" s="534"/>
      <c r="AZ257" s="533"/>
      <c r="BA257" s="535"/>
      <c r="BB257" s="552">
        <v>5.9113863912301383</v>
      </c>
      <c r="BC257" s="535" t="s">
        <v>2006</v>
      </c>
      <c r="BD257" s="549">
        <v>0.04</v>
      </c>
      <c r="BE257" s="549">
        <v>0.1</v>
      </c>
      <c r="BF257" s="535" t="s">
        <v>2179</v>
      </c>
      <c r="BG257" s="537"/>
      <c r="BH257" s="538" t="e">
        <f t="shared" si="111"/>
        <v>#N/A</v>
      </c>
      <c r="BI257" s="538" t="e">
        <f t="shared" si="112"/>
        <v>#N/A</v>
      </c>
      <c r="BJ257" s="538" t="e">
        <f t="shared" si="113"/>
        <v>#N/A</v>
      </c>
      <c r="BK257" s="538" t="e">
        <f t="shared" si="114"/>
        <v>#N/A</v>
      </c>
      <c r="BL257" s="538" t="e">
        <f t="shared" si="115"/>
        <v>#N/A</v>
      </c>
      <c r="BM257" s="538" t="e">
        <f t="shared" si="116"/>
        <v>#N/A</v>
      </c>
      <c r="BN257" s="538" t="e">
        <f t="shared" si="117"/>
        <v>#N/A</v>
      </c>
      <c r="BO257" s="538" t="e">
        <f t="shared" si="118"/>
        <v>#N/A</v>
      </c>
      <c r="BP257" s="538" t="e">
        <f t="shared" si="96"/>
        <v>#N/A</v>
      </c>
      <c r="BQ257" s="535" t="s">
        <v>1979</v>
      </c>
      <c r="BR257" s="557">
        <v>8.8539999999999994E-2</v>
      </c>
      <c r="BS257" s="557">
        <v>8.8539999999999994E-2</v>
      </c>
      <c r="BT257" s="557">
        <v>1.719E-2</v>
      </c>
      <c r="BU257" s="557">
        <v>7.3859999999999995E-2</v>
      </c>
      <c r="BV257" s="557">
        <v>4.929E-2</v>
      </c>
      <c r="BW257" s="558" t="s">
        <v>2275</v>
      </c>
      <c r="BX257" s="535" t="s">
        <v>2276</v>
      </c>
      <c r="DH257" s="540">
        <f t="shared" si="108"/>
        <v>0</v>
      </c>
      <c r="DI257" s="540">
        <f t="shared" si="109"/>
        <v>0</v>
      </c>
      <c r="DJ257" s="540">
        <f t="shared" si="110"/>
        <v>0</v>
      </c>
      <c r="DK257" s="540" t="e">
        <f>VLOOKUP(DH257,#REF!,1)</f>
        <v>#REF!</v>
      </c>
      <c r="DL257" s="540" t="e">
        <f>VLOOKUP(DK257,#REF!,2,FALSE)</f>
        <v>#REF!</v>
      </c>
    </row>
    <row r="258" spans="49:116">
      <c r="AW258" s="533"/>
      <c r="AX258" s="533"/>
      <c r="AY258" s="534"/>
      <c r="AZ258" s="533"/>
      <c r="BA258" s="535"/>
      <c r="BB258" s="552">
        <v>5.9113863912301383</v>
      </c>
      <c r="BC258" s="535" t="s">
        <v>2006</v>
      </c>
      <c r="BD258" s="549">
        <v>0.04</v>
      </c>
      <c r="BE258" s="549">
        <v>0.1</v>
      </c>
      <c r="BF258" s="535" t="s">
        <v>2179</v>
      </c>
      <c r="BG258" s="537"/>
      <c r="BH258" s="538" t="e">
        <f t="shared" si="111"/>
        <v>#N/A</v>
      </c>
      <c r="BI258" s="538" t="e">
        <f t="shared" si="112"/>
        <v>#N/A</v>
      </c>
      <c r="BJ258" s="538" t="e">
        <f t="shared" si="113"/>
        <v>#N/A</v>
      </c>
      <c r="BK258" s="538" t="e">
        <f t="shared" si="114"/>
        <v>#N/A</v>
      </c>
      <c r="BL258" s="538" t="e">
        <f t="shared" si="115"/>
        <v>#N/A</v>
      </c>
      <c r="BM258" s="538" t="e">
        <f t="shared" si="116"/>
        <v>#N/A</v>
      </c>
      <c r="BN258" s="538" t="e">
        <f t="shared" si="117"/>
        <v>#N/A</v>
      </c>
      <c r="BO258" s="538" t="e">
        <f t="shared" si="118"/>
        <v>#N/A</v>
      </c>
      <c r="BP258" s="538" t="e">
        <f t="shared" si="96"/>
        <v>#N/A</v>
      </c>
      <c r="BQ258" s="535" t="s">
        <v>1979</v>
      </c>
      <c r="BR258" s="557">
        <v>8.8539999999999994E-2</v>
      </c>
      <c r="BS258" s="557">
        <v>8.8539999999999994E-2</v>
      </c>
      <c r="BT258" s="557">
        <v>1.719E-2</v>
      </c>
      <c r="BU258" s="557">
        <v>7.3859999999999995E-2</v>
      </c>
      <c r="BV258" s="557">
        <v>4.929E-2</v>
      </c>
      <c r="BW258" s="558" t="s">
        <v>2275</v>
      </c>
      <c r="BX258" s="535" t="s">
        <v>2276</v>
      </c>
      <c r="DH258" s="540">
        <f t="shared" si="108"/>
        <v>0</v>
      </c>
      <c r="DI258" s="540">
        <f t="shared" si="109"/>
        <v>0</v>
      </c>
      <c r="DJ258" s="540">
        <f t="shared" si="110"/>
        <v>0</v>
      </c>
      <c r="DK258" s="540" t="e">
        <f>VLOOKUP(DH258,#REF!,1)</f>
        <v>#REF!</v>
      </c>
      <c r="DL258" s="540" t="e">
        <f>VLOOKUP(DK258,#REF!,2,FALSE)</f>
        <v>#REF!</v>
      </c>
    </row>
    <row r="259" spans="49:116">
      <c r="AW259" s="533"/>
      <c r="AX259" s="533"/>
      <c r="AY259" s="534"/>
      <c r="AZ259" s="533"/>
      <c r="BA259" s="535"/>
      <c r="BB259" s="552">
        <v>5.9113863912301383</v>
      </c>
      <c r="BC259" s="535" t="s">
        <v>2006</v>
      </c>
      <c r="BD259" s="549">
        <v>0.04</v>
      </c>
      <c r="BE259" s="549">
        <v>0.1</v>
      </c>
      <c r="BF259" s="535" t="s">
        <v>2179</v>
      </c>
      <c r="BG259" s="537"/>
      <c r="BH259" s="538" t="e">
        <f t="shared" si="111"/>
        <v>#N/A</v>
      </c>
      <c r="BI259" s="538" t="e">
        <f t="shared" si="112"/>
        <v>#N/A</v>
      </c>
      <c r="BJ259" s="538" t="e">
        <f t="shared" si="113"/>
        <v>#N/A</v>
      </c>
      <c r="BK259" s="538" t="e">
        <f t="shared" si="114"/>
        <v>#N/A</v>
      </c>
      <c r="BL259" s="538" t="e">
        <f t="shared" si="115"/>
        <v>#N/A</v>
      </c>
      <c r="BM259" s="538" t="e">
        <f t="shared" si="116"/>
        <v>#N/A</v>
      </c>
      <c r="BN259" s="538" t="e">
        <f t="shared" si="117"/>
        <v>#N/A</v>
      </c>
      <c r="BO259" s="538" t="e">
        <f t="shared" si="118"/>
        <v>#N/A</v>
      </c>
      <c r="BP259" s="538" t="e">
        <f t="shared" si="96"/>
        <v>#N/A</v>
      </c>
      <c r="BQ259" s="535" t="s">
        <v>1979</v>
      </c>
      <c r="BR259" s="557">
        <v>8.8539999999999994E-2</v>
      </c>
      <c r="BS259" s="557">
        <v>8.8539999999999994E-2</v>
      </c>
      <c r="BT259" s="557">
        <v>1.719E-2</v>
      </c>
      <c r="BU259" s="557">
        <v>7.3859999999999995E-2</v>
      </c>
      <c r="BV259" s="557">
        <v>4.929E-2</v>
      </c>
      <c r="BW259" s="558" t="s">
        <v>2275</v>
      </c>
      <c r="BX259" s="535" t="s">
        <v>2276</v>
      </c>
      <c r="DH259" s="540">
        <f t="shared" si="108"/>
        <v>0</v>
      </c>
      <c r="DI259" s="540">
        <f t="shared" si="109"/>
        <v>0</v>
      </c>
      <c r="DJ259" s="540">
        <f t="shared" si="110"/>
        <v>0</v>
      </c>
      <c r="DK259" s="540" t="e">
        <f>VLOOKUP(DH259,#REF!,1)</f>
        <v>#REF!</v>
      </c>
      <c r="DL259" s="540" t="e">
        <f>VLOOKUP(DK259,#REF!,2,FALSE)</f>
        <v>#REF!</v>
      </c>
    </row>
    <row r="260" spans="49:116">
      <c r="AW260" s="533"/>
      <c r="AX260" s="533"/>
      <c r="AY260" s="534"/>
      <c r="AZ260" s="533"/>
      <c r="BA260" s="535"/>
      <c r="BB260" s="552">
        <v>5.9113863912301383</v>
      </c>
      <c r="BC260" s="535" t="s">
        <v>2006</v>
      </c>
      <c r="BD260" s="549">
        <v>0.04</v>
      </c>
      <c r="BE260" s="549">
        <v>0.1</v>
      </c>
      <c r="BF260" s="535" t="s">
        <v>2179</v>
      </c>
      <c r="BG260" s="537"/>
      <c r="BH260" s="538" t="e">
        <f t="shared" si="111"/>
        <v>#N/A</v>
      </c>
      <c r="BI260" s="538" t="e">
        <f t="shared" si="112"/>
        <v>#N/A</v>
      </c>
      <c r="BJ260" s="538" t="e">
        <f t="shared" si="113"/>
        <v>#N/A</v>
      </c>
      <c r="BK260" s="538" t="e">
        <f t="shared" si="114"/>
        <v>#N/A</v>
      </c>
      <c r="BL260" s="538" t="e">
        <f t="shared" si="115"/>
        <v>#N/A</v>
      </c>
      <c r="BM260" s="538" t="e">
        <f t="shared" si="116"/>
        <v>#N/A</v>
      </c>
      <c r="BN260" s="538" t="e">
        <f t="shared" si="117"/>
        <v>#N/A</v>
      </c>
      <c r="BO260" s="538" t="e">
        <f t="shared" si="118"/>
        <v>#N/A</v>
      </c>
      <c r="BP260" s="538" t="e">
        <f t="shared" ref="BP260:BP280" si="119">+SUM(BH260:BO260)</f>
        <v>#N/A</v>
      </c>
      <c r="BQ260" s="535" t="s">
        <v>1979</v>
      </c>
      <c r="BR260" s="557">
        <v>8.8539999999999994E-2</v>
      </c>
      <c r="BS260" s="557">
        <v>8.8539999999999994E-2</v>
      </c>
      <c r="BT260" s="557">
        <v>1.719E-2</v>
      </c>
      <c r="BU260" s="557">
        <v>7.3859999999999995E-2</v>
      </c>
      <c r="BV260" s="557">
        <v>4.929E-2</v>
      </c>
      <c r="BW260" s="558" t="s">
        <v>2275</v>
      </c>
      <c r="BX260" s="535" t="s">
        <v>2276</v>
      </c>
      <c r="DH260" s="540">
        <f t="shared" si="108"/>
        <v>0</v>
      </c>
      <c r="DI260" s="540">
        <f t="shared" si="109"/>
        <v>0</v>
      </c>
      <c r="DJ260" s="540">
        <f t="shared" si="110"/>
        <v>0</v>
      </c>
      <c r="DK260" s="540" t="e">
        <f>VLOOKUP(DH260,#REF!,1)</f>
        <v>#REF!</v>
      </c>
      <c r="DL260" s="540" t="e">
        <f>VLOOKUP(DK260,#REF!,2,FALSE)</f>
        <v>#REF!</v>
      </c>
    </row>
    <row r="261" spans="49:116">
      <c r="AW261" s="533"/>
      <c r="AX261" s="533"/>
      <c r="AY261" s="534"/>
      <c r="AZ261" s="533"/>
      <c r="BA261" s="535"/>
      <c r="BB261" s="552">
        <v>5.9113863912301383</v>
      </c>
      <c r="BC261" s="535" t="s">
        <v>2006</v>
      </c>
      <c r="BD261" s="549">
        <v>0.04</v>
      </c>
      <c r="BE261" s="549">
        <v>0.1</v>
      </c>
      <c r="BF261" s="535" t="s">
        <v>2179</v>
      </c>
      <c r="BG261" s="537"/>
      <c r="BH261" s="538" t="e">
        <f t="shared" si="111"/>
        <v>#N/A</v>
      </c>
      <c r="BI261" s="538" t="e">
        <f t="shared" si="112"/>
        <v>#N/A</v>
      </c>
      <c r="BJ261" s="538" t="e">
        <f t="shared" si="113"/>
        <v>#N/A</v>
      </c>
      <c r="BK261" s="538" t="e">
        <f t="shared" si="114"/>
        <v>#N/A</v>
      </c>
      <c r="BL261" s="538" t="e">
        <f t="shared" si="115"/>
        <v>#N/A</v>
      </c>
      <c r="BM261" s="538" t="e">
        <f t="shared" si="116"/>
        <v>#N/A</v>
      </c>
      <c r="BN261" s="538" t="e">
        <f t="shared" si="117"/>
        <v>#N/A</v>
      </c>
      <c r="BO261" s="538" t="e">
        <f t="shared" si="118"/>
        <v>#N/A</v>
      </c>
      <c r="BP261" s="538" t="e">
        <f t="shared" si="119"/>
        <v>#N/A</v>
      </c>
      <c r="BQ261" s="535" t="s">
        <v>1979</v>
      </c>
      <c r="BR261" s="557">
        <v>8.8539999999999994E-2</v>
      </c>
      <c r="BS261" s="557">
        <v>8.8539999999999994E-2</v>
      </c>
      <c r="BT261" s="557">
        <v>1.719E-2</v>
      </c>
      <c r="BU261" s="557">
        <v>7.3859999999999995E-2</v>
      </c>
      <c r="BV261" s="557">
        <v>4.929E-2</v>
      </c>
      <c r="BW261" s="558" t="s">
        <v>2275</v>
      </c>
      <c r="BX261" s="535" t="s">
        <v>2276</v>
      </c>
      <c r="DH261" s="540">
        <f t="shared" si="108"/>
        <v>0</v>
      </c>
      <c r="DI261" s="540">
        <f t="shared" si="109"/>
        <v>0</v>
      </c>
      <c r="DJ261" s="540">
        <f t="shared" si="110"/>
        <v>0</v>
      </c>
      <c r="DK261" s="540" t="e">
        <f>VLOOKUP(DH261,#REF!,1)</f>
        <v>#REF!</v>
      </c>
      <c r="DL261" s="540" t="e">
        <f>VLOOKUP(DK261,#REF!,2,FALSE)</f>
        <v>#REF!</v>
      </c>
    </row>
    <row r="262" spans="49:116">
      <c r="AW262" s="533"/>
      <c r="AX262" s="533"/>
      <c r="AY262" s="534"/>
      <c r="AZ262" s="533"/>
      <c r="BA262" s="535"/>
      <c r="BB262" s="552">
        <v>5.9113863912301383</v>
      </c>
      <c r="BC262" s="535" t="s">
        <v>2006</v>
      </c>
      <c r="BD262" s="549">
        <v>0.04</v>
      </c>
      <c r="BE262" s="549">
        <v>0.1</v>
      </c>
      <c r="BF262" s="535" t="s">
        <v>2179</v>
      </c>
      <c r="BG262" s="537"/>
      <c r="BH262" s="538" t="e">
        <f t="shared" si="111"/>
        <v>#N/A</v>
      </c>
      <c r="BI262" s="538" t="e">
        <f t="shared" si="112"/>
        <v>#N/A</v>
      </c>
      <c r="BJ262" s="538" t="e">
        <f t="shared" si="113"/>
        <v>#N/A</v>
      </c>
      <c r="BK262" s="538" t="e">
        <f t="shared" si="114"/>
        <v>#N/A</v>
      </c>
      <c r="BL262" s="538" t="e">
        <f t="shared" si="115"/>
        <v>#N/A</v>
      </c>
      <c r="BM262" s="538" t="e">
        <f t="shared" si="116"/>
        <v>#N/A</v>
      </c>
      <c r="BN262" s="538" t="e">
        <f t="shared" si="117"/>
        <v>#N/A</v>
      </c>
      <c r="BO262" s="538" t="e">
        <f t="shared" si="118"/>
        <v>#N/A</v>
      </c>
      <c r="BP262" s="538" t="e">
        <f t="shared" si="119"/>
        <v>#N/A</v>
      </c>
      <c r="BQ262" s="535" t="s">
        <v>1979</v>
      </c>
      <c r="BR262" s="557">
        <v>8.8539999999999994E-2</v>
      </c>
      <c r="BS262" s="557">
        <v>8.8539999999999994E-2</v>
      </c>
      <c r="BT262" s="557">
        <v>1.719E-2</v>
      </c>
      <c r="BU262" s="557">
        <v>7.3859999999999995E-2</v>
      </c>
      <c r="BV262" s="557">
        <v>4.929E-2</v>
      </c>
      <c r="BW262" s="558" t="s">
        <v>2275</v>
      </c>
      <c r="BX262" s="535" t="s">
        <v>2276</v>
      </c>
      <c r="DH262" s="540">
        <f t="shared" si="108"/>
        <v>0</v>
      </c>
      <c r="DI262" s="540">
        <f t="shared" si="109"/>
        <v>0</v>
      </c>
      <c r="DJ262" s="540">
        <f t="shared" si="110"/>
        <v>0</v>
      </c>
      <c r="DK262" s="540" t="e">
        <f>VLOOKUP(DH262,#REF!,1)</f>
        <v>#REF!</v>
      </c>
      <c r="DL262" s="540" t="e">
        <f>VLOOKUP(DK262,#REF!,2,FALSE)</f>
        <v>#REF!</v>
      </c>
    </row>
    <row r="263" spans="49:116">
      <c r="AW263" s="533"/>
      <c r="AX263" s="533"/>
      <c r="AY263" s="534"/>
      <c r="AZ263" s="533"/>
      <c r="BA263" s="535"/>
      <c r="BB263" s="552">
        <v>5.9113863912301383</v>
      </c>
      <c r="BC263" s="535" t="s">
        <v>2006</v>
      </c>
      <c r="BD263" s="549">
        <v>0.04</v>
      </c>
      <c r="BE263" s="549">
        <v>0.1</v>
      </c>
      <c r="BF263" s="535" t="s">
        <v>2179</v>
      </c>
      <c r="BG263" s="537"/>
      <c r="BH263" s="538" t="e">
        <f t="shared" si="111"/>
        <v>#N/A</v>
      </c>
      <c r="BI263" s="538" t="e">
        <f t="shared" si="112"/>
        <v>#N/A</v>
      </c>
      <c r="BJ263" s="538" t="e">
        <f t="shared" si="113"/>
        <v>#N/A</v>
      </c>
      <c r="BK263" s="538" t="e">
        <f t="shared" si="114"/>
        <v>#N/A</v>
      </c>
      <c r="BL263" s="538" t="e">
        <f t="shared" si="115"/>
        <v>#N/A</v>
      </c>
      <c r="BM263" s="538" t="e">
        <f t="shared" si="116"/>
        <v>#N/A</v>
      </c>
      <c r="BN263" s="538" t="e">
        <f t="shared" si="117"/>
        <v>#N/A</v>
      </c>
      <c r="BO263" s="538" t="e">
        <f t="shared" si="118"/>
        <v>#N/A</v>
      </c>
      <c r="BP263" s="538" t="e">
        <f t="shared" si="119"/>
        <v>#N/A</v>
      </c>
      <c r="BQ263" s="535" t="s">
        <v>1979</v>
      </c>
      <c r="BR263" s="557">
        <v>8.8539999999999994E-2</v>
      </c>
      <c r="BS263" s="557">
        <v>8.8539999999999994E-2</v>
      </c>
      <c r="BT263" s="557">
        <v>1.719E-2</v>
      </c>
      <c r="BU263" s="557">
        <v>7.3859999999999995E-2</v>
      </c>
      <c r="BV263" s="557">
        <v>4.929E-2</v>
      </c>
      <c r="BW263" s="558" t="s">
        <v>2275</v>
      </c>
      <c r="BX263" s="535" t="s">
        <v>2276</v>
      </c>
      <c r="DH263" s="540">
        <f t="shared" si="108"/>
        <v>0</v>
      </c>
      <c r="DI263" s="540">
        <f t="shared" si="109"/>
        <v>0</v>
      </c>
      <c r="DJ263" s="540">
        <f t="shared" si="110"/>
        <v>0</v>
      </c>
      <c r="DK263" s="540" t="e">
        <f>VLOOKUP(DH263,#REF!,1)</f>
        <v>#REF!</v>
      </c>
      <c r="DL263" s="540" t="e">
        <f>VLOOKUP(DK263,#REF!,2,FALSE)</f>
        <v>#REF!</v>
      </c>
    </row>
    <row r="264" spans="49:116">
      <c r="AW264" s="533"/>
      <c r="AX264" s="533"/>
      <c r="AY264" s="534"/>
      <c r="AZ264" s="533"/>
      <c r="BA264" s="535"/>
      <c r="BB264" s="552">
        <v>5.9113863912301383</v>
      </c>
      <c r="BC264" s="535" t="s">
        <v>2006</v>
      </c>
      <c r="BD264" s="549">
        <v>0.04</v>
      </c>
      <c r="BE264" s="549">
        <v>0.1</v>
      </c>
      <c r="BF264" s="535" t="s">
        <v>2179</v>
      </c>
      <c r="BG264" s="537"/>
      <c r="BH264" s="538" t="e">
        <f t="shared" si="111"/>
        <v>#N/A</v>
      </c>
      <c r="BI264" s="538" t="e">
        <f t="shared" si="112"/>
        <v>#N/A</v>
      </c>
      <c r="BJ264" s="538" t="e">
        <f t="shared" si="113"/>
        <v>#N/A</v>
      </c>
      <c r="BK264" s="538" t="e">
        <f t="shared" si="114"/>
        <v>#N/A</v>
      </c>
      <c r="BL264" s="538" t="e">
        <f t="shared" si="115"/>
        <v>#N/A</v>
      </c>
      <c r="BM264" s="538" t="e">
        <f t="shared" si="116"/>
        <v>#N/A</v>
      </c>
      <c r="BN264" s="538" t="e">
        <f t="shared" si="117"/>
        <v>#N/A</v>
      </c>
      <c r="BO264" s="538" t="e">
        <f t="shared" si="118"/>
        <v>#N/A</v>
      </c>
      <c r="BP264" s="538" t="e">
        <f t="shared" si="119"/>
        <v>#N/A</v>
      </c>
      <c r="BQ264" s="535" t="s">
        <v>1979</v>
      </c>
      <c r="BR264" s="557">
        <v>8.8539999999999994E-2</v>
      </c>
      <c r="BS264" s="557">
        <v>8.8539999999999994E-2</v>
      </c>
      <c r="BT264" s="557">
        <v>1.719E-2</v>
      </c>
      <c r="BU264" s="557">
        <v>7.3859999999999995E-2</v>
      </c>
      <c r="BV264" s="557">
        <v>4.929E-2</v>
      </c>
      <c r="BW264" s="558" t="s">
        <v>2275</v>
      </c>
      <c r="BX264" s="535" t="s">
        <v>2276</v>
      </c>
      <c r="DH264" s="540">
        <f t="shared" si="108"/>
        <v>0</v>
      </c>
      <c r="DI264" s="540">
        <f t="shared" si="109"/>
        <v>0</v>
      </c>
      <c r="DJ264" s="540">
        <f t="shared" si="110"/>
        <v>0</v>
      </c>
      <c r="DK264" s="540" t="e">
        <f>VLOOKUP(DH264,#REF!,1)</f>
        <v>#REF!</v>
      </c>
      <c r="DL264" s="540" t="e">
        <f>VLOOKUP(DK264,#REF!,2,FALSE)</f>
        <v>#REF!</v>
      </c>
    </row>
    <row r="265" spans="49:116">
      <c r="AW265" s="533"/>
      <c r="AX265" s="533"/>
      <c r="AY265" s="534"/>
      <c r="AZ265" s="533"/>
      <c r="BA265" s="535"/>
      <c r="BB265" s="552">
        <v>5.9113863912301383</v>
      </c>
      <c r="BC265" s="535" t="s">
        <v>2006</v>
      </c>
      <c r="BD265" s="549">
        <v>0.04</v>
      </c>
      <c r="BE265" s="549">
        <v>0.1</v>
      </c>
      <c r="BF265" s="535" t="s">
        <v>2179</v>
      </c>
      <c r="BG265" s="537"/>
      <c r="BH265" s="538" t="e">
        <f t="shared" si="111"/>
        <v>#N/A</v>
      </c>
      <c r="BI265" s="538" t="e">
        <f t="shared" si="112"/>
        <v>#N/A</v>
      </c>
      <c r="BJ265" s="538" t="e">
        <f t="shared" si="113"/>
        <v>#N/A</v>
      </c>
      <c r="BK265" s="538" t="e">
        <f t="shared" si="114"/>
        <v>#N/A</v>
      </c>
      <c r="BL265" s="538" t="e">
        <f t="shared" si="115"/>
        <v>#N/A</v>
      </c>
      <c r="BM265" s="538" t="e">
        <f t="shared" si="116"/>
        <v>#N/A</v>
      </c>
      <c r="BN265" s="538" t="e">
        <f t="shared" si="117"/>
        <v>#N/A</v>
      </c>
      <c r="BO265" s="538" t="e">
        <f t="shared" si="118"/>
        <v>#N/A</v>
      </c>
      <c r="BP265" s="538" t="e">
        <f t="shared" si="119"/>
        <v>#N/A</v>
      </c>
      <c r="BQ265" s="535" t="s">
        <v>1979</v>
      </c>
      <c r="BR265" s="557">
        <v>8.8539999999999994E-2</v>
      </c>
      <c r="BS265" s="557">
        <v>8.8539999999999994E-2</v>
      </c>
      <c r="BT265" s="557">
        <v>1.719E-2</v>
      </c>
      <c r="BU265" s="557">
        <v>7.3859999999999995E-2</v>
      </c>
      <c r="BV265" s="557">
        <v>4.929E-2</v>
      </c>
      <c r="BW265" s="558" t="s">
        <v>2275</v>
      </c>
      <c r="BX265" s="535" t="s">
        <v>2276</v>
      </c>
      <c r="DH265" s="540">
        <f t="shared" si="108"/>
        <v>0</v>
      </c>
      <c r="DI265" s="540">
        <f t="shared" si="109"/>
        <v>0</v>
      </c>
      <c r="DJ265" s="540">
        <f t="shared" si="110"/>
        <v>0</v>
      </c>
      <c r="DK265" s="540" t="e">
        <f>VLOOKUP(DH265,#REF!,1)</f>
        <v>#REF!</v>
      </c>
      <c r="DL265" s="540" t="e">
        <f>VLOOKUP(DK265,#REF!,2,FALSE)</f>
        <v>#REF!</v>
      </c>
    </row>
    <row r="266" spans="49:116">
      <c r="AW266" s="533"/>
      <c r="AX266" s="533"/>
      <c r="AY266" s="534"/>
      <c r="AZ266" s="533"/>
      <c r="BA266" s="535"/>
      <c r="BB266" s="552">
        <v>5.9113863912301383</v>
      </c>
      <c r="BC266" s="535" t="s">
        <v>2006</v>
      </c>
      <c r="BD266" s="549">
        <v>0.04</v>
      </c>
      <c r="BE266" s="549">
        <v>0.1</v>
      </c>
      <c r="BF266" s="535" t="s">
        <v>2179</v>
      </c>
      <c r="BG266" s="537"/>
      <c r="BH266" s="538" t="e">
        <f t="shared" si="111"/>
        <v>#N/A</v>
      </c>
      <c r="BI266" s="538" t="e">
        <f t="shared" si="112"/>
        <v>#N/A</v>
      </c>
      <c r="BJ266" s="538" t="e">
        <f t="shared" si="113"/>
        <v>#N/A</v>
      </c>
      <c r="BK266" s="538" t="e">
        <f t="shared" si="114"/>
        <v>#N/A</v>
      </c>
      <c r="BL266" s="538" t="e">
        <f t="shared" si="115"/>
        <v>#N/A</v>
      </c>
      <c r="BM266" s="538" t="e">
        <f t="shared" si="116"/>
        <v>#N/A</v>
      </c>
      <c r="BN266" s="538" t="e">
        <f t="shared" si="117"/>
        <v>#N/A</v>
      </c>
      <c r="BO266" s="538" t="e">
        <f t="shared" si="118"/>
        <v>#N/A</v>
      </c>
      <c r="BP266" s="538" t="e">
        <f t="shared" si="119"/>
        <v>#N/A</v>
      </c>
      <c r="BQ266" s="535" t="s">
        <v>1979</v>
      </c>
      <c r="BR266" s="557">
        <v>8.8539999999999994E-2</v>
      </c>
      <c r="BS266" s="557">
        <v>8.8539999999999994E-2</v>
      </c>
      <c r="BT266" s="557">
        <v>1.719E-2</v>
      </c>
      <c r="BU266" s="557">
        <v>7.3859999999999995E-2</v>
      </c>
      <c r="BV266" s="557">
        <v>4.929E-2</v>
      </c>
      <c r="BW266" s="558" t="s">
        <v>2275</v>
      </c>
      <c r="BX266" s="535" t="s">
        <v>2276</v>
      </c>
      <c r="DH266" s="540">
        <f t="shared" si="108"/>
        <v>0</v>
      </c>
      <c r="DI266" s="540">
        <f t="shared" si="109"/>
        <v>0</v>
      </c>
      <c r="DJ266" s="540">
        <f t="shared" si="110"/>
        <v>0</v>
      </c>
      <c r="DK266" s="540" t="e">
        <f>VLOOKUP(DH266,#REF!,1)</f>
        <v>#REF!</v>
      </c>
      <c r="DL266" s="540" t="e">
        <f>VLOOKUP(DK266,#REF!,2,FALSE)</f>
        <v>#REF!</v>
      </c>
    </row>
    <row r="267" spans="49:116">
      <c r="AW267" s="533"/>
      <c r="AX267" s="533"/>
      <c r="AY267" s="534"/>
      <c r="AZ267" s="533"/>
      <c r="BA267" s="535"/>
      <c r="BB267" s="552">
        <v>5.9113863912301383</v>
      </c>
      <c r="BC267" s="535" t="s">
        <v>2006</v>
      </c>
      <c r="BD267" s="549">
        <v>0.04</v>
      </c>
      <c r="BE267" s="549">
        <v>0.1</v>
      </c>
      <c r="BF267" s="535" t="s">
        <v>2179</v>
      </c>
      <c r="BG267" s="537"/>
      <c r="BH267" s="538" t="e">
        <f t="shared" si="111"/>
        <v>#N/A</v>
      </c>
      <c r="BI267" s="538" t="e">
        <f t="shared" si="112"/>
        <v>#N/A</v>
      </c>
      <c r="BJ267" s="538" t="e">
        <f t="shared" si="113"/>
        <v>#N/A</v>
      </c>
      <c r="BK267" s="538" t="e">
        <f t="shared" si="114"/>
        <v>#N/A</v>
      </c>
      <c r="BL267" s="538" t="e">
        <f t="shared" si="115"/>
        <v>#N/A</v>
      </c>
      <c r="BM267" s="538" t="e">
        <f t="shared" si="116"/>
        <v>#N/A</v>
      </c>
      <c r="BN267" s="538" t="e">
        <f t="shared" si="117"/>
        <v>#N/A</v>
      </c>
      <c r="BO267" s="538" t="e">
        <f t="shared" si="118"/>
        <v>#N/A</v>
      </c>
      <c r="BP267" s="538" t="e">
        <f t="shared" si="119"/>
        <v>#N/A</v>
      </c>
      <c r="BQ267" s="535" t="s">
        <v>1979</v>
      </c>
      <c r="BR267" s="557">
        <v>8.8539999999999994E-2</v>
      </c>
      <c r="BS267" s="557">
        <v>8.8539999999999994E-2</v>
      </c>
      <c r="BT267" s="557">
        <v>1.719E-2</v>
      </c>
      <c r="BU267" s="557">
        <v>7.3859999999999995E-2</v>
      </c>
      <c r="BV267" s="557">
        <v>4.929E-2</v>
      </c>
      <c r="BW267" s="558" t="s">
        <v>2275</v>
      </c>
      <c r="BX267" s="535" t="s">
        <v>2276</v>
      </c>
      <c r="DH267" s="540">
        <f t="shared" si="108"/>
        <v>0</v>
      </c>
      <c r="DI267" s="540">
        <f t="shared" si="109"/>
        <v>0</v>
      </c>
      <c r="DJ267" s="540">
        <f t="shared" si="110"/>
        <v>0</v>
      </c>
      <c r="DK267" s="540" t="e">
        <f>VLOOKUP(DH267,#REF!,1)</f>
        <v>#REF!</v>
      </c>
      <c r="DL267" s="540" t="e">
        <f>VLOOKUP(DK267,#REF!,2,FALSE)</f>
        <v>#REF!</v>
      </c>
    </row>
    <row r="268" spans="49:116">
      <c r="AW268" s="533"/>
      <c r="AX268" s="533"/>
      <c r="AY268" s="534"/>
      <c r="AZ268" s="533"/>
      <c r="BA268" s="535"/>
      <c r="BB268" s="552">
        <v>5.9113863912301383</v>
      </c>
      <c r="BC268" s="535" t="s">
        <v>2006</v>
      </c>
      <c r="BD268" s="549">
        <v>0.04</v>
      </c>
      <c r="BE268" s="549">
        <v>0.1</v>
      </c>
      <c r="BF268" s="535" t="s">
        <v>2179</v>
      </c>
      <c r="BG268" s="537"/>
      <c r="BH268" s="538" t="e">
        <f t="shared" si="111"/>
        <v>#N/A</v>
      </c>
      <c r="BI268" s="538" t="e">
        <f t="shared" si="112"/>
        <v>#N/A</v>
      </c>
      <c r="BJ268" s="538" t="e">
        <f t="shared" si="113"/>
        <v>#N/A</v>
      </c>
      <c r="BK268" s="538" t="e">
        <f t="shared" si="114"/>
        <v>#N/A</v>
      </c>
      <c r="BL268" s="538" t="e">
        <f t="shared" si="115"/>
        <v>#N/A</v>
      </c>
      <c r="BM268" s="538" t="e">
        <f t="shared" si="116"/>
        <v>#N/A</v>
      </c>
      <c r="BN268" s="538" t="e">
        <f t="shared" si="117"/>
        <v>#N/A</v>
      </c>
      <c r="BO268" s="538" t="e">
        <f t="shared" si="118"/>
        <v>#N/A</v>
      </c>
      <c r="BP268" s="538" t="e">
        <f t="shared" si="119"/>
        <v>#N/A</v>
      </c>
      <c r="BQ268" s="535" t="s">
        <v>1979</v>
      </c>
      <c r="BR268" s="557">
        <v>8.8539999999999994E-2</v>
      </c>
      <c r="BS268" s="557">
        <v>8.8539999999999994E-2</v>
      </c>
      <c r="BT268" s="557">
        <v>1.719E-2</v>
      </c>
      <c r="BU268" s="557">
        <v>7.3859999999999995E-2</v>
      </c>
      <c r="BV268" s="557">
        <v>4.929E-2</v>
      </c>
      <c r="BW268" s="558" t="s">
        <v>2275</v>
      </c>
      <c r="BX268" s="535" t="s">
        <v>2276</v>
      </c>
      <c r="DH268" s="540">
        <f t="shared" ref="DH268:DJ271" si="120">AW267</f>
        <v>0</v>
      </c>
      <c r="DI268" s="540">
        <f t="shared" si="120"/>
        <v>0</v>
      </c>
      <c r="DJ268" s="540">
        <f t="shared" si="120"/>
        <v>0</v>
      </c>
      <c r="DK268" s="540" t="e">
        <f>VLOOKUP(DH268,#REF!,1)</f>
        <v>#REF!</v>
      </c>
      <c r="DL268" s="540" t="e">
        <f>VLOOKUP(DK268,#REF!,2,FALSE)</f>
        <v>#REF!</v>
      </c>
    </row>
    <row r="269" spans="49:116">
      <c r="AW269" s="533"/>
      <c r="AX269" s="533"/>
      <c r="AY269" s="534"/>
      <c r="AZ269" s="533"/>
      <c r="BA269" s="535"/>
      <c r="BB269" s="552">
        <v>5.9113863912301383</v>
      </c>
      <c r="BC269" s="535" t="s">
        <v>2006</v>
      </c>
      <c r="BD269" s="549">
        <v>0.04</v>
      </c>
      <c r="BE269" s="549">
        <v>0.1</v>
      </c>
      <c r="BF269" s="535" t="s">
        <v>2179</v>
      </c>
      <c r="BG269" s="537"/>
      <c r="BH269" s="538" t="e">
        <f t="shared" si="111"/>
        <v>#N/A</v>
      </c>
      <c r="BI269" s="538" t="e">
        <f t="shared" si="112"/>
        <v>#N/A</v>
      </c>
      <c r="BJ269" s="538" t="e">
        <f t="shared" si="113"/>
        <v>#N/A</v>
      </c>
      <c r="BK269" s="538" t="e">
        <f t="shared" si="114"/>
        <v>#N/A</v>
      </c>
      <c r="BL269" s="538" t="e">
        <f t="shared" si="115"/>
        <v>#N/A</v>
      </c>
      <c r="BM269" s="538" t="e">
        <f t="shared" si="116"/>
        <v>#N/A</v>
      </c>
      <c r="BN269" s="538" t="e">
        <f t="shared" si="117"/>
        <v>#N/A</v>
      </c>
      <c r="BO269" s="538" t="e">
        <f t="shared" si="118"/>
        <v>#N/A</v>
      </c>
      <c r="BP269" s="538" t="e">
        <f t="shared" si="119"/>
        <v>#N/A</v>
      </c>
      <c r="BQ269" s="535" t="s">
        <v>1979</v>
      </c>
      <c r="BR269" s="557">
        <v>8.8539999999999994E-2</v>
      </c>
      <c r="BS269" s="557">
        <v>8.8539999999999994E-2</v>
      </c>
      <c r="BT269" s="557">
        <v>1.719E-2</v>
      </c>
      <c r="BU269" s="557">
        <v>7.3859999999999995E-2</v>
      </c>
      <c r="BV269" s="557">
        <v>4.929E-2</v>
      </c>
      <c r="BW269" s="558" t="s">
        <v>2275</v>
      </c>
      <c r="BX269" s="535" t="s">
        <v>2276</v>
      </c>
      <c r="DH269" s="540">
        <f t="shared" si="120"/>
        <v>0</v>
      </c>
      <c r="DI269" s="540">
        <f t="shared" si="120"/>
        <v>0</v>
      </c>
      <c r="DJ269" s="540">
        <f t="shared" si="120"/>
        <v>0</v>
      </c>
      <c r="DK269" s="540" t="e">
        <f>VLOOKUP(DH269,#REF!,1)</f>
        <v>#REF!</v>
      </c>
      <c r="DL269" s="540" t="e">
        <f>VLOOKUP(DK269,#REF!,2,FALSE)</f>
        <v>#REF!</v>
      </c>
    </row>
    <row r="270" spans="49:116">
      <c r="AW270" s="533"/>
      <c r="AX270" s="533"/>
      <c r="AY270" s="534"/>
      <c r="AZ270" s="533"/>
      <c r="BA270" s="535"/>
      <c r="BB270" s="552">
        <v>5.9113863912301383</v>
      </c>
      <c r="BC270" s="535" t="s">
        <v>2006</v>
      </c>
      <c r="BD270" s="549">
        <v>0.04</v>
      </c>
      <c r="BE270" s="549">
        <v>0.1</v>
      </c>
      <c r="BF270" s="535" t="s">
        <v>2179</v>
      </c>
      <c r="BG270" s="537"/>
      <c r="BH270" s="538" t="e">
        <f t="shared" si="111"/>
        <v>#N/A</v>
      </c>
      <c r="BI270" s="538" t="e">
        <f t="shared" si="112"/>
        <v>#N/A</v>
      </c>
      <c r="BJ270" s="538" t="e">
        <f t="shared" si="113"/>
        <v>#N/A</v>
      </c>
      <c r="BK270" s="538" t="e">
        <f t="shared" si="114"/>
        <v>#N/A</v>
      </c>
      <c r="BL270" s="538" t="e">
        <f t="shared" si="115"/>
        <v>#N/A</v>
      </c>
      <c r="BM270" s="538" t="e">
        <f t="shared" si="116"/>
        <v>#N/A</v>
      </c>
      <c r="BN270" s="538" t="e">
        <f t="shared" si="117"/>
        <v>#N/A</v>
      </c>
      <c r="BO270" s="538" t="e">
        <f t="shared" si="118"/>
        <v>#N/A</v>
      </c>
      <c r="BP270" s="538" t="e">
        <f t="shared" si="119"/>
        <v>#N/A</v>
      </c>
      <c r="BQ270" s="535" t="s">
        <v>1979</v>
      </c>
      <c r="BR270" s="557">
        <v>8.8539999999999994E-2</v>
      </c>
      <c r="BS270" s="557">
        <v>8.8539999999999994E-2</v>
      </c>
      <c r="BT270" s="557">
        <v>1.719E-2</v>
      </c>
      <c r="BU270" s="557">
        <v>7.3859999999999995E-2</v>
      </c>
      <c r="BV270" s="557">
        <v>4.929E-2</v>
      </c>
      <c r="BW270" s="558" t="s">
        <v>2275</v>
      </c>
      <c r="BX270" s="535" t="s">
        <v>2276</v>
      </c>
      <c r="DH270" s="540">
        <f t="shared" si="120"/>
        <v>0</v>
      </c>
      <c r="DI270" s="540">
        <f t="shared" si="120"/>
        <v>0</v>
      </c>
      <c r="DJ270" s="540">
        <f t="shared" si="120"/>
        <v>0</v>
      </c>
      <c r="DK270" s="540" t="e">
        <f>VLOOKUP(DH270,#REF!,1)</f>
        <v>#REF!</v>
      </c>
      <c r="DL270" s="540" t="e">
        <f>VLOOKUP(DK270,#REF!,2,FALSE)</f>
        <v>#REF!</v>
      </c>
    </row>
    <row r="271" spans="49:116">
      <c r="AW271" s="533"/>
      <c r="AX271" s="533"/>
      <c r="AY271" s="534"/>
      <c r="AZ271" s="533"/>
      <c r="BA271" s="535"/>
      <c r="BB271" s="536">
        <v>8.8158844765342952</v>
      </c>
      <c r="BC271" s="535" t="s">
        <v>2006</v>
      </c>
      <c r="BD271" s="537"/>
      <c r="BE271" s="537"/>
      <c r="BF271" s="535"/>
      <c r="BG271" s="537"/>
      <c r="BH271" s="538" t="e">
        <f t="shared" si="111"/>
        <v>#N/A</v>
      </c>
      <c r="BI271" s="538" t="e">
        <f t="shared" si="112"/>
        <v>#N/A</v>
      </c>
      <c r="BJ271" s="538" t="e">
        <f t="shared" si="113"/>
        <v>#N/A</v>
      </c>
      <c r="BK271" s="538" t="e">
        <f t="shared" si="114"/>
        <v>#N/A</v>
      </c>
      <c r="BL271" s="538" t="e">
        <f t="shared" si="115"/>
        <v>#N/A</v>
      </c>
      <c r="BM271" s="538" t="e">
        <f t="shared" si="116"/>
        <v>#N/A</v>
      </c>
      <c r="BN271" s="538" t="e">
        <f t="shared" si="117"/>
        <v>#N/A</v>
      </c>
      <c r="BO271" s="538" t="e">
        <f t="shared" si="118"/>
        <v>#N/A</v>
      </c>
      <c r="BP271" s="538" t="e">
        <f t="shared" si="119"/>
        <v>#N/A</v>
      </c>
      <c r="BQ271" s="535" t="s">
        <v>1979</v>
      </c>
      <c r="DH271" s="540">
        <f t="shared" si="120"/>
        <v>0</v>
      </c>
      <c r="DI271" s="540">
        <f t="shared" si="120"/>
        <v>0</v>
      </c>
      <c r="DJ271" s="540">
        <f t="shared" si="120"/>
        <v>0</v>
      </c>
      <c r="DK271" s="540" t="e">
        <f>VLOOKUP(DH271,#REF!,1)</f>
        <v>#REF!</v>
      </c>
      <c r="DL271" s="540" t="e">
        <f>VLOOKUP(DK271,#REF!,2,FALSE)</f>
        <v>#REF!</v>
      </c>
    </row>
    <row r="272" spans="49:116" ht="25.5">
      <c r="AW272" s="533"/>
      <c r="AX272" s="533"/>
      <c r="AY272" s="534"/>
      <c r="AZ272" s="533"/>
      <c r="BA272" s="535"/>
      <c r="BB272" s="536">
        <v>5.4123414965002699</v>
      </c>
      <c r="BC272" s="535" t="s">
        <v>2049</v>
      </c>
      <c r="BD272" s="537"/>
      <c r="BE272" s="537"/>
      <c r="BF272" s="535"/>
      <c r="BG272" s="537"/>
      <c r="BH272" s="538" t="e">
        <f t="shared" si="111"/>
        <v>#N/A</v>
      </c>
      <c r="BI272" s="538" t="e">
        <f t="shared" si="112"/>
        <v>#N/A</v>
      </c>
      <c r="BJ272" s="538" t="e">
        <f t="shared" si="113"/>
        <v>#N/A</v>
      </c>
      <c r="BK272" s="538" t="e">
        <f t="shared" si="114"/>
        <v>#N/A</v>
      </c>
      <c r="BL272" s="538" t="e">
        <f t="shared" si="115"/>
        <v>#N/A</v>
      </c>
      <c r="BM272" s="538" t="e">
        <f t="shared" si="116"/>
        <v>#N/A</v>
      </c>
      <c r="BN272" s="538" t="e">
        <f t="shared" si="117"/>
        <v>#N/A</v>
      </c>
      <c r="BO272" s="538" t="e">
        <f t="shared" si="118"/>
        <v>#N/A</v>
      </c>
      <c r="BP272" s="538" t="e">
        <f t="shared" si="119"/>
        <v>#N/A</v>
      </c>
      <c r="BQ272" s="535" t="s">
        <v>1979</v>
      </c>
      <c r="DH272" s="540">
        <f t="shared" ref="DH272:DH281" si="121">AW271</f>
        <v>0</v>
      </c>
      <c r="DI272" s="540">
        <f t="shared" ref="DI272:DI281" si="122">AX271</f>
        <v>0</v>
      </c>
      <c r="DJ272" s="540">
        <f t="shared" ref="DJ272:DJ281" si="123">AY271</f>
        <v>0</v>
      </c>
      <c r="DL272" s="540" t="s">
        <v>35</v>
      </c>
    </row>
    <row r="273" spans="49:116">
      <c r="AW273" s="533"/>
      <c r="AX273" s="533"/>
      <c r="AY273" s="534"/>
      <c r="AZ273" s="533"/>
      <c r="BA273" s="535"/>
      <c r="BB273" s="536">
        <v>36.04471827953622</v>
      </c>
      <c r="BC273" s="535" t="s">
        <v>2006</v>
      </c>
      <c r="BD273" s="537"/>
      <c r="BE273" s="537"/>
      <c r="BF273" s="535"/>
      <c r="BG273" s="537"/>
      <c r="BH273" s="538" t="e">
        <f t="shared" si="111"/>
        <v>#N/A</v>
      </c>
      <c r="BI273" s="538" t="e">
        <f t="shared" si="112"/>
        <v>#N/A</v>
      </c>
      <c r="BJ273" s="538" t="e">
        <f t="shared" si="113"/>
        <v>#N/A</v>
      </c>
      <c r="BK273" s="538" t="e">
        <f t="shared" si="114"/>
        <v>#N/A</v>
      </c>
      <c r="BL273" s="538" t="e">
        <f t="shared" si="115"/>
        <v>#N/A</v>
      </c>
      <c r="BM273" s="538" t="e">
        <f t="shared" si="116"/>
        <v>#N/A</v>
      </c>
      <c r="BN273" s="538" t="e">
        <f t="shared" si="117"/>
        <v>#N/A</v>
      </c>
      <c r="BO273" s="538" t="e">
        <f t="shared" si="118"/>
        <v>#N/A</v>
      </c>
      <c r="BP273" s="538" t="e">
        <f t="shared" si="119"/>
        <v>#N/A</v>
      </c>
      <c r="BQ273" s="535" t="s">
        <v>1979</v>
      </c>
      <c r="DH273" s="540">
        <f t="shared" si="121"/>
        <v>0</v>
      </c>
      <c r="DI273" s="540">
        <f t="shared" si="122"/>
        <v>0</v>
      </c>
      <c r="DJ273" s="540">
        <f t="shared" si="123"/>
        <v>0</v>
      </c>
      <c r="DL273" s="540" t="s">
        <v>35</v>
      </c>
    </row>
    <row r="274" spans="49:116">
      <c r="AW274" s="533"/>
      <c r="AX274" s="533"/>
      <c r="AY274" s="534"/>
      <c r="AZ274" s="533"/>
      <c r="BA274" s="535"/>
      <c r="BB274" s="536">
        <v>9.2867122845985737</v>
      </c>
      <c r="BC274" s="535" t="s">
        <v>2006</v>
      </c>
      <c r="BD274" s="537"/>
      <c r="BE274" s="537"/>
      <c r="BF274" s="535"/>
      <c r="BG274" s="537"/>
      <c r="BH274" s="538" t="e">
        <f t="shared" si="111"/>
        <v>#N/A</v>
      </c>
      <c r="BI274" s="538" t="e">
        <f t="shared" si="112"/>
        <v>#N/A</v>
      </c>
      <c r="BJ274" s="538" t="e">
        <f t="shared" si="113"/>
        <v>#N/A</v>
      </c>
      <c r="BK274" s="538" t="e">
        <f t="shared" si="114"/>
        <v>#N/A</v>
      </c>
      <c r="BL274" s="538" t="e">
        <f t="shared" si="115"/>
        <v>#N/A</v>
      </c>
      <c r="BM274" s="538" t="e">
        <f t="shared" si="116"/>
        <v>#N/A</v>
      </c>
      <c r="BN274" s="538" t="e">
        <f t="shared" si="117"/>
        <v>#N/A</v>
      </c>
      <c r="BO274" s="538" t="e">
        <f t="shared" si="118"/>
        <v>#N/A</v>
      </c>
      <c r="BP274" s="538" t="e">
        <f t="shared" si="119"/>
        <v>#N/A</v>
      </c>
      <c r="BQ274" s="535" t="s">
        <v>1979</v>
      </c>
      <c r="DH274" s="540">
        <f t="shared" si="121"/>
        <v>0</v>
      </c>
      <c r="DI274" s="540">
        <f t="shared" si="122"/>
        <v>0</v>
      </c>
      <c r="DJ274" s="540">
        <f t="shared" si="123"/>
        <v>0</v>
      </c>
      <c r="DL274" s="540" t="s">
        <v>35</v>
      </c>
    </row>
    <row r="275" spans="49:116" ht="25.5">
      <c r="AW275" s="533"/>
      <c r="AX275" s="533"/>
      <c r="AY275" s="534"/>
      <c r="AZ275" s="533"/>
      <c r="BA275" s="535"/>
      <c r="BB275" s="536">
        <v>9.3894684857089938</v>
      </c>
      <c r="BC275" s="535" t="s">
        <v>2087</v>
      </c>
      <c r="BD275" s="537"/>
      <c r="BE275" s="537"/>
      <c r="BF275" s="535"/>
      <c r="BG275" s="537"/>
      <c r="BH275" s="538" t="e">
        <f t="shared" si="111"/>
        <v>#N/A</v>
      </c>
      <c r="BI275" s="538" t="e">
        <f t="shared" si="112"/>
        <v>#N/A</v>
      </c>
      <c r="BJ275" s="538" t="e">
        <f t="shared" si="113"/>
        <v>#N/A</v>
      </c>
      <c r="BK275" s="538" t="e">
        <f t="shared" si="114"/>
        <v>#N/A</v>
      </c>
      <c r="BL275" s="538" t="e">
        <f t="shared" si="115"/>
        <v>#N/A</v>
      </c>
      <c r="BM275" s="538" t="e">
        <f t="shared" si="116"/>
        <v>#N/A</v>
      </c>
      <c r="BN275" s="538" t="e">
        <f t="shared" si="117"/>
        <v>#N/A</v>
      </c>
      <c r="BO275" s="538" t="e">
        <f t="shared" si="118"/>
        <v>#N/A</v>
      </c>
      <c r="BP275" s="538" t="e">
        <f t="shared" si="119"/>
        <v>#N/A</v>
      </c>
      <c r="BQ275" s="535" t="s">
        <v>1979</v>
      </c>
      <c r="DH275" s="540">
        <f t="shared" si="121"/>
        <v>0</v>
      </c>
      <c r="DI275" s="540">
        <f t="shared" si="122"/>
        <v>0</v>
      </c>
      <c r="DJ275" s="540">
        <f t="shared" si="123"/>
        <v>0</v>
      </c>
      <c r="DL275" s="540" t="s">
        <v>35</v>
      </c>
    </row>
    <row r="276" spans="49:116" ht="25.5">
      <c r="AW276" s="533"/>
      <c r="AX276" s="549"/>
      <c r="AY276" s="534"/>
      <c r="AZ276" s="533"/>
      <c r="BA276" s="535"/>
      <c r="BB276" s="536">
        <v>13.490630673342661</v>
      </c>
      <c r="BC276" s="535" t="s">
        <v>2223</v>
      </c>
      <c r="BD276" s="537"/>
      <c r="BE276" s="537"/>
      <c r="BF276" s="535"/>
      <c r="BG276" s="537"/>
      <c r="BH276" s="538" t="e">
        <f t="shared" si="111"/>
        <v>#N/A</v>
      </c>
      <c r="BI276" s="538" t="e">
        <f t="shared" si="112"/>
        <v>#N/A</v>
      </c>
      <c r="BJ276" s="538" t="e">
        <f t="shared" si="113"/>
        <v>#N/A</v>
      </c>
      <c r="BK276" s="538" t="e">
        <f t="shared" si="114"/>
        <v>#N/A</v>
      </c>
      <c r="BL276" s="538" t="e">
        <f t="shared" si="115"/>
        <v>#N/A</v>
      </c>
      <c r="BM276" s="538" t="e">
        <f t="shared" si="116"/>
        <v>#N/A</v>
      </c>
      <c r="BN276" s="538" t="e">
        <f t="shared" si="117"/>
        <v>#N/A</v>
      </c>
      <c r="BO276" s="538" t="e">
        <f t="shared" si="118"/>
        <v>#N/A</v>
      </c>
      <c r="BP276" s="538" t="e">
        <f t="shared" si="119"/>
        <v>#N/A</v>
      </c>
      <c r="BQ276" s="535" t="s">
        <v>1979</v>
      </c>
      <c r="DH276" s="540">
        <f t="shared" si="121"/>
        <v>0</v>
      </c>
      <c r="DI276" s="540">
        <f t="shared" si="122"/>
        <v>0</v>
      </c>
      <c r="DJ276" s="540">
        <f t="shared" si="123"/>
        <v>0</v>
      </c>
      <c r="DL276" s="540" t="s">
        <v>35</v>
      </c>
    </row>
    <row r="277" spans="49:116">
      <c r="AW277" s="533"/>
      <c r="AX277" s="533"/>
      <c r="AY277" s="534"/>
      <c r="AZ277" s="533"/>
      <c r="BA277" s="535"/>
      <c r="BB277" s="536">
        <v>25.765105937745226</v>
      </c>
      <c r="BC277" s="535" t="s">
        <v>2006</v>
      </c>
      <c r="BD277" s="537"/>
      <c r="BE277" s="537"/>
      <c r="BF277" s="535"/>
      <c r="BG277" s="537"/>
      <c r="BH277" s="538" t="e">
        <f t="shared" si="111"/>
        <v>#N/A</v>
      </c>
      <c r="BI277" s="538" t="e">
        <f t="shared" si="112"/>
        <v>#N/A</v>
      </c>
      <c r="BJ277" s="538" t="e">
        <f t="shared" si="113"/>
        <v>#N/A</v>
      </c>
      <c r="BK277" s="538" t="e">
        <f t="shared" si="114"/>
        <v>#N/A</v>
      </c>
      <c r="BL277" s="538" t="e">
        <f t="shared" si="115"/>
        <v>#N/A</v>
      </c>
      <c r="BM277" s="538" t="e">
        <f t="shared" si="116"/>
        <v>#N/A</v>
      </c>
      <c r="BN277" s="538" t="e">
        <f t="shared" si="117"/>
        <v>#N/A</v>
      </c>
      <c r="BO277" s="538" t="e">
        <f t="shared" si="118"/>
        <v>#N/A</v>
      </c>
      <c r="BP277" s="538" t="e">
        <f t="shared" si="119"/>
        <v>#N/A</v>
      </c>
      <c r="BQ277" s="535" t="s">
        <v>1979</v>
      </c>
      <c r="DH277" s="540">
        <f t="shared" si="121"/>
        <v>0</v>
      </c>
      <c r="DI277" s="540">
        <f t="shared" si="122"/>
        <v>0</v>
      </c>
      <c r="DJ277" s="540">
        <f t="shared" si="123"/>
        <v>0</v>
      </c>
      <c r="DL277" s="540" t="s">
        <v>35</v>
      </c>
    </row>
    <row r="278" spans="49:116">
      <c r="AW278" s="533"/>
      <c r="AX278" s="533"/>
      <c r="AY278" s="534"/>
      <c r="AZ278" s="533"/>
      <c r="BA278" s="535"/>
      <c r="BB278" s="536">
        <v>14.95986714641572</v>
      </c>
      <c r="BC278" s="535" t="s">
        <v>2006</v>
      </c>
      <c r="BD278" s="537"/>
      <c r="BE278" s="537"/>
      <c r="BF278" s="535"/>
      <c r="BG278" s="537"/>
      <c r="BH278" s="538" t="e">
        <f t="shared" si="111"/>
        <v>#N/A</v>
      </c>
      <c r="BI278" s="538" t="e">
        <f t="shared" si="112"/>
        <v>#N/A</v>
      </c>
      <c r="BJ278" s="538" t="e">
        <f t="shared" si="113"/>
        <v>#N/A</v>
      </c>
      <c r="BK278" s="538" t="e">
        <f t="shared" si="114"/>
        <v>#N/A</v>
      </c>
      <c r="BL278" s="538" t="e">
        <f t="shared" si="115"/>
        <v>#N/A</v>
      </c>
      <c r="BM278" s="538" t="e">
        <f t="shared" si="116"/>
        <v>#N/A</v>
      </c>
      <c r="BN278" s="538" t="e">
        <f t="shared" si="117"/>
        <v>#N/A</v>
      </c>
      <c r="BO278" s="538" t="e">
        <f t="shared" si="118"/>
        <v>#N/A</v>
      </c>
      <c r="BP278" s="538" t="e">
        <f t="shared" si="119"/>
        <v>#N/A</v>
      </c>
      <c r="BQ278" s="535" t="s">
        <v>1979</v>
      </c>
      <c r="DH278" s="540">
        <f t="shared" si="121"/>
        <v>0</v>
      </c>
      <c r="DI278" s="540">
        <f t="shared" si="122"/>
        <v>0</v>
      </c>
      <c r="DJ278" s="540">
        <f t="shared" si="123"/>
        <v>0</v>
      </c>
      <c r="DL278" s="540" t="s">
        <v>35</v>
      </c>
    </row>
    <row r="279" spans="49:116">
      <c r="AW279" s="533"/>
      <c r="AX279" s="533"/>
      <c r="AY279" s="534"/>
      <c r="AZ279" s="533"/>
      <c r="BA279" s="535"/>
      <c r="BB279" s="536">
        <v>17.655571635311144</v>
      </c>
      <c r="BC279" s="535" t="s">
        <v>2763</v>
      </c>
      <c r="BD279" s="537"/>
      <c r="BE279" s="537"/>
      <c r="BF279" s="535"/>
      <c r="BG279" s="537"/>
      <c r="BH279" s="538" t="e">
        <f t="shared" si="111"/>
        <v>#N/A</v>
      </c>
      <c r="BI279" s="538" t="e">
        <f t="shared" si="112"/>
        <v>#N/A</v>
      </c>
      <c r="BJ279" s="538" t="e">
        <f t="shared" si="113"/>
        <v>#N/A</v>
      </c>
      <c r="BK279" s="538" t="e">
        <f t="shared" si="114"/>
        <v>#N/A</v>
      </c>
      <c r="BL279" s="538" t="e">
        <f t="shared" si="115"/>
        <v>#N/A</v>
      </c>
      <c r="BM279" s="538" t="e">
        <f t="shared" si="116"/>
        <v>#N/A</v>
      </c>
      <c r="BN279" s="538" t="e">
        <f t="shared" si="117"/>
        <v>#N/A</v>
      </c>
      <c r="BO279" s="538" t="e">
        <f t="shared" si="118"/>
        <v>#N/A</v>
      </c>
      <c r="BP279" s="538" t="e">
        <f t="shared" si="119"/>
        <v>#N/A</v>
      </c>
      <c r="BQ279" s="535" t="s">
        <v>1979</v>
      </c>
      <c r="DH279" s="540">
        <f t="shared" si="121"/>
        <v>0</v>
      </c>
      <c r="DI279" s="540">
        <f t="shared" si="122"/>
        <v>0</v>
      </c>
      <c r="DJ279" s="540">
        <f t="shared" si="123"/>
        <v>0</v>
      </c>
      <c r="DL279" s="540" t="s">
        <v>35</v>
      </c>
    </row>
    <row r="280" spans="49:116">
      <c r="AW280" s="533"/>
      <c r="AX280" s="533"/>
      <c r="AY280" s="534"/>
      <c r="AZ280" s="533"/>
      <c r="BA280" s="535"/>
      <c r="BB280" s="536">
        <v>16.437263115898666</v>
      </c>
      <c r="BC280" s="535" t="s">
        <v>2006</v>
      </c>
      <c r="BD280" s="537"/>
      <c r="BE280" s="537"/>
      <c r="BF280" s="535"/>
      <c r="BG280" s="537"/>
      <c r="BH280" s="538" t="e">
        <f t="shared" si="111"/>
        <v>#N/A</v>
      </c>
      <c r="BI280" s="538" t="e">
        <f t="shared" si="112"/>
        <v>#N/A</v>
      </c>
      <c r="BJ280" s="538" t="e">
        <f t="shared" si="113"/>
        <v>#N/A</v>
      </c>
      <c r="BK280" s="538" t="e">
        <f t="shared" si="114"/>
        <v>#N/A</v>
      </c>
      <c r="BL280" s="538" t="e">
        <f t="shared" si="115"/>
        <v>#N/A</v>
      </c>
      <c r="BM280" s="538" t="e">
        <f t="shared" si="116"/>
        <v>#N/A</v>
      </c>
      <c r="BN280" s="538" t="e">
        <f t="shared" si="117"/>
        <v>#N/A</v>
      </c>
      <c r="BO280" s="538" t="e">
        <f t="shared" si="118"/>
        <v>#N/A</v>
      </c>
      <c r="BP280" s="538" t="e">
        <f t="shared" si="119"/>
        <v>#N/A</v>
      </c>
      <c r="BQ280" s="535" t="s">
        <v>1979</v>
      </c>
      <c r="DH280" s="540">
        <f t="shared" si="121"/>
        <v>0</v>
      </c>
      <c r="DI280" s="540">
        <f t="shared" si="122"/>
        <v>0</v>
      </c>
      <c r="DJ280" s="540">
        <f t="shared" si="123"/>
        <v>0</v>
      </c>
      <c r="DL280" s="540" t="s">
        <v>35</v>
      </c>
    </row>
    <row r="281" spans="49:116">
      <c r="AW281" s="533"/>
      <c r="AX281" s="533"/>
      <c r="AY281" s="534"/>
      <c r="AZ281" s="533"/>
      <c r="BA281" s="535"/>
      <c r="DH281" s="540">
        <f t="shared" si="121"/>
        <v>0</v>
      </c>
      <c r="DI281" s="540">
        <f t="shared" si="122"/>
        <v>0</v>
      </c>
      <c r="DJ281" s="540">
        <f t="shared" si="123"/>
        <v>0</v>
      </c>
      <c r="DL281" s="540" t="s">
        <v>35</v>
      </c>
    </row>
  </sheetData>
  <sheetProtection selectLockedCells="1"/>
  <autoFilter ref="C2:G128" xr:uid="{214090F2-6341-40D0-B7F7-89B4B343CB53}">
    <sortState xmlns:xlrd2="http://schemas.microsoft.com/office/spreadsheetml/2017/richdata2" ref="C3:G115">
      <sortCondition ref="F2:F113"/>
    </sortState>
  </autoFilter>
  <mergeCells count="53">
    <mergeCell ref="DF1:DF2"/>
    <mergeCell ref="DK1:DL1"/>
    <mergeCell ref="DT1:DT2"/>
    <mergeCell ref="X18:AC18"/>
    <mergeCell ref="CU1:CU2"/>
    <mergeCell ref="CV1:CV2"/>
    <mergeCell ref="CW1:CW2"/>
    <mergeCell ref="CX1:CX2"/>
    <mergeCell ref="CZ1:CZ2"/>
    <mergeCell ref="DB1:DD1"/>
    <mergeCell ref="CA1:CI1"/>
    <mergeCell ref="CK1:CK2"/>
    <mergeCell ref="CM1:CM2"/>
    <mergeCell ref="CO1:CP1"/>
    <mergeCell ref="CQ1:CR1"/>
    <mergeCell ref="CS1:CS2"/>
    <mergeCell ref="BZ1:BZ2"/>
    <mergeCell ref="AL1:AL2"/>
    <mergeCell ref="AN1:AN2"/>
    <mergeCell ref="AP1:AP2"/>
    <mergeCell ref="AR1:AR2"/>
    <mergeCell ref="AS1:AS2"/>
    <mergeCell ref="AU1:AU2"/>
    <mergeCell ref="AZ1:BA1"/>
    <mergeCell ref="BB1:BC1"/>
    <mergeCell ref="BD1:BG1"/>
    <mergeCell ref="BH1:BQ1"/>
    <mergeCell ref="BR1:BX1"/>
    <mergeCell ref="AJ1:AJ2"/>
    <mergeCell ref="U1:U2"/>
    <mergeCell ref="V1:V2"/>
    <mergeCell ref="X1:X2"/>
    <mergeCell ref="Y1:Y2"/>
    <mergeCell ref="Z1:Z2"/>
    <mergeCell ref="AA1:AA2"/>
    <mergeCell ref="AB1:AB2"/>
    <mergeCell ref="AC1:AC2"/>
    <mergeCell ref="AE1:AE2"/>
    <mergeCell ref="AF1:AF2"/>
    <mergeCell ref="AH1:AH2"/>
    <mergeCell ref="A1:A2"/>
    <mergeCell ref="T1:T2"/>
    <mergeCell ref="H1:H2"/>
    <mergeCell ref="I1:I2"/>
    <mergeCell ref="J1:J2"/>
    <mergeCell ref="L1:L2"/>
    <mergeCell ref="M1:M2"/>
    <mergeCell ref="N1:N2"/>
    <mergeCell ref="O1:O2"/>
    <mergeCell ref="P1:P2"/>
    <mergeCell ref="Q1:Q2"/>
    <mergeCell ref="R1:R2"/>
    <mergeCell ref="S1:S2"/>
  </mergeCells>
  <phoneticPr fontId="196" type="noConversion"/>
  <conditionalFormatting sqref="AW3:AW241">
    <cfRule type="duplicateValues" dxfId="8" priority="134"/>
  </conditionalFormatting>
  <conditionalFormatting sqref="AW281">
    <cfRule type="duplicateValues" dxfId="7" priority="1"/>
  </conditionalFormatting>
  <dataValidations count="1">
    <dataValidation type="list" allowBlank="1" showInputMessage="1" showErrorMessage="1" sqref="AL3:AL7" xr:uid="{2C068B20-42A8-442B-B5CA-15903054EFF9}">
      <formula1>#REF!</formula1>
    </dataValidation>
  </dataValidations>
  <pageMargins left="0.7" right="0.7" top="0.79166666666666663" bottom="0.75" header="0.3" footer="0.3"/>
  <pageSetup paperSize="9" orientation="landscape" horizontalDpi="1200" verticalDpi="1200" r:id="rId1"/>
  <headerFooter>
    <oddHeader xml:space="preserve">&amp;L&amp;G&amp;R&amp;8
&amp;"-,Negrita"Herramienta para el cálculo de la huella de carbono en hospitales&amp;"-,Normal"
</oddHeader>
  </headerFooter>
  <ignoredErrors>
    <ignoredError sqref="CS3:CS10"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CDB3-9E69-45B2-8759-52FC3B5B268E}">
  <sheetPr codeName="Sheet8">
    <tabColor rgb="FF94E494"/>
  </sheetPr>
  <dimension ref="A1:AA654"/>
  <sheetViews>
    <sheetView showGridLines="0" zoomScale="80" zoomScaleNormal="80" workbookViewId="0">
      <pane ySplit="9" topLeftCell="A10" activePane="bottomLeft" state="frozen"/>
      <selection activeCell="C8" sqref="C8"/>
      <selection pane="bottomLeft" activeCell="G10" sqref="G10"/>
    </sheetView>
  </sheetViews>
  <sheetFormatPr defaultColWidth="10.5" defaultRowHeight="15"/>
  <cols>
    <col min="1" max="1" width="14.625" style="631" customWidth="1"/>
    <col min="2" max="2" width="24.25" style="631" customWidth="1"/>
    <col min="3" max="3" width="18.625" style="632" customWidth="1"/>
    <col min="4" max="4" width="20" style="633" customWidth="1"/>
    <col min="5" max="6" width="14.125" style="633" customWidth="1"/>
    <col min="7" max="8" width="27.625" style="633" customWidth="1"/>
    <col min="9" max="10" width="14.5" style="633" customWidth="1"/>
    <col min="11" max="11" width="16.75" style="633" customWidth="1"/>
    <col min="12" max="12" width="16.625" style="633" customWidth="1"/>
    <col min="13" max="13" width="24.125" style="633" customWidth="1"/>
    <col min="14" max="14" width="15.375" style="633" customWidth="1"/>
    <col min="15" max="15" width="7.875" style="633" customWidth="1"/>
    <col min="16" max="16" width="28.125" style="636" customWidth="1"/>
    <col min="17" max="17" width="13" style="633" customWidth="1"/>
    <col min="18" max="19" width="18.625" style="633" customWidth="1"/>
    <col min="20" max="21" width="10.5" style="631"/>
    <col min="22" max="22" width="17.375" style="631" customWidth="1"/>
    <col min="23" max="16384" width="10.5" style="631"/>
  </cols>
  <sheetData>
    <row r="1" spans="1:27" ht="105" customHeight="1" thickTop="1" thickBot="1">
      <c r="F1" s="631"/>
      <c r="G1" s="634" t="str">
        <f>+Instructions!B2</f>
        <v>Health Care Emissions Impact Calculator-Facility</v>
      </c>
      <c r="H1" s="635"/>
      <c r="K1" s="782" t="s">
        <v>2772</v>
      </c>
    </row>
    <row r="2" spans="1:27" s="641" customFormat="1" ht="18.75" thickTop="1">
      <c r="A2" s="637" t="str">
        <f>+'Scope 1 and 2 Data'!A68</f>
        <v>1.3.1</v>
      </c>
      <c r="B2" s="638" t="str">
        <f>+'Scope 1 and 2 Data'!B68</f>
        <v>Refrigerants and Fire Suppression</v>
      </c>
      <c r="C2" s="639"/>
      <c r="D2" s="638"/>
      <c r="E2" s="638"/>
      <c r="F2" s="638"/>
      <c r="G2" s="638"/>
      <c r="H2" s="638"/>
      <c r="I2" s="638"/>
      <c r="J2" s="638"/>
      <c r="K2" s="638"/>
      <c r="L2" s="638"/>
      <c r="M2" s="1404"/>
      <c r="N2" s="1404"/>
      <c r="O2" s="638"/>
      <c r="P2" s="640"/>
      <c r="Q2" s="638"/>
      <c r="R2" s="638"/>
      <c r="S2" s="638"/>
      <c r="T2" s="638"/>
      <c r="U2" s="638"/>
      <c r="V2" s="638"/>
      <c r="W2" s="638"/>
      <c r="X2" s="638"/>
      <c r="Y2" s="638"/>
      <c r="Z2" s="638"/>
      <c r="AA2" s="638"/>
    </row>
    <row r="3" spans="1:27" ht="3.6" customHeight="1"/>
    <row r="4" spans="1:27" ht="15.75">
      <c r="A4" s="3" t="s">
        <v>2773</v>
      </c>
    </row>
    <row r="5" spans="1:27" ht="33" customHeight="1">
      <c r="A5" s="1513" t="s">
        <v>2774</v>
      </c>
      <c r="B5" s="1513"/>
      <c r="C5" s="1513"/>
      <c r="D5" s="1513"/>
      <c r="E5" s="1513"/>
      <c r="F5" s="1513"/>
      <c r="G5" s="1513"/>
      <c r="H5" s="419"/>
    </row>
    <row r="6" spans="1:27" ht="29.25" customHeight="1">
      <c r="A6" s="1513" t="s">
        <v>2775</v>
      </c>
      <c r="B6" s="1513"/>
      <c r="C6" s="1513"/>
      <c r="D6" s="1513"/>
      <c r="E6" s="1513"/>
      <c r="F6" s="1513"/>
      <c r="G6" s="1513"/>
      <c r="H6" s="419"/>
    </row>
    <row r="8" spans="1:27" s="643" customFormat="1" ht="67.5" customHeight="1">
      <c r="A8" s="1512" t="s">
        <v>2776</v>
      </c>
      <c r="B8" s="1512" t="s">
        <v>2777</v>
      </c>
      <c r="C8" s="1514" t="s">
        <v>2778</v>
      </c>
      <c r="D8" s="1516" t="s">
        <v>2779</v>
      </c>
      <c r="E8" s="1516"/>
      <c r="F8" s="1512" t="s">
        <v>2780</v>
      </c>
      <c r="G8" s="1517" t="s">
        <v>2781</v>
      </c>
      <c r="H8" s="1512" t="s">
        <v>2782</v>
      </c>
      <c r="I8" s="1512" t="s">
        <v>2783</v>
      </c>
      <c r="J8" s="1512" t="s">
        <v>2784</v>
      </c>
      <c r="K8" s="1512" t="s">
        <v>2785</v>
      </c>
      <c r="L8" s="1512"/>
      <c r="M8" s="1512" t="s">
        <v>2786</v>
      </c>
      <c r="N8" s="1512" t="s">
        <v>2787</v>
      </c>
      <c r="P8" s="644"/>
      <c r="Q8" s="2"/>
      <c r="R8"/>
    </row>
    <row r="9" spans="1:27" s="643" customFormat="1" ht="39.75" customHeight="1">
      <c r="A9" s="1512"/>
      <c r="B9" s="1512"/>
      <c r="C9" s="1515"/>
      <c r="D9" s="645" t="s">
        <v>2788</v>
      </c>
      <c r="E9" s="645" t="s">
        <v>0</v>
      </c>
      <c r="F9" s="1512"/>
      <c r="G9" s="1517"/>
      <c r="H9" s="1512"/>
      <c r="I9" s="1512"/>
      <c r="J9" s="1512"/>
      <c r="K9" s="642" t="s">
        <v>2789</v>
      </c>
      <c r="L9" s="642" t="s">
        <v>2790</v>
      </c>
      <c r="M9" s="1512"/>
      <c r="N9" s="1512"/>
      <c r="P9" s="646" t="s">
        <v>2791</v>
      </c>
      <c r="Q9" s="642" t="s">
        <v>0</v>
      </c>
    </row>
    <row r="10" spans="1:27" s="652" customFormat="1" ht="15.75">
      <c r="A10" s="647"/>
      <c r="B10" s="1403"/>
      <c r="C10" s="648"/>
      <c r="D10" s="647"/>
      <c r="E10" s="647"/>
      <c r="F10" s="649"/>
      <c r="G10" s="648"/>
      <c r="H10" s="647"/>
      <c r="I10" s="647"/>
      <c r="J10" s="647"/>
      <c r="K10" s="647"/>
      <c r="L10" s="650"/>
      <c r="M10" s="651" t="str">
        <f>+IFERROR(VLOOKUP(G10,'S1&amp;2 Lists'!$C$8:$G$113,3,FALSE),"-")</f>
        <v>-</v>
      </c>
      <c r="N10" s="651" t="str">
        <f>+IFERROR(P10*M10,"-")</f>
        <v>-</v>
      </c>
      <c r="P10" s="1406">
        <f>ROUND(IF(L10='S1&amp;2 Lists'!$CV$3,K10,IF(L10='S1&amp;2 Lists'!$CV$4,K10/'S1&amp;2 Lists'!$CQ$6,0)),3)</f>
        <v>0</v>
      </c>
      <c r="Q10" s="432" t="s">
        <v>12</v>
      </c>
      <c r="S10" s="643"/>
    </row>
    <row r="11" spans="1:27" s="652" customFormat="1" ht="15.75">
      <c r="A11" s="455"/>
      <c r="B11" s="653"/>
      <c r="C11" s="653"/>
      <c r="D11" s="455"/>
      <c r="E11" s="654"/>
      <c r="F11" s="655"/>
      <c r="G11" s="648"/>
      <c r="H11" s="455"/>
      <c r="I11" s="654"/>
      <c r="J11" s="654"/>
      <c r="K11" s="654"/>
      <c r="L11" s="654"/>
      <c r="M11" s="1405" t="str">
        <f>+IFERROR(VLOOKUP(G11,'S1&amp;2 Lists'!$C$4:$G$200,3,FALSE),"-")</f>
        <v>-</v>
      </c>
      <c r="N11" s="1405" t="str">
        <f t="shared" ref="N11:N74" si="0">+IFERROR(P11*M11,"-")</f>
        <v>-</v>
      </c>
      <c r="P11" s="1406">
        <f>ROUND(IF(L11='S1&amp;2 Lists'!$CV$3,K11,IF(L11='S1&amp;2 Lists'!$CV$4,K11/'S1&amp;2 Lists'!$CQ$6,0)),3)</f>
        <v>0</v>
      </c>
      <c r="Q11" s="10" t="s">
        <v>12</v>
      </c>
      <c r="S11" s="643"/>
    </row>
    <row r="12" spans="1:27" s="652" customFormat="1">
      <c r="A12" s="455"/>
      <c r="B12" s="455"/>
      <c r="C12" s="653"/>
      <c r="D12" s="455"/>
      <c r="E12" s="654"/>
      <c r="F12" s="655"/>
      <c r="G12" s="648"/>
      <c r="H12" s="455"/>
      <c r="I12" s="654"/>
      <c r="J12" s="654"/>
      <c r="K12" s="654"/>
      <c r="L12" s="654"/>
      <c r="M12" s="1405" t="str">
        <f>+IFERROR(VLOOKUP(G12,'S1&amp;2 Lists'!$C$4:$G$200,3,FALSE),"-")</f>
        <v>-</v>
      </c>
      <c r="N12" s="1405" t="str">
        <f t="shared" si="0"/>
        <v>-</v>
      </c>
      <c r="P12" s="1406">
        <f>ROUND(IF(L12='S1&amp;2 Lists'!$CV$3,K12,IF(L12='S1&amp;2 Lists'!$CV$4,K12/'S1&amp;2 Lists'!$CQ$6,0)),3)</f>
        <v>0</v>
      </c>
      <c r="Q12" s="10" t="s">
        <v>12</v>
      </c>
    </row>
    <row r="13" spans="1:27" s="652" customFormat="1">
      <c r="A13" s="455"/>
      <c r="B13" s="455"/>
      <c r="C13" s="653"/>
      <c r="D13" s="455"/>
      <c r="E13" s="654"/>
      <c r="F13" s="455"/>
      <c r="G13" s="648"/>
      <c r="H13" s="455"/>
      <c r="I13" s="654"/>
      <c r="J13" s="654"/>
      <c r="K13" s="654"/>
      <c r="L13" s="654"/>
      <c r="M13" s="1405" t="str">
        <f>+IFERROR(VLOOKUP(G13,'S1&amp;2 Lists'!$C$4:$G$200,3,FALSE),"-")</f>
        <v>-</v>
      </c>
      <c r="N13" s="1405" t="str">
        <f t="shared" si="0"/>
        <v>-</v>
      </c>
      <c r="P13" s="1406">
        <f>ROUND(IF(L13='S1&amp;2 Lists'!$CV$3,K13,IF(L13='S1&amp;2 Lists'!$CV$4,K13/'S1&amp;2 Lists'!$CQ$6,0)),3)</f>
        <v>0</v>
      </c>
      <c r="Q13" s="10" t="s">
        <v>12</v>
      </c>
    </row>
    <row r="14" spans="1:27" s="652" customFormat="1">
      <c r="A14" s="455"/>
      <c r="B14" s="455"/>
      <c r="C14" s="653"/>
      <c r="D14" s="455"/>
      <c r="E14" s="654"/>
      <c r="F14" s="455"/>
      <c r="G14" s="648"/>
      <c r="H14" s="455"/>
      <c r="I14" s="654"/>
      <c r="J14" s="654"/>
      <c r="K14" s="654"/>
      <c r="L14" s="654"/>
      <c r="M14" s="1405" t="str">
        <f>+IFERROR(VLOOKUP(G14,'S1&amp;2 Lists'!$C$4:$G$200,3,FALSE),"-")</f>
        <v>-</v>
      </c>
      <c r="N14" s="1405" t="str">
        <f t="shared" si="0"/>
        <v>-</v>
      </c>
      <c r="P14" s="1406">
        <f>ROUND(IF(L14='S1&amp;2 Lists'!$CV$3,K14,IF(L14='S1&amp;2 Lists'!$CV$4,K14/'S1&amp;2 Lists'!$CQ$6,0)),3)</f>
        <v>0</v>
      </c>
      <c r="Q14" s="10" t="s">
        <v>12</v>
      </c>
    </row>
    <row r="15" spans="1:27" s="652" customFormat="1">
      <c r="A15" s="455"/>
      <c r="B15" s="455"/>
      <c r="C15" s="653"/>
      <c r="D15" s="455"/>
      <c r="E15" s="654"/>
      <c r="F15" s="455"/>
      <c r="G15" s="648"/>
      <c r="H15" s="455"/>
      <c r="I15" s="654"/>
      <c r="J15" s="654"/>
      <c r="K15" s="654"/>
      <c r="L15" s="654"/>
      <c r="M15" s="1405" t="str">
        <f>+IFERROR(VLOOKUP(G15,'S1&amp;2 Lists'!$C$4:$G$200,3,FALSE),"-")</f>
        <v>-</v>
      </c>
      <c r="N15" s="1405" t="str">
        <f t="shared" si="0"/>
        <v>-</v>
      </c>
      <c r="P15" s="1406">
        <f>ROUND(IF(L15='S1&amp;2 Lists'!$CV$3,K15,IF(L15='S1&amp;2 Lists'!$CV$4,K15/'S1&amp;2 Lists'!$CQ$6,0)),3)</f>
        <v>0</v>
      </c>
      <c r="Q15" s="10" t="s">
        <v>12</v>
      </c>
    </row>
    <row r="16" spans="1:27" s="652" customFormat="1">
      <c r="A16" s="455"/>
      <c r="B16" s="455"/>
      <c r="C16" s="653"/>
      <c r="D16" s="455"/>
      <c r="E16" s="654"/>
      <c r="F16" s="455"/>
      <c r="G16" s="648"/>
      <c r="H16" s="455"/>
      <c r="I16" s="654"/>
      <c r="J16" s="654"/>
      <c r="K16" s="654"/>
      <c r="L16" s="654"/>
      <c r="M16" s="1405" t="str">
        <f>+IFERROR(VLOOKUP(G16,'S1&amp;2 Lists'!$C$4:$G$200,3,FALSE),"-")</f>
        <v>-</v>
      </c>
      <c r="N16" s="1405" t="str">
        <f t="shared" si="0"/>
        <v>-</v>
      </c>
      <c r="P16" s="1406">
        <f>ROUND(IF(L16='S1&amp;2 Lists'!$CV$3,K16,IF(L16='S1&amp;2 Lists'!$CV$4,K16/'S1&amp;2 Lists'!$CQ$6,0)),3)</f>
        <v>0</v>
      </c>
      <c r="Q16" s="10" t="s">
        <v>12</v>
      </c>
    </row>
    <row r="17" spans="1:17" s="652" customFormat="1">
      <c r="A17" s="455"/>
      <c r="B17" s="455"/>
      <c r="C17" s="653"/>
      <c r="D17" s="455"/>
      <c r="E17" s="654"/>
      <c r="F17" s="455"/>
      <c r="G17" s="648"/>
      <c r="H17" s="455"/>
      <c r="I17" s="654"/>
      <c r="J17" s="654"/>
      <c r="K17" s="654"/>
      <c r="L17" s="654"/>
      <c r="M17" s="1405" t="str">
        <f>+IFERROR(VLOOKUP(G17,'S1&amp;2 Lists'!$C$4:$G$200,3,FALSE),"-")</f>
        <v>-</v>
      </c>
      <c r="N17" s="1405" t="str">
        <f t="shared" si="0"/>
        <v>-</v>
      </c>
      <c r="P17" s="1406">
        <f>ROUND(IF(L17='S1&amp;2 Lists'!$CV$3,K17,IF(L17='S1&amp;2 Lists'!$CV$4,K17/'S1&amp;2 Lists'!$CQ$6,0)),3)</f>
        <v>0</v>
      </c>
      <c r="Q17" s="10" t="s">
        <v>12</v>
      </c>
    </row>
    <row r="18" spans="1:17" s="652" customFormat="1">
      <c r="A18" s="455"/>
      <c r="B18" s="455"/>
      <c r="C18" s="653"/>
      <c r="D18" s="455"/>
      <c r="E18" s="654"/>
      <c r="F18" s="455"/>
      <c r="G18" s="648"/>
      <c r="H18" s="455"/>
      <c r="I18" s="654"/>
      <c r="J18" s="654"/>
      <c r="K18" s="654"/>
      <c r="L18" s="654"/>
      <c r="M18" s="1405" t="str">
        <f>+IFERROR(VLOOKUP(G18,'S1&amp;2 Lists'!$C$4:$G$200,3,FALSE),"-")</f>
        <v>-</v>
      </c>
      <c r="N18" s="1405" t="str">
        <f t="shared" si="0"/>
        <v>-</v>
      </c>
      <c r="P18" s="1406">
        <f>ROUND(IF(L18='S1&amp;2 Lists'!$CV$3,K18,IF(L18='S1&amp;2 Lists'!$CV$4,K18/'S1&amp;2 Lists'!$CQ$6,0)),3)</f>
        <v>0</v>
      </c>
      <c r="Q18" s="10" t="s">
        <v>12</v>
      </c>
    </row>
    <row r="19" spans="1:17" s="652" customFormat="1">
      <c r="A19" s="455"/>
      <c r="B19" s="455"/>
      <c r="C19" s="653"/>
      <c r="D19" s="455"/>
      <c r="E19" s="654"/>
      <c r="F19" s="455"/>
      <c r="G19" s="648"/>
      <c r="H19" s="455"/>
      <c r="I19" s="654"/>
      <c r="J19" s="654"/>
      <c r="K19" s="455"/>
      <c r="L19" s="455"/>
      <c r="M19" s="1405" t="str">
        <f>+IFERROR(VLOOKUP(G19,'S1&amp;2 Lists'!$C$4:$G$200,3,FALSE),"-")</f>
        <v>-</v>
      </c>
      <c r="N19" s="1405" t="str">
        <f t="shared" si="0"/>
        <v>-</v>
      </c>
      <c r="P19" s="1406">
        <f>ROUND(IF(L19='S1&amp;2 Lists'!$CV$3,K19,IF(L19='S1&amp;2 Lists'!$CV$4,K19/'S1&amp;2 Lists'!$CQ$6,0)),3)</f>
        <v>0</v>
      </c>
      <c r="Q19" s="10" t="s">
        <v>12</v>
      </c>
    </row>
    <row r="20" spans="1:17" s="652" customFormat="1">
      <c r="A20" s="455"/>
      <c r="B20" s="455"/>
      <c r="C20" s="653"/>
      <c r="D20" s="455"/>
      <c r="E20" s="654"/>
      <c r="F20" s="455"/>
      <c r="G20" s="648"/>
      <c r="H20" s="455"/>
      <c r="I20" s="654"/>
      <c r="J20" s="654"/>
      <c r="K20" s="455"/>
      <c r="L20" s="455"/>
      <c r="M20" s="1405" t="str">
        <f>+IFERROR(VLOOKUP(G20,'S1&amp;2 Lists'!$C$4:$G$200,3,FALSE),"-")</f>
        <v>-</v>
      </c>
      <c r="N20" s="1405" t="str">
        <f t="shared" si="0"/>
        <v>-</v>
      </c>
      <c r="P20" s="1406">
        <f>ROUND(IF(L20='S1&amp;2 Lists'!$CV$3,K20,IF(L20='S1&amp;2 Lists'!$CV$4,K20/'S1&amp;2 Lists'!$CQ$6,0)),3)</f>
        <v>0</v>
      </c>
      <c r="Q20" s="10" t="s">
        <v>12</v>
      </c>
    </row>
    <row r="21" spans="1:17" s="652" customFormat="1">
      <c r="A21" s="455"/>
      <c r="B21" s="455"/>
      <c r="C21" s="653"/>
      <c r="D21" s="455"/>
      <c r="E21" s="654"/>
      <c r="F21" s="455"/>
      <c r="G21" s="648"/>
      <c r="H21" s="455"/>
      <c r="I21" s="654"/>
      <c r="J21" s="654"/>
      <c r="K21" s="455"/>
      <c r="L21" s="455"/>
      <c r="M21" s="1405" t="str">
        <f>+IFERROR(VLOOKUP(G21,'S1&amp;2 Lists'!$C$4:$G$200,3,FALSE),"-")</f>
        <v>-</v>
      </c>
      <c r="N21" s="1405" t="str">
        <f t="shared" si="0"/>
        <v>-</v>
      </c>
      <c r="P21" s="1406">
        <f>ROUND(IF(L21='S1&amp;2 Lists'!$CV$3,K21,IF(L21='S1&amp;2 Lists'!$CV$4,K21/'S1&amp;2 Lists'!$CQ$6,0)),3)</f>
        <v>0</v>
      </c>
      <c r="Q21" s="10" t="s">
        <v>12</v>
      </c>
    </row>
    <row r="22" spans="1:17" s="652" customFormat="1">
      <c r="A22" s="455"/>
      <c r="B22" s="455"/>
      <c r="C22" s="653"/>
      <c r="D22" s="455"/>
      <c r="E22" s="654"/>
      <c r="F22" s="455"/>
      <c r="G22" s="648"/>
      <c r="H22" s="455"/>
      <c r="I22" s="654"/>
      <c r="J22" s="654"/>
      <c r="K22" s="455"/>
      <c r="L22" s="455"/>
      <c r="M22" s="1405" t="str">
        <f>+IFERROR(VLOOKUP(G22,'S1&amp;2 Lists'!$C$4:$G$200,3,FALSE),"-")</f>
        <v>-</v>
      </c>
      <c r="N22" s="1405" t="str">
        <f t="shared" si="0"/>
        <v>-</v>
      </c>
      <c r="P22" s="1406">
        <f>ROUND(IF(L22='S1&amp;2 Lists'!$CV$3,K22,IF(L22='S1&amp;2 Lists'!$CV$4,K22/'S1&amp;2 Lists'!$CQ$6,0)),3)</f>
        <v>0</v>
      </c>
      <c r="Q22" s="10" t="s">
        <v>12</v>
      </c>
    </row>
    <row r="23" spans="1:17" s="652" customFormat="1">
      <c r="A23" s="455"/>
      <c r="B23" s="455"/>
      <c r="C23" s="653"/>
      <c r="D23" s="455"/>
      <c r="E23" s="654"/>
      <c r="F23" s="455"/>
      <c r="G23" s="648"/>
      <c r="H23" s="455"/>
      <c r="I23" s="654"/>
      <c r="J23" s="654"/>
      <c r="K23" s="455"/>
      <c r="L23" s="455"/>
      <c r="M23" s="1405" t="str">
        <f>+IFERROR(VLOOKUP(G23,'S1&amp;2 Lists'!$C$4:$G$200,3,FALSE),"-")</f>
        <v>-</v>
      </c>
      <c r="N23" s="1405" t="str">
        <f t="shared" si="0"/>
        <v>-</v>
      </c>
      <c r="P23" s="1406">
        <f>ROUND(IF(L23='S1&amp;2 Lists'!$CV$3,K23,IF(L23='S1&amp;2 Lists'!$CV$4,K23/'S1&amp;2 Lists'!$CQ$6,0)),3)</f>
        <v>0</v>
      </c>
      <c r="Q23" s="10" t="s">
        <v>12</v>
      </c>
    </row>
    <row r="24" spans="1:17" s="652" customFormat="1">
      <c r="A24" s="455"/>
      <c r="B24" s="455"/>
      <c r="C24" s="653"/>
      <c r="D24" s="455"/>
      <c r="E24" s="654"/>
      <c r="F24" s="455"/>
      <c r="G24" s="648"/>
      <c r="H24" s="455"/>
      <c r="I24" s="654"/>
      <c r="J24" s="654"/>
      <c r="K24" s="455"/>
      <c r="L24" s="455"/>
      <c r="M24" s="1405" t="str">
        <f>+IFERROR(VLOOKUP(G24,'S1&amp;2 Lists'!$C$4:$G$200,3,FALSE),"-")</f>
        <v>-</v>
      </c>
      <c r="N24" s="1405" t="str">
        <f t="shared" si="0"/>
        <v>-</v>
      </c>
      <c r="P24" s="1406">
        <f>ROUND(IF(L24='S1&amp;2 Lists'!$CV$3,K24,IF(L24='S1&amp;2 Lists'!$CV$4,K24/'S1&amp;2 Lists'!$CQ$6,0)),3)</f>
        <v>0</v>
      </c>
      <c r="Q24" s="10" t="s">
        <v>12</v>
      </c>
    </row>
    <row r="25" spans="1:17" s="652" customFormat="1">
      <c r="A25" s="455"/>
      <c r="B25" s="455"/>
      <c r="C25" s="653"/>
      <c r="D25" s="455"/>
      <c r="E25" s="654"/>
      <c r="F25" s="455"/>
      <c r="G25" s="648"/>
      <c r="H25" s="455"/>
      <c r="I25" s="654"/>
      <c r="J25" s="654"/>
      <c r="K25" s="455"/>
      <c r="L25" s="455"/>
      <c r="M25" s="1405" t="str">
        <f>+IFERROR(VLOOKUP(G25,'S1&amp;2 Lists'!$C$4:$G$200,3,FALSE),"-")</f>
        <v>-</v>
      </c>
      <c r="N25" s="1405" t="str">
        <f t="shared" si="0"/>
        <v>-</v>
      </c>
      <c r="P25" s="1406">
        <f>ROUND(IF(L25='S1&amp;2 Lists'!$CV$3,K25,IF(L25='S1&amp;2 Lists'!$CV$4,K25/'S1&amp;2 Lists'!$CQ$6,0)),3)</f>
        <v>0</v>
      </c>
      <c r="Q25" s="10" t="s">
        <v>12</v>
      </c>
    </row>
    <row r="26" spans="1:17" s="652" customFormat="1">
      <c r="A26" s="455"/>
      <c r="B26" s="455"/>
      <c r="C26" s="653"/>
      <c r="D26" s="455"/>
      <c r="E26" s="654"/>
      <c r="F26" s="455"/>
      <c r="G26" s="648"/>
      <c r="H26" s="455"/>
      <c r="I26" s="654"/>
      <c r="J26" s="654"/>
      <c r="K26" s="455"/>
      <c r="L26" s="455"/>
      <c r="M26" s="1405" t="str">
        <f>+IFERROR(VLOOKUP(G26,'S1&amp;2 Lists'!$C$4:$G$200,3,FALSE),"-")</f>
        <v>-</v>
      </c>
      <c r="N26" s="1405" t="str">
        <f t="shared" si="0"/>
        <v>-</v>
      </c>
      <c r="P26" s="1406">
        <f>ROUND(IF(L26='S1&amp;2 Lists'!$CV$3,K26,IF(L26='S1&amp;2 Lists'!$CV$4,K26/'S1&amp;2 Lists'!$CQ$6,0)),3)</f>
        <v>0</v>
      </c>
      <c r="Q26" s="10" t="s">
        <v>12</v>
      </c>
    </row>
    <row r="27" spans="1:17" s="652" customFormat="1">
      <c r="A27" s="455"/>
      <c r="B27" s="455"/>
      <c r="C27" s="653"/>
      <c r="D27" s="455"/>
      <c r="E27" s="654"/>
      <c r="F27" s="455"/>
      <c r="G27" s="648"/>
      <c r="H27" s="455"/>
      <c r="I27" s="654"/>
      <c r="J27" s="654"/>
      <c r="K27" s="455"/>
      <c r="L27" s="455"/>
      <c r="M27" s="1405" t="str">
        <f>+IFERROR(VLOOKUP(G27,'S1&amp;2 Lists'!$C$4:$G$200,3,FALSE),"-")</f>
        <v>-</v>
      </c>
      <c r="N27" s="1405" t="str">
        <f t="shared" si="0"/>
        <v>-</v>
      </c>
      <c r="P27" s="1406">
        <f>ROUND(IF(L27='S1&amp;2 Lists'!$CV$3,K27,IF(L27='S1&amp;2 Lists'!$CV$4,K27/'S1&amp;2 Lists'!$CQ$6,0)),3)</f>
        <v>0</v>
      </c>
      <c r="Q27" s="10" t="s">
        <v>12</v>
      </c>
    </row>
    <row r="28" spans="1:17" s="652" customFormat="1">
      <c r="A28" s="455"/>
      <c r="B28" s="455"/>
      <c r="C28" s="653"/>
      <c r="D28" s="455"/>
      <c r="E28" s="654"/>
      <c r="F28" s="455"/>
      <c r="G28" s="648"/>
      <c r="H28" s="455"/>
      <c r="I28" s="654"/>
      <c r="J28" s="654"/>
      <c r="K28" s="455"/>
      <c r="L28" s="455"/>
      <c r="M28" s="1405" t="str">
        <f>+IFERROR(VLOOKUP(G28,'S1&amp;2 Lists'!$C$4:$G$200,3,FALSE),"-")</f>
        <v>-</v>
      </c>
      <c r="N28" s="1405" t="str">
        <f t="shared" si="0"/>
        <v>-</v>
      </c>
      <c r="P28" s="1406">
        <f>ROUND(IF(L28='S1&amp;2 Lists'!$CV$3,K28,IF(L28='S1&amp;2 Lists'!$CV$4,K28/'S1&amp;2 Lists'!$CQ$6,0)),3)</f>
        <v>0</v>
      </c>
      <c r="Q28" s="10" t="s">
        <v>12</v>
      </c>
    </row>
    <row r="29" spans="1:17" s="652" customFormat="1">
      <c r="A29" s="455"/>
      <c r="B29" s="455"/>
      <c r="C29" s="653"/>
      <c r="D29" s="455"/>
      <c r="E29" s="654"/>
      <c r="F29" s="455"/>
      <c r="G29" s="648"/>
      <c r="H29" s="455"/>
      <c r="I29" s="654"/>
      <c r="J29" s="654"/>
      <c r="K29" s="455"/>
      <c r="L29" s="455"/>
      <c r="M29" s="1405" t="str">
        <f>+IFERROR(VLOOKUP(G29,'S1&amp;2 Lists'!$C$4:$G$200,3,FALSE),"-")</f>
        <v>-</v>
      </c>
      <c r="N29" s="1405" t="str">
        <f t="shared" si="0"/>
        <v>-</v>
      </c>
      <c r="P29" s="1406">
        <f>ROUND(IF(L29='S1&amp;2 Lists'!$CV$3,K29,IF(L29='S1&amp;2 Lists'!$CV$4,K29/'S1&amp;2 Lists'!$CQ$6,0)),3)</f>
        <v>0</v>
      </c>
      <c r="Q29" s="10" t="s">
        <v>12</v>
      </c>
    </row>
    <row r="30" spans="1:17" s="652" customFormat="1">
      <c r="A30" s="455"/>
      <c r="B30" s="455"/>
      <c r="C30" s="653"/>
      <c r="D30" s="455"/>
      <c r="E30" s="654"/>
      <c r="F30" s="455"/>
      <c r="G30" s="648"/>
      <c r="H30" s="455"/>
      <c r="I30" s="654"/>
      <c r="J30" s="654"/>
      <c r="K30" s="455"/>
      <c r="L30" s="455"/>
      <c r="M30" s="1405" t="str">
        <f>+IFERROR(VLOOKUP(G30,'S1&amp;2 Lists'!$C$4:$G$200,3,FALSE),"-")</f>
        <v>-</v>
      </c>
      <c r="N30" s="1405" t="str">
        <f t="shared" si="0"/>
        <v>-</v>
      </c>
      <c r="P30" s="1406">
        <f>ROUND(IF(L30='S1&amp;2 Lists'!$CV$3,K30,IF(L30='S1&amp;2 Lists'!$CV$4,K30/'S1&amp;2 Lists'!$CQ$6,0)),3)</f>
        <v>0</v>
      </c>
      <c r="Q30" s="10" t="s">
        <v>12</v>
      </c>
    </row>
    <row r="31" spans="1:17" s="652" customFormat="1">
      <c r="A31" s="455"/>
      <c r="B31" s="455"/>
      <c r="C31" s="653"/>
      <c r="D31" s="455"/>
      <c r="E31" s="654"/>
      <c r="F31" s="455"/>
      <c r="G31" s="648"/>
      <c r="H31" s="455"/>
      <c r="I31" s="654"/>
      <c r="J31" s="654"/>
      <c r="K31" s="455"/>
      <c r="L31" s="455"/>
      <c r="M31" s="1405" t="str">
        <f>+IFERROR(VLOOKUP(G31,'S1&amp;2 Lists'!$C$4:$G$200,3,FALSE),"-")</f>
        <v>-</v>
      </c>
      <c r="N31" s="1405" t="str">
        <f t="shared" si="0"/>
        <v>-</v>
      </c>
      <c r="P31" s="1406">
        <f>ROUND(IF(L31='S1&amp;2 Lists'!$CV$3,K31,IF(L31='S1&amp;2 Lists'!$CV$4,K31/'S1&amp;2 Lists'!$CQ$6,0)),3)</f>
        <v>0</v>
      </c>
      <c r="Q31" s="10" t="s">
        <v>12</v>
      </c>
    </row>
    <row r="32" spans="1:17" s="652" customFormat="1">
      <c r="A32" s="455"/>
      <c r="B32" s="455"/>
      <c r="C32" s="653"/>
      <c r="D32" s="455"/>
      <c r="E32" s="654"/>
      <c r="F32" s="455"/>
      <c r="G32" s="648"/>
      <c r="H32" s="455"/>
      <c r="I32" s="654"/>
      <c r="J32" s="654"/>
      <c r="K32" s="455"/>
      <c r="L32" s="455"/>
      <c r="M32" s="1405" t="str">
        <f>+IFERROR(VLOOKUP(G32,'S1&amp;2 Lists'!$C$4:$G$200,3,FALSE),"-")</f>
        <v>-</v>
      </c>
      <c r="N32" s="1405" t="str">
        <f t="shared" si="0"/>
        <v>-</v>
      </c>
      <c r="P32" s="1406">
        <f>ROUND(IF(L32='S1&amp;2 Lists'!$CV$3,K32,IF(L32='S1&amp;2 Lists'!$CV$4,K32/'S1&amp;2 Lists'!$CQ$6,0)),3)</f>
        <v>0</v>
      </c>
      <c r="Q32" s="10" t="s">
        <v>12</v>
      </c>
    </row>
    <row r="33" spans="1:17" s="652" customFormat="1">
      <c r="A33" s="455"/>
      <c r="B33" s="455"/>
      <c r="C33" s="653"/>
      <c r="D33" s="455"/>
      <c r="E33" s="654"/>
      <c r="F33" s="455"/>
      <c r="G33" s="648"/>
      <c r="H33" s="455"/>
      <c r="I33" s="654"/>
      <c r="J33" s="654"/>
      <c r="K33" s="455"/>
      <c r="L33" s="455"/>
      <c r="M33" s="1405" t="str">
        <f>+IFERROR(VLOOKUP(G33,'S1&amp;2 Lists'!$C$4:$G$200,3,FALSE),"-")</f>
        <v>-</v>
      </c>
      <c r="N33" s="1405" t="str">
        <f t="shared" si="0"/>
        <v>-</v>
      </c>
      <c r="P33" s="1406">
        <f>ROUND(IF(L33='S1&amp;2 Lists'!$CV$3,K33,IF(L33='S1&amp;2 Lists'!$CV$4,K33/'S1&amp;2 Lists'!$CQ$6,0)),3)</f>
        <v>0</v>
      </c>
      <c r="Q33" s="10" t="s">
        <v>12</v>
      </c>
    </row>
    <row r="34" spans="1:17" s="652" customFormat="1">
      <c r="A34" s="455"/>
      <c r="B34" s="455"/>
      <c r="C34" s="653"/>
      <c r="D34" s="455"/>
      <c r="E34" s="654"/>
      <c r="F34" s="455"/>
      <c r="G34" s="648"/>
      <c r="H34" s="455"/>
      <c r="I34" s="654"/>
      <c r="J34" s="654"/>
      <c r="K34" s="455"/>
      <c r="L34" s="455"/>
      <c r="M34" s="1405" t="str">
        <f>+IFERROR(VLOOKUP(G34,'S1&amp;2 Lists'!$C$4:$G$200,3,FALSE),"-")</f>
        <v>-</v>
      </c>
      <c r="N34" s="1405" t="str">
        <f t="shared" si="0"/>
        <v>-</v>
      </c>
      <c r="P34" s="1406">
        <f>ROUND(IF(L34='S1&amp;2 Lists'!$CV$3,K34,IF(L34='S1&amp;2 Lists'!$CV$4,K34/'S1&amp;2 Lists'!$CQ$6,0)),3)</f>
        <v>0</v>
      </c>
      <c r="Q34" s="10" t="s">
        <v>12</v>
      </c>
    </row>
    <row r="35" spans="1:17" s="652" customFormat="1">
      <c r="A35" s="455"/>
      <c r="B35" s="455"/>
      <c r="C35" s="653"/>
      <c r="D35" s="455"/>
      <c r="E35" s="654"/>
      <c r="F35" s="455"/>
      <c r="G35" s="648"/>
      <c r="H35" s="455"/>
      <c r="I35" s="654"/>
      <c r="J35" s="654"/>
      <c r="K35" s="455"/>
      <c r="L35" s="455"/>
      <c r="M35" s="1405" t="str">
        <f>+IFERROR(VLOOKUP(G35,'S1&amp;2 Lists'!$C$4:$G$200,3,FALSE),"-")</f>
        <v>-</v>
      </c>
      <c r="N35" s="1405" t="str">
        <f t="shared" si="0"/>
        <v>-</v>
      </c>
      <c r="P35" s="1406">
        <f>ROUND(IF(L35='S1&amp;2 Lists'!$CV$3,K35,IF(L35='S1&amp;2 Lists'!$CV$4,K35/'S1&amp;2 Lists'!$CQ$6,0)),3)</f>
        <v>0</v>
      </c>
      <c r="Q35" s="10" t="s">
        <v>12</v>
      </c>
    </row>
    <row r="36" spans="1:17" s="652" customFormat="1">
      <c r="A36" s="455"/>
      <c r="B36" s="455"/>
      <c r="C36" s="653"/>
      <c r="D36" s="455"/>
      <c r="E36" s="654"/>
      <c r="F36" s="455"/>
      <c r="G36" s="648"/>
      <c r="H36" s="455"/>
      <c r="I36" s="654"/>
      <c r="J36" s="654"/>
      <c r="K36" s="455"/>
      <c r="L36" s="455"/>
      <c r="M36" s="1405" t="str">
        <f>+IFERROR(VLOOKUP(G36,'S1&amp;2 Lists'!$C$4:$G$200,3,FALSE),"-")</f>
        <v>-</v>
      </c>
      <c r="N36" s="1405" t="str">
        <f t="shared" si="0"/>
        <v>-</v>
      </c>
      <c r="P36" s="1406">
        <f>ROUND(IF(L36='S1&amp;2 Lists'!$CV$3,K36,IF(L36='S1&amp;2 Lists'!$CV$4,K36/'S1&amp;2 Lists'!$CQ$6,0)),3)</f>
        <v>0</v>
      </c>
      <c r="Q36" s="10" t="s">
        <v>12</v>
      </c>
    </row>
    <row r="37" spans="1:17" s="652" customFormat="1">
      <c r="A37" s="455"/>
      <c r="B37" s="455"/>
      <c r="C37" s="653"/>
      <c r="D37" s="455"/>
      <c r="E37" s="654"/>
      <c r="F37" s="455"/>
      <c r="G37" s="648"/>
      <c r="H37" s="455"/>
      <c r="I37" s="654"/>
      <c r="J37" s="654"/>
      <c r="K37" s="455"/>
      <c r="L37" s="455"/>
      <c r="M37" s="1405" t="str">
        <f>+IFERROR(VLOOKUP(G37,'S1&amp;2 Lists'!$C$4:$G$200,3,FALSE),"-")</f>
        <v>-</v>
      </c>
      <c r="N37" s="1405" t="str">
        <f t="shared" si="0"/>
        <v>-</v>
      </c>
      <c r="P37" s="1406">
        <f>ROUND(IF(L37='S1&amp;2 Lists'!$CV$3,K37,IF(L37='S1&amp;2 Lists'!$CV$4,K37/'S1&amp;2 Lists'!$CQ$6,0)),3)</f>
        <v>0</v>
      </c>
      <c r="Q37" s="10" t="s">
        <v>12</v>
      </c>
    </row>
    <row r="38" spans="1:17" s="652" customFormat="1">
      <c r="A38" s="455"/>
      <c r="B38" s="455"/>
      <c r="C38" s="653"/>
      <c r="D38" s="455"/>
      <c r="E38" s="654"/>
      <c r="F38" s="455"/>
      <c r="G38" s="648"/>
      <c r="H38" s="455"/>
      <c r="I38" s="654"/>
      <c r="J38" s="654"/>
      <c r="K38" s="455"/>
      <c r="L38" s="455"/>
      <c r="M38" s="1405" t="str">
        <f>+IFERROR(VLOOKUP(G38,'S1&amp;2 Lists'!$C$4:$G$200,3,FALSE),"-")</f>
        <v>-</v>
      </c>
      <c r="N38" s="1405" t="str">
        <f t="shared" si="0"/>
        <v>-</v>
      </c>
      <c r="P38" s="1406">
        <f>ROUND(IF(L38='S1&amp;2 Lists'!$CV$3,K38,IF(L38='S1&amp;2 Lists'!$CV$4,K38/'S1&amp;2 Lists'!$CQ$6,0)),3)</f>
        <v>0</v>
      </c>
      <c r="Q38" s="10" t="s">
        <v>12</v>
      </c>
    </row>
    <row r="39" spans="1:17" s="652" customFormat="1">
      <c r="A39" s="455"/>
      <c r="B39" s="455"/>
      <c r="C39" s="653"/>
      <c r="D39" s="455"/>
      <c r="E39" s="654"/>
      <c r="F39" s="455"/>
      <c r="G39" s="648"/>
      <c r="H39" s="455"/>
      <c r="I39" s="654"/>
      <c r="J39" s="654"/>
      <c r="K39" s="455"/>
      <c r="L39" s="455"/>
      <c r="M39" s="1405" t="str">
        <f>+IFERROR(VLOOKUP(G39,'S1&amp;2 Lists'!$C$4:$G$200,3,FALSE),"-")</f>
        <v>-</v>
      </c>
      <c r="N39" s="1405" t="str">
        <f t="shared" si="0"/>
        <v>-</v>
      </c>
      <c r="P39" s="1406">
        <f>ROUND(IF(L39='S1&amp;2 Lists'!$CV$3,K39,IF(L39='S1&amp;2 Lists'!$CV$4,K39/'S1&amp;2 Lists'!$CQ$6,0)),3)</f>
        <v>0</v>
      </c>
      <c r="Q39" s="10" t="s">
        <v>12</v>
      </c>
    </row>
    <row r="40" spans="1:17" s="652" customFormat="1">
      <c r="A40" s="455"/>
      <c r="B40" s="455"/>
      <c r="C40" s="653"/>
      <c r="D40" s="455"/>
      <c r="E40" s="654"/>
      <c r="F40" s="455"/>
      <c r="G40" s="648"/>
      <c r="H40" s="455"/>
      <c r="I40" s="654"/>
      <c r="J40" s="654"/>
      <c r="K40" s="455"/>
      <c r="L40" s="455"/>
      <c r="M40" s="1405" t="str">
        <f>+IFERROR(VLOOKUP(G40,'S1&amp;2 Lists'!$C$4:$G$200,3,FALSE),"-")</f>
        <v>-</v>
      </c>
      <c r="N40" s="1405" t="str">
        <f t="shared" si="0"/>
        <v>-</v>
      </c>
      <c r="P40" s="1406">
        <f>ROUND(IF(L40='S1&amp;2 Lists'!$CV$3,K40,IF(L40='S1&amp;2 Lists'!$CV$4,K40/'S1&amp;2 Lists'!$CQ$6,0)),3)</f>
        <v>0</v>
      </c>
      <c r="Q40" s="10" t="s">
        <v>12</v>
      </c>
    </row>
    <row r="41" spans="1:17" s="652" customFormat="1">
      <c r="A41" s="455"/>
      <c r="B41" s="455"/>
      <c r="C41" s="653"/>
      <c r="D41" s="455"/>
      <c r="E41" s="654"/>
      <c r="F41" s="455"/>
      <c r="G41" s="648"/>
      <c r="H41" s="455"/>
      <c r="I41" s="654"/>
      <c r="J41" s="654"/>
      <c r="K41" s="455"/>
      <c r="L41" s="455"/>
      <c r="M41" s="1405" t="str">
        <f>+IFERROR(VLOOKUP(G41,'S1&amp;2 Lists'!$C$4:$G$200,3,FALSE),"-")</f>
        <v>-</v>
      </c>
      <c r="N41" s="1405" t="str">
        <f t="shared" si="0"/>
        <v>-</v>
      </c>
      <c r="P41" s="1406">
        <f>ROUND(IF(L41='S1&amp;2 Lists'!$CV$3,K41,IF(L41='S1&amp;2 Lists'!$CV$4,K41/'S1&amp;2 Lists'!$CQ$6,0)),3)</f>
        <v>0</v>
      </c>
      <c r="Q41" s="10" t="s">
        <v>12</v>
      </c>
    </row>
    <row r="42" spans="1:17" s="652" customFormat="1">
      <c r="A42" s="455"/>
      <c r="B42" s="455"/>
      <c r="C42" s="653"/>
      <c r="D42" s="455"/>
      <c r="E42" s="654"/>
      <c r="F42" s="455"/>
      <c r="G42" s="648"/>
      <c r="H42" s="455"/>
      <c r="I42" s="654"/>
      <c r="J42" s="654"/>
      <c r="K42" s="455"/>
      <c r="L42" s="455"/>
      <c r="M42" s="1405" t="str">
        <f>+IFERROR(VLOOKUP(G42,'S1&amp;2 Lists'!$C$4:$G$200,3,FALSE),"-")</f>
        <v>-</v>
      </c>
      <c r="N42" s="1405" t="str">
        <f t="shared" si="0"/>
        <v>-</v>
      </c>
      <c r="P42" s="1406">
        <f>ROUND(IF(L42='S1&amp;2 Lists'!$CV$3,K42,IF(L42='S1&amp;2 Lists'!$CV$4,K42/'S1&amp;2 Lists'!$CQ$6,0)),3)</f>
        <v>0</v>
      </c>
      <c r="Q42" s="10" t="s">
        <v>12</v>
      </c>
    </row>
    <row r="43" spans="1:17" s="652" customFormat="1">
      <c r="A43" s="455"/>
      <c r="B43" s="455"/>
      <c r="C43" s="653"/>
      <c r="D43" s="455"/>
      <c r="E43" s="654"/>
      <c r="F43" s="455"/>
      <c r="G43" s="648"/>
      <c r="H43" s="455"/>
      <c r="I43" s="654"/>
      <c r="J43" s="654"/>
      <c r="K43" s="455"/>
      <c r="L43" s="455"/>
      <c r="M43" s="1405" t="str">
        <f>+IFERROR(VLOOKUP(G43,'S1&amp;2 Lists'!$C$4:$G$200,3,FALSE),"-")</f>
        <v>-</v>
      </c>
      <c r="N43" s="1405" t="str">
        <f t="shared" si="0"/>
        <v>-</v>
      </c>
      <c r="P43" s="1406">
        <f>ROUND(IF(L43='S1&amp;2 Lists'!$CV$3,K43,IF(L43='S1&amp;2 Lists'!$CV$4,K43/'S1&amp;2 Lists'!$CQ$6,0)),3)</f>
        <v>0</v>
      </c>
      <c r="Q43" s="10" t="s">
        <v>12</v>
      </c>
    </row>
    <row r="44" spans="1:17" s="652" customFormat="1">
      <c r="A44" s="455"/>
      <c r="B44" s="455"/>
      <c r="C44" s="653"/>
      <c r="D44" s="455"/>
      <c r="E44" s="654"/>
      <c r="F44" s="455"/>
      <c r="G44" s="648"/>
      <c r="H44" s="455"/>
      <c r="I44" s="654"/>
      <c r="J44" s="654"/>
      <c r="K44" s="455"/>
      <c r="L44" s="455"/>
      <c r="M44" s="1405" t="str">
        <f>+IFERROR(VLOOKUP(G44,'S1&amp;2 Lists'!$C$4:$G$200,3,FALSE),"-")</f>
        <v>-</v>
      </c>
      <c r="N44" s="1405" t="str">
        <f t="shared" si="0"/>
        <v>-</v>
      </c>
      <c r="P44" s="1406">
        <f>ROUND(IF(L44='S1&amp;2 Lists'!$CV$3,K44,IF(L44='S1&amp;2 Lists'!$CV$4,K44/'S1&amp;2 Lists'!$CQ$6,0)),3)</f>
        <v>0</v>
      </c>
      <c r="Q44" s="10" t="s">
        <v>12</v>
      </c>
    </row>
    <row r="45" spans="1:17" s="652" customFormat="1">
      <c r="A45" s="455"/>
      <c r="B45" s="455"/>
      <c r="C45" s="653"/>
      <c r="D45" s="455"/>
      <c r="E45" s="654"/>
      <c r="F45" s="455"/>
      <c r="G45" s="648"/>
      <c r="H45" s="455"/>
      <c r="I45" s="654"/>
      <c r="J45" s="654"/>
      <c r="K45" s="455"/>
      <c r="L45" s="455"/>
      <c r="M45" s="1405" t="str">
        <f>+IFERROR(VLOOKUP(G45,'S1&amp;2 Lists'!$C$4:$G$200,3,FALSE),"-")</f>
        <v>-</v>
      </c>
      <c r="N45" s="1405" t="str">
        <f t="shared" si="0"/>
        <v>-</v>
      </c>
      <c r="P45" s="1406">
        <f>ROUND(IF(L45='S1&amp;2 Lists'!$CV$3,K45,IF(L45='S1&amp;2 Lists'!$CV$4,K45/'S1&amp;2 Lists'!$CQ$6,0)),3)</f>
        <v>0</v>
      </c>
      <c r="Q45" s="10" t="s">
        <v>12</v>
      </c>
    </row>
    <row r="46" spans="1:17" s="652" customFormat="1">
      <c r="A46" s="455"/>
      <c r="B46" s="455"/>
      <c r="C46" s="653"/>
      <c r="D46" s="455"/>
      <c r="E46" s="654"/>
      <c r="F46" s="455"/>
      <c r="G46" s="648"/>
      <c r="H46" s="455"/>
      <c r="I46" s="654"/>
      <c r="J46" s="654"/>
      <c r="K46" s="455"/>
      <c r="L46" s="455"/>
      <c r="M46" s="1405" t="str">
        <f>+IFERROR(VLOOKUP(G46,'S1&amp;2 Lists'!$C$4:$G$200,3,FALSE),"-")</f>
        <v>-</v>
      </c>
      <c r="N46" s="1405" t="str">
        <f t="shared" si="0"/>
        <v>-</v>
      </c>
      <c r="P46" s="1406">
        <f>ROUND(IF(L46='S1&amp;2 Lists'!$CV$3,K46,IF(L46='S1&amp;2 Lists'!$CV$4,K46/'S1&amp;2 Lists'!$CQ$6,0)),3)</f>
        <v>0</v>
      </c>
      <c r="Q46" s="10" t="s">
        <v>12</v>
      </c>
    </row>
    <row r="47" spans="1:17" s="652" customFormat="1">
      <c r="A47" s="455"/>
      <c r="B47" s="455"/>
      <c r="C47" s="653"/>
      <c r="D47" s="455"/>
      <c r="E47" s="654"/>
      <c r="F47" s="455"/>
      <c r="G47" s="648"/>
      <c r="H47" s="455"/>
      <c r="I47" s="654"/>
      <c r="J47" s="455"/>
      <c r="K47" s="455"/>
      <c r="L47" s="455"/>
      <c r="M47" s="1405" t="str">
        <f>+IFERROR(VLOOKUP(G47,'S1&amp;2 Lists'!$C$4:$G$200,3,FALSE),"-")</f>
        <v>-</v>
      </c>
      <c r="N47" s="1405" t="str">
        <f t="shared" si="0"/>
        <v>-</v>
      </c>
      <c r="P47" s="1406">
        <f>ROUND(IF(L47='S1&amp;2 Lists'!$CV$3,K47,IF(L47='S1&amp;2 Lists'!$CV$4,K47/'S1&amp;2 Lists'!$CQ$6,0)),3)</f>
        <v>0</v>
      </c>
      <c r="Q47" s="10" t="s">
        <v>12</v>
      </c>
    </row>
    <row r="48" spans="1:17" s="652" customFormat="1">
      <c r="A48" s="455"/>
      <c r="B48" s="455"/>
      <c r="C48" s="653"/>
      <c r="D48" s="455"/>
      <c r="E48" s="654"/>
      <c r="F48" s="455"/>
      <c r="G48" s="648"/>
      <c r="H48" s="455"/>
      <c r="I48" s="654"/>
      <c r="J48" s="455"/>
      <c r="K48" s="455"/>
      <c r="L48" s="455"/>
      <c r="M48" s="1405" t="str">
        <f>+IFERROR(VLOOKUP(G48,'S1&amp;2 Lists'!$C$4:$G$200,3,FALSE),"-")</f>
        <v>-</v>
      </c>
      <c r="N48" s="1405" t="str">
        <f t="shared" si="0"/>
        <v>-</v>
      </c>
      <c r="P48" s="1406">
        <f>ROUND(IF(L48='S1&amp;2 Lists'!$CV$3,K48,IF(L48='S1&amp;2 Lists'!$CV$4,K48/'S1&amp;2 Lists'!$CQ$6,0)),3)</f>
        <v>0</v>
      </c>
      <c r="Q48" s="10" t="s">
        <v>12</v>
      </c>
    </row>
    <row r="49" spans="1:17" s="652" customFormat="1">
      <c r="A49" s="455"/>
      <c r="B49" s="455"/>
      <c r="C49" s="653"/>
      <c r="D49" s="455"/>
      <c r="E49" s="654"/>
      <c r="F49" s="455"/>
      <c r="G49" s="648"/>
      <c r="H49" s="455"/>
      <c r="I49" s="654"/>
      <c r="J49" s="455"/>
      <c r="K49" s="455"/>
      <c r="L49" s="455"/>
      <c r="M49" s="1405" t="str">
        <f>+IFERROR(VLOOKUP(G49,'S1&amp;2 Lists'!$C$4:$G$200,3,FALSE),"-")</f>
        <v>-</v>
      </c>
      <c r="N49" s="1405" t="str">
        <f t="shared" si="0"/>
        <v>-</v>
      </c>
      <c r="P49" s="1406">
        <f>ROUND(IF(L49='S1&amp;2 Lists'!$CV$3,K49,IF(L49='S1&amp;2 Lists'!$CV$4,K49/'S1&amp;2 Lists'!$CQ$6,0)),3)</f>
        <v>0</v>
      </c>
      <c r="Q49" s="10" t="s">
        <v>12</v>
      </c>
    </row>
    <row r="50" spans="1:17" s="652" customFormat="1">
      <c r="A50" s="455"/>
      <c r="B50" s="455"/>
      <c r="C50" s="653"/>
      <c r="D50" s="455"/>
      <c r="E50" s="654"/>
      <c r="F50" s="455"/>
      <c r="G50" s="648"/>
      <c r="H50" s="455"/>
      <c r="I50" s="654"/>
      <c r="J50" s="455"/>
      <c r="K50" s="455"/>
      <c r="L50" s="455"/>
      <c r="M50" s="1405" t="str">
        <f>+IFERROR(VLOOKUP(G50,'S1&amp;2 Lists'!$C$4:$G$200,3,FALSE),"-")</f>
        <v>-</v>
      </c>
      <c r="N50" s="1405" t="str">
        <f t="shared" si="0"/>
        <v>-</v>
      </c>
      <c r="P50" s="1406">
        <f>ROUND(IF(L50='S1&amp;2 Lists'!$CV$3,K50,IF(L50='S1&amp;2 Lists'!$CV$4,K50/'S1&amp;2 Lists'!$CQ$6,0)),3)</f>
        <v>0</v>
      </c>
      <c r="Q50" s="10" t="s">
        <v>12</v>
      </c>
    </row>
    <row r="51" spans="1:17" s="652" customFormat="1">
      <c r="A51" s="455"/>
      <c r="B51" s="455"/>
      <c r="C51" s="653"/>
      <c r="D51" s="455"/>
      <c r="E51" s="654"/>
      <c r="F51" s="455"/>
      <c r="G51" s="648"/>
      <c r="H51" s="455"/>
      <c r="I51" s="654"/>
      <c r="J51" s="455"/>
      <c r="K51" s="455"/>
      <c r="L51" s="455"/>
      <c r="M51" s="1405" t="str">
        <f>+IFERROR(VLOOKUP(G51,'S1&amp;2 Lists'!$C$4:$G$200,3,FALSE),"-")</f>
        <v>-</v>
      </c>
      <c r="N51" s="1405" t="str">
        <f t="shared" si="0"/>
        <v>-</v>
      </c>
      <c r="P51" s="1406">
        <f>ROUND(IF(L51='S1&amp;2 Lists'!$CV$3,K51,IF(L51='S1&amp;2 Lists'!$CV$4,K51/'S1&amp;2 Lists'!$CQ$6,0)),3)</f>
        <v>0</v>
      </c>
      <c r="Q51" s="10" t="s">
        <v>12</v>
      </c>
    </row>
    <row r="52" spans="1:17" s="652" customFormat="1">
      <c r="A52" s="455"/>
      <c r="B52" s="455"/>
      <c r="C52" s="653"/>
      <c r="D52" s="455"/>
      <c r="E52" s="654"/>
      <c r="F52" s="455"/>
      <c r="G52" s="648"/>
      <c r="H52" s="455"/>
      <c r="I52" s="654"/>
      <c r="J52" s="455"/>
      <c r="K52" s="455"/>
      <c r="L52" s="455"/>
      <c r="M52" s="1405" t="str">
        <f>+IFERROR(VLOOKUP(G52,'S1&amp;2 Lists'!$C$4:$G$200,3,FALSE),"-")</f>
        <v>-</v>
      </c>
      <c r="N52" s="1405" t="str">
        <f t="shared" si="0"/>
        <v>-</v>
      </c>
      <c r="P52" s="1406">
        <f>ROUND(IF(L52='S1&amp;2 Lists'!$CV$3,K52,IF(L52='S1&amp;2 Lists'!$CV$4,K52/'S1&amp;2 Lists'!$CQ$6,0)),3)</f>
        <v>0</v>
      </c>
      <c r="Q52" s="10" t="s">
        <v>12</v>
      </c>
    </row>
    <row r="53" spans="1:17" s="652" customFormat="1">
      <c r="A53" s="455"/>
      <c r="B53" s="455"/>
      <c r="C53" s="653"/>
      <c r="D53" s="455"/>
      <c r="E53" s="654"/>
      <c r="F53" s="455"/>
      <c r="G53" s="648"/>
      <c r="H53" s="455"/>
      <c r="I53" s="654"/>
      <c r="J53" s="455"/>
      <c r="K53" s="455"/>
      <c r="L53" s="455"/>
      <c r="M53" s="1405" t="str">
        <f>+IFERROR(VLOOKUP(G53,'S1&amp;2 Lists'!$C$4:$G$200,3,FALSE),"-")</f>
        <v>-</v>
      </c>
      <c r="N53" s="1405" t="str">
        <f t="shared" si="0"/>
        <v>-</v>
      </c>
      <c r="P53" s="1406">
        <f>ROUND(IF(L53='S1&amp;2 Lists'!$CV$3,K53,IF(L53='S1&amp;2 Lists'!$CV$4,K53/'S1&amp;2 Lists'!$CQ$6,0)),3)</f>
        <v>0</v>
      </c>
      <c r="Q53" s="10" t="s">
        <v>12</v>
      </c>
    </row>
    <row r="54" spans="1:17" s="652" customFormat="1">
      <c r="A54" s="455"/>
      <c r="B54" s="455"/>
      <c r="C54" s="653"/>
      <c r="D54" s="455"/>
      <c r="E54" s="654"/>
      <c r="F54" s="455"/>
      <c r="G54" s="648"/>
      <c r="H54" s="455"/>
      <c r="I54" s="654"/>
      <c r="J54" s="455"/>
      <c r="K54" s="455"/>
      <c r="L54" s="455"/>
      <c r="M54" s="1405" t="str">
        <f>+IFERROR(VLOOKUP(G54,'S1&amp;2 Lists'!$C$4:$G$200,3,FALSE),"-")</f>
        <v>-</v>
      </c>
      <c r="N54" s="1405" t="str">
        <f t="shared" si="0"/>
        <v>-</v>
      </c>
      <c r="P54" s="1406">
        <f>ROUND(IF(L54='S1&amp;2 Lists'!$CV$3,K54,IF(L54='S1&amp;2 Lists'!$CV$4,K54/'S1&amp;2 Lists'!$CQ$6,0)),3)</f>
        <v>0</v>
      </c>
      <c r="Q54" s="10" t="s">
        <v>12</v>
      </c>
    </row>
    <row r="55" spans="1:17" s="652" customFormat="1">
      <c r="A55" s="455"/>
      <c r="B55" s="455"/>
      <c r="C55" s="653"/>
      <c r="D55" s="455"/>
      <c r="E55" s="654"/>
      <c r="F55" s="455"/>
      <c r="G55" s="648"/>
      <c r="H55" s="455"/>
      <c r="I55" s="654"/>
      <c r="J55" s="455"/>
      <c r="K55" s="455"/>
      <c r="L55" s="455"/>
      <c r="M55" s="1405" t="str">
        <f>+IFERROR(VLOOKUP(G55,'S1&amp;2 Lists'!$C$4:$G$200,3,FALSE),"-")</f>
        <v>-</v>
      </c>
      <c r="N55" s="1405" t="str">
        <f t="shared" si="0"/>
        <v>-</v>
      </c>
      <c r="P55" s="1406">
        <f>ROUND(IF(L55='S1&amp;2 Lists'!$CV$3,K55,IF(L55='S1&amp;2 Lists'!$CV$4,K55/'S1&amp;2 Lists'!$CQ$6,0)),3)</f>
        <v>0</v>
      </c>
      <c r="Q55" s="10" t="s">
        <v>12</v>
      </c>
    </row>
    <row r="56" spans="1:17" s="652" customFormat="1">
      <c r="A56" s="455"/>
      <c r="B56" s="455"/>
      <c r="C56" s="653"/>
      <c r="D56" s="455"/>
      <c r="E56" s="654"/>
      <c r="F56" s="455"/>
      <c r="G56" s="648"/>
      <c r="H56" s="455"/>
      <c r="I56" s="654"/>
      <c r="J56" s="455"/>
      <c r="K56" s="455"/>
      <c r="L56" s="455"/>
      <c r="M56" s="1405" t="str">
        <f>+IFERROR(VLOOKUP(G56,'S1&amp;2 Lists'!$C$4:$G$200,3,FALSE),"-")</f>
        <v>-</v>
      </c>
      <c r="N56" s="1405" t="str">
        <f t="shared" si="0"/>
        <v>-</v>
      </c>
      <c r="P56" s="1406">
        <f>ROUND(IF(L56='S1&amp;2 Lists'!$CV$3,K56,IF(L56='S1&amp;2 Lists'!$CV$4,K56/'S1&amp;2 Lists'!$CQ$6,0)),3)</f>
        <v>0</v>
      </c>
      <c r="Q56" s="10" t="s">
        <v>12</v>
      </c>
    </row>
    <row r="57" spans="1:17" s="652" customFormat="1">
      <c r="A57" s="455"/>
      <c r="B57" s="455"/>
      <c r="C57" s="653"/>
      <c r="D57" s="455"/>
      <c r="E57" s="654"/>
      <c r="F57" s="455"/>
      <c r="G57" s="648"/>
      <c r="H57" s="455"/>
      <c r="I57" s="654"/>
      <c r="J57" s="455"/>
      <c r="K57" s="455"/>
      <c r="L57" s="455"/>
      <c r="M57" s="1405" t="str">
        <f>+IFERROR(VLOOKUP(G57,'S1&amp;2 Lists'!$C$4:$G$200,3,FALSE),"-")</f>
        <v>-</v>
      </c>
      <c r="N57" s="1405" t="str">
        <f t="shared" si="0"/>
        <v>-</v>
      </c>
      <c r="P57" s="1406">
        <f>ROUND(IF(L57='S1&amp;2 Lists'!$CV$3,K57,IF(L57='S1&amp;2 Lists'!$CV$4,K57/'S1&amp;2 Lists'!$CQ$6,0)),3)</f>
        <v>0</v>
      </c>
      <c r="Q57" s="10" t="s">
        <v>12</v>
      </c>
    </row>
    <row r="58" spans="1:17" s="652" customFormat="1">
      <c r="A58" s="455"/>
      <c r="B58" s="455"/>
      <c r="C58" s="653"/>
      <c r="D58" s="455"/>
      <c r="E58" s="654"/>
      <c r="F58" s="455"/>
      <c r="G58" s="648"/>
      <c r="H58" s="455"/>
      <c r="I58" s="654"/>
      <c r="J58" s="455"/>
      <c r="K58" s="455"/>
      <c r="L58" s="455"/>
      <c r="M58" s="1405" t="str">
        <f>+IFERROR(VLOOKUP(G58,'S1&amp;2 Lists'!$C$4:$G$200,3,FALSE),"-")</f>
        <v>-</v>
      </c>
      <c r="N58" s="1405" t="str">
        <f t="shared" si="0"/>
        <v>-</v>
      </c>
      <c r="P58" s="1406">
        <f>ROUND(IF(L58='S1&amp;2 Lists'!$CV$3,K58,IF(L58='S1&amp;2 Lists'!$CV$4,K58/'S1&amp;2 Lists'!$CQ$6,0)),3)</f>
        <v>0</v>
      </c>
      <c r="Q58" s="10" t="s">
        <v>12</v>
      </c>
    </row>
    <row r="59" spans="1:17" s="652" customFormat="1">
      <c r="A59" s="455"/>
      <c r="B59" s="455"/>
      <c r="C59" s="653"/>
      <c r="D59" s="455"/>
      <c r="E59" s="654"/>
      <c r="F59" s="455"/>
      <c r="G59" s="648"/>
      <c r="H59" s="455"/>
      <c r="I59" s="654"/>
      <c r="J59" s="455"/>
      <c r="K59" s="455"/>
      <c r="L59" s="455"/>
      <c r="M59" s="1405" t="str">
        <f>+IFERROR(VLOOKUP(G59,'S1&amp;2 Lists'!$C$4:$G$200,3,FALSE),"-")</f>
        <v>-</v>
      </c>
      <c r="N59" s="1405" t="str">
        <f t="shared" si="0"/>
        <v>-</v>
      </c>
      <c r="P59" s="1406">
        <f>ROUND(IF(L59='S1&amp;2 Lists'!$CV$3,K59,IF(L59='S1&amp;2 Lists'!$CV$4,K59/'S1&amp;2 Lists'!$CQ$6,0)),3)</f>
        <v>0</v>
      </c>
      <c r="Q59" s="10" t="s">
        <v>12</v>
      </c>
    </row>
    <row r="60" spans="1:17" s="652" customFormat="1">
      <c r="A60" s="455"/>
      <c r="B60" s="455"/>
      <c r="C60" s="653"/>
      <c r="D60" s="455"/>
      <c r="E60" s="654"/>
      <c r="F60" s="455"/>
      <c r="G60" s="648"/>
      <c r="H60" s="455"/>
      <c r="I60" s="654"/>
      <c r="J60" s="455"/>
      <c r="K60" s="455"/>
      <c r="L60" s="455"/>
      <c r="M60" s="1405" t="str">
        <f>+IFERROR(VLOOKUP(G60,'S1&amp;2 Lists'!$C$4:$G$200,3,FALSE),"-")</f>
        <v>-</v>
      </c>
      <c r="N60" s="1405" t="str">
        <f t="shared" si="0"/>
        <v>-</v>
      </c>
      <c r="P60" s="1406">
        <f>ROUND(IF(L60='S1&amp;2 Lists'!$CV$3,K60,IF(L60='S1&amp;2 Lists'!$CV$4,K60/'S1&amp;2 Lists'!$CQ$6,0)),3)</f>
        <v>0</v>
      </c>
      <c r="Q60" s="10" t="s">
        <v>12</v>
      </c>
    </row>
    <row r="61" spans="1:17" s="652" customFormat="1">
      <c r="A61" s="455"/>
      <c r="B61" s="455"/>
      <c r="C61" s="653"/>
      <c r="D61" s="455"/>
      <c r="E61" s="654"/>
      <c r="F61" s="455"/>
      <c r="G61" s="648"/>
      <c r="H61" s="455"/>
      <c r="I61" s="654"/>
      <c r="J61" s="455"/>
      <c r="K61" s="455"/>
      <c r="L61" s="455"/>
      <c r="M61" s="1405" t="str">
        <f>+IFERROR(VLOOKUP(G61,'S1&amp;2 Lists'!$C$4:$G$200,3,FALSE),"-")</f>
        <v>-</v>
      </c>
      <c r="N61" s="1405" t="str">
        <f t="shared" si="0"/>
        <v>-</v>
      </c>
      <c r="P61" s="1406">
        <f>ROUND(IF(L61='S1&amp;2 Lists'!$CV$3,K61,IF(L61='S1&amp;2 Lists'!$CV$4,K61/'S1&amp;2 Lists'!$CQ$6,0)),3)</f>
        <v>0</v>
      </c>
      <c r="Q61" s="10" t="s">
        <v>12</v>
      </c>
    </row>
    <row r="62" spans="1:17" s="652" customFormat="1">
      <c r="A62" s="455"/>
      <c r="B62" s="455"/>
      <c r="C62" s="653"/>
      <c r="D62" s="455"/>
      <c r="E62" s="654"/>
      <c r="F62" s="455"/>
      <c r="G62" s="648"/>
      <c r="H62" s="455"/>
      <c r="I62" s="654"/>
      <c r="J62" s="455"/>
      <c r="K62" s="455"/>
      <c r="L62" s="455"/>
      <c r="M62" s="1405" t="str">
        <f>+IFERROR(VLOOKUP(G62,'S1&amp;2 Lists'!$C$4:$G$200,3,FALSE),"-")</f>
        <v>-</v>
      </c>
      <c r="N62" s="1405" t="str">
        <f t="shared" si="0"/>
        <v>-</v>
      </c>
      <c r="P62" s="1406">
        <f>ROUND(IF(L62='S1&amp;2 Lists'!$CV$3,K62,IF(L62='S1&amp;2 Lists'!$CV$4,K62/'S1&amp;2 Lists'!$CQ$6,0)),3)</f>
        <v>0</v>
      </c>
      <c r="Q62" s="10" t="s">
        <v>12</v>
      </c>
    </row>
    <row r="63" spans="1:17" s="652" customFormat="1">
      <c r="A63" s="455"/>
      <c r="B63" s="455"/>
      <c r="C63" s="653"/>
      <c r="D63" s="455"/>
      <c r="E63" s="654"/>
      <c r="F63" s="455"/>
      <c r="G63" s="648"/>
      <c r="H63" s="455"/>
      <c r="I63" s="654"/>
      <c r="J63" s="455"/>
      <c r="K63" s="455"/>
      <c r="L63" s="455"/>
      <c r="M63" s="1405" t="str">
        <f>+IFERROR(VLOOKUP(G63,'S1&amp;2 Lists'!$C$4:$G$200,3,FALSE),"-")</f>
        <v>-</v>
      </c>
      <c r="N63" s="1405" t="str">
        <f t="shared" si="0"/>
        <v>-</v>
      </c>
      <c r="P63" s="1406">
        <f>ROUND(IF(L63='S1&amp;2 Lists'!$CV$3,K63,IF(L63='S1&amp;2 Lists'!$CV$4,K63/'S1&amp;2 Lists'!$CQ$6,0)),3)</f>
        <v>0</v>
      </c>
      <c r="Q63" s="10" t="s">
        <v>12</v>
      </c>
    </row>
    <row r="64" spans="1:17" s="652" customFormat="1">
      <c r="A64" s="455"/>
      <c r="B64" s="455"/>
      <c r="C64" s="653"/>
      <c r="D64" s="455"/>
      <c r="E64" s="654"/>
      <c r="F64" s="455"/>
      <c r="G64" s="648"/>
      <c r="H64" s="455"/>
      <c r="I64" s="654"/>
      <c r="J64" s="455"/>
      <c r="K64" s="455"/>
      <c r="L64" s="455"/>
      <c r="M64" s="1405" t="str">
        <f>+IFERROR(VLOOKUP(G64,'S1&amp;2 Lists'!$C$4:$G$200,3,FALSE),"-")</f>
        <v>-</v>
      </c>
      <c r="N64" s="1405" t="str">
        <f t="shared" si="0"/>
        <v>-</v>
      </c>
      <c r="P64" s="1406">
        <f>ROUND(IF(L64='S1&amp;2 Lists'!$CV$3,K64,IF(L64='S1&amp;2 Lists'!$CV$4,K64/'S1&amp;2 Lists'!$CQ$6,0)),3)</f>
        <v>0</v>
      </c>
      <c r="Q64" s="10" t="s">
        <v>12</v>
      </c>
    </row>
    <row r="65" spans="1:17" s="652" customFormat="1">
      <c r="A65" s="455"/>
      <c r="B65" s="455"/>
      <c r="C65" s="653"/>
      <c r="D65" s="455"/>
      <c r="E65" s="654"/>
      <c r="F65" s="455"/>
      <c r="G65" s="648"/>
      <c r="H65" s="455"/>
      <c r="I65" s="654"/>
      <c r="J65" s="455"/>
      <c r="K65" s="455"/>
      <c r="L65" s="455"/>
      <c r="M65" s="1405" t="str">
        <f>+IFERROR(VLOOKUP(G65,'S1&amp;2 Lists'!$C$4:$G$200,3,FALSE),"-")</f>
        <v>-</v>
      </c>
      <c r="N65" s="1405" t="str">
        <f t="shared" si="0"/>
        <v>-</v>
      </c>
      <c r="P65" s="1406">
        <f>ROUND(IF(L65='S1&amp;2 Lists'!$CV$3,K65,IF(L65='S1&amp;2 Lists'!$CV$4,K65/'S1&amp;2 Lists'!$CQ$6,0)),3)</f>
        <v>0</v>
      </c>
      <c r="Q65" s="10" t="s">
        <v>12</v>
      </c>
    </row>
    <row r="66" spans="1:17" s="652" customFormat="1">
      <c r="A66" s="455"/>
      <c r="B66" s="455"/>
      <c r="C66" s="653"/>
      <c r="D66" s="455"/>
      <c r="E66" s="654"/>
      <c r="F66" s="455"/>
      <c r="G66" s="648"/>
      <c r="H66" s="455"/>
      <c r="I66" s="654"/>
      <c r="J66" s="455"/>
      <c r="K66" s="455"/>
      <c r="L66" s="455"/>
      <c r="M66" s="1405" t="str">
        <f>+IFERROR(VLOOKUP(G66,'S1&amp;2 Lists'!$C$4:$G$200,3,FALSE),"-")</f>
        <v>-</v>
      </c>
      <c r="N66" s="1405" t="str">
        <f t="shared" si="0"/>
        <v>-</v>
      </c>
      <c r="P66" s="1406">
        <f>ROUND(IF(L66='S1&amp;2 Lists'!$CV$3,K66,IF(L66='S1&amp;2 Lists'!$CV$4,K66/'S1&amp;2 Lists'!$CQ$6,0)),3)</f>
        <v>0</v>
      </c>
      <c r="Q66" s="10" t="s">
        <v>12</v>
      </c>
    </row>
    <row r="67" spans="1:17" s="652" customFormat="1">
      <c r="A67" s="455"/>
      <c r="B67" s="455"/>
      <c r="C67" s="653"/>
      <c r="D67" s="455"/>
      <c r="E67" s="654"/>
      <c r="F67" s="455"/>
      <c r="G67" s="648"/>
      <c r="H67" s="455"/>
      <c r="I67" s="654"/>
      <c r="J67" s="455"/>
      <c r="K67" s="455"/>
      <c r="L67" s="455"/>
      <c r="M67" s="1405" t="str">
        <f>+IFERROR(VLOOKUP(G67,'S1&amp;2 Lists'!$C$4:$G$200,3,FALSE),"-")</f>
        <v>-</v>
      </c>
      <c r="N67" s="1405" t="str">
        <f t="shared" si="0"/>
        <v>-</v>
      </c>
      <c r="P67" s="1406">
        <f>ROUND(IF(L67='S1&amp;2 Lists'!$CV$3,K67,IF(L67='S1&amp;2 Lists'!$CV$4,K67/'S1&amp;2 Lists'!$CQ$6,0)),3)</f>
        <v>0</v>
      </c>
      <c r="Q67" s="10" t="s">
        <v>12</v>
      </c>
    </row>
    <row r="68" spans="1:17" s="652" customFormat="1">
      <c r="A68" s="455"/>
      <c r="B68" s="455"/>
      <c r="C68" s="653"/>
      <c r="D68" s="455"/>
      <c r="E68" s="654"/>
      <c r="F68" s="455"/>
      <c r="G68" s="648"/>
      <c r="H68" s="455"/>
      <c r="I68" s="654"/>
      <c r="J68" s="455"/>
      <c r="K68" s="455"/>
      <c r="L68" s="455"/>
      <c r="M68" s="1405" t="str">
        <f>+IFERROR(VLOOKUP(G68,'S1&amp;2 Lists'!$C$4:$G$200,3,FALSE),"-")</f>
        <v>-</v>
      </c>
      <c r="N68" s="1405" t="str">
        <f t="shared" si="0"/>
        <v>-</v>
      </c>
      <c r="P68" s="1406">
        <f>ROUND(IF(L68='S1&amp;2 Lists'!$CV$3,K68,IF(L68='S1&amp;2 Lists'!$CV$4,K68/'S1&amp;2 Lists'!$CQ$6,0)),3)</f>
        <v>0</v>
      </c>
      <c r="Q68" s="10" t="s">
        <v>12</v>
      </c>
    </row>
    <row r="69" spans="1:17" s="652" customFormat="1">
      <c r="A69" s="455"/>
      <c r="B69" s="455"/>
      <c r="C69" s="653"/>
      <c r="D69" s="455"/>
      <c r="E69" s="654"/>
      <c r="F69" s="455"/>
      <c r="G69" s="648"/>
      <c r="H69" s="455"/>
      <c r="I69" s="654"/>
      <c r="J69" s="455"/>
      <c r="K69" s="455"/>
      <c r="L69" s="455"/>
      <c r="M69" s="1405" t="str">
        <f>+IFERROR(VLOOKUP(G69,'S1&amp;2 Lists'!$C$4:$G$200,3,FALSE),"-")</f>
        <v>-</v>
      </c>
      <c r="N69" s="1405" t="str">
        <f t="shared" si="0"/>
        <v>-</v>
      </c>
      <c r="P69" s="1406">
        <f>ROUND(IF(L69='S1&amp;2 Lists'!$CV$3,K69,IF(L69='S1&amp;2 Lists'!$CV$4,K69/'S1&amp;2 Lists'!$CQ$6,0)),3)</f>
        <v>0</v>
      </c>
      <c r="Q69" s="10" t="s">
        <v>12</v>
      </c>
    </row>
    <row r="70" spans="1:17" s="652" customFormat="1">
      <c r="A70" s="455"/>
      <c r="B70" s="455"/>
      <c r="C70" s="653"/>
      <c r="D70" s="455"/>
      <c r="E70" s="654"/>
      <c r="F70" s="455"/>
      <c r="G70" s="648"/>
      <c r="H70" s="455"/>
      <c r="I70" s="654"/>
      <c r="J70" s="455"/>
      <c r="K70" s="455"/>
      <c r="L70" s="455"/>
      <c r="M70" s="1405" t="str">
        <f>+IFERROR(VLOOKUP(G70,'S1&amp;2 Lists'!$C$4:$G$200,3,FALSE),"-")</f>
        <v>-</v>
      </c>
      <c r="N70" s="1405" t="str">
        <f t="shared" si="0"/>
        <v>-</v>
      </c>
      <c r="P70" s="1406">
        <f>ROUND(IF(L70='S1&amp;2 Lists'!$CV$3,K70,IF(L70='S1&amp;2 Lists'!$CV$4,K70/'S1&amp;2 Lists'!$CQ$6,0)),3)</f>
        <v>0</v>
      </c>
      <c r="Q70" s="10" t="s">
        <v>12</v>
      </c>
    </row>
    <row r="71" spans="1:17" s="652" customFormat="1">
      <c r="A71" s="455"/>
      <c r="B71" s="455"/>
      <c r="C71" s="653"/>
      <c r="D71" s="455"/>
      <c r="E71" s="654"/>
      <c r="F71" s="455"/>
      <c r="G71" s="648"/>
      <c r="H71" s="455"/>
      <c r="I71" s="654"/>
      <c r="J71" s="455"/>
      <c r="K71" s="455"/>
      <c r="L71" s="455"/>
      <c r="M71" s="1405" t="str">
        <f>+IFERROR(VLOOKUP(G71,'S1&amp;2 Lists'!$C$4:$G$200,3,FALSE),"-")</f>
        <v>-</v>
      </c>
      <c r="N71" s="1405" t="str">
        <f t="shared" si="0"/>
        <v>-</v>
      </c>
      <c r="P71" s="1406">
        <f>ROUND(IF(L71='S1&amp;2 Lists'!$CV$3,K71,IF(L71='S1&amp;2 Lists'!$CV$4,K71/'S1&amp;2 Lists'!$CQ$6,0)),3)</f>
        <v>0</v>
      </c>
      <c r="Q71" s="10" t="s">
        <v>12</v>
      </c>
    </row>
    <row r="72" spans="1:17" s="652" customFormat="1">
      <c r="A72" s="455"/>
      <c r="B72" s="455"/>
      <c r="C72" s="653"/>
      <c r="D72" s="455"/>
      <c r="E72" s="654"/>
      <c r="F72" s="455"/>
      <c r="G72" s="648"/>
      <c r="H72" s="455"/>
      <c r="I72" s="654"/>
      <c r="J72" s="455"/>
      <c r="K72" s="455"/>
      <c r="L72" s="455"/>
      <c r="M72" s="1405" t="str">
        <f>+IFERROR(VLOOKUP(G72,'S1&amp;2 Lists'!$C$4:$G$200,3,FALSE),"-")</f>
        <v>-</v>
      </c>
      <c r="N72" s="1405" t="str">
        <f t="shared" si="0"/>
        <v>-</v>
      </c>
      <c r="P72" s="1406">
        <f>ROUND(IF(L72='S1&amp;2 Lists'!$CV$3,K72,IF(L72='S1&amp;2 Lists'!$CV$4,K72/'S1&amp;2 Lists'!$CQ$6,0)),3)</f>
        <v>0</v>
      </c>
      <c r="Q72" s="10" t="s">
        <v>12</v>
      </c>
    </row>
    <row r="73" spans="1:17" s="652" customFormat="1">
      <c r="A73" s="455"/>
      <c r="B73" s="455"/>
      <c r="C73" s="653"/>
      <c r="D73" s="455"/>
      <c r="E73" s="654"/>
      <c r="F73" s="455"/>
      <c r="G73" s="648"/>
      <c r="H73" s="455"/>
      <c r="I73" s="654"/>
      <c r="J73" s="455"/>
      <c r="K73" s="455"/>
      <c r="L73" s="455"/>
      <c r="M73" s="1405" t="str">
        <f>+IFERROR(VLOOKUP(G73,'S1&amp;2 Lists'!$C$4:$G$200,3,FALSE),"-")</f>
        <v>-</v>
      </c>
      <c r="N73" s="1405" t="str">
        <f t="shared" si="0"/>
        <v>-</v>
      </c>
      <c r="P73" s="1406">
        <f>ROUND(IF(L73='S1&amp;2 Lists'!$CV$3,K73,IF(L73='S1&amp;2 Lists'!$CV$4,K73/'S1&amp;2 Lists'!$CQ$6,0)),3)</f>
        <v>0</v>
      </c>
      <c r="Q73" s="10" t="s">
        <v>12</v>
      </c>
    </row>
    <row r="74" spans="1:17" s="652" customFormat="1">
      <c r="A74" s="455"/>
      <c r="B74" s="455"/>
      <c r="C74" s="653"/>
      <c r="D74" s="455"/>
      <c r="E74" s="654"/>
      <c r="F74" s="455"/>
      <c r="G74" s="648"/>
      <c r="H74" s="455"/>
      <c r="I74" s="654"/>
      <c r="J74" s="455"/>
      <c r="K74" s="455"/>
      <c r="L74" s="455"/>
      <c r="M74" s="1405" t="str">
        <f>+IFERROR(VLOOKUP(G74,'S1&amp;2 Lists'!$C$4:$G$200,3,FALSE),"-")</f>
        <v>-</v>
      </c>
      <c r="N74" s="1405" t="str">
        <f t="shared" si="0"/>
        <v>-</v>
      </c>
      <c r="P74" s="1406">
        <f>ROUND(IF(L74='S1&amp;2 Lists'!$CV$3,K74,IF(L74='S1&amp;2 Lists'!$CV$4,K74/'S1&amp;2 Lists'!$CQ$6,0)),3)</f>
        <v>0</v>
      </c>
      <c r="Q74" s="10" t="s">
        <v>12</v>
      </c>
    </row>
    <row r="75" spans="1:17" s="652" customFormat="1">
      <c r="A75" s="455"/>
      <c r="B75" s="455"/>
      <c r="C75" s="653"/>
      <c r="D75" s="455"/>
      <c r="E75" s="654"/>
      <c r="F75" s="455"/>
      <c r="G75" s="648"/>
      <c r="H75" s="455"/>
      <c r="I75" s="654"/>
      <c r="J75" s="455"/>
      <c r="K75" s="455"/>
      <c r="L75" s="455"/>
      <c r="M75" s="1405" t="str">
        <f>+IFERROR(VLOOKUP(G75,'S1&amp;2 Lists'!$C$4:$G$200,3,FALSE),"-")</f>
        <v>-</v>
      </c>
      <c r="N75" s="1405" t="str">
        <f t="shared" ref="N75:N138" si="1">+IFERROR(P75*M75,"-")</f>
        <v>-</v>
      </c>
      <c r="P75" s="1406">
        <f>ROUND(IF(L75='S1&amp;2 Lists'!$CV$3,K75,IF(L75='S1&amp;2 Lists'!$CV$4,K75/'S1&amp;2 Lists'!$CQ$6,0)),3)</f>
        <v>0</v>
      </c>
      <c r="Q75" s="10" t="s">
        <v>12</v>
      </c>
    </row>
    <row r="76" spans="1:17" s="652" customFormat="1">
      <c r="A76" s="455"/>
      <c r="B76" s="455"/>
      <c r="C76" s="653"/>
      <c r="D76" s="455"/>
      <c r="E76" s="654"/>
      <c r="F76" s="455"/>
      <c r="G76" s="648"/>
      <c r="H76" s="455"/>
      <c r="I76" s="654"/>
      <c r="J76" s="455"/>
      <c r="K76" s="455"/>
      <c r="L76" s="455"/>
      <c r="M76" s="1405" t="str">
        <f>+IFERROR(VLOOKUP(G76,'S1&amp;2 Lists'!$C$4:$G$200,3,FALSE),"-")</f>
        <v>-</v>
      </c>
      <c r="N76" s="1405" t="str">
        <f t="shared" si="1"/>
        <v>-</v>
      </c>
      <c r="P76" s="1406">
        <f>ROUND(IF(L76='S1&amp;2 Lists'!$CV$3,K76,IF(L76='S1&amp;2 Lists'!$CV$4,K76/'S1&amp;2 Lists'!$CQ$6,0)),3)</f>
        <v>0</v>
      </c>
      <c r="Q76" s="10" t="s">
        <v>12</v>
      </c>
    </row>
    <row r="77" spans="1:17" s="652" customFormat="1">
      <c r="A77" s="455"/>
      <c r="B77" s="455"/>
      <c r="C77" s="653"/>
      <c r="D77" s="455"/>
      <c r="E77" s="654"/>
      <c r="F77" s="455"/>
      <c r="G77" s="648"/>
      <c r="H77" s="455"/>
      <c r="I77" s="654"/>
      <c r="J77" s="455"/>
      <c r="K77" s="455"/>
      <c r="L77" s="455"/>
      <c r="M77" s="1405" t="str">
        <f>+IFERROR(VLOOKUP(G77,'S1&amp;2 Lists'!$C$4:$G$200,3,FALSE),"-")</f>
        <v>-</v>
      </c>
      <c r="N77" s="1405" t="str">
        <f t="shared" si="1"/>
        <v>-</v>
      </c>
      <c r="P77" s="1406">
        <f>ROUND(IF(L77='S1&amp;2 Lists'!$CV$3,K77,IF(L77='S1&amp;2 Lists'!$CV$4,K77/'S1&amp;2 Lists'!$CQ$6,0)),3)</f>
        <v>0</v>
      </c>
      <c r="Q77" s="10" t="s">
        <v>12</v>
      </c>
    </row>
    <row r="78" spans="1:17" s="652" customFormat="1">
      <c r="A78" s="455"/>
      <c r="B78" s="455"/>
      <c r="C78" s="653"/>
      <c r="D78" s="455"/>
      <c r="E78" s="654"/>
      <c r="F78" s="455"/>
      <c r="G78" s="648"/>
      <c r="H78" s="455"/>
      <c r="I78" s="654"/>
      <c r="J78" s="455"/>
      <c r="K78" s="455"/>
      <c r="L78" s="455"/>
      <c r="M78" s="1405" t="str">
        <f>+IFERROR(VLOOKUP(G78,'S1&amp;2 Lists'!$C$4:$G$200,3,FALSE),"-")</f>
        <v>-</v>
      </c>
      <c r="N78" s="1405" t="str">
        <f t="shared" si="1"/>
        <v>-</v>
      </c>
      <c r="P78" s="1406">
        <f>ROUND(IF(L78='S1&amp;2 Lists'!$CV$3,K78,IF(L78='S1&amp;2 Lists'!$CV$4,K78/'S1&amp;2 Lists'!$CQ$6,0)),3)</f>
        <v>0</v>
      </c>
      <c r="Q78" s="10" t="s">
        <v>12</v>
      </c>
    </row>
    <row r="79" spans="1:17" s="652" customFormat="1">
      <c r="A79" s="455"/>
      <c r="B79" s="455"/>
      <c r="C79" s="653"/>
      <c r="D79" s="455"/>
      <c r="E79" s="654"/>
      <c r="F79" s="455"/>
      <c r="G79" s="648"/>
      <c r="H79" s="455"/>
      <c r="I79" s="654"/>
      <c r="J79" s="455"/>
      <c r="K79" s="455"/>
      <c r="L79" s="455"/>
      <c r="M79" s="1405" t="str">
        <f>+IFERROR(VLOOKUP(G79,'S1&amp;2 Lists'!$C$4:$G$200,3,FALSE),"-")</f>
        <v>-</v>
      </c>
      <c r="N79" s="1405" t="str">
        <f t="shared" si="1"/>
        <v>-</v>
      </c>
      <c r="P79" s="1406">
        <f>ROUND(IF(L79='S1&amp;2 Lists'!$CV$3,K79,IF(L79='S1&amp;2 Lists'!$CV$4,K79/'S1&amp;2 Lists'!$CQ$6,0)),3)</f>
        <v>0</v>
      </c>
      <c r="Q79" s="10" t="s">
        <v>12</v>
      </c>
    </row>
    <row r="80" spans="1:17" s="652" customFormat="1">
      <c r="A80" s="455"/>
      <c r="B80" s="455"/>
      <c r="C80" s="653"/>
      <c r="D80" s="455"/>
      <c r="E80" s="654"/>
      <c r="F80" s="455"/>
      <c r="G80" s="648"/>
      <c r="H80" s="455"/>
      <c r="I80" s="654"/>
      <c r="J80" s="455"/>
      <c r="K80" s="455"/>
      <c r="L80" s="455"/>
      <c r="M80" s="1405" t="str">
        <f>+IFERROR(VLOOKUP(G80,'S1&amp;2 Lists'!$C$4:$G$200,3,FALSE),"-")</f>
        <v>-</v>
      </c>
      <c r="N80" s="1405" t="str">
        <f t="shared" si="1"/>
        <v>-</v>
      </c>
      <c r="P80" s="1406">
        <f>ROUND(IF(L80='S1&amp;2 Lists'!$CV$3,K80,IF(L80='S1&amp;2 Lists'!$CV$4,K80/'S1&amp;2 Lists'!$CQ$6,0)),3)</f>
        <v>0</v>
      </c>
      <c r="Q80" s="10" t="s">
        <v>12</v>
      </c>
    </row>
    <row r="81" spans="1:17" s="652" customFormat="1">
      <c r="A81" s="455"/>
      <c r="B81" s="455"/>
      <c r="C81" s="653"/>
      <c r="D81" s="455"/>
      <c r="E81" s="654"/>
      <c r="F81" s="455"/>
      <c r="G81" s="648"/>
      <c r="H81" s="455"/>
      <c r="I81" s="654"/>
      <c r="J81" s="455"/>
      <c r="K81" s="455"/>
      <c r="L81" s="455"/>
      <c r="M81" s="1405" t="str">
        <f>+IFERROR(VLOOKUP(G81,'S1&amp;2 Lists'!$C$4:$G$200,3,FALSE),"-")</f>
        <v>-</v>
      </c>
      <c r="N81" s="1405" t="str">
        <f t="shared" si="1"/>
        <v>-</v>
      </c>
      <c r="P81" s="1406">
        <f>ROUND(IF(L81='S1&amp;2 Lists'!$CV$3,K81,IF(L81='S1&amp;2 Lists'!$CV$4,K81/'S1&amp;2 Lists'!$CQ$6,0)),3)</f>
        <v>0</v>
      </c>
      <c r="Q81" s="10" t="s">
        <v>12</v>
      </c>
    </row>
    <row r="82" spans="1:17" s="652" customFormat="1">
      <c r="A82" s="455"/>
      <c r="B82" s="455"/>
      <c r="C82" s="653"/>
      <c r="D82" s="455"/>
      <c r="E82" s="654"/>
      <c r="F82" s="455"/>
      <c r="G82" s="648"/>
      <c r="H82" s="455"/>
      <c r="I82" s="654"/>
      <c r="J82" s="455"/>
      <c r="K82" s="455"/>
      <c r="L82" s="455"/>
      <c r="M82" s="1405" t="str">
        <f>+IFERROR(VLOOKUP(G82,'S1&amp;2 Lists'!$C$4:$G$200,3,FALSE),"-")</f>
        <v>-</v>
      </c>
      <c r="N82" s="1405" t="str">
        <f t="shared" si="1"/>
        <v>-</v>
      </c>
      <c r="P82" s="1406">
        <f>ROUND(IF(L82='S1&amp;2 Lists'!$CV$3,K82,IF(L82='S1&amp;2 Lists'!$CV$4,K82/'S1&amp;2 Lists'!$CQ$6,0)),3)</f>
        <v>0</v>
      </c>
      <c r="Q82" s="10" t="s">
        <v>12</v>
      </c>
    </row>
    <row r="83" spans="1:17" s="652" customFormat="1">
      <c r="A83" s="455"/>
      <c r="B83" s="455"/>
      <c r="C83" s="653"/>
      <c r="D83" s="455"/>
      <c r="E83" s="654"/>
      <c r="F83" s="455"/>
      <c r="G83" s="648"/>
      <c r="H83" s="455"/>
      <c r="I83" s="654"/>
      <c r="J83" s="455"/>
      <c r="K83" s="455"/>
      <c r="L83" s="455"/>
      <c r="M83" s="1405" t="str">
        <f>+IFERROR(VLOOKUP(G83,'S1&amp;2 Lists'!$C$4:$G$200,3,FALSE),"-")</f>
        <v>-</v>
      </c>
      <c r="N83" s="1405" t="str">
        <f t="shared" si="1"/>
        <v>-</v>
      </c>
      <c r="P83" s="1406">
        <f>ROUND(IF(L83='S1&amp;2 Lists'!$CV$3,K83,IF(L83='S1&amp;2 Lists'!$CV$4,K83/'S1&amp;2 Lists'!$CQ$6,0)),3)</f>
        <v>0</v>
      </c>
      <c r="Q83" s="10" t="s">
        <v>12</v>
      </c>
    </row>
    <row r="84" spans="1:17" s="652" customFormat="1">
      <c r="A84" s="455"/>
      <c r="B84" s="455"/>
      <c r="C84" s="653"/>
      <c r="D84" s="455"/>
      <c r="E84" s="654"/>
      <c r="F84" s="455"/>
      <c r="G84" s="648"/>
      <c r="H84" s="455"/>
      <c r="I84" s="654"/>
      <c r="J84" s="455"/>
      <c r="K84" s="455"/>
      <c r="L84" s="455"/>
      <c r="M84" s="1405" t="str">
        <f>+IFERROR(VLOOKUP(G84,'S1&amp;2 Lists'!$C$4:$G$200,3,FALSE),"-")</f>
        <v>-</v>
      </c>
      <c r="N84" s="1405" t="str">
        <f t="shared" si="1"/>
        <v>-</v>
      </c>
      <c r="P84" s="1406">
        <f>ROUND(IF(L84='S1&amp;2 Lists'!$CV$3,K84,IF(L84='S1&amp;2 Lists'!$CV$4,K84/'S1&amp;2 Lists'!$CQ$6,0)),3)</f>
        <v>0</v>
      </c>
      <c r="Q84" s="10" t="s">
        <v>12</v>
      </c>
    </row>
    <row r="85" spans="1:17" s="652" customFormat="1">
      <c r="A85" s="455"/>
      <c r="B85" s="455"/>
      <c r="C85" s="653"/>
      <c r="D85" s="455"/>
      <c r="E85" s="654"/>
      <c r="F85" s="455"/>
      <c r="G85" s="648"/>
      <c r="H85" s="455"/>
      <c r="I85" s="654"/>
      <c r="J85" s="455"/>
      <c r="K85" s="455"/>
      <c r="L85" s="455"/>
      <c r="M85" s="1405" t="str">
        <f>+IFERROR(VLOOKUP(G85,'S1&amp;2 Lists'!$C$4:$G$200,3,FALSE),"-")</f>
        <v>-</v>
      </c>
      <c r="N85" s="1405" t="str">
        <f t="shared" si="1"/>
        <v>-</v>
      </c>
      <c r="P85" s="1406">
        <f>ROUND(IF(L85='S1&amp;2 Lists'!$CV$3,K85,IF(L85='S1&amp;2 Lists'!$CV$4,K85/'S1&amp;2 Lists'!$CQ$6,0)),3)</f>
        <v>0</v>
      </c>
      <c r="Q85" s="10" t="s">
        <v>12</v>
      </c>
    </row>
    <row r="86" spans="1:17" s="652" customFormat="1">
      <c r="A86" s="455"/>
      <c r="B86" s="455"/>
      <c r="C86" s="653"/>
      <c r="D86" s="455"/>
      <c r="E86" s="654"/>
      <c r="F86" s="455"/>
      <c r="G86" s="648"/>
      <c r="H86" s="455"/>
      <c r="I86" s="654"/>
      <c r="J86" s="455"/>
      <c r="K86" s="455"/>
      <c r="L86" s="455"/>
      <c r="M86" s="1405" t="str">
        <f>+IFERROR(VLOOKUP(G86,'S1&amp;2 Lists'!$C$4:$G$200,3,FALSE),"-")</f>
        <v>-</v>
      </c>
      <c r="N86" s="1405" t="str">
        <f t="shared" si="1"/>
        <v>-</v>
      </c>
      <c r="P86" s="1406">
        <f>ROUND(IF(L86='S1&amp;2 Lists'!$CV$3,K86,IF(L86='S1&amp;2 Lists'!$CV$4,K86/'S1&amp;2 Lists'!$CQ$6,0)),3)</f>
        <v>0</v>
      </c>
      <c r="Q86" s="10" t="s">
        <v>12</v>
      </c>
    </row>
    <row r="87" spans="1:17" s="652" customFormat="1">
      <c r="A87" s="455"/>
      <c r="B87" s="455"/>
      <c r="C87" s="653"/>
      <c r="D87" s="455"/>
      <c r="E87" s="654"/>
      <c r="F87" s="455"/>
      <c r="G87" s="648"/>
      <c r="H87" s="455"/>
      <c r="I87" s="654"/>
      <c r="J87" s="455"/>
      <c r="K87" s="455"/>
      <c r="L87" s="455"/>
      <c r="M87" s="1405" t="str">
        <f>+IFERROR(VLOOKUP(G87,'S1&amp;2 Lists'!$C$4:$G$200,3,FALSE),"-")</f>
        <v>-</v>
      </c>
      <c r="N87" s="1405" t="str">
        <f t="shared" si="1"/>
        <v>-</v>
      </c>
      <c r="P87" s="1406">
        <f>ROUND(IF(L87='S1&amp;2 Lists'!$CV$3,K87,IF(L87='S1&amp;2 Lists'!$CV$4,K87/'S1&amp;2 Lists'!$CQ$6,0)),3)</f>
        <v>0</v>
      </c>
      <c r="Q87" s="10" t="s">
        <v>12</v>
      </c>
    </row>
    <row r="88" spans="1:17" s="652" customFormat="1">
      <c r="A88" s="455"/>
      <c r="B88" s="455"/>
      <c r="C88" s="653"/>
      <c r="D88" s="455"/>
      <c r="E88" s="654"/>
      <c r="F88" s="455"/>
      <c r="G88" s="648"/>
      <c r="H88" s="455"/>
      <c r="I88" s="654"/>
      <c r="J88" s="455"/>
      <c r="K88" s="455"/>
      <c r="L88" s="455"/>
      <c r="M88" s="1405" t="str">
        <f>+IFERROR(VLOOKUP(G88,'S1&amp;2 Lists'!$C$4:$G$200,3,FALSE),"-")</f>
        <v>-</v>
      </c>
      <c r="N88" s="1405" t="str">
        <f t="shared" si="1"/>
        <v>-</v>
      </c>
      <c r="P88" s="1406">
        <f>ROUND(IF(L88='S1&amp;2 Lists'!$CV$3,K88,IF(L88='S1&amp;2 Lists'!$CV$4,K88/'S1&amp;2 Lists'!$CQ$6,0)),3)</f>
        <v>0</v>
      </c>
      <c r="Q88" s="10" t="s">
        <v>12</v>
      </c>
    </row>
    <row r="89" spans="1:17" s="652" customFormat="1">
      <c r="A89" s="455"/>
      <c r="B89" s="455"/>
      <c r="C89" s="653"/>
      <c r="D89" s="455"/>
      <c r="E89" s="654"/>
      <c r="F89" s="455"/>
      <c r="G89" s="648"/>
      <c r="H89" s="455"/>
      <c r="I89" s="654"/>
      <c r="J89" s="455"/>
      <c r="K89" s="455"/>
      <c r="L89" s="455"/>
      <c r="M89" s="1405" t="str">
        <f>+IFERROR(VLOOKUP(G89,'S1&amp;2 Lists'!$C$4:$G$200,3,FALSE),"-")</f>
        <v>-</v>
      </c>
      <c r="N89" s="1405" t="str">
        <f t="shared" si="1"/>
        <v>-</v>
      </c>
      <c r="P89" s="1406">
        <f>ROUND(IF(L89='S1&amp;2 Lists'!$CV$3,K89,IF(L89='S1&amp;2 Lists'!$CV$4,K89/'S1&amp;2 Lists'!$CQ$6,0)),3)</f>
        <v>0</v>
      </c>
      <c r="Q89" s="10" t="s">
        <v>12</v>
      </c>
    </row>
    <row r="90" spans="1:17" s="652" customFormat="1">
      <c r="A90" s="455"/>
      <c r="B90" s="455"/>
      <c r="C90" s="653"/>
      <c r="D90" s="455"/>
      <c r="E90" s="654"/>
      <c r="F90" s="455"/>
      <c r="G90" s="648"/>
      <c r="H90" s="455"/>
      <c r="I90" s="654"/>
      <c r="J90" s="455"/>
      <c r="K90" s="455"/>
      <c r="L90" s="455"/>
      <c r="M90" s="1405" t="str">
        <f>+IFERROR(VLOOKUP(G90,'S1&amp;2 Lists'!$C$4:$G$200,3,FALSE),"-")</f>
        <v>-</v>
      </c>
      <c r="N90" s="1405" t="str">
        <f t="shared" si="1"/>
        <v>-</v>
      </c>
      <c r="P90" s="1406">
        <f>ROUND(IF(L90='S1&amp;2 Lists'!$CV$3,K90,IF(L90='S1&amp;2 Lists'!$CV$4,K90/'S1&amp;2 Lists'!$CQ$6,0)),3)</f>
        <v>0</v>
      </c>
      <c r="Q90" s="10" t="s">
        <v>12</v>
      </c>
    </row>
    <row r="91" spans="1:17" s="652" customFormat="1">
      <c r="A91" s="455"/>
      <c r="B91" s="455"/>
      <c r="C91" s="653"/>
      <c r="D91" s="455"/>
      <c r="E91" s="654"/>
      <c r="F91" s="455"/>
      <c r="G91" s="648"/>
      <c r="H91" s="455"/>
      <c r="I91" s="654"/>
      <c r="J91" s="455"/>
      <c r="K91" s="455"/>
      <c r="L91" s="455"/>
      <c r="M91" s="1405" t="str">
        <f>+IFERROR(VLOOKUP(G91,'S1&amp;2 Lists'!$C$4:$G$200,3,FALSE),"-")</f>
        <v>-</v>
      </c>
      <c r="N91" s="1405" t="str">
        <f t="shared" si="1"/>
        <v>-</v>
      </c>
      <c r="P91" s="1406">
        <f>ROUND(IF(L91='S1&amp;2 Lists'!$CV$3,K91,IF(L91='S1&amp;2 Lists'!$CV$4,K91/'S1&amp;2 Lists'!$CQ$6,0)),3)</f>
        <v>0</v>
      </c>
      <c r="Q91" s="10" t="s">
        <v>12</v>
      </c>
    </row>
    <row r="92" spans="1:17" s="652" customFormat="1">
      <c r="A92" s="455"/>
      <c r="B92" s="455"/>
      <c r="C92" s="653"/>
      <c r="D92" s="455"/>
      <c r="E92" s="654"/>
      <c r="F92" s="455"/>
      <c r="G92" s="648"/>
      <c r="H92" s="455"/>
      <c r="I92" s="654"/>
      <c r="J92" s="455"/>
      <c r="K92" s="455"/>
      <c r="L92" s="455"/>
      <c r="M92" s="1405" t="str">
        <f>+IFERROR(VLOOKUP(G92,'S1&amp;2 Lists'!$C$4:$G$200,3,FALSE),"-")</f>
        <v>-</v>
      </c>
      <c r="N92" s="1405" t="str">
        <f t="shared" si="1"/>
        <v>-</v>
      </c>
      <c r="P92" s="1406">
        <f>ROUND(IF(L92='S1&amp;2 Lists'!$CV$3,K92,IF(L92='S1&amp;2 Lists'!$CV$4,K92/'S1&amp;2 Lists'!$CQ$6,0)),3)</f>
        <v>0</v>
      </c>
      <c r="Q92" s="10" t="s">
        <v>12</v>
      </c>
    </row>
    <row r="93" spans="1:17" s="652" customFormat="1">
      <c r="A93" s="455"/>
      <c r="B93" s="455"/>
      <c r="C93" s="653"/>
      <c r="D93" s="455"/>
      <c r="E93" s="654"/>
      <c r="F93" s="455"/>
      <c r="G93" s="648"/>
      <c r="H93" s="455"/>
      <c r="I93" s="654"/>
      <c r="J93" s="455"/>
      <c r="K93" s="455"/>
      <c r="L93" s="455"/>
      <c r="M93" s="1405" t="str">
        <f>+IFERROR(VLOOKUP(G93,'S1&amp;2 Lists'!$C$4:$G$200,3,FALSE),"-")</f>
        <v>-</v>
      </c>
      <c r="N93" s="1405" t="str">
        <f t="shared" si="1"/>
        <v>-</v>
      </c>
      <c r="P93" s="1406">
        <f>ROUND(IF(L93='S1&amp;2 Lists'!$CV$3,K93,IF(L93='S1&amp;2 Lists'!$CV$4,K93/'S1&amp;2 Lists'!$CQ$6,0)),3)</f>
        <v>0</v>
      </c>
      <c r="Q93" s="10" t="s">
        <v>12</v>
      </c>
    </row>
    <row r="94" spans="1:17" s="652" customFormat="1">
      <c r="A94" s="455"/>
      <c r="B94" s="455"/>
      <c r="C94" s="653"/>
      <c r="D94" s="455"/>
      <c r="E94" s="654"/>
      <c r="F94" s="455"/>
      <c r="G94" s="648"/>
      <c r="H94" s="455"/>
      <c r="I94" s="654"/>
      <c r="J94" s="455"/>
      <c r="K94" s="455"/>
      <c r="L94" s="455"/>
      <c r="M94" s="1405" t="str">
        <f>+IFERROR(VLOOKUP(G94,'S1&amp;2 Lists'!$C$4:$G$200,3,FALSE),"-")</f>
        <v>-</v>
      </c>
      <c r="N94" s="1405" t="str">
        <f t="shared" si="1"/>
        <v>-</v>
      </c>
      <c r="P94" s="1406">
        <f>ROUND(IF(L94='S1&amp;2 Lists'!$CV$3,K94,IF(L94='S1&amp;2 Lists'!$CV$4,K94/'S1&amp;2 Lists'!$CQ$6,0)),3)</f>
        <v>0</v>
      </c>
      <c r="Q94" s="10" t="s">
        <v>12</v>
      </c>
    </row>
    <row r="95" spans="1:17" s="652" customFormat="1">
      <c r="A95" s="455"/>
      <c r="B95" s="455"/>
      <c r="C95" s="653"/>
      <c r="D95" s="455"/>
      <c r="E95" s="654"/>
      <c r="F95" s="455"/>
      <c r="G95" s="648"/>
      <c r="H95" s="455"/>
      <c r="I95" s="654"/>
      <c r="J95" s="455"/>
      <c r="K95" s="455"/>
      <c r="L95" s="455"/>
      <c r="M95" s="1405" t="str">
        <f>+IFERROR(VLOOKUP(G95,'S1&amp;2 Lists'!$C$4:$G$200,3,FALSE),"-")</f>
        <v>-</v>
      </c>
      <c r="N95" s="1405" t="str">
        <f t="shared" si="1"/>
        <v>-</v>
      </c>
      <c r="P95" s="1406">
        <f>ROUND(IF(L95='S1&amp;2 Lists'!$CV$3,K95,IF(L95='S1&amp;2 Lists'!$CV$4,K95/'S1&amp;2 Lists'!$CQ$6,0)),3)</f>
        <v>0</v>
      </c>
      <c r="Q95" s="10" t="s">
        <v>12</v>
      </c>
    </row>
    <row r="96" spans="1:17" s="652" customFormat="1">
      <c r="A96" s="455"/>
      <c r="B96" s="455"/>
      <c r="C96" s="653"/>
      <c r="D96" s="455"/>
      <c r="E96" s="654"/>
      <c r="F96" s="455"/>
      <c r="G96" s="648"/>
      <c r="H96" s="455"/>
      <c r="I96" s="654"/>
      <c r="J96" s="455"/>
      <c r="K96" s="455"/>
      <c r="L96" s="455"/>
      <c r="M96" s="1405" t="str">
        <f>+IFERROR(VLOOKUP(G96,'S1&amp;2 Lists'!$C$4:$G$200,3,FALSE),"-")</f>
        <v>-</v>
      </c>
      <c r="N96" s="1405" t="str">
        <f t="shared" si="1"/>
        <v>-</v>
      </c>
      <c r="P96" s="1406">
        <f>ROUND(IF(L96='S1&amp;2 Lists'!$CV$3,K96,IF(L96='S1&amp;2 Lists'!$CV$4,K96/'S1&amp;2 Lists'!$CQ$6,0)),3)</f>
        <v>0</v>
      </c>
      <c r="Q96" s="10" t="s">
        <v>12</v>
      </c>
    </row>
    <row r="97" spans="1:17" s="652" customFormat="1">
      <c r="A97" s="455"/>
      <c r="B97" s="455"/>
      <c r="C97" s="653"/>
      <c r="D97" s="455"/>
      <c r="E97" s="654"/>
      <c r="F97" s="455"/>
      <c r="G97" s="648"/>
      <c r="H97" s="455"/>
      <c r="I97" s="654"/>
      <c r="J97" s="455"/>
      <c r="K97" s="455"/>
      <c r="L97" s="455"/>
      <c r="M97" s="1405" t="str">
        <f>+IFERROR(VLOOKUP(G97,'S1&amp;2 Lists'!$C$4:$G$200,3,FALSE),"-")</f>
        <v>-</v>
      </c>
      <c r="N97" s="1405" t="str">
        <f t="shared" si="1"/>
        <v>-</v>
      </c>
      <c r="P97" s="1406">
        <f>ROUND(IF(L97='S1&amp;2 Lists'!$CV$3,K97,IF(L97='S1&amp;2 Lists'!$CV$4,K97/'S1&amp;2 Lists'!$CQ$6,0)),3)</f>
        <v>0</v>
      </c>
      <c r="Q97" s="10" t="s">
        <v>12</v>
      </c>
    </row>
    <row r="98" spans="1:17" s="652" customFormat="1">
      <c r="A98" s="455"/>
      <c r="B98" s="455"/>
      <c r="C98" s="653"/>
      <c r="D98" s="455"/>
      <c r="E98" s="654"/>
      <c r="F98" s="455"/>
      <c r="G98" s="648"/>
      <c r="H98" s="455"/>
      <c r="I98" s="654"/>
      <c r="J98" s="455"/>
      <c r="K98" s="455"/>
      <c r="L98" s="455"/>
      <c r="M98" s="1405" t="str">
        <f>+IFERROR(VLOOKUP(G98,'S1&amp;2 Lists'!$C$4:$G$200,3,FALSE),"-")</f>
        <v>-</v>
      </c>
      <c r="N98" s="1405" t="str">
        <f t="shared" si="1"/>
        <v>-</v>
      </c>
      <c r="P98" s="1406">
        <f>ROUND(IF(L98='S1&amp;2 Lists'!$CV$3,K98,IF(L98='S1&amp;2 Lists'!$CV$4,K98/'S1&amp;2 Lists'!$CQ$6,0)),3)</f>
        <v>0</v>
      </c>
      <c r="Q98" s="10" t="s">
        <v>12</v>
      </c>
    </row>
    <row r="99" spans="1:17" s="652" customFormat="1">
      <c r="A99" s="455"/>
      <c r="B99" s="455"/>
      <c r="C99" s="653"/>
      <c r="D99" s="455"/>
      <c r="E99" s="654"/>
      <c r="F99" s="455"/>
      <c r="G99" s="648"/>
      <c r="H99" s="455"/>
      <c r="I99" s="654"/>
      <c r="J99" s="455"/>
      <c r="K99" s="455"/>
      <c r="L99" s="455"/>
      <c r="M99" s="1405" t="str">
        <f>+IFERROR(VLOOKUP(G99,'S1&amp;2 Lists'!$C$4:$G$200,3,FALSE),"-")</f>
        <v>-</v>
      </c>
      <c r="N99" s="1405" t="str">
        <f t="shared" si="1"/>
        <v>-</v>
      </c>
      <c r="P99" s="1406">
        <f>ROUND(IF(L99='S1&amp;2 Lists'!$CV$3,K99,IF(L99='S1&amp;2 Lists'!$CV$4,K99/'S1&amp;2 Lists'!$CQ$6,0)),3)</f>
        <v>0</v>
      </c>
      <c r="Q99" s="10" t="s">
        <v>12</v>
      </c>
    </row>
    <row r="100" spans="1:17" s="652" customFormat="1">
      <c r="A100" s="455"/>
      <c r="B100" s="455"/>
      <c r="C100" s="653"/>
      <c r="D100" s="455"/>
      <c r="E100" s="654"/>
      <c r="F100" s="455"/>
      <c r="G100" s="648"/>
      <c r="H100" s="455"/>
      <c r="I100" s="654"/>
      <c r="J100" s="455"/>
      <c r="K100" s="455"/>
      <c r="L100" s="455"/>
      <c r="M100" s="1405" t="str">
        <f>+IFERROR(VLOOKUP(G100,'S1&amp;2 Lists'!$C$4:$G$200,3,FALSE),"-")</f>
        <v>-</v>
      </c>
      <c r="N100" s="1405" t="str">
        <f t="shared" si="1"/>
        <v>-</v>
      </c>
      <c r="P100" s="1406">
        <f>ROUND(IF(L100='S1&amp;2 Lists'!$CV$3,K100,IF(L100='S1&amp;2 Lists'!$CV$4,K100/'S1&amp;2 Lists'!$CQ$6,0)),3)</f>
        <v>0</v>
      </c>
      <c r="Q100" s="10" t="s">
        <v>12</v>
      </c>
    </row>
    <row r="101" spans="1:17" s="652" customFormat="1">
      <c r="A101" s="455"/>
      <c r="B101" s="455"/>
      <c r="C101" s="653"/>
      <c r="D101" s="455"/>
      <c r="E101" s="654"/>
      <c r="F101" s="455"/>
      <c r="G101" s="648"/>
      <c r="H101" s="455"/>
      <c r="I101" s="654"/>
      <c r="J101" s="455"/>
      <c r="K101" s="455"/>
      <c r="L101" s="455"/>
      <c r="M101" s="1405" t="str">
        <f>+IFERROR(VLOOKUP(G101,'S1&amp;2 Lists'!$C$4:$G$200,3,FALSE),"-")</f>
        <v>-</v>
      </c>
      <c r="N101" s="1405" t="str">
        <f t="shared" si="1"/>
        <v>-</v>
      </c>
      <c r="P101" s="1406">
        <f>ROUND(IF(L101='S1&amp;2 Lists'!$CV$3,K101,IF(L101='S1&amp;2 Lists'!$CV$4,K101/'S1&amp;2 Lists'!$CQ$6,0)),3)</f>
        <v>0</v>
      </c>
      <c r="Q101" s="10" t="s">
        <v>12</v>
      </c>
    </row>
    <row r="102" spans="1:17" s="652" customFormat="1">
      <c r="A102" s="455"/>
      <c r="B102" s="455"/>
      <c r="C102" s="653"/>
      <c r="D102" s="455"/>
      <c r="E102" s="654"/>
      <c r="F102" s="455"/>
      <c r="G102" s="648"/>
      <c r="H102" s="455"/>
      <c r="I102" s="654"/>
      <c r="J102" s="455"/>
      <c r="K102" s="455"/>
      <c r="L102" s="455"/>
      <c r="M102" s="1405" t="str">
        <f>+IFERROR(VLOOKUP(G102,'S1&amp;2 Lists'!$C$4:$G$200,3,FALSE),"-")</f>
        <v>-</v>
      </c>
      <c r="N102" s="1405" t="str">
        <f t="shared" si="1"/>
        <v>-</v>
      </c>
      <c r="P102" s="1406">
        <f>ROUND(IF(L102='S1&amp;2 Lists'!$CV$3,K102,IF(L102='S1&amp;2 Lists'!$CV$4,K102/'S1&amp;2 Lists'!$CQ$6,0)),3)</f>
        <v>0</v>
      </c>
      <c r="Q102" s="10" t="s">
        <v>12</v>
      </c>
    </row>
    <row r="103" spans="1:17" s="652" customFormat="1">
      <c r="A103" s="455"/>
      <c r="B103" s="455"/>
      <c r="C103" s="653"/>
      <c r="D103" s="455"/>
      <c r="E103" s="654"/>
      <c r="F103" s="455"/>
      <c r="G103" s="648"/>
      <c r="H103" s="455"/>
      <c r="I103" s="654"/>
      <c r="J103" s="455"/>
      <c r="K103" s="455"/>
      <c r="L103" s="455"/>
      <c r="M103" s="1405" t="str">
        <f>+IFERROR(VLOOKUP(G103,'S1&amp;2 Lists'!$C$4:$G$200,3,FALSE),"-")</f>
        <v>-</v>
      </c>
      <c r="N103" s="1405" t="str">
        <f t="shared" si="1"/>
        <v>-</v>
      </c>
      <c r="P103" s="1406">
        <f>ROUND(IF(L103='S1&amp;2 Lists'!$CV$3,K103,IF(L103='S1&amp;2 Lists'!$CV$4,K103/'S1&amp;2 Lists'!$CQ$6,0)),3)</f>
        <v>0</v>
      </c>
      <c r="Q103" s="10" t="s">
        <v>12</v>
      </c>
    </row>
    <row r="104" spans="1:17" s="652" customFormat="1">
      <c r="A104" s="455"/>
      <c r="B104" s="455"/>
      <c r="C104" s="653"/>
      <c r="D104" s="455"/>
      <c r="E104" s="654"/>
      <c r="F104" s="455"/>
      <c r="G104" s="648"/>
      <c r="H104" s="455"/>
      <c r="I104" s="654"/>
      <c r="J104" s="455"/>
      <c r="K104" s="455"/>
      <c r="L104" s="455"/>
      <c r="M104" s="1405" t="str">
        <f>+IFERROR(VLOOKUP(G104,'S1&amp;2 Lists'!$C$4:$G$200,3,FALSE),"-")</f>
        <v>-</v>
      </c>
      <c r="N104" s="1405" t="str">
        <f t="shared" si="1"/>
        <v>-</v>
      </c>
      <c r="P104" s="1406">
        <f>ROUND(IF(L104='S1&amp;2 Lists'!$CV$3,K104,IF(L104='S1&amp;2 Lists'!$CV$4,K104/'S1&amp;2 Lists'!$CQ$6,0)),3)</f>
        <v>0</v>
      </c>
      <c r="Q104" s="10" t="s">
        <v>12</v>
      </c>
    </row>
    <row r="105" spans="1:17" s="652" customFormat="1">
      <c r="A105" s="455"/>
      <c r="B105" s="455"/>
      <c r="C105" s="653"/>
      <c r="D105" s="455"/>
      <c r="E105" s="654"/>
      <c r="F105" s="455"/>
      <c r="G105" s="648"/>
      <c r="H105" s="455"/>
      <c r="I105" s="654"/>
      <c r="J105" s="455"/>
      <c r="K105" s="455"/>
      <c r="L105" s="455"/>
      <c r="M105" s="1405" t="str">
        <f>+IFERROR(VLOOKUP(G105,'S1&amp;2 Lists'!$C$4:$G$200,3,FALSE),"-")</f>
        <v>-</v>
      </c>
      <c r="N105" s="1405" t="str">
        <f t="shared" si="1"/>
        <v>-</v>
      </c>
      <c r="P105" s="1406">
        <f>ROUND(IF(L105='S1&amp;2 Lists'!$CV$3,K105,IF(L105='S1&amp;2 Lists'!$CV$4,K105/'S1&amp;2 Lists'!$CQ$6,0)),3)</f>
        <v>0</v>
      </c>
      <c r="Q105" s="10" t="s">
        <v>12</v>
      </c>
    </row>
    <row r="106" spans="1:17" s="652" customFormat="1">
      <c r="A106" s="455"/>
      <c r="B106" s="455"/>
      <c r="C106" s="653"/>
      <c r="D106" s="455"/>
      <c r="E106" s="654"/>
      <c r="F106" s="455"/>
      <c r="G106" s="648"/>
      <c r="H106" s="455"/>
      <c r="I106" s="654"/>
      <c r="J106" s="455"/>
      <c r="K106" s="455"/>
      <c r="L106" s="455"/>
      <c r="M106" s="1405" t="str">
        <f>+IFERROR(VLOOKUP(G106,'S1&amp;2 Lists'!$C$4:$G$200,3,FALSE),"-")</f>
        <v>-</v>
      </c>
      <c r="N106" s="1405" t="str">
        <f t="shared" si="1"/>
        <v>-</v>
      </c>
      <c r="P106" s="1406">
        <f>ROUND(IF(L106='S1&amp;2 Lists'!$CV$3,K106,IF(L106='S1&amp;2 Lists'!$CV$4,K106/'S1&amp;2 Lists'!$CQ$6,0)),3)</f>
        <v>0</v>
      </c>
      <c r="Q106" s="10" t="s">
        <v>12</v>
      </c>
    </row>
    <row r="107" spans="1:17" s="652" customFormat="1">
      <c r="A107" s="455"/>
      <c r="B107" s="455"/>
      <c r="C107" s="653"/>
      <c r="D107" s="455"/>
      <c r="E107" s="654"/>
      <c r="F107" s="455"/>
      <c r="G107" s="648"/>
      <c r="H107" s="455"/>
      <c r="I107" s="654"/>
      <c r="J107" s="455"/>
      <c r="K107" s="455"/>
      <c r="L107" s="455"/>
      <c r="M107" s="1405" t="str">
        <f>+IFERROR(VLOOKUP(G107,'S1&amp;2 Lists'!$C$4:$G$200,3,FALSE),"-")</f>
        <v>-</v>
      </c>
      <c r="N107" s="1405" t="str">
        <f t="shared" si="1"/>
        <v>-</v>
      </c>
      <c r="P107" s="1406">
        <f>ROUND(IF(L107='S1&amp;2 Lists'!$CV$3,K107,IF(L107='S1&amp;2 Lists'!$CV$4,K107/'S1&amp;2 Lists'!$CQ$6,0)),3)</f>
        <v>0</v>
      </c>
      <c r="Q107" s="10" t="s">
        <v>12</v>
      </c>
    </row>
    <row r="108" spans="1:17" s="652" customFormat="1">
      <c r="A108" s="455"/>
      <c r="B108" s="455"/>
      <c r="C108" s="653"/>
      <c r="D108" s="455"/>
      <c r="E108" s="654"/>
      <c r="F108" s="455"/>
      <c r="G108" s="648"/>
      <c r="H108" s="455"/>
      <c r="I108" s="654"/>
      <c r="J108" s="455"/>
      <c r="K108" s="455"/>
      <c r="L108" s="455"/>
      <c r="M108" s="1405" t="str">
        <f>+IFERROR(VLOOKUP(G108,'S1&amp;2 Lists'!$C$4:$G$200,3,FALSE),"-")</f>
        <v>-</v>
      </c>
      <c r="N108" s="1405" t="str">
        <f t="shared" si="1"/>
        <v>-</v>
      </c>
      <c r="P108" s="1406">
        <f>ROUND(IF(L108='S1&amp;2 Lists'!$CV$3,K108,IF(L108='S1&amp;2 Lists'!$CV$4,K108/'S1&amp;2 Lists'!$CQ$6,0)),3)</f>
        <v>0</v>
      </c>
      <c r="Q108" s="10" t="s">
        <v>12</v>
      </c>
    </row>
    <row r="109" spans="1:17" s="652" customFormat="1">
      <c r="A109" s="455"/>
      <c r="B109" s="455"/>
      <c r="C109" s="653"/>
      <c r="D109" s="455"/>
      <c r="E109" s="654"/>
      <c r="F109" s="455"/>
      <c r="G109" s="648"/>
      <c r="H109" s="455"/>
      <c r="I109" s="654"/>
      <c r="J109" s="455"/>
      <c r="K109" s="455"/>
      <c r="L109" s="455"/>
      <c r="M109" s="1405" t="str">
        <f>+IFERROR(VLOOKUP(G109,'S1&amp;2 Lists'!$C$4:$G$200,3,FALSE),"-")</f>
        <v>-</v>
      </c>
      <c r="N109" s="1405" t="str">
        <f t="shared" si="1"/>
        <v>-</v>
      </c>
      <c r="P109" s="1406">
        <f>ROUND(IF(L109='S1&amp;2 Lists'!$CV$3,K109,IF(L109='S1&amp;2 Lists'!$CV$4,K109/'S1&amp;2 Lists'!$CQ$6,0)),3)</f>
        <v>0</v>
      </c>
      <c r="Q109" s="10" t="s">
        <v>12</v>
      </c>
    </row>
    <row r="110" spans="1:17" s="652" customFormat="1">
      <c r="A110" s="455"/>
      <c r="B110" s="455"/>
      <c r="C110" s="653"/>
      <c r="D110" s="455"/>
      <c r="E110" s="654"/>
      <c r="F110" s="455"/>
      <c r="G110" s="648"/>
      <c r="H110" s="455"/>
      <c r="I110" s="654"/>
      <c r="J110" s="455"/>
      <c r="K110" s="455"/>
      <c r="L110" s="455"/>
      <c r="M110" s="1405" t="str">
        <f>+IFERROR(VLOOKUP(G110,'S1&amp;2 Lists'!$C$4:$G$200,3,FALSE),"-")</f>
        <v>-</v>
      </c>
      <c r="N110" s="1405" t="str">
        <f t="shared" si="1"/>
        <v>-</v>
      </c>
      <c r="P110" s="1406">
        <f>ROUND(IF(L110='S1&amp;2 Lists'!$CV$3,K110,IF(L110='S1&amp;2 Lists'!$CV$4,K110/'S1&amp;2 Lists'!$CQ$6,0)),3)</f>
        <v>0</v>
      </c>
      <c r="Q110" s="10" t="s">
        <v>12</v>
      </c>
    </row>
    <row r="111" spans="1:17" s="652" customFormat="1">
      <c r="A111" s="455"/>
      <c r="B111" s="455"/>
      <c r="C111" s="653"/>
      <c r="D111" s="455"/>
      <c r="E111" s="654"/>
      <c r="F111" s="455"/>
      <c r="G111" s="648"/>
      <c r="H111" s="455"/>
      <c r="I111" s="654"/>
      <c r="J111" s="455"/>
      <c r="K111" s="455"/>
      <c r="L111" s="455"/>
      <c r="M111" s="1405" t="str">
        <f>+IFERROR(VLOOKUP(G111,'S1&amp;2 Lists'!$C$4:$G$200,3,FALSE),"-")</f>
        <v>-</v>
      </c>
      <c r="N111" s="1405" t="str">
        <f t="shared" si="1"/>
        <v>-</v>
      </c>
      <c r="P111" s="1406">
        <f>ROUND(IF(L111='S1&amp;2 Lists'!$CV$3,K111,IF(L111='S1&amp;2 Lists'!$CV$4,K111/'S1&amp;2 Lists'!$CQ$6,0)),3)</f>
        <v>0</v>
      </c>
      <c r="Q111" s="10" t="s">
        <v>12</v>
      </c>
    </row>
    <row r="112" spans="1:17" s="652" customFormat="1">
      <c r="A112" s="455"/>
      <c r="B112" s="455"/>
      <c r="C112" s="653"/>
      <c r="D112" s="455"/>
      <c r="E112" s="654"/>
      <c r="F112" s="455"/>
      <c r="G112" s="648"/>
      <c r="H112" s="455"/>
      <c r="I112" s="654"/>
      <c r="J112" s="455"/>
      <c r="K112" s="455"/>
      <c r="L112" s="455"/>
      <c r="M112" s="1405" t="str">
        <f>+IFERROR(VLOOKUP(G112,'S1&amp;2 Lists'!$C$4:$G$200,3,FALSE),"-")</f>
        <v>-</v>
      </c>
      <c r="N112" s="1405" t="str">
        <f t="shared" si="1"/>
        <v>-</v>
      </c>
      <c r="P112" s="1406">
        <f>ROUND(IF(L112='S1&amp;2 Lists'!$CV$3,K112,IF(L112='S1&amp;2 Lists'!$CV$4,K112/'S1&amp;2 Lists'!$CQ$6,0)),3)</f>
        <v>0</v>
      </c>
      <c r="Q112" s="10" t="s">
        <v>12</v>
      </c>
    </row>
    <row r="113" spans="1:17" s="652" customFormat="1">
      <c r="A113" s="455"/>
      <c r="B113" s="455"/>
      <c r="C113" s="653"/>
      <c r="D113" s="455"/>
      <c r="E113" s="654"/>
      <c r="F113" s="455"/>
      <c r="G113" s="648"/>
      <c r="H113" s="455"/>
      <c r="I113" s="654"/>
      <c r="J113" s="455"/>
      <c r="K113" s="455"/>
      <c r="L113" s="455"/>
      <c r="M113" s="1405" t="str">
        <f>+IFERROR(VLOOKUP(G113,'S1&amp;2 Lists'!$C$4:$G$200,3,FALSE),"-")</f>
        <v>-</v>
      </c>
      <c r="N113" s="1405" t="str">
        <f t="shared" si="1"/>
        <v>-</v>
      </c>
      <c r="P113" s="1406">
        <f>ROUND(IF(L113='S1&amp;2 Lists'!$CV$3,K113,IF(L113='S1&amp;2 Lists'!$CV$4,K113/'S1&amp;2 Lists'!$CQ$6,0)),3)</f>
        <v>0</v>
      </c>
      <c r="Q113" s="10" t="s">
        <v>12</v>
      </c>
    </row>
    <row r="114" spans="1:17" s="652" customFormat="1">
      <c r="A114" s="455"/>
      <c r="B114" s="455"/>
      <c r="C114" s="653"/>
      <c r="D114" s="455"/>
      <c r="E114" s="654"/>
      <c r="F114" s="455"/>
      <c r="G114" s="648"/>
      <c r="H114" s="455"/>
      <c r="I114" s="654"/>
      <c r="J114" s="455"/>
      <c r="K114" s="455"/>
      <c r="L114" s="455"/>
      <c r="M114" s="1405" t="str">
        <f>+IFERROR(VLOOKUP(G114,'S1&amp;2 Lists'!$C$4:$G$200,3,FALSE),"-")</f>
        <v>-</v>
      </c>
      <c r="N114" s="1405" t="str">
        <f t="shared" si="1"/>
        <v>-</v>
      </c>
      <c r="P114" s="1406">
        <f>ROUND(IF(L114='S1&amp;2 Lists'!$CV$3,K114,IF(L114='S1&amp;2 Lists'!$CV$4,K114/'S1&amp;2 Lists'!$CQ$6,0)),3)</f>
        <v>0</v>
      </c>
      <c r="Q114" s="10" t="s">
        <v>12</v>
      </c>
    </row>
    <row r="115" spans="1:17" s="652" customFormat="1">
      <c r="A115" s="455"/>
      <c r="B115" s="455"/>
      <c r="C115" s="653"/>
      <c r="D115" s="455"/>
      <c r="E115" s="654"/>
      <c r="F115" s="455"/>
      <c r="G115" s="648"/>
      <c r="H115" s="455"/>
      <c r="I115" s="654"/>
      <c r="J115" s="455"/>
      <c r="K115" s="455"/>
      <c r="L115" s="455"/>
      <c r="M115" s="1405" t="str">
        <f>+IFERROR(VLOOKUP(G115,'S1&amp;2 Lists'!$C$4:$G$200,3,FALSE),"-")</f>
        <v>-</v>
      </c>
      <c r="N115" s="1405" t="str">
        <f t="shared" si="1"/>
        <v>-</v>
      </c>
      <c r="P115" s="1406">
        <f>ROUND(IF(L115='S1&amp;2 Lists'!$CV$3,K115,IF(L115='S1&amp;2 Lists'!$CV$4,K115/'S1&amp;2 Lists'!$CQ$6,0)),3)</f>
        <v>0</v>
      </c>
      <c r="Q115" s="10" t="s">
        <v>12</v>
      </c>
    </row>
    <row r="116" spans="1:17" s="652" customFormat="1">
      <c r="A116" s="455"/>
      <c r="B116" s="455"/>
      <c r="C116" s="653"/>
      <c r="D116" s="455"/>
      <c r="E116" s="654"/>
      <c r="F116" s="455"/>
      <c r="G116" s="648"/>
      <c r="H116" s="455"/>
      <c r="I116" s="654"/>
      <c r="J116" s="455"/>
      <c r="K116" s="455"/>
      <c r="L116" s="455"/>
      <c r="M116" s="1405" t="str">
        <f>+IFERROR(VLOOKUP(G116,'S1&amp;2 Lists'!$C$4:$G$200,3,FALSE),"-")</f>
        <v>-</v>
      </c>
      <c r="N116" s="1405" t="str">
        <f t="shared" si="1"/>
        <v>-</v>
      </c>
      <c r="P116" s="1406">
        <f>ROUND(IF(L116='S1&amp;2 Lists'!$CV$3,K116,IF(L116='S1&amp;2 Lists'!$CV$4,K116/'S1&amp;2 Lists'!$CQ$6,0)),3)</f>
        <v>0</v>
      </c>
      <c r="Q116" s="10" t="s">
        <v>12</v>
      </c>
    </row>
    <row r="117" spans="1:17" s="652" customFormat="1">
      <c r="A117" s="455"/>
      <c r="B117" s="455"/>
      <c r="C117" s="653"/>
      <c r="D117" s="455"/>
      <c r="E117" s="654"/>
      <c r="F117" s="455"/>
      <c r="G117" s="648"/>
      <c r="H117" s="455"/>
      <c r="I117" s="654"/>
      <c r="J117" s="455"/>
      <c r="K117" s="455"/>
      <c r="L117" s="455"/>
      <c r="M117" s="1405" t="str">
        <f>+IFERROR(VLOOKUP(G117,'S1&amp;2 Lists'!$C$4:$G$200,3,FALSE),"-")</f>
        <v>-</v>
      </c>
      <c r="N117" s="1405" t="str">
        <f t="shared" si="1"/>
        <v>-</v>
      </c>
      <c r="P117" s="1406">
        <f>ROUND(IF(L117='S1&amp;2 Lists'!$CV$3,K117,IF(L117='S1&amp;2 Lists'!$CV$4,K117/'S1&amp;2 Lists'!$CQ$6,0)),3)</f>
        <v>0</v>
      </c>
      <c r="Q117" s="10" t="s">
        <v>12</v>
      </c>
    </row>
    <row r="118" spans="1:17" s="652" customFormat="1">
      <c r="A118" s="455"/>
      <c r="B118" s="455"/>
      <c r="C118" s="653"/>
      <c r="D118" s="455"/>
      <c r="E118" s="654"/>
      <c r="F118" s="455"/>
      <c r="G118" s="648"/>
      <c r="H118" s="455"/>
      <c r="I118" s="654"/>
      <c r="J118" s="455"/>
      <c r="K118" s="455"/>
      <c r="L118" s="455"/>
      <c r="M118" s="1405" t="str">
        <f>+IFERROR(VLOOKUP(G118,'S1&amp;2 Lists'!$C$4:$G$200,3,FALSE),"-")</f>
        <v>-</v>
      </c>
      <c r="N118" s="1405" t="str">
        <f t="shared" si="1"/>
        <v>-</v>
      </c>
      <c r="P118" s="1406">
        <f>ROUND(IF(L118='S1&amp;2 Lists'!$CV$3,K118,IF(L118='S1&amp;2 Lists'!$CV$4,K118/'S1&amp;2 Lists'!$CQ$6,0)),3)</f>
        <v>0</v>
      </c>
      <c r="Q118" s="10" t="s">
        <v>12</v>
      </c>
    </row>
    <row r="119" spans="1:17" s="652" customFormat="1">
      <c r="A119" s="455"/>
      <c r="B119" s="455"/>
      <c r="C119" s="653"/>
      <c r="D119" s="455"/>
      <c r="E119" s="654"/>
      <c r="F119" s="455"/>
      <c r="G119" s="648"/>
      <c r="H119" s="455"/>
      <c r="I119" s="654"/>
      <c r="J119" s="455"/>
      <c r="K119" s="455"/>
      <c r="L119" s="455"/>
      <c r="M119" s="1405" t="str">
        <f>+IFERROR(VLOOKUP(G119,'S1&amp;2 Lists'!$C$4:$G$200,3,FALSE),"-")</f>
        <v>-</v>
      </c>
      <c r="N119" s="1405" t="str">
        <f t="shared" si="1"/>
        <v>-</v>
      </c>
      <c r="P119" s="1406">
        <f>ROUND(IF(L119='S1&amp;2 Lists'!$CV$3,K119,IF(L119='S1&amp;2 Lists'!$CV$4,K119/'S1&amp;2 Lists'!$CQ$6,0)),3)</f>
        <v>0</v>
      </c>
      <c r="Q119" s="10" t="s">
        <v>12</v>
      </c>
    </row>
    <row r="120" spans="1:17" s="652" customFormat="1">
      <c r="A120" s="455"/>
      <c r="B120" s="455"/>
      <c r="C120" s="653"/>
      <c r="D120" s="455"/>
      <c r="E120" s="654"/>
      <c r="F120" s="455"/>
      <c r="G120" s="648"/>
      <c r="H120" s="455"/>
      <c r="I120" s="654"/>
      <c r="J120" s="455"/>
      <c r="K120" s="455"/>
      <c r="L120" s="455"/>
      <c r="M120" s="1405" t="str">
        <f>+IFERROR(VLOOKUP(G120,'S1&amp;2 Lists'!$C$4:$G$200,3,FALSE),"-")</f>
        <v>-</v>
      </c>
      <c r="N120" s="1405" t="str">
        <f t="shared" si="1"/>
        <v>-</v>
      </c>
      <c r="P120" s="1406">
        <f>ROUND(IF(L120='S1&amp;2 Lists'!$CV$3,K120,IF(L120='S1&amp;2 Lists'!$CV$4,K120/'S1&amp;2 Lists'!$CQ$6,0)),3)</f>
        <v>0</v>
      </c>
      <c r="Q120" s="10" t="s">
        <v>12</v>
      </c>
    </row>
    <row r="121" spans="1:17" s="652" customFormat="1">
      <c r="A121" s="455"/>
      <c r="B121" s="455"/>
      <c r="C121" s="653"/>
      <c r="D121" s="455"/>
      <c r="E121" s="654"/>
      <c r="F121" s="455"/>
      <c r="G121" s="648"/>
      <c r="H121" s="455"/>
      <c r="I121" s="654"/>
      <c r="J121" s="455"/>
      <c r="K121" s="455"/>
      <c r="L121" s="455"/>
      <c r="M121" s="1405" t="str">
        <f>+IFERROR(VLOOKUP(G121,'S1&amp;2 Lists'!$C$4:$G$200,3,FALSE),"-")</f>
        <v>-</v>
      </c>
      <c r="N121" s="1405" t="str">
        <f t="shared" si="1"/>
        <v>-</v>
      </c>
      <c r="P121" s="1406">
        <f>ROUND(IF(L121='S1&amp;2 Lists'!$CV$3,K121,IF(L121='S1&amp;2 Lists'!$CV$4,K121/'S1&amp;2 Lists'!$CQ$6,0)),3)</f>
        <v>0</v>
      </c>
      <c r="Q121" s="10" t="s">
        <v>12</v>
      </c>
    </row>
    <row r="122" spans="1:17" s="652" customFormat="1">
      <c r="A122" s="455"/>
      <c r="B122" s="455"/>
      <c r="C122" s="653"/>
      <c r="D122" s="455"/>
      <c r="E122" s="654"/>
      <c r="F122" s="455"/>
      <c r="G122" s="648"/>
      <c r="H122" s="455"/>
      <c r="I122" s="654"/>
      <c r="J122" s="455"/>
      <c r="K122" s="455"/>
      <c r="L122" s="455"/>
      <c r="M122" s="1405" t="str">
        <f>+IFERROR(VLOOKUP(G122,'S1&amp;2 Lists'!$C$4:$G$200,3,FALSE),"-")</f>
        <v>-</v>
      </c>
      <c r="N122" s="1405" t="str">
        <f t="shared" si="1"/>
        <v>-</v>
      </c>
      <c r="P122" s="1406">
        <f>ROUND(IF(L122='S1&amp;2 Lists'!$CV$3,K122,IF(L122='S1&amp;2 Lists'!$CV$4,K122/'S1&amp;2 Lists'!$CQ$6,0)),3)</f>
        <v>0</v>
      </c>
      <c r="Q122" s="10" t="s">
        <v>12</v>
      </c>
    </row>
    <row r="123" spans="1:17" s="652" customFormat="1">
      <c r="A123" s="455"/>
      <c r="B123" s="455"/>
      <c r="C123" s="653"/>
      <c r="D123" s="455"/>
      <c r="E123" s="654"/>
      <c r="F123" s="455"/>
      <c r="G123" s="648"/>
      <c r="H123" s="455"/>
      <c r="I123" s="654"/>
      <c r="J123" s="455"/>
      <c r="K123" s="455"/>
      <c r="L123" s="455"/>
      <c r="M123" s="1405" t="str">
        <f>+IFERROR(VLOOKUP(G123,'S1&amp;2 Lists'!$C$4:$G$200,3,FALSE),"-")</f>
        <v>-</v>
      </c>
      <c r="N123" s="1405" t="str">
        <f t="shared" si="1"/>
        <v>-</v>
      </c>
      <c r="P123" s="1406">
        <f>ROUND(IF(L123='S1&amp;2 Lists'!$CV$3,K123,IF(L123='S1&amp;2 Lists'!$CV$4,K123/'S1&amp;2 Lists'!$CQ$6,0)),3)</f>
        <v>0</v>
      </c>
      <c r="Q123" s="10" t="s">
        <v>12</v>
      </c>
    </row>
    <row r="124" spans="1:17" s="652" customFormat="1">
      <c r="A124" s="455"/>
      <c r="B124" s="455"/>
      <c r="C124" s="653"/>
      <c r="D124" s="455"/>
      <c r="E124" s="654"/>
      <c r="F124" s="455"/>
      <c r="G124" s="648"/>
      <c r="H124" s="455"/>
      <c r="I124" s="654"/>
      <c r="J124" s="455"/>
      <c r="K124" s="455"/>
      <c r="L124" s="455"/>
      <c r="M124" s="1405" t="str">
        <f>+IFERROR(VLOOKUP(G124,'S1&amp;2 Lists'!$C$4:$G$200,3,FALSE),"-")</f>
        <v>-</v>
      </c>
      <c r="N124" s="1405" t="str">
        <f t="shared" si="1"/>
        <v>-</v>
      </c>
      <c r="P124" s="1406">
        <f>ROUND(IF(L124='S1&amp;2 Lists'!$CV$3,K124,IF(L124='S1&amp;2 Lists'!$CV$4,K124/'S1&amp;2 Lists'!$CQ$6,0)),3)</f>
        <v>0</v>
      </c>
      <c r="Q124" s="10" t="s">
        <v>12</v>
      </c>
    </row>
    <row r="125" spans="1:17" s="652" customFormat="1">
      <c r="A125" s="455"/>
      <c r="B125" s="455"/>
      <c r="C125" s="653"/>
      <c r="D125" s="455"/>
      <c r="E125" s="654"/>
      <c r="F125" s="455"/>
      <c r="G125" s="648"/>
      <c r="H125" s="455"/>
      <c r="I125" s="654"/>
      <c r="J125" s="455"/>
      <c r="K125" s="455"/>
      <c r="L125" s="455"/>
      <c r="M125" s="1405" t="str">
        <f>+IFERROR(VLOOKUP(G125,'S1&amp;2 Lists'!$C$4:$G$200,3,FALSE),"-")</f>
        <v>-</v>
      </c>
      <c r="N125" s="1405" t="str">
        <f t="shared" si="1"/>
        <v>-</v>
      </c>
      <c r="P125" s="1406">
        <f>ROUND(IF(L125='S1&amp;2 Lists'!$CV$3,K125,IF(L125='S1&amp;2 Lists'!$CV$4,K125/'S1&amp;2 Lists'!$CQ$6,0)),3)</f>
        <v>0</v>
      </c>
      <c r="Q125" s="10" t="s">
        <v>12</v>
      </c>
    </row>
    <row r="126" spans="1:17" s="652" customFormat="1">
      <c r="A126" s="455"/>
      <c r="B126" s="455"/>
      <c r="C126" s="653"/>
      <c r="D126" s="455"/>
      <c r="E126" s="654"/>
      <c r="F126" s="455"/>
      <c r="G126" s="648"/>
      <c r="H126" s="455"/>
      <c r="I126" s="654"/>
      <c r="J126" s="455"/>
      <c r="K126" s="455"/>
      <c r="L126" s="455"/>
      <c r="M126" s="1405" t="str">
        <f>+IFERROR(VLOOKUP(G126,'S1&amp;2 Lists'!$C$4:$G$200,3,FALSE),"-")</f>
        <v>-</v>
      </c>
      <c r="N126" s="1405" t="str">
        <f t="shared" si="1"/>
        <v>-</v>
      </c>
      <c r="P126" s="1406">
        <f>ROUND(IF(L126='S1&amp;2 Lists'!$CV$3,K126,IF(L126='S1&amp;2 Lists'!$CV$4,K126/'S1&amp;2 Lists'!$CQ$6,0)),3)</f>
        <v>0</v>
      </c>
      <c r="Q126" s="10" t="s">
        <v>12</v>
      </c>
    </row>
    <row r="127" spans="1:17" s="652" customFormat="1">
      <c r="A127" s="455"/>
      <c r="B127" s="455"/>
      <c r="C127" s="653"/>
      <c r="D127" s="455"/>
      <c r="E127" s="654"/>
      <c r="F127" s="455"/>
      <c r="G127" s="648"/>
      <c r="H127" s="455"/>
      <c r="I127" s="654"/>
      <c r="J127" s="455"/>
      <c r="K127" s="455"/>
      <c r="L127" s="455"/>
      <c r="M127" s="1405" t="str">
        <f>+IFERROR(VLOOKUP(G127,'S1&amp;2 Lists'!$C$4:$G$200,3,FALSE),"-")</f>
        <v>-</v>
      </c>
      <c r="N127" s="1405" t="str">
        <f t="shared" si="1"/>
        <v>-</v>
      </c>
      <c r="P127" s="1406">
        <f>ROUND(IF(L127='S1&amp;2 Lists'!$CV$3,K127,IF(L127='S1&amp;2 Lists'!$CV$4,K127/'S1&amp;2 Lists'!$CQ$6,0)),3)</f>
        <v>0</v>
      </c>
      <c r="Q127" s="10" t="s">
        <v>12</v>
      </c>
    </row>
    <row r="128" spans="1:17" s="652" customFormat="1">
      <c r="A128" s="455"/>
      <c r="B128" s="455"/>
      <c r="C128" s="653"/>
      <c r="D128" s="455"/>
      <c r="E128" s="654"/>
      <c r="F128" s="455"/>
      <c r="G128" s="648"/>
      <c r="H128" s="455"/>
      <c r="I128" s="654"/>
      <c r="J128" s="455"/>
      <c r="K128" s="455"/>
      <c r="L128" s="455"/>
      <c r="M128" s="1405" t="str">
        <f>+IFERROR(VLOOKUP(G128,'S1&amp;2 Lists'!$C$4:$G$200,3,FALSE),"-")</f>
        <v>-</v>
      </c>
      <c r="N128" s="1405" t="str">
        <f t="shared" si="1"/>
        <v>-</v>
      </c>
      <c r="P128" s="1406">
        <f>ROUND(IF(L128='S1&amp;2 Lists'!$CV$3,K128,IF(L128='S1&amp;2 Lists'!$CV$4,K128/'S1&amp;2 Lists'!$CQ$6,0)),3)</f>
        <v>0</v>
      </c>
      <c r="Q128" s="10" t="s">
        <v>12</v>
      </c>
    </row>
    <row r="129" spans="1:17" s="652" customFormat="1">
      <c r="A129" s="455"/>
      <c r="B129" s="455"/>
      <c r="C129" s="653"/>
      <c r="D129" s="455"/>
      <c r="E129" s="654"/>
      <c r="F129" s="455"/>
      <c r="G129" s="648"/>
      <c r="H129" s="455"/>
      <c r="I129" s="654"/>
      <c r="J129" s="455"/>
      <c r="K129" s="455"/>
      <c r="L129" s="455"/>
      <c r="M129" s="1405" t="str">
        <f>+IFERROR(VLOOKUP(G129,'S1&amp;2 Lists'!$C$4:$G$200,3,FALSE),"-")</f>
        <v>-</v>
      </c>
      <c r="N129" s="1405" t="str">
        <f t="shared" si="1"/>
        <v>-</v>
      </c>
      <c r="P129" s="1406">
        <f>ROUND(IF(L129='S1&amp;2 Lists'!$CV$3,K129,IF(L129='S1&amp;2 Lists'!$CV$4,K129/'S1&amp;2 Lists'!$CQ$6,0)),3)</f>
        <v>0</v>
      </c>
      <c r="Q129" s="10" t="s">
        <v>12</v>
      </c>
    </row>
    <row r="130" spans="1:17" s="652" customFormat="1">
      <c r="A130" s="455"/>
      <c r="B130" s="455"/>
      <c r="C130" s="653"/>
      <c r="D130" s="455"/>
      <c r="E130" s="654"/>
      <c r="F130" s="455"/>
      <c r="G130" s="648"/>
      <c r="H130" s="455"/>
      <c r="I130" s="654"/>
      <c r="J130" s="455"/>
      <c r="K130" s="455"/>
      <c r="L130" s="455"/>
      <c r="M130" s="1405" t="str">
        <f>+IFERROR(VLOOKUP(G130,'S1&amp;2 Lists'!$C$4:$G$200,3,FALSE),"-")</f>
        <v>-</v>
      </c>
      <c r="N130" s="1405" t="str">
        <f t="shared" si="1"/>
        <v>-</v>
      </c>
      <c r="P130" s="1406">
        <f>ROUND(IF(L130='S1&amp;2 Lists'!$CV$3,K130,IF(L130='S1&amp;2 Lists'!$CV$4,K130/'S1&amp;2 Lists'!$CQ$6,0)),3)</f>
        <v>0</v>
      </c>
      <c r="Q130" s="10" t="s">
        <v>12</v>
      </c>
    </row>
    <row r="131" spans="1:17" s="652" customFormat="1">
      <c r="A131" s="455"/>
      <c r="B131" s="455"/>
      <c r="C131" s="653"/>
      <c r="D131" s="455"/>
      <c r="E131" s="654"/>
      <c r="F131" s="455"/>
      <c r="G131" s="648"/>
      <c r="H131" s="455"/>
      <c r="I131" s="654"/>
      <c r="J131" s="455"/>
      <c r="K131" s="455"/>
      <c r="L131" s="455"/>
      <c r="M131" s="1405" t="str">
        <f>+IFERROR(VLOOKUP(G131,'S1&amp;2 Lists'!$C$4:$G$200,3,FALSE),"-")</f>
        <v>-</v>
      </c>
      <c r="N131" s="1405" t="str">
        <f t="shared" si="1"/>
        <v>-</v>
      </c>
      <c r="P131" s="1406">
        <f>ROUND(IF(L131='S1&amp;2 Lists'!$CV$3,K131,IF(L131='S1&amp;2 Lists'!$CV$4,K131/'S1&amp;2 Lists'!$CQ$6,0)),3)</f>
        <v>0</v>
      </c>
      <c r="Q131" s="10" t="s">
        <v>12</v>
      </c>
    </row>
    <row r="132" spans="1:17" s="652" customFormat="1">
      <c r="A132" s="455"/>
      <c r="B132" s="455"/>
      <c r="C132" s="653"/>
      <c r="D132" s="455"/>
      <c r="E132" s="654"/>
      <c r="F132" s="455"/>
      <c r="G132" s="648"/>
      <c r="H132" s="455"/>
      <c r="I132" s="654"/>
      <c r="J132" s="455"/>
      <c r="K132" s="455"/>
      <c r="L132" s="455"/>
      <c r="M132" s="1405" t="str">
        <f>+IFERROR(VLOOKUP(G132,'S1&amp;2 Lists'!$C$4:$G$200,3,FALSE),"-")</f>
        <v>-</v>
      </c>
      <c r="N132" s="1405" t="str">
        <f t="shared" si="1"/>
        <v>-</v>
      </c>
      <c r="P132" s="1406">
        <f>ROUND(IF(L132='S1&amp;2 Lists'!$CV$3,K132,IF(L132='S1&amp;2 Lists'!$CV$4,K132/'S1&amp;2 Lists'!$CQ$6,0)),3)</f>
        <v>0</v>
      </c>
      <c r="Q132" s="10" t="s">
        <v>12</v>
      </c>
    </row>
    <row r="133" spans="1:17" s="652" customFormat="1">
      <c r="A133" s="455"/>
      <c r="B133" s="455"/>
      <c r="C133" s="653"/>
      <c r="D133" s="455"/>
      <c r="E133" s="654"/>
      <c r="F133" s="455"/>
      <c r="G133" s="648"/>
      <c r="H133" s="455"/>
      <c r="I133" s="654"/>
      <c r="J133" s="455"/>
      <c r="K133" s="455"/>
      <c r="L133" s="455"/>
      <c r="M133" s="1405" t="str">
        <f>+IFERROR(VLOOKUP(G133,'S1&amp;2 Lists'!$C$4:$G$200,3,FALSE),"-")</f>
        <v>-</v>
      </c>
      <c r="N133" s="1405" t="str">
        <f t="shared" si="1"/>
        <v>-</v>
      </c>
      <c r="P133" s="1406">
        <f>ROUND(IF(L133='S1&amp;2 Lists'!$CV$3,K133,IF(L133='S1&amp;2 Lists'!$CV$4,K133/'S1&amp;2 Lists'!$CQ$6,0)),3)</f>
        <v>0</v>
      </c>
      <c r="Q133" s="10" t="s">
        <v>12</v>
      </c>
    </row>
    <row r="134" spans="1:17" s="652" customFormat="1">
      <c r="A134" s="455"/>
      <c r="B134" s="455"/>
      <c r="C134" s="653"/>
      <c r="D134" s="455"/>
      <c r="E134" s="654"/>
      <c r="F134" s="455"/>
      <c r="G134" s="648"/>
      <c r="H134" s="455"/>
      <c r="I134" s="654"/>
      <c r="J134" s="455"/>
      <c r="K134" s="455"/>
      <c r="L134" s="455"/>
      <c r="M134" s="1405" t="str">
        <f>+IFERROR(VLOOKUP(G134,'S1&amp;2 Lists'!$C$4:$G$200,3,FALSE),"-")</f>
        <v>-</v>
      </c>
      <c r="N134" s="1405" t="str">
        <f t="shared" si="1"/>
        <v>-</v>
      </c>
      <c r="P134" s="1406">
        <f>ROUND(IF(L134='S1&amp;2 Lists'!$CV$3,K134,IF(L134='S1&amp;2 Lists'!$CV$4,K134/'S1&amp;2 Lists'!$CQ$6,0)),3)</f>
        <v>0</v>
      </c>
      <c r="Q134" s="10" t="s">
        <v>12</v>
      </c>
    </row>
    <row r="135" spans="1:17" s="652" customFormat="1">
      <c r="A135" s="455"/>
      <c r="B135" s="455"/>
      <c r="C135" s="653"/>
      <c r="D135" s="455"/>
      <c r="E135" s="654"/>
      <c r="F135" s="455"/>
      <c r="G135" s="648"/>
      <c r="H135" s="455"/>
      <c r="I135" s="654"/>
      <c r="J135" s="455"/>
      <c r="K135" s="455"/>
      <c r="L135" s="455"/>
      <c r="M135" s="1405" t="str">
        <f>+IFERROR(VLOOKUP(G135,'S1&amp;2 Lists'!$C$4:$G$200,3,FALSE),"-")</f>
        <v>-</v>
      </c>
      <c r="N135" s="1405" t="str">
        <f t="shared" si="1"/>
        <v>-</v>
      </c>
      <c r="P135" s="1406">
        <f>ROUND(IF(L135='S1&amp;2 Lists'!$CV$3,K135,IF(L135='S1&amp;2 Lists'!$CV$4,K135/'S1&amp;2 Lists'!$CQ$6,0)),3)</f>
        <v>0</v>
      </c>
      <c r="Q135" s="10" t="s">
        <v>12</v>
      </c>
    </row>
    <row r="136" spans="1:17" s="652" customFormat="1">
      <c r="A136" s="455"/>
      <c r="B136" s="455"/>
      <c r="C136" s="653"/>
      <c r="D136" s="455"/>
      <c r="E136" s="654"/>
      <c r="F136" s="455"/>
      <c r="G136" s="648"/>
      <c r="H136" s="455"/>
      <c r="I136" s="654"/>
      <c r="J136" s="455"/>
      <c r="K136" s="455"/>
      <c r="L136" s="455"/>
      <c r="M136" s="1405" t="str">
        <f>+IFERROR(VLOOKUP(G136,'S1&amp;2 Lists'!$C$4:$G$200,3,FALSE),"-")</f>
        <v>-</v>
      </c>
      <c r="N136" s="1405" t="str">
        <f t="shared" si="1"/>
        <v>-</v>
      </c>
      <c r="P136" s="1406">
        <f>ROUND(IF(L136='S1&amp;2 Lists'!$CV$3,K136,IF(L136='S1&amp;2 Lists'!$CV$4,K136/'S1&amp;2 Lists'!$CQ$6,0)),3)</f>
        <v>0</v>
      </c>
      <c r="Q136" s="10" t="s">
        <v>12</v>
      </c>
    </row>
    <row r="137" spans="1:17" s="652" customFormat="1">
      <c r="A137" s="455"/>
      <c r="B137" s="455"/>
      <c r="C137" s="653"/>
      <c r="D137" s="455"/>
      <c r="E137" s="654"/>
      <c r="F137" s="455"/>
      <c r="G137" s="648"/>
      <c r="H137" s="455"/>
      <c r="I137" s="654"/>
      <c r="J137" s="455"/>
      <c r="K137" s="455"/>
      <c r="L137" s="455"/>
      <c r="M137" s="1405" t="str">
        <f>+IFERROR(VLOOKUP(G137,'S1&amp;2 Lists'!$C$4:$G$200,3,FALSE),"-")</f>
        <v>-</v>
      </c>
      <c r="N137" s="1405" t="str">
        <f t="shared" si="1"/>
        <v>-</v>
      </c>
      <c r="P137" s="1406">
        <f>ROUND(IF(L137='S1&amp;2 Lists'!$CV$3,K137,IF(L137='S1&amp;2 Lists'!$CV$4,K137/'S1&amp;2 Lists'!$CQ$6,0)),3)</f>
        <v>0</v>
      </c>
      <c r="Q137" s="10" t="s">
        <v>12</v>
      </c>
    </row>
    <row r="138" spans="1:17" s="652" customFormat="1">
      <c r="A138" s="455"/>
      <c r="B138" s="455"/>
      <c r="C138" s="653"/>
      <c r="D138" s="455"/>
      <c r="E138" s="654"/>
      <c r="F138" s="455"/>
      <c r="G138" s="648"/>
      <c r="H138" s="455"/>
      <c r="I138" s="654"/>
      <c r="J138" s="455"/>
      <c r="K138" s="455"/>
      <c r="L138" s="455"/>
      <c r="M138" s="1405" t="str">
        <f>+IFERROR(VLOOKUP(G138,'S1&amp;2 Lists'!$C$4:$G$200,3,FALSE),"-")</f>
        <v>-</v>
      </c>
      <c r="N138" s="1405" t="str">
        <f t="shared" si="1"/>
        <v>-</v>
      </c>
      <c r="P138" s="1406">
        <f>ROUND(IF(L138='S1&amp;2 Lists'!$CV$3,K138,IF(L138='S1&amp;2 Lists'!$CV$4,K138/'S1&amp;2 Lists'!$CQ$6,0)),3)</f>
        <v>0</v>
      </c>
      <c r="Q138" s="10" t="s">
        <v>12</v>
      </c>
    </row>
    <row r="139" spans="1:17" s="652" customFormat="1">
      <c r="A139" s="455"/>
      <c r="B139" s="455"/>
      <c r="C139" s="653"/>
      <c r="D139" s="455"/>
      <c r="E139" s="654"/>
      <c r="F139" s="455"/>
      <c r="G139" s="648"/>
      <c r="H139" s="455"/>
      <c r="I139" s="654"/>
      <c r="J139" s="455"/>
      <c r="K139" s="455"/>
      <c r="L139" s="455"/>
      <c r="M139" s="1405" t="str">
        <f>+IFERROR(VLOOKUP(G139,'S1&amp;2 Lists'!$C$4:$G$200,3,FALSE),"-")</f>
        <v>-</v>
      </c>
      <c r="N139" s="1405" t="str">
        <f t="shared" ref="N139:N202" si="2">+IFERROR(P139*M139,"-")</f>
        <v>-</v>
      </c>
      <c r="P139" s="1406">
        <f>ROUND(IF(L139='S1&amp;2 Lists'!$CV$3,K139,IF(L139='S1&amp;2 Lists'!$CV$4,K139/'S1&amp;2 Lists'!$CQ$6,0)),3)</f>
        <v>0</v>
      </c>
      <c r="Q139" s="10" t="s">
        <v>12</v>
      </c>
    </row>
    <row r="140" spans="1:17" s="652" customFormat="1">
      <c r="A140" s="455"/>
      <c r="B140" s="455"/>
      <c r="C140" s="653"/>
      <c r="D140" s="455"/>
      <c r="E140" s="654"/>
      <c r="F140" s="455"/>
      <c r="G140" s="648"/>
      <c r="H140" s="455"/>
      <c r="I140" s="654"/>
      <c r="J140" s="455"/>
      <c r="K140" s="455"/>
      <c r="L140" s="455"/>
      <c r="M140" s="1405" t="str">
        <f>+IFERROR(VLOOKUP(G140,'S1&amp;2 Lists'!$C$4:$G$200,3,FALSE),"-")</f>
        <v>-</v>
      </c>
      <c r="N140" s="1405" t="str">
        <f t="shared" si="2"/>
        <v>-</v>
      </c>
      <c r="P140" s="1406">
        <f>ROUND(IF(L140='S1&amp;2 Lists'!$CV$3,K140,IF(L140='S1&amp;2 Lists'!$CV$4,K140/'S1&amp;2 Lists'!$CQ$6,0)),3)</f>
        <v>0</v>
      </c>
      <c r="Q140" s="10" t="s">
        <v>12</v>
      </c>
    </row>
    <row r="141" spans="1:17" s="652" customFormat="1">
      <c r="A141" s="455"/>
      <c r="B141" s="455"/>
      <c r="C141" s="653"/>
      <c r="D141" s="455"/>
      <c r="E141" s="654"/>
      <c r="F141" s="455"/>
      <c r="G141" s="648"/>
      <c r="H141" s="455"/>
      <c r="I141" s="654"/>
      <c r="J141" s="455"/>
      <c r="K141" s="455"/>
      <c r="L141" s="455"/>
      <c r="M141" s="1405" t="str">
        <f>+IFERROR(VLOOKUP(G141,'S1&amp;2 Lists'!$C$4:$G$200,3,FALSE),"-")</f>
        <v>-</v>
      </c>
      <c r="N141" s="1405" t="str">
        <f t="shared" si="2"/>
        <v>-</v>
      </c>
      <c r="P141" s="1406">
        <f>ROUND(IF(L141='S1&amp;2 Lists'!$CV$3,K141,IF(L141='S1&amp;2 Lists'!$CV$4,K141/'S1&amp;2 Lists'!$CQ$6,0)),3)</f>
        <v>0</v>
      </c>
      <c r="Q141" s="10" t="s">
        <v>12</v>
      </c>
    </row>
    <row r="142" spans="1:17" s="652" customFormat="1">
      <c r="A142" s="455"/>
      <c r="B142" s="455"/>
      <c r="C142" s="653"/>
      <c r="D142" s="455"/>
      <c r="E142" s="654"/>
      <c r="F142" s="455"/>
      <c r="G142" s="648"/>
      <c r="H142" s="455"/>
      <c r="I142" s="654"/>
      <c r="J142" s="455"/>
      <c r="K142" s="455"/>
      <c r="L142" s="455"/>
      <c r="M142" s="1405" t="str">
        <f>+IFERROR(VLOOKUP(G142,'S1&amp;2 Lists'!$C$4:$G$200,3,FALSE),"-")</f>
        <v>-</v>
      </c>
      <c r="N142" s="1405" t="str">
        <f t="shared" si="2"/>
        <v>-</v>
      </c>
      <c r="P142" s="1406">
        <f>ROUND(IF(L142='S1&amp;2 Lists'!$CV$3,K142,IF(L142='S1&amp;2 Lists'!$CV$4,K142/'S1&amp;2 Lists'!$CQ$6,0)),3)</f>
        <v>0</v>
      </c>
      <c r="Q142" s="10" t="s">
        <v>12</v>
      </c>
    </row>
    <row r="143" spans="1:17" s="652" customFormat="1">
      <c r="A143" s="455"/>
      <c r="B143" s="455"/>
      <c r="C143" s="653"/>
      <c r="D143" s="455"/>
      <c r="E143" s="654"/>
      <c r="F143" s="455"/>
      <c r="G143" s="648"/>
      <c r="H143" s="455"/>
      <c r="I143" s="654"/>
      <c r="J143" s="455"/>
      <c r="K143" s="455"/>
      <c r="L143" s="455"/>
      <c r="M143" s="1405" t="str">
        <f>+IFERROR(VLOOKUP(G143,'S1&amp;2 Lists'!$C$4:$G$200,3,FALSE),"-")</f>
        <v>-</v>
      </c>
      <c r="N143" s="1405" t="str">
        <f t="shared" si="2"/>
        <v>-</v>
      </c>
      <c r="P143" s="1406">
        <f>ROUND(IF(L143='S1&amp;2 Lists'!$CV$3,K143,IF(L143='S1&amp;2 Lists'!$CV$4,K143/'S1&amp;2 Lists'!$CQ$6,0)),3)</f>
        <v>0</v>
      </c>
      <c r="Q143" s="10" t="s">
        <v>12</v>
      </c>
    </row>
    <row r="144" spans="1:17" s="652" customFormat="1">
      <c r="A144" s="455"/>
      <c r="B144" s="455"/>
      <c r="C144" s="653"/>
      <c r="D144" s="455"/>
      <c r="E144" s="654"/>
      <c r="F144" s="455"/>
      <c r="G144" s="648"/>
      <c r="H144" s="455"/>
      <c r="I144" s="654"/>
      <c r="J144" s="455"/>
      <c r="K144" s="455"/>
      <c r="L144" s="455"/>
      <c r="M144" s="1405" t="str">
        <f>+IFERROR(VLOOKUP(G144,'S1&amp;2 Lists'!$C$4:$G$200,3,FALSE),"-")</f>
        <v>-</v>
      </c>
      <c r="N144" s="1405" t="str">
        <f t="shared" si="2"/>
        <v>-</v>
      </c>
      <c r="P144" s="1406">
        <f>ROUND(IF(L144='S1&amp;2 Lists'!$CV$3,K144,IF(L144='S1&amp;2 Lists'!$CV$4,K144/'S1&amp;2 Lists'!$CQ$6,0)),3)</f>
        <v>0</v>
      </c>
      <c r="Q144" s="10" t="s">
        <v>12</v>
      </c>
    </row>
    <row r="145" spans="1:17" s="652" customFormat="1">
      <c r="A145" s="455"/>
      <c r="B145" s="455"/>
      <c r="C145" s="653"/>
      <c r="D145" s="455"/>
      <c r="E145" s="654"/>
      <c r="F145" s="455"/>
      <c r="G145" s="648"/>
      <c r="H145" s="455"/>
      <c r="I145" s="654"/>
      <c r="J145" s="455"/>
      <c r="K145" s="455"/>
      <c r="L145" s="455"/>
      <c r="M145" s="1405" t="str">
        <f>+IFERROR(VLOOKUP(G145,'S1&amp;2 Lists'!$C$4:$G$200,3,FALSE),"-")</f>
        <v>-</v>
      </c>
      <c r="N145" s="1405" t="str">
        <f t="shared" si="2"/>
        <v>-</v>
      </c>
      <c r="P145" s="1406">
        <f>ROUND(IF(L145='S1&amp;2 Lists'!$CV$3,K145,IF(L145='S1&amp;2 Lists'!$CV$4,K145/'S1&amp;2 Lists'!$CQ$6,0)),3)</f>
        <v>0</v>
      </c>
      <c r="Q145" s="10" t="s">
        <v>12</v>
      </c>
    </row>
    <row r="146" spans="1:17" s="652" customFormat="1">
      <c r="A146" s="455"/>
      <c r="B146" s="455"/>
      <c r="C146" s="653"/>
      <c r="D146" s="455"/>
      <c r="E146" s="654"/>
      <c r="F146" s="455"/>
      <c r="G146" s="648"/>
      <c r="H146" s="455"/>
      <c r="I146" s="654"/>
      <c r="J146" s="455"/>
      <c r="K146" s="455"/>
      <c r="L146" s="455"/>
      <c r="M146" s="1405" t="str">
        <f>+IFERROR(VLOOKUP(G146,'S1&amp;2 Lists'!$C$4:$G$200,3,FALSE),"-")</f>
        <v>-</v>
      </c>
      <c r="N146" s="1405" t="str">
        <f t="shared" si="2"/>
        <v>-</v>
      </c>
      <c r="P146" s="1406">
        <f>ROUND(IF(L146='S1&amp;2 Lists'!$CV$3,K146,IF(L146='S1&amp;2 Lists'!$CV$4,K146/'S1&amp;2 Lists'!$CQ$6,0)),3)</f>
        <v>0</v>
      </c>
      <c r="Q146" s="10" t="s">
        <v>12</v>
      </c>
    </row>
    <row r="147" spans="1:17" s="652" customFormat="1">
      <c r="A147" s="455"/>
      <c r="B147" s="455"/>
      <c r="C147" s="653"/>
      <c r="D147" s="455"/>
      <c r="E147" s="654"/>
      <c r="F147" s="455"/>
      <c r="G147" s="648"/>
      <c r="H147" s="455"/>
      <c r="I147" s="654"/>
      <c r="J147" s="455"/>
      <c r="K147" s="455"/>
      <c r="L147" s="455"/>
      <c r="M147" s="1405" t="str">
        <f>+IFERROR(VLOOKUP(G147,'S1&amp;2 Lists'!$C$4:$G$200,3,FALSE),"-")</f>
        <v>-</v>
      </c>
      <c r="N147" s="1405" t="str">
        <f t="shared" si="2"/>
        <v>-</v>
      </c>
      <c r="P147" s="1406">
        <f>ROUND(IF(L147='S1&amp;2 Lists'!$CV$3,K147,IF(L147='S1&amp;2 Lists'!$CV$4,K147/'S1&amp;2 Lists'!$CQ$6,0)),3)</f>
        <v>0</v>
      </c>
      <c r="Q147" s="10" t="s">
        <v>12</v>
      </c>
    </row>
    <row r="148" spans="1:17" s="652" customFormat="1">
      <c r="A148" s="455"/>
      <c r="B148" s="455"/>
      <c r="C148" s="653"/>
      <c r="D148" s="455"/>
      <c r="E148" s="654"/>
      <c r="F148" s="455"/>
      <c r="G148" s="648"/>
      <c r="H148" s="455"/>
      <c r="I148" s="654"/>
      <c r="J148" s="455"/>
      <c r="K148" s="455"/>
      <c r="L148" s="455"/>
      <c r="M148" s="1405" t="str">
        <f>+IFERROR(VLOOKUP(G148,'S1&amp;2 Lists'!$C$4:$G$200,3,FALSE),"-")</f>
        <v>-</v>
      </c>
      <c r="N148" s="1405" t="str">
        <f t="shared" si="2"/>
        <v>-</v>
      </c>
      <c r="P148" s="1406">
        <f>ROUND(IF(L148='S1&amp;2 Lists'!$CV$3,K148,IF(L148='S1&amp;2 Lists'!$CV$4,K148/'S1&amp;2 Lists'!$CQ$6,0)),3)</f>
        <v>0</v>
      </c>
      <c r="Q148" s="10" t="s">
        <v>12</v>
      </c>
    </row>
    <row r="149" spans="1:17" s="652" customFormat="1">
      <c r="A149" s="455"/>
      <c r="B149" s="455"/>
      <c r="C149" s="653"/>
      <c r="D149" s="455"/>
      <c r="E149" s="654"/>
      <c r="F149" s="455"/>
      <c r="G149" s="648"/>
      <c r="H149" s="455"/>
      <c r="I149" s="654"/>
      <c r="J149" s="455"/>
      <c r="K149" s="455"/>
      <c r="L149" s="455"/>
      <c r="M149" s="1405" t="str">
        <f>+IFERROR(VLOOKUP(G149,'S1&amp;2 Lists'!$C$4:$G$200,3,FALSE),"-")</f>
        <v>-</v>
      </c>
      <c r="N149" s="1405" t="str">
        <f t="shared" si="2"/>
        <v>-</v>
      </c>
      <c r="P149" s="1406">
        <f>ROUND(IF(L149='S1&amp;2 Lists'!$CV$3,K149,IF(L149='S1&amp;2 Lists'!$CV$4,K149/'S1&amp;2 Lists'!$CQ$6,0)),3)</f>
        <v>0</v>
      </c>
      <c r="Q149" s="10" t="s">
        <v>12</v>
      </c>
    </row>
    <row r="150" spans="1:17" s="652" customFormat="1">
      <c r="A150" s="455"/>
      <c r="B150" s="455"/>
      <c r="C150" s="653"/>
      <c r="D150" s="455"/>
      <c r="E150" s="654"/>
      <c r="F150" s="455"/>
      <c r="G150" s="648"/>
      <c r="H150" s="455"/>
      <c r="I150" s="654"/>
      <c r="J150" s="455"/>
      <c r="K150" s="455"/>
      <c r="L150" s="455"/>
      <c r="M150" s="1405" t="str">
        <f>+IFERROR(VLOOKUP(G150,'S1&amp;2 Lists'!$C$4:$G$200,3,FALSE),"-")</f>
        <v>-</v>
      </c>
      <c r="N150" s="1405" t="str">
        <f t="shared" si="2"/>
        <v>-</v>
      </c>
      <c r="P150" s="1406">
        <f>ROUND(IF(L150='S1&amp;2 Lists'!$CV$3,K150,IF(L150='S1&amp;2 Lists'!$CV$4,K150/'S1&amp;2 Lists'!$CQ$6,0)),3)</f>
        <v>0</v>
      </c>
      <c r="Q150" s="10" t="s">
        <v>12</v>
      </c>
    </row>
    <row r="151" spans="1:17" s="652" customFormat="1">
      <c r="A151" s="455"/>
      <c r="B151" s="455"/>
      <c r="C151" s="653"/>
      <c r="D151" s="455"/>
      <c r="E151" s="654"/>
      <c r="F151" s="455"/>
      <c r="G151" s="648"/>
      <c r="H151" s="455"/>
      <c r="I151" s="654"/>
      <c r="J151" s="455"/>
      <c r="K151" s="455"/>
      <c r="L151" s="455"/>
      <c r="M151" s="1405" t="str">
        <f>+IFERROR(VLOOKUP(G151,'S1&amp;2 Lists'!$C$4:$G$200,3,FALSE),"-")</f>
        <v>-</v>
      </c>
      <c r="N151" s="1405" t="str">
        <f t="shared" si="2"/>
        <v>-</v>
      </c>
      <c r="P151" s="1406">
        <f>ROUND(IF(L151='S1&amp;2 Lists'!$CV$3,K151,IF(L151='S1&amp;2 Lists'!$CV$4,K151/'S1&amp;2 Lists'!$CQ$6,0)),3)</f>
        <v>0</v>
      </c>
      <c r="Q151" s="10" t="s">
        <v>12</v>
      </c>
    </row>
    <row r="152" spans="1:17" s="652" customFormat="1">
      <c r="A152" s="455"/>
      <c r="B152" s="455"/>
      <c r="C152" s="653"/>
      <c r="D152" s="455"/>
      <c r="E152" s="654"/>
      <c r="F152" s="455"/>
      <c r="G152" s="648"/>
      <c r="H152" s="455"/>
      <c r="I152" s="654"/>
      <c r="J152" s="455"/>
      <c r="K152" s="455"/>
      <c r="L152" s="455"/>
      <c r="M152" s="1405" t="str">
        <f>+IFERROR(VLOOKUP(G152,'S1&amp;2 Lists'!$C$4:$G$200,3,FALSE),"-")</f>
        <v>-</v>
      </c>
      <c r="N152" s="1405" t="str">
        <f t="shared" si="2"/>
        <v>-</v>
      </c>
      <c r="P152" s="1406">
        <f>ROUND(IF(L152='S1&amp;2 Lists'!$CV$3,K152,IF(L152='S1&amp;2 Lists'!$CV$4,K152/'S1&amp;2 Lists'!$CQ$6,0)),3)</f>
        <v>0</v>
      </c>
      <c r="Q152" s="10" t="s">
        <v>12</v>
      </c>
    </row>
    <row r="153" spans="1:17" s="652" customFormat="1">
      <c r="A153" s="455"/>
      <c r="B153" s="455"/>
      <c r="C153" s="653"/>
      <c r="D153" s="455"/>
      <c r="E153" s="654"/>
      <c r="F153" s="455"/>
      <c r="G153" s="648"/>
      <c r="H153" s="455"/>
      <c r="I153" s="654"/>
      <c r="J153" s="455"/>
      <c r="K153" s="455"/>
      <c r="L153" s="455"/>
      <c r="M153" s="1405" t="str">
        <f>+IFERROR(VLOOKUP(G153,'S1&amp;2 Lists'!$C$4:$G$200,3,FALSE),"-")</f>
        <v>-</v>
      </c>
      <c r="N153" s="1405" t="str">
        <f t="shared" si="2"/>
        <v>-</v>
      </c>
      <c r="P153" s="1406">
        <f>ROUND(IF(L153='S1&amp;2 Lists'!$CV$3,K153,IF(L153='S1&amp;2 Lists'!$CV$4,K153/'S1&amp;2 Lists'!$CQ$6,0)),3)</f>
        <v>0</v>
      </c>
      <c r="Q153" s="10" t="s">
        <v>12</v>
      </c>
    </row>
    <row r="154" spans="1:17" s="652" customFormat="1">
      <c r="A154" s="455"/>
      <c r="B154" s="455"/>
      <c r="C154" s="653"/>
      <c r="D154" s="455"/>
      <c r="E154" s="654"/>
      <c r="F154" s="455"/>
      <c r="G154" s="648"/>
      <c r="H154" s="455"/>
      <c r="I154" s="654"/>
      <c r="J154" s="455"/>
      <c r="K154" s="455"/>
      <c r="L154" s="455"/>
      <c r="M154" s="1405" t="str">
        <f>+IFERROR(VLOOKUP(G154,'S1&amp;2 Lists'!$C$4:$G$200,3,FALSE),"-")</f>
        <v>-</v>
      </c>
      <c r="N154" s="1405" t="str">
        <f t="shared" si="2"/>
        <v>-</v>
      </c>
      <c r="P154" s="1406">
        <f>ROUND(IF(L154='S1&amp;2 Lists'!$CV$3,K154,IF(L154='S1&amp;2 Lists'!$CV$4,K154/'S1&amp;2 Lists'!$CQ$6,0)),3)</f>
        <v>0</v>
      </c>
      <c r="Q154" s="10" t="s">
        <v>12</v>
      </c>
    </row>
    <row r="155" spans="1:17" s="652" customFormat="1">
      <c r="A155" s="455"/>
      <c r="B155" s="455"/>
      <c r="C155" s="653"/>
      <c r="D155" s="455"/>
      <c r="E155" s="654"/>
      <c r="F155" s="455"/>
      <c r="G155" s="648"/>
      <c r="H155" s="455"/>
      <c r="I155" s="654"/>
      <c r="J155" s="455"/>
      <c r="K155" s="455"/>
      <c r="L155" s="455"/>
      <c r="M155" s="1405" t="str">
        <f>+IFERROR(VLOOKUP(G155,'S1&amp;2 Lists'!$C$4:$G$200,3,FALSE),"-")</f>
        <v>-</v>
      </c>
      <c r="N155" s="1405" t="str">
        <f t="shared" si="2"/>
        <v>-</v>
      </c>
      <c r="P155" s="1406">
        <f>ROUND(IF(L155='S1&amp;2 Lists'!$CV$3,K155,IF(L155='S1&amp;2 Lists'!$CV$4,K155/'S1&amp;2 Lists'!$CQ$6,0)),3)</f>
        <v>0</v>
      </c>
      <c r="Q155" s="10" t="s">
        <v>12</v>
      </c>
    </row>
    <row r="156" spans="1:17" s="652" customFormat="1">
      <c r="A156" s="455"/>
      <c r="B156" s="455"/>
      <c r="C156" s="653"/>
      <c r="D156" s="455"/>
      <c r="E156" s="654"/>
      <c r="F156" s="455"/>
      <c r="G156" s="648"/>
      <c r="H156" s="455"/>
      <c r="I156" s="654"/>
      <c r="J156" s="455"/>
      <c r="K156" s="455"/>
      <c r="L156" s="455"/>
      <c r="M156" s="1405" t="str">
        <f>+IFERROR(VLOOKUP(G156,'S1&amp;2 Lists'!$C$4:$G$200,3,FALSE),"-")</f>
        <v>-</v>
      </c>
      <c r="N156" s="1405" t="str">
        <f t="shared" si="2"/>
        <v>-</v>
      </c>
      <c r="P156" s="1406">
        <f>ROUND(IF(L156='S1&amp;2 Lists'!$CV$3,K156,IF(L156='S1&amp;2 Lists'!$CV$4,K156/'S1&amp;2 Lists'!$CQ$6,0)),3)</f>
        <v>0</v>
      </c>
      <c r="Q156" s="10" t="s">
        <v>12</v>
      </c>
    </row>
    <row r="157" spans="1:17" s="652" customFormat="1">
      <c r="A157" s="455"/>
      <c r="B157" s="455"/>
      <c r="C157" s="653"/>
      <c r="D157" s="455"/>
      <c r="E157" s="654"/>
      <c r="F157" s="455"/>
      <c r="G157" s="648"/>
      <c r="H157" s="455"/>
      <c r="I157" s="654"/>
      <c r="J157" s="455"/>
      <c r="K157" s="455"/>
      <c r="L157" s="455"/>
      <c r="M157" s="1405" t="str">
        <f>+IFERROR(VLOOKUP(G157,'S1&amp;2 Lists'!$C$4:$G$200,3,FALSE),"-")</f>
        <v>-</v>
      </c>
      <c r="N157" s="1405" t="str">
        <f t="shared" si="2"/>
        <v>-</v>
      </c>
      <c r="P157" s="1406">
        <f>ROUND(IF(L157='S1&amp;2 Lists'!$CV$3,K157,IF(L157='S1&amp;2 Lists'!$CV$4,K157/'S1&amp;2 Lists'!$CQ$6,0)),3)</f>
        <v>0</v>
      </c>
      <c r="Q157" s="10" t="s">
        <v>12</v>
      </c>
    </row>
    <row r="158" spans="1:17" s="652" customFormat="1">
      <c r="A158" s="455"/>
      <c r="B158" s="455"/>
      <c r="C158" s="653"/>
      <c r="D158" s="455"/>
      <c r="E158" s="654"/>
      <c r="F158" s="455"/>
      <c r="G158" s="648"/>
      <c r="H158" s="455"/>
      <c r="I158" s="654"/>
      <c r="J158" s="455"/>
      <c r="K158" s="455"/>
      <c r="L158" s="455"/>
      <c r="M158" s="1405" t="str">
        <f>+IFERROR(VLOOKUP(G158,'S1&amp;2 Lists'!$C$4:$G$200,3,FALSE),"-")</f>
        <v>-</v>
      </c>
      <c r="N158" s="1405" t="str">
        <f t="shared" si="2"/>
        <v>-</v>
      </c>
      <c r="P158" s="1406">
        <f>ROUND(IF(L158='S1&amp;2 Lists'!$CV$3,K158,IF(L158='S1&amp;2 Lists'!$CV$4,K158/'S1&amp;2 Lists'!$CQ$6,0)),3)</f>
        <v>0</v>
      </c>
      <c r="Q158" s="10" t="s">
        <v>12</v>
      </c>
    </row>
    <row r="159" spans="1:17" s="652" customFormat="1">
      <c r="A159" s="455"/>
      <c r="B159" s="455"/>
      <c r="C159" s="653"/>
      <c r="D159" s="455"/>
      <c r="E159" s="654"/>
      <c r="F159" s="455"/>
      <c r="G159" s="648"/>
      <c r="H159" s="455"/>
      <c r="I159" s="654"/>
      <c r="J159" s="455"/>
      <c r="K159" s="455"/>
      <c r="L159" s="455"/>
      <c r="M159" s="1405" t="str">
        <f>+IFERROR(VLOOKUP(G159,'S1&amp;2 Lists'!$C$4:$G$200,3,FALSE),"-")</f>
        <v>-</v>
      </c>
      <c r="N159" s="1405" t="str">
        <f t="shared" si="2"/>
        <v>-</v>
      </c>
      <c r="P159" s="1406">
        <f>ROUND(IF(L159='S1&amp;2 Lists'!$CV$3,K159,IF(L159='S1&amp;2 Lists'!$CV$4,K159/'S1&amp;2 Lists'!$CQ$6,0)),3)</f>
        <v>0</v>
      </c>
      <c r="Q159" s="10" t="s">
        <v>12</v>
      </c>
    </row>
    <row r="160" spans="1:17" s="652" customFormat="1">
      <c r="A160" s="455"/>
      <c r="B160" s="455"/>
      <c r="C160" s="653"/>
      <c r="D160" s="455"/>
      <c r="E160" s="654"/>
      <c r="F160" s="455"/>
      <c r="G160" s="648"/>
      <c r="H160" s="455"/>
      <c r="I160" s="654"/>
      <c r="J160" s="455"/>
      <c r="K160" s="455"/>
      <c r="L160" s="455"/>
      <c r="M160" s="1405" t="str">
        <f>+IFERROR(VLOOKUP(G160,'S1&amp;2 Lists'!$C$4:$G$200,3,FALSE),"-")</f>
        <v>-</v>
      </c>
      <c r="N160" s="1405" t="str">
        <f t="shared" si="2"/>
        <v>-</v>
      </c>
      <c r="P160" s="1406">
        <f>ROUND(IF(L160='S1&amp;2 Lists'!$CV$3,K160,IF(L160='S1&amp;2 Lists'!$CV$4,K160/'S1&amp;2 Lists'!$CQ$6,0)),3)</f>
        <v>0</v>
      </c>
      <c r="Q160" s="10" t="s">
        <v>12</v>
      </c>
    </row>
    <row r="161" spans="1:17" s="652" customFormat="1">
      <c r="A161" s="455"/>
      <c r="B161" s="455"/>
      <c r="C161" s="653"/>
      <c r="D161" s="455"/>
      <c r="E161" s="654"/>
      <c r="F161" s="455"/>
      <c r="G161" s="648"/>
      <c r="H161" s="455"/>
      <c r="I161" s="654"/>
      <c r="J161" s="455"/>
      <c r="K161" s="455"/>
      <c r="L161" s="455"/>
      <c r="M161" s="1405" t="str">
        <f>+IFERROR(VLOOKUP(G161,'S1&amp;2 Lists'!$C$4:$G$200,3,FALSE),"-")</f>
        <v>-</v>
      </c>
      <c r="N161" s="1405" t="str">
        <f t="shared" si="2"/>
        <v>-</v>
      </c>
      <c r="P161" s="1406">
        <f>ROUND(IF(L161='S1&amp;2 Lists'!$CV$3,K161,IF(L161='S1&amp;2 Lists'!$CV$4,K161/'S1&amp;2 Lists'!$CQ$6,0)),3)</f>
        <v>0</v>
      </c>
      <c r="Q161" s="10" t="s">
        <v>12</v>
      </c>
    </row>
    <row r="162" spans="1:17" s="652" customFormat="1">
      <c r="A162" s="455"/>
      <c r="B162" s="455"/>
      <c r="C162" s="653"/>
      <c r="D162" s="455"/>
      <c r="E162" s="654"/>
      <c r="F162" s="455"/>
      <c r="G162" s="648"/>
      <c r="H162" s="455"/>
      <c r="I162" s="654"/>
      <c r="J162" s="455"/>
      <c r="K162" s="455"/>
      <c r="L162" s="455"/>
      <c r="M162" s="1405" t="str">
        <f>+IFERROR(VLOOKUP(G162,'S1&amp;2 Lists'!$C$4:$G$200,3,FALSE),"-")</f>
        <v>-</v>
      </c>
      <c r="N162" s="1405" t="str">
        <f t="shared" si="2"/>
        <v>-</v>
      </c>
      <c r="P162" s="1406">
        <f>ROUND(IF(L162='S1&amp;2 Lists'!$CV$3,K162,IF(L162='S1&amp;2 Lists'!$CV$4,K162/'S1&amp;2 Lists'!$CQ$6,0)),3)</f>
        <v>0</v>
      </c>
      <c r="Q162" s="10" t="s">
        <v>12</v>
      </c>
    </row>
    <row r="163" spans="1:17" s="652" customFormat="1">
      <c r="A163" s="455"/>
      <c r="B163" s="455"/>
      <c r="C163" s="653"/>
      <c r="D163" s="455"/>
      <c r="E163" s="654"/>
      <c r="F163" s="455"/>
      <c r="G163" s="648"/>
      <c r="H163" s="455"/>
      <c r="I163" s="654"/>
      <c r="J163" s="455"/>
      <c r="K163" s="455"/>
      <c r="L163" s="455"/>
      <c r="M163" s="1405" t="str">
        <f>+IFERROR(VLOOKUP(G163,'S1&amp;2 Lists'!$C$4:$G$200,3,FALSE),"-")</f>
        <v>-</v>
      </c>
      <c r="N163" s="1405" t="str">
        <f t="shared" si="2"/>
        <v>-</v>
      </c>
      <c r="P163" s="1406">
        <f>ROUND(IF(L163='S1&amp;2 Lists'!$CV$3,K163,IF(L163='S1&amp;2 Lists'!$CV$4,K163/'S1&amp;2 Lists'!$CQ$6,0)),3)</f>
        <v>0</v>
      </c>
      <c r="Q163" s="10" t="s">
        <v>12</v>
      </c>
    </row>
    <row r="164" spans="1:17" s="652" customFormat="1">
      <c r="A164" s="455"/>
      <c r="B164" s="455"/>
      <c r="C164" s="653"/>
      <c r="D164" s="455"/>
      <c r="E164" s="654"/>
      <c r="F164" s="455"/>
      <c r="G164" s="648"/>
      <c r="H164" s="455"/>
      <c r="I164" s="654"/>
      <c r="J164" s="455"/>
      <c r="K164" s="455"/>
      <c r="L164" s="455"/>
      <c r="M164" s="1405" t="str">
        <f>+IFERROR(VLOOKUP(G164,'S1&amp;2 Lists'!$C$4:$G$200,3,FALSE),"-")</f>
        <v>-</v>
      </c>
      <c r="N164" s="1405" t="str">
        <f t="shared" si="2"/>
        <v>-</v>
      </c>
      <c r="P164" s="1406">
        <f>ROUND(IF(L164='S1&amp;2 Lists'!$CV$3,K164,IF(L164='S1&amp;2 Lists'!$CV$4,K164/'S1&amp;2 Lists'!$CQ$6,0)),3)</f>
        <v>0</v>
      </c>
      <c r="Q164" s="10" t="s">
        <v>12</v>
      </c>
    </row>
    <row r="165" spans="1:17" s="652" customFormat="1">
      <c r="A165" s="455"/>
      <c r="B165" s="455"/>
      <c r="C165" s="653"/>
      <c r="D165" s="455"/>
      <c r="E165" s="654"/>
      <c r="F165" s="455"/>
      <c r="G165" s="648"/>
      <c r="H165" s="455"/>
      <c r="I165" s="654"/>
      <c r="J165" s="455"/>
      <c r="K165" s="455"/>
      <c r="L165" s="455"/>
      <c r="M165" s="1405" t="str">
        <f>+IFERROR(VLOOKUP(G165,'S1&amp;2 Lists'!$C$4:$G$200,3,FALSE),"-")</f>
        <v>-</v>
      </c>
      <c r="N165" s="1405" t="str">
        <f t="shared" si="2"/>
        <v>-</v>
      </c>
      <c r="P165" s="1406">
        <f>ROUND(IF(L165='S1&amp;2 Lists'!$CV$3,K165,IF(L165='S1&amp;2 Lists'!$CV$4,K165/'S1&amp;2 Lists'!$CQ$6,0)),3)</f>
        <v>0</v>
      </c>
      <c r="Q165" s="10" t="s">
        <v>12</v>
      </c>
    </row>
    <row r="166" spans="1:17" s="652" customFormat="1">
      <c r="A166" s="455"/>
      <c r="B166" s="455"/>
      <c r="C166" s="653"/>
      <c r="D166" s="455"/>
      <c r="E166" s="654"/>
      <c r="F166" s="455"/>
      <c r="G166" s="648"/>
      <c r="H166" s="455"/>
      <c r="I166" s="654"/>
      <c r="J166" s="455"/>
      <c r="K166" s="455"/>
      <c r="L166" s="455"/>
      <c r="M166" s="1405" t="str">
        <f>+IFERROR(VLOOKUP(G166,'S1&amp;2 Lists'!$C$4:$G$200,3,FALSE),"-")</f>
        <v>-</v>
      </c>
      <c r="N166" s="1405" t="str">
        <f t="shared" si="2"/>
        <v>-</v>
      </c>
      <c r="P166" s="1406">
        <f>ROUND(IF(L166='S1&amp;2 Lists'!$CV$3,K166,IF(L166='S1&amp;2 Lists'!$CV$4,K166/'S1&amp;2 Lists'!$CQ$6,0)),3)</f>
        <v>0</v>
      </c>
      <c r="Q166" s="10" t="s">
        <v>12</v>
      </c>
    </row>
    <row r="167" spans="1:17" s="652" customFormat="1">
      <c r="A167" s="455"/>
      <c r="B167" s="455"/>
      <c r="C167" s="653"/>
      <c r="D167" s="455"/>
      <c r="E167" s="654"/>
      <c r="F167" s="455"/>
      <c r="G167" s="648"/>
      <c r="H167" s="455"/>
      <c r="I167" s="654"/>
      <c r="J167" s="455"/>
      <c r="K167" s="455"/>
      <c r="L167" s="455"/>
      <c r="M167" s="1405" t="str">
        <f>+IFERROR(VLOOKUP(G167,'S1&amp;2 Lists'!$C$4:$G$200,3,FALSE),"-")</f>
        <v>-</v>
      </c>
      <c r="N167" s="1405" t="str">
        <f t="shared" si="2"/>
        <v>-</v>
      </c>
      <c r="P167" s="1406">
        <f>ROUND(IF(L167='S1&amp;2 Lists'!$CV$3,K167,IF(L167='S1&amp;2 Lists'!$CV$4,K167/'S1&amp;2 Lists'!$CQ$6,0)),3)</f>
        <v>0</v>
      </c>
      <c r="Q167" s="10" t="s">
        <v>12</v>
      </c>
    </row>
    <row r="168" spans="1:17" s="652" customFormat="1">
      <c r="A168" s="455"/>
      <c r="B168" s="455"/>
      <c r="C168" s="653"/>
      <c r="D168" s="455"/>
      <c r="E168" s="654"/>
      <c r="F168" s="455"/>
      <c r="G168" s="648"/>
      <c r="H168" s="455"/>
      <c r="I168" s="654"/>
      <c r="J168" s="455"/>
      <c r="K168" s="455"/>
      <c r="L168" s="455"/>
      <c r="M168" s="1405" t="str">
        <f>+IFERROR(VLOOKUP(G168,'S1&amp;2 Lists'!$C$4:$G$200,3,FALSE),"-")</f>
        <v>-</v>
      </c>
      <c r="N168" s="1405" t="str">
        <f t="shared" si="2"/>
        <v>-</v>
      </c>
      <c r="P168" s="1406">
        <f>ROUND(IF(L168='S1&amp;2 Lists'!$CV$3,K168,IF(L168='S1&amp;2 Lists'!$CV$4,K168/'S1&amp;2 Lists'!$CQ$6,0)),3)</f>
        <v>0</v>
      </c>
      <c r="Q168" s="10" t="s">
        <v>12</v>
      </c>
    </row>
    <row r="169" spans="1:17" s="652" customFormat="1">
      <c r="A169" s="455"/>
      <c r="B169" s="455"/>
      <c r="C169" s="653"/>
      <c r="D169" s="455"/>
      <c r="E169" s="654"/>
      <c r="F169" s="455"/>
      <c r="G169" s="648"/>
      <c r="H169" s="455"/>
      <c r="I169" s="654"/>
      <c r="J169" s="455"/>
      <c r="K169" s="455"/>
      <c r="L169" s="455"/>
      <c r="M169" s="1405" t="str">
        <f>+IFERROR(VLOOKUP(G169,'S1&amp;2 Lists'!$C$4:$G$200,3,FALSE),"-")</f>
        <v>-</v>
      </c>
      <c r="N169" s="1405" t="str">
        <f t="shared" si="2"/>
        <v>-</v>
      </c>
      <c r="P169" s="1406">
        <f>ROUND(IF(L169='S1&amp;2 Lists'!$CV$3,K169,IF(L169='S1&amp;2 Lists'!$CV$4,K169/'S1&amp;2 Lists'!$CQ$6,0)),3)</f>
        <v>0</v>
      </c>
      <c r="Q169" s="10" t="s">
        <v>12</v>
      </c>
    </row>
    <row r="170" spans="1:17" s="652" customFormat="1">
      <c r="A170" s="455"/>
      <c r="B170" s="455"/>
      <c r="C170" s="653"/>
      <c r="D170" s="455"/>
      <c r="E170" s="654"/>
      <c r="F170" s="455"/>
      <c r="G170" s="648"/>
      <c r="H170" s="455"/>
      <c r="I170" s="654"/>
      <c r="J170" s="455"/>
      <c r="K170" s="455"/>
      <c r="L170" s="455"/>
      <c r="M170" s="1405" t="str">
        <f>+IFERROR(VLOOKUP(G170,'S1&amp;2 Lists'!$C$4:$G$200,3,FALSE),"-")</f>
        <v>-</v>
      </c>
      <c r="N170" s="1405" t="str">
        <f t="shared" si="2"/>
        <v>-</v>
      </c>
      <c r="P170" s="1406">
        <f>ROUND(IF(L170='S1&amp;2 Lists'!$CV$3,K170,IF(L170='S1&amp;2 Lists'!$CV$4,K170/'S1&amp;2 Lists'!$CQ$6,0)),3)</f>
        <v>0</v>
      </c>
      <c r="Q170" s="10" t="s">
        <v>12</v>
      </c>
    </row>
    <row r="171" spans="1:17" s="652" customFormat="1">
      <c r="A171" s="455"/>
      <c r="B171" s="455"/>
      <c r="C171" s="653"/>
      <c r="D171" s="455"/>
      <c r="E171" s="654"/>
      <c r="F171" s="455"/>
      <c r="G171" s="648"/>
      <c r="H171" s="455"/>
      <c r="I171" s="654"/>
      <c r="J171" s="455"/>
      <c r="K171" s="455"/>
      <c r="L171" s="455"/>
      <c r="M171" s="1405" t="str">
        <f>+IFERROR(VLOOKUP(G171,'S1&amp;2 Lists'!$C$4:$G$200,3,FALSE),"-")</f>
        <v>-</v>
      </c>
      <c r="N171" s="1405" t="str">
        <f t="shared" si="2"/>
        <v>-</v>
      </c>
      <c r="P171" s="1406">
        <f>ROUND(IF(L171='S1&amp;2 Lists'!$CV$3,K171,IF(L171='S1&amp;2 Lists'!$CV$4,K171/'S1&amp;2 Lists'!$CQ$6,0)),3)</f>
        <v>0</v>
      </c>
      <c r="Q171" s="10" t="s">
        <v>12</v>
      </c>
    </row>
    <row r="172" spans="1:17" s="652" customFormat="1">
      <c r="A172" s="455"/>
      <c r="B172" s="455"/>
      <c r="C172" s="653"/>
      <c r="D172" s="455"/>
      <c r="E172" s="654"/>
      <c r="F172" s="455"/>
      <c r="G172" s="648"/>
      <c r="H172" s="455"/>
      <c r="I172" s="654"/>
      <c r="J172" s="455"/>
      <c r="K172" s="455"/>
      <c r="L172" s="455"/>
      <c r="M172" s="1405" t="str">
        <f>+IFERROR(VLOOKUP(G172,'S1&amp;2 Lists'!$C$4:$G$200,3,FALSE),"-")</f>
        <v>-</v>
      </c>
      <c r="N172" s="1405" t="str">
        <f t="shared" si="2"/>
        <v>-</v>
      </c>
      <c r="P172" s="1406">
        <f>ROUND(IF(L172='S1&amp;2 Lists'!$CV$3,K172,IF(L172='S1&amp;2 Lists'!$CV$4,K172/'S1&amp;2 Lists'!$CQ$6,0)),3)</f>
        <v>0</v>
      </c>
      <c r="Q172" s="10" t="s">
        <v>12</v>
      </c>
    </row>
    <row r="173" spans="1:17" s="652" customFormat="1">
      <c r="A173" s="455"/>
      <c r="B173" s="455"/>
      <c r="C173" s="653"/>
      <c r="D173" s="455"/>
      <c r="E173" s="654"/>
      <c r="F173" s="455"/>
      <c r="G173" s="648"/>
      <c r="H173" s="455"/>
      <c r="I173" s="654"/>
      <c r="J173" s="455"/>
      <c r="K173" s="455"/>
      <c r="L173" s="455"/>
      <c r="M173" s="1405" t="str">
        <f>+IFERROR(VLOOKUP(G173,'S1&amp;2 Lists'!$C$4:$G$200,3,FALSE),"-")</f>
        <v>-</v>
      </c>
      <c r="N173" s="1405" t="str">
        <f t="shared" si="2"/>
        <v>-</v>
      </c>
      <c r="P173" s="1406">
        <f>ROUND(IF(L173='S1&amp;2 Lists'!$CV$3,K173,IF(L173='S1&amp;2 Lists'!$CV$4,K173/'S1&amp;2 Lists'!$CQ$6,0)),3)</f>
        <v>0</v>
      </c>
      <c r="Q173" s="10" t="s">
        <v>12</v>
      </c>
    </row>
    <row r="174" spans="1:17" s="652" customFormat="1">
      <c r="A174" s="455"/>
      <c r="B174" s="455"/>
      <c r="C174" s="653"/>
      <c r="D174" s="455"/>
      <c r="E174" s="654"/>
      <c r="F174" s="455"/>
      <c r="G174" s="648"/>
      <c r="H174" s="455"/>
      <c r="I174" s="654"/>
      <c r="J174" s="455"/>
      <c r="K174" s="455"/>
      <c r="L174" s="455"/>
      <c r="M174" s="1405" t="str">
        <f>+IFERROR(VLOOKUP(G174,'S1&amp;2 Lists'!$C$4:$G$200,3,FALSE),"-")</f>
        <v>-</v>
      </c>
      <c r="N174" s="1405" t="str">
        <f t="shared" si="2"/>
        <v>-</v>
      </c>
      <c r="P174" s="1406">
        <f>ROUND(IF(L174='S1&amp;2 Lists'!$CV$3,K174,IF(L174='S1&amp;2 Lists'!$CV$4,K174/'S1&amp;2 Lists'!$CQ$6,0)),3)</f>
        <v>0</v>
      </c>
      <c r="Q174" s="10" t="s">
        <v>12</v>
      </c>
    </row>
    <row r="175" spans="1:17" s="652" customFormat="1">
      <c r="A175" s="455"/>
      <c r="B175" s="455"/>
      <c r="C175" s="653"/>
      <c r="D175" s="455"/>
      <c r="E175" s="654"/>
      <c r="F175" s="455"/>
      <c r="G175" s="648"/>
      <c r="H175" s="455"/>
      <c r="I175" s="654"/>
      <c r="J175" s="455"/>
      <c r="K175" s="455"/>
      <c r="L175" s="455"/>
      <c r="M175" s="1405" t="str">
        <f>+IFERROR(VLOOKUP(G175,'S1&amp;2 Lists'!$C$4:$G$200,3,FALSE),"-")</f>
        <v>-</v>
      </c>
      <c r="N175" s="1405" t="str">
        <f t="shared" si="2"/>
        <v>-</v>
      </c>
      <c r="P175" s="1406">
        <f>ROUND(IF(L175='S1&amp;2 Lists'!$CV$3,K175,IF(L175='S1&amp;2 Lists'!$CV$4,K175/'S1&amp;2 Lists'!$CQ$6,0)),3)</f>
        <v>0</v>
      </c>
      <c r="Q175" s="10" t="s">
        <v>12</v>
      </c>
    </row>
    <row r="176" spans="1:17" s="652" customFormat="1">
      <c r="A176" s="455"/>
      <c r="B176" s="455"/>
      <c r="C176" s="653"/>
      <c r="D176" s="455"/>
      <c r="E176" s="654"/>
      <c r="F176" s="455"/>
      <c r="G176" s="648"/>
      <c r="H176" s="455"/>
      <c r="I176" s="654"/>
      <c r="J176" s="455"/>
      <c r="K176" s="455"/>
      <c r="L176" s="455"/>
      <c r="M176" s="1405" t="str">
        <f>+IFERROR(VLOOKUP(G176,'S1&amp;2 Lists'!$C$4:$G$200,3,FALSE),"-")</f>
        <v>-</v>
      </c>
      <c r="N176" s="1405" t="str">
        <f t="shared" si="2"/>
        <v>-</v>
      </c>
      <c r="P176" s="1406">
        <f>ROUND(IF(L176='S1&amp;2 Lists'!$CV$3,K176,IF(L176='S1&amp;2 Lists'!$CV$4,K176/'S1&amp;2 Lists'!$CQ$6,0)),3)</f>
        <v>0</v>
      </c>
      <c r="Q176" s="10" t="s">
        <v>12</v>
      </c>
    </row>
    <row r="177" spans="1:17" s="652" customFormat="1">
      <c r="A177" s="455"/>
      <c r="B177" s="455"/>
      <c r="C177" s="653"/>
      <c r="D177" s="455"/>
      <c r="E177" s="654"/>
      <c r="F177" s="455"/>
      <c r="G177" s="648"/>
      <c r="H177" s="455"/>
      <c r="I177" s="654"/>
      <c r="J177" s="455"/>
      <c r="K177" s="455"/>
      <c r="L177" s="455"/>
      <c r="M177" s="1405" t="str">
        <f>+IFERROR(VLOOKUP(G177,'S1&amp;2 Lists'!$C$4:$G$200,3,FALSE),"-")</f>
        <v>-</v>
      </c>
      <c r="N177" s="1405" t="str">
        <f t="shared" si="2"/>
        <v>-</v>
      </c>
      <c r="P177" s="1406">
        <f>ROUND(IF(L177='S1&amp;2 Lists'!$CV$3,K177,IF(L177='S1&amp;2 Lists'!$CV$4,K177/'S1&amp;2 Lists'!$CQ$6,0)),3)</f>
        <v>0</v>
      </c>
      <c r="Q177" s="10" t="s">
        <v>12</v>
      </c>
    </row>
    <row r="178" spans="1:17" s="652" customFormat="1">
      <c r="A178" s="455"/>
      <c r="B178" s="455"/>
      <c r="C178" s="653"/>
      <c r="D178" s="455"/>
      <c r="E178" s="654"/>
      <c r="F178" s="455"/>
      <c r="G178" s="648"/>
      <c r="H178" s="455"/>
      <c r="I178" s="654"/>
      <c r="J178" s="455"/>
      <c r="K178" s="455"/>
      <c r="L178" s="455"/>
      <c r="M178" s="1405" t="str">
        <f>+IFERROR(VLOOKUP(G178,'S1&amp;2 Lists'!$C$4:$G$200,3,FALSE),"-")</f>
        <v>-</v>
      </c>
      <c r="N178" s="1405" t="str">
        <f t="shared" si="2"/>
        <v>-</v>
      </c>
      <c r="P178" s="1406">
        <f>ROUND(IF(L178='S1&amp;2 Lists'!$CV$3,K178,IF(L178='S1&amp;2 Lists'!$CV$4,K178/'S1&amp;2 Lists'!$CQ$6,0)),3)</f>
        <v>0</v>
      </c>
      <c r="Q178" s="10" t="s">
        <v>12</v>
      </c>
    </row>
    <row r="179" spans="1:17" s="652" customFormat="1">
      <c r="A179" s="455"/>
      <c r="B179" s="455"/>
      <c r="C179" s="653"/>
      <c r="D179" s="455"/>
      <c r="E179" s="654"/>
      <c r="F179" s="455"/>
      <c r="G179" s="648"/>
      <c r="H179" s="455"/>
      <c r="I179" s="654"/>
      <c r="J179" s="455"/>
      <c r="K179" s="455"/>
      <c r="L179" s="455"/>
      <c r="M179" s="1405" t="str">
        <f>+IFERROR(VLOOKUP(G179,'S1&amp;2 Lists'!$C$4:$G$200,3,FALSE),"-")</f>
        <v>-</v>
      </c>
      <c r="N179" s="1405" t="str">
        <f t="shared" si="2"/>
        <v>-</v>
      </c>
      <c r="P179" s="1406">
        <f>ROUND(IF(L179='S1&amp;2 Lists'!$CV$3,K179,IF(L179='S1&amp;2 Lists'!$CV$4,K179/'S1&amp;2 Lists'!$CQ$6,0)),3)</f>
        <v>0</v>
      </c>
      <c r="Q179" s="10" t="s">
        <v>12</v>
      </c>
    </row>
    <row r="180" spans="1:17" s="652" customFormat="1">
      <c r="A180" s="455"/>
      <c r="B180" s="455"/>
      <c r="C180" s="653"/>
      <c r="D180" s="455"/>
      <c r="E180" s="654"/>
      <c r="F180" s="455"/>
      <c r="G180" s="648"/>
      <c r="H180" s="455"/>
      <c r="I180" s="654"/>
      <c r="J180" s="455"/>
      <c r="K180" s="455"/>
      <c r="L180" s="455"/>
      <c r="M180" s="1405" t="str">
        <f>+IFERROR(VLOOKUP(G180,'S1&amp;2 Lists'!$C$4:$G$200,3,FALSE),"-")</f>
        <v>-</v>
      </c>
      <c r="N180" s="1405" t="str">
        <f t="shared" si="2"/>
        <v>-</v>
      </c>
      <c r="P180" s="1406">
        <f>ROUND(IF(L180='S1&amp;2 Lists'!$CV$3,K180,IF(L180='S1&amp;2 Lists'!$CV$4,K180/'S1&amp;2 Lists'!$CQ$6,0)),3)</f>
        <v>0</v>
      </c>
      <c r="Q180" s="10" t="s">
        <v>12</v>
      </c>
    </row>
    <row r="181" spans="1:17" s="652" customFormat="1">
      <c r="A181" s="455"/>
      <c r="B181" s="455"/>
      <c r="C181" s="653"/>
      <c r="D181" s="455"/>
      <c r="E181" s="654"/>
      <c r="F181" s="455"/>
      <c r="G181" s="648"/>
      <c r="H181" s="455"/>
      <c r="I181" s="654"/>
      <c r="J181" s="455"/>
      <c r="K181" s="455"/>
      <c r="L181" s="455"/>
      <c r="M181" s="1405" t="str">
        <f>+IFERROR(VLOOKUP(G181,'S1&amp;2 Lists'!$C$4:$G$200,3,FALSE),"-")</f>
        <v>-</v>
      </c>
      <c r="N181" s="1405" t="str">
        <f t="shared" si="2"/>
        <v>-</v>
      </c>
      <c r="P181" s="1406">
        <f>ROUND(IF(L181='S1&amp;2 Lists'!$CV$3,K181,IF(L181='S1&amp;2 Lists'!$CV$4,K181/'S1&amp;2 Lists'!$CQ$6,0)),3)</f>
        <v>0</v>
      </c>
      <c r="Q181" s="10" t="s">
        <v>12</v>
      </c>
    </row>
    <row r="182" spans="1:17" s="652" customFormat="1">
      <c r="A182" s="455"/>
      <c r="B182" s="455"/>
      <c r="C182" s="653"/>
      <c r="D182" s="455"/>
      <c r="E182" s="654"/>
      <c r="F182" s="455"/>
      <c r="G182" s="648"/>
      <c r="H182" s="455"/>
      <c r="I182" s="654"/>
      <c r="J182" s="455"/>
      <c r="K182" s="455"/>
      <c r="L182" s="455"/>
      <c r="M182" s="1405" t="str">
        <f>+IFERROR(VLOOKUP(G182,'S1&amp;2 Lists'!$C$4:$G$200,3,FALSE),"-")</f>
        <v>-</v>
      </c>
      <c r="N182" s="1405" t="str">
        <f t="shared" si="2"/>
        <v>-</v>
      </c>
      <c r="P182" s="1406">
        <f>ROUND(IF(L182='S1&amp;2 Lists'!$CV$3,K182,IF(L182='S1&amp;2 Lists'!$CV$4,K182/'S1&amp;2 Lists'!$CQ$6,0)),3)</f>
        <v>0</v>
      </c>
      <c r="Q182" s="10" t="s">
        <v>12</v>
      </c>
    </row>
    <row r="183" spans="1:17" s="652" customFormat="1">
      <c r="A183" s="455"/>
      <c r="B183" s="455"/>
      <c r="C183" s="653"/>
      <c r="D183" s="455"/>
      <c r="E183" s="654"/>
      <c r="F183" s="455"/>
      <c r="G183" s="648"/>
      <c r="H183" s="455"/>
      <c r="I183" s="654"/>
      <c r="J183" s="455"/>
      <c r="K183" s="455"/>
      <c r="L183" s="455"/>
      <c r="M183" s="1405" t="str">
        <f>+IFERROR(VLOOKUP(G183,'S1&amp;2 Lists'!$C$4:$G$200,3,FALSE),"-")</f>
        <v>-</v>
      </c>
      <c r="N183" s="1405" t="str">
        <f t="shared" si="2"/>
        <v>-</v>
      </c>
      <c r="P183" s="1406">
        <f>ROUND(IF(L183='S1&amp;2 Lists'!$CV$3,K183,IF(L183='S1&amp;2 Lists'!$CV$4,K183/'S1&amp;2 Lists'!$CQ$6,0)),3)</f>
        <v>0</v>
      </c>
      <c r="Q183" s="10" t="s">
        <v>12</v>
      </c>
    </row>
    <row r="184" spans="1:17" s="652" customFormat="1">
      <c r="A184" s="455"/>
      <c r="B184" s="455"/>
      <c r="C184" s="653"/>
      <c r="D184" s="455"/>
      <c r="E184" s="654"/>
      <c r="F184" s="455"/>
      <c r="G184" s="648"/>
      <c r="H184" s="455"/>
      <c r="I184" s="654"/>
      <c r="J184" s="455"/>
      <c r="K184" s="455"/>
      <c r="L184" s="455"/>
      <c r="M184" s="1405" t="str">
        <f>+IFERROR(VLOOKUP(G184,'S1&amp;2 Lists'!$C$4:$G$200,3,FALSE),"-")</f>
        <v>-</v>
      </c>
      <c r="N184" s="1405" t="str">
        <f t="shared" si="2"/>
        <v>-</v>
      </c>
      <c r="P184" s="1406">
        <f>ROUND(IF(L184='S1&amp;2 Lists'!$CV$3,K184,IF(L184='S1&amp;2 Lists'!$CV$4,K184/'S1&amp;2 Lists'!$CQ$6,0)),3)</f>
        <v>0</v>
      </c>
      <c r="Q184" s="10" t="s">
        <v>12</v>
      </c>
    </row>
    <row r="185" spans="1:17" s="652" customFormat="1">
      <c r="A185" s="455"/>
      <c r="B185" s="455"/>
      <c r="C185" s="653"/>
      <c r="D185" s="455"/>
      <c r="E185" s="654"/>
      <c r="F185" s="455"/>
      <c r="G185" s="648"/>
      <c r="H185" s="455"/>
      <c r="I185" s="654"/>
      <c r="J185" s="455"/>
      <c r="K185" s="455"/>
      <c r="L185" s="455"/>
      <c r="M185" s="1405" t="str">
        <f>+IFERROR(VLOOKUP(G185,'S1&amp;2 Lists'!$C$4:$G$200,3,FALSE),"-")</f>
        <v>-</v>
      </c>
      <c r="N185" s="1405" t="str">
        <f t="shared" si="2"/>
        <v>-</v>
      </c>
      <c r="P185" s="1406">
        <f>ROUND(IF(L185='S1&amp;2 Lists'!$CV$3,K185,IF(L185='S1&amp;2 Lists'!$CV$4,K185/'S1&amp;2 Lists'!$CQ$6,0)),3)</f>
        <v>0</v>
      </c>
      <c r="Q185" s="10" t="s">
        <v>12</v>
      </c>
    </row>
    <row r="186" spans="1:17" s="652" customFormat="1">
      <c r="A186" s="455"/>
      <c r="B186" s="455"/>
      <c r="C186" s="653"/>
      <c r="D186" s="455"/>
      <c r="E186" s="654"/>
      <c r="F186" s="455"/>
      <c r="G186" s="648"/>
      <c r="H186" s="455"/>
      <c r="I186" s="654"/>
      <c r="J186" s="455"/>
      <c r="K186" s="455"/>
      <c r="L186" s="455"/>
      <c r="M186" s="1405" t="str">
        <f>+IFERROR(VLOOKUP(G186,'S1&amp;2 Lists'!$C$4:$G$200,3,FALSE),"-")</f>
        <v>-</v>
      </c>
      <c r="N186" s="1405" t="str">
        <f t="shared" si="2"/>
        <v>-</v>
      </c>
      <c r="P186" s="1406">
        <f>ROUND(IF(L186='S1&amp;2 Lists'!$CV$3,K186,IF(L186='S1&amp;2 Lists'!$CV$4,K186/'S1&amp;2 Lists'!$CQ$6,0)),3)</f>
        <v>0</v>
      </c>
      <c r="Q186" s="10" t="s">
        <v>12</v>
      </c>
    </row>
    <row r="187" spans="1:17" s="652" customFormat="1">
      <c r="A187" s="455"/>
      <c r="B187" s="455"/>
      <c r="C187" s="653"/>
      <c r="D187" s="455"/>
      <c r="E187" s="654"/>
      <c r="F187" s="455"/>
      <c r="G187" s="648"/>
      <c r="H187" s="455"/>
      <c r="I187" s="654"/>
      <c r="J187" s="455"/>
      <c r="K187" s="455"/>
      <c r="L187" s="455"/>
      <c r="M187" s="1405" t="str">
        <f>+IFERROR(VLOOKUP(G187,'S1&amp;2 Lists'!$C$4:$G$200,3,FALSE),"-")</f>
        <v>-</v>
      </c>
      <c r="N187" s="1405" t="str">
        <f t="shared" si="2"/>
        <v>-</v>
      </c>
      <c r="P187" s="1406">
        <f>ROUND(IF(L187='S1&amp;2 Lists'!$CV$3,K187,IF(L187='S1&amp;2 Lists'!$CV$4,K187/'S1&amp;2 Lists'!$CQ$6,0)),3)</f>
        <v>0</v>
      </c>
      <c r="Q187" s="10" t="s">
        <v>12</v>
      </c>
    </row>
    <row r="188" spans="1:17" s="652" customFormat="1">
      <c r="A188" s="455"/>
      <c r="B188" s="455"/>
      <c r="C188" s="653"/>
      <c r="D188" s="455"/>
      <c r="E188" s="654"/>
      <c r="F188" s="455"/>
      <c r="G188" s="648"/>
      <c r="H188" s="455"/>
      <c r="I188" s="654"/>
      <c r="J188" s="455"/>
      <c r="K188" s="455"/>
      <c r="L188" s="455"/>
      <c r="M188" s="1405" t="str">
        <f>+IFERROR(VLOOKUP(G188,'S1&amp;2 Lists'!$C$4:$G$200,3,FALSE),"-")</f>
        <v>-</v>
      </c>
      <c r="N188" s="1405" t="str">
        <f t="shared" si="2"/>
        <v>-</v>
      </c>
      <c r="P188" s="1406">
        <f>ROUND(IF(L188='S1&amp;2 Lists'!$CV$3,K188,IF(L188='S1&amp;2 Lists'!$CV$4,K188/'S1&amp;2 Lists'!$CQ$6,0)),3)</f>
        <v>0</v>
      </c>
      <c r="Q188" s="10" t="s">
        <v>12</v>
      </c>
    </row>
    <row r="189" spans="1:17" s="652" customFormat="1">
      <c r="A189" s="455"/>
      <c r="B189" s="455"/>
      <c r="C189" s="653"/>
      <c r="D189" s="455"/>
      <c r="E189" s="654"/>
      <c r="F189" s="455"/>
      <c r="G189" s="648"/>
      <c r="H189" s="455"/>
      <c r="I189" s="654"/>
      <c r="J189" s="455"/>
      <c r="K189" s="455"/>
      <c r="L189" s="455"/>
      <c r="M189" s="1405" t="str">
        <f>+IFERROR(VLOOKUP(G189,'S1&amp;2 Lists'!$C$4:$G$200,3,FALSE),"-")</f>
        <v>-</v>
      </c>
      <c r="N189" s="1405" t="str">
        <f t="shared" si="2"/>
        <v>-</v>
      </c>
      <c r="P189" s="1406">
        <f>ROUND(IF(L189='S1&amp;2 Lists'!$CV$3,K189,IF(L189='S1&amp;2 Lists'!$CV$4,K189/'S1&amp;2 Lists'!$CQ$6,0)),3)</f>
        <v>0</v>
      </c>
      <c r="Q189" s="10" t="s">
        <v>12</v>
      </c>
    </row>
    <row r="190" spans="1:17" s="652" customFormat="1">
      <c r="A190" s="455"/>
      <c r="B190" s="455"/>
      <c r="C190" s="653"/>
      <c r="D190" s="455"/>
      <c r="E190" s="654"/>
      <c r="F190" s="455"/>
      <c r="G190" s="648"/>
      <c r="H190" s="455"/>
      <c r="I190" s="654"/>
      <c r="J190" s="455"/>
      <c r="K190" s="455"/>
      <c r="L190" s="455"/>
      <c r="M190" s="1405" t="str">
        <f>+IFERROR(VLOOKUP(G190,'S1&amp;2 Lists'!$C$4:$G$200,3,FALSE),"-")</f>
        <v>-</v>
      </c>
      <c r="N190" s="1405" t="str">
        <f t="shared" si="2"/>
        <v>-</v>
      </c>
      <c r="P190" s="1406">
        <f>ROUND(IF(L190='S1&amp;2 Lists'!$CV$3,K190,IF(L190='S1&amp;2 Lists'!$CV$4,K190/'S1&amp;2 Lists'!$CQ$6,0)),3)</f>
        <v>0</v>
      </c>
      <c r="Q190" s="10" t="s">
        <v>12</v>
      </c>
    </row>
    <row r="191" spans="1:17" s="652" customFormat="1">
      <c r="A191" s="455"/>
      <c r="B191" s="455"/>
      <c r="C191" s="653"/>
      <c r="D191" s="455"/>
      <c r="E191" s="654"/>
      <c r="F191" s="455"/>
      <c r="G191" s="648"/>
      <c r="H191" s="455"/>
      <c r="I191" s="654"/>
      <c r="J191" s="455"/>
      <c r="K191" s="455"/>
      <c r="L191" s="455"/>
      <c r="M191" s="1405" t="str">
        <f>+IFERROR(VLOOKUP(G191,'S1&amp;2 Lists'!$C$4:$G$200,3,FALSE),"-")</f>
        <v>-</v>
      </c>
      <c r="N191" s="1405" t="str">
        <f t="shared" si="2"/>
        <v>-</v>
      </c>
      <c r="P191" s="1406">
        <f>ROUND(IF(L191='S1&amp;2 Lists'!$CV$3,K191,IF(L191='S1&amp;2 Lists'!$CV$4,K191/'S1&amp;2 Lists'!$CQ$6,0)),3)</f>
        <v>0</v>
      </c>
      <c r="Q191" s="10" t="s">
        <v>12</v>
      </c>
    </row>
    <row r="192" spans="1:17" s="652" customFormat="1">
      <c r="A192" s="455"/>
      <c r="B192" s="455"/>
      <c r="C192" s="653"/>
      <c r="D192" s="455"/>
      <c r="E192" s="654"/>
      <c r="F192" s="455"/>
      <c r="G192" s="648"/>
      <c r="H192" s="455"/>
      <c r="I192" s="654"/>
      <c r="J192" s="455"/>
      <c r="K192" s="455"/>
      <c r="L192" s="455"/>
      <c r="M192" s="1405" t="str">
        <f>+IFERROR(VLOOKUP(G192,'S1&amp;2 Lists'!$C$4:$G$200,3,FALSE),"-")</f>
        <v>-</v>
      </c>
      <c r="N192" s="1405" t="str">
        <f t="shared" si="2"/>
        <v>-</v>
      </c>
      <c r="P192" s="1406">
        <f>ROUND(IF(L192='S1&amp;2 Lists'!$CV$3,K192,IF(L192='S1&amp;2 Lists'!$CV$4,K192/'S1&amp;2 Lists'!$CQ$6,0)),3)</f>
        <v>0</v>
      </c>
      <c r="Q192" s="10" t="s">
        <v>12</v>
      </c>
    </row>
    <row r="193" spans="1:17" s="652" customFormat="1">
      <c r="A193" s="455"/>
      <c r="B193" s="455"/>
      <c r="C193" s="653"/>
      <c r="D193" s="455"/>
      <c r="E193" s="654"/>
      <c r="F193" s="455"/>
      <c r="G193" s="648"/>
      <c r="H193" s="455"/>
      <c r="I193" s="654"/>
      <c r="J193" s="455"/>
      <c r="K193" s="455"/>
      <c r="L193" s="455"/>
      <c r="M193" s="1405" t="str">
        <f>+IFERROR(VLOOKUP(G193,'S1&amp;2 Lists'!$C$4:$G$200,3,FALSE),"-")</f>
        <v>-</v>
      </c>
      <c r="N193" s="1405" t="str">
        <f t="shared" si="2"/>
        <v>-</v>
      </c>
      <c r="P193" s="1406">
        <f>ROUND(IF(L193='S1&amp;2 Lists'!$CV$3,K193,IF(L193='S1&amp;2 Lists'!$CV$4,K193/'S1&amp;2 Lists'!$CQ$6,0)),3)</f>
        <v>0</v>
      </c>
      <c r="Q193" s="10" t="s">
        <v>12</v>
      </c>
    </row>
    <row r="194" spans="1:17" s="652" customFormat="1">
      <c r="A194" s="455"/>
      <c r="B194" s="455"/>
      <c r="C194" s="653"/>
      <c r="D194" s="455"/>
      <c r="E194" s="654"/>
      <c r="F194" s="455"/>
      <c r="G194" s="648"/>
      <c r="H194" s="455"/>
      <c r="I194" s="654"/>
      <c r="J194" s="455"/>
      <c r="K194" s="455"/>
      <c r="L194" s="455"/>
      <c r="M194" s="1405" t="str">
        <f>+IFERROR(VLOOKUP(G194,'S1&amp;2 Lists'!$C$4:$G$200,3,FALSE),"-")</f>
        <v>-</v>
      </c>
      <c r="N194" s="1405" t="str">
        <f t="shared" si="2"/>
        <v>-</v>
      </c>
      <c r="P194" s="1406">
        <f>ROUND(IF(L194='S1&amp;2 Lists'!$CV$3,K194,IF(L194='S1&amp;2 Lists'!$CV$4,K194/'S1&amp;2 Lists'!$CQ$6,0)),3)</f>
        <v>0</v>
      </c>
      <c r="Q194" s="10" t="s">
        <v>12</v>
      </c>
    </row>
    <row r="195" spans="1:17" s="652" customFormat="1">
      <c r="A195" s="455"/>
      <c r="B195" s="455"/>
      <c r="C195" s="653"/>
      <c r="D195" s="455"/>
      <c r="E195" s="654"/>
      <c r="F195" s="455"/>
      <c r="G195" s="648"/>
      <c r="H195" s="455"/>
      <c r="I195" s="654"/>
      <c r="J195" s="455"/>
      <c r="K195" s="455"/>
      <c r="L195" s="455"/>
      <c r="M195" s="1405" t="str">
        <f>+IFERROR(VLOOKUP(G195,'S1&amp;2 Lists'!$C$4:$G$200,3,FALSE),"-")</f>
        <v>-</v>
      </c>
      <c r="N195" s="1405" t="str">
        <f t="shared" si="2"/>
        <v>-</v>
      </c>
      <c r="P195" s="1406">
        <f>ROUND(IF(L195='S1&amp;2 Lists'!$CV$3,K195,IF(L195='S1&amp;2 Lists'!$CV$4,K195/'S1&amp;2 Lists'!$CQ$6,0)),3)</f>
        <v>0</v>
      </c>
      <c r="Q195" s="10" t="s">
        <v>12</v>
      </c>
    </row>
    <row r="196" spans="1:17" s="652" customFormat="1">
      <c r="A196" s="455"/>
      <c r="B196" s="455"/>
      <c r="C196" s="653"/>
      <c r="D196" s="455"/>
      <c r="E196" s="654"/>
      <c r="F196" s="455"/>
      <c r="G196" s="648"/>
      <c r="H196" s="455"/>
      <c r="I196" s="654"/>
      <c r="J196" s="455"/>
      <c r="K196" s="455"/>
      <c r="L196" s="455"/>
      <c r="M196" s="1405" t="str">
        <f>+IFERROR(VLOOKUP(G196,'S1&amp;2 Lists'!$C$4:$G$200,3,FALSE),"-")</f>
        <v>-</v>
      </c>
      <c r="N196" s="1405" t="str">
        <f t="shared" si="2"/>
        <v>-</v>
      </c>
      <c r="P196" s="1406">
        <f>ROUND(IF(L196='S1&amp;2 Lists'!$CV$3,K196,IF(L196='S1&amp;2 Lists'!$CV$4,K196/'S1&amp;2 Lists'!$CQ$6,0)),3)</f>
        <v>0</v>
      </c>
      <c r="Q196" s="10" t="s">
        <v>12</v>
      </c>
    </row>
    <row r="197" spans="1:17" s="652" customFormat="1">
      <c r="A197" s="455"/>
      <c r="B197" s="455"/>
      <c r="C197" s="653"/>
      <c r="D197" s="455"/>
      <c r="E197" s="654"/>
      <c r="F197" s="455"/>
      <c r="G197" s="648"/>
      <c r="H197" s="455"/>
      <c r="I197" s="654"/>
      <c r="J197" s="455"/>
      <c r="K197" s="455"/>
      <c r="L197" s="455"/>
      <c r="M197" s="1405" t="str">
        <f>+IFERROR(VLOOKUP(G197,'S1&amp;2 Lists'!$C$4:$G$200,3,FALSE),"-")</f>
        <v>-</v>
      </c>
      <c r="N197" s="1405" t="str">
        <f t="shared" si="2"/>
        <v>-</v>
      </c>
      <c r="P197" s="1406">
        <f>ROUND(IF(L197='S1&amp;2 Lists'!$CV$3,K197,IF(L197='S1&amp;2 Lists'!$CV$4,K197/'S1&amp;2 Lists'!$CQ$6,0)),3)</f>
        <v>0</v>
      </c>
      <c r="Q197" s="10" t="s">
        <v>12</v>
      </c>
    </row>
    <row r="198" spans="1:17" s="652" customFormat="1">
      <c r="A198" s="455"/>
      <c r="B198" s="455"/>
      <c r="C198" s="653"/>
      <c r="D198" s="455"/>
      <c r="E198" s="654"/>
      <c r="F198" s="455"/>
      <c r="G198" s="648"/>
      <c r="H198" s="455"/>
      <c r="I198" s="654"/>
      <c r="J198" s="455"/>
      <c r="K198" s="455"/>
      <c r="L198" s="455"/>
      <c r="M198" s="1405" t="str">
        <f>+IFERROR(VLOOKUP(G198,'S1&amp;2 Lists'!$C$4:$G$200,3,FALSE),"-")</f>
        <v>-</v>
      </c>
      <c r="N198" s="1405" t="str">
        <f t="shared" si="2"/>
        <v>-</v>
      </c>
      <c r="P198" s="1406">
        <f>ROUND(IF(L198='S1&amp;2 Lists'!$CV$3,K198,IF(L198='S1&amp;2 Lists'!$CV$4,K198/'S1&amp;2 Lists'!$CQ$6,0)),3)</f>
        <v>0</v>
      </c>
      <c r="Q198" s="10" t="s">
        <v>12</v>
      </c>
    </row>
    <row r="199" spans="1:17" s="652" customFormat="1">
      <c r="A199" s="455"/>
      <c r="B199" s="455"/>
      <c r="C199" s="653"/>
      <c r="D199" s="455"/>
      <c r="E199" s="654"/>
      <c r="F199" s="455"/>
      <c r="G199" s="648"/>
      <c r="H199" s="455"/>
      <c r="I199" s="654"/>
      <c r="J199" s="455"/>
      <c r="K199" s="455"/>
      <c r="L199" s="455"/>
      <c r="M199" s="1405" t="str">
        <f>+IFERROR(VLOOKUP(G199,'S1&amp;2 Lists'!$C$4:$G$200,3,FALSE),"-")</f>
        <v>-</v>
      </c>
      <c r="N199" s="1405" t="str">
        <f t="shared" si="2"/>
        <v>-</v>
      </c>
      <c r="P199" s="1406">
        <f>ROUND(IF(L199='S1&amp;2 Lists'!$CV$3,K199,IF(L199='S1&amp;2 Lists'!$CV$4,K199/'S1&amp;2 Lists'!$CQ$6,0)),3)</f>
        <v>0</v>
      </c>
      <c r="Q199" s="10" t="s">
        <v>12</v>
      </c>
    </row>
    <row r="200" spans="1:17" s="652" customFormat="1">
      <c r="A200" s="455"/>
      <c r="B200" s="455"/>
      <c r="C200" s="653"/>
      <c r="D200" s="455"/>
      <c r="E200" s="654"/>
      <c r="F200" s="455"/>
      <c r="G200" s="648"/>
      <c r="H200" s="455"/>
      <c r="I200" s="654"/>
      <c r="J200" s="455"/>
      <c r="K200" s="455"/>
      <c r="L200" s="455"/>
      <c r="M200" s="1405" t="str">
        <f>+IFERROR(VLOOKUP(G200,'S1&amp;2 Lists'!$C$4:$G$200,3,FALSE),"-")</f>
        <v>-</v>
      </c>
      <c r="N200" s="1405" t="str">
        <f t="shared" si="2"/>
        <v>-</v>
      </c>
      <c r="P200" s="1406">
        <f>ROUND(IF(L200='S1&amp;2 Lists'!$CV$3,K200,IF(L200='S1&amp;2 Lists'!$CV$4,K200/'S1&amp;2 Lists'!$CQ$6,0)),3)</f>
        <v>0</v>
      </c>
      <c r="Q200" s="10" t="s">
        <v>12</v>
      </c>
    </row>
    <row r="201" spans="1:17" s="652" customFormat="1">
      <c r="A201" s="455"/>
      <c r="B201" s="455"/>
      <c r="C201" s="653"/>
      <c r="D201" s="455"/>
      <c r="E201" s="654"/>
      <c r="F201" s="455"/>
      <c r="G201" s="648"/>
      <c r="H201" s="455"/>
      <c r="I201" s="654"/>
      <c r="J201" s="455"/>
      <c r="K201" s="455"/>
      <c r="L201" s="455"/>
      <c r="M201" s="1405" t="str">
        <f>+IFERROR(VLOOKUP(G201,'S1&amp;2 Lists'!$C$4:$G$200,3,FALSE),"-")</f>
        <v>-</v>
      </c>
      <c r="N201" s="1405" t="str">
        <f t="shared" si="2"/>
        <v>-</v>
      </c>
      <c r="P201" s="1406">
        <f>ROUND(IF(L201='S1&amp;2 Lists'!$CV$3,K201,IF(L201='S1&amp;2 Lists'!$CV$4,K201/'S1&amp;2 Lists'!$CQ$6,0)),3)</f>
        <v>0</v>
      </c>
      <c r="Q201" s="10" t="s">
        <v>12</v>
      </c>
    </row>
    <row r="202" spans="1:17" s="652" customFormat="1">
      <c r="A202" s="455"/>
      <c r="B202" s="455"/>
      <c r="C202" s="653"/>
      <c r="D202" s="455"/>
      <c r="E202" s="654"/>
      <c r="F202" s="455"/>
      <c r="G202" s="648"/>
      <c r="H202" s="455"/>
      <c r="I202" s="654"/>
      <c r="J202" s="455"/>
      <c r="K202" s="455"/>
      <c r="L202" s="455"/>
      <c r="M202" s="1405" t="str">
        <f>+IFERROR(VLOOKUP(G202,'S1&amp;2 Lists'!$C$4:$G$200,3,FALSE),"-")</f>
        <v>-</v>
      </c>
      <c r="N202" s="1405" t="str">
        <f t="shared" si="2"/>
        <v>-</v>
      </c>
      <c r="P202" s="1406">
        <f>ROUND(IF(L202='S1&amp;2 Lists'!$CV$3,K202,IF(L202='S1&amp;2 Lists'!$CV$4,K202/'S1&amp;2 Lists'!$CQ$6,0)),3)</f>
        <v>0</v>
      </c>
      <c r="Q202" s="10" t="s">
        <v>12</v>
      </c>
    </row>
    <row r="203" spans="1:17" s="652" customFormat="1">
      <c r="A203" s="455"/>
      <c r="B203" s="455"/>
      <c r="C203" s="653"/>
      <c r="D203" s="455"/>
      <c r="E203" s="654"/>
      <c r="F203" s="455"/>
      <c r="G203" s="648"/>
      <c r="H203" s="455"/>
      <c r="I203" s="654"/>
      <c r="J203" s="455"/>
      <c r="K203" s="455"/>
      <c r="L203" s="455"/>
      <c r="M203" s="1405" t="str">
        <f>+IFERROR(VLOOKUP(G203,'S1&amp;2 Lists'!$C$4:$G$200,3,FALSE),"-")</f>
        <v>-</v>
      </c>
      <c r="N203" s="1405" t="str">
        <f t="shared" ref="N203:N266" si="3">+IFERROR(P203*M203,"-")</f>
        <v>-</v>
      </c>
      <c r="P203" s="1406">
        <f>ROUND(IF(L203='S1&amp;2 Lists'!$CV$3,K203,IF(L203='S1&amp;2 Lists'!$CV$4,K203/'S1&amp;2 Lists'!$CQ$6,0)),3)</f>
        <v>0</v>
      </c>
      <c r="Q203" s="10" t="s">
        <v>12</v>
      </c>
    </row>
    <row r="204" spans="1:17" s="652" customFormat="1">
      <c r="A204" s="455"/>
      <c r="B204" s="455"/>
      <c r="C204" s="653"/>
      <c r="D204" s="455"/>
      <c r="E204" s="654"/>
      <c r="F204" s="455"/>
      <c r="G204" s="648"/>
      <c r="H204" s="455"/>
      <c r="I204" s="654"/>
      <c r="J204" s="455"/>
      <c r="K204" s="455"/>
      <c r="L204" s="455"/>
      <c r="M204" s="1405" t="str">
        <f>+IFERROR(VLOOKUP(G204,'S1&amp;2 Lists'!$C$4:$G$200,3,FALSE),"-")</f>
        <v>-</v>
      </c>
      <c r="N204" s="1405" t="str">
        <f t="shared" si="3"/>
        <v>-</v>
      </c>
      <c r="P204" s="1406">
        <f>ROUND(IF(L204='S1&amp;2 Lists'!$CV$3,K204,IF(L204='S1&amp;2 Lists'!$CV$4,K204/'S1&amp;2 Lists'!$CQ$6,0)),3)</f>
        <v>0</v>
      </c>
      <c r="Q204" s="10" t="s">
        <v>12</v>
      </c>
    </row>
    <row r="205" spans="1:17" s="652" customFormat="1">
      <c r="A205" s="455"/>
      <c r="B205" s="455"/>
      <c r="C205" s="653"/>
      <c r="D205" s="455"/>
      <c r="E205" s="654"/>
      <c r="F205" s="455"/>
      <c r="G205" s="648"/>
      <c r="H205" s="455"/>
      <c r="I205" s="654"/>
      <c r="J205" s="455"/>
      <c r="K205" s="455"/>
      <c r="L205" s="455"/>
      <c r="M205" s="1405" t="str">
        <f>+IFERROR(VLOOKUP(G205,'S1&amp;2 Lists'!$C$4:$G$200,3,FALSE),"-")</f>
        <v>-</v>
      </c>
      <c r="N205" s="1405" t="str">
        <f t="shared" si="3"/>
        <v>-</v>
      </c>
      <c r="P205" s="1406">
        <f>ROUND(IF(L205='S1&amp;2 Lists'!$CV$3,K205,IF(L205='S1&amp;2 Lists'!$CV$4,K205/'S1&amp;2 Lists'!$CQ$6,0)),3)</f>
        <v>0</v>
      </c>
      <c r="Q205" s="10" t="s">
        <v>12</v>
      </c>
    </row>
    <row r="206" spans="1:17" s="652" customFormat="1">
      <c r="A206" s="455"/>
      <c r="B206" s="455"/>
      <c r="C206" s="653"/>
      <c r="D206" s="455"/>
      <c r="E206" s="654"/>
      <c r="F206" s="455"/>
      <c r="G206" s="648"/>
      <c r="H206" s="455"/>
      <c r="I206" s="654"/>
      <c r="J206" s="455"/>
      <c r="K206" s="455"/>
      <c r="L206" s="455"/>
      <c r="M206" s="1405" t="str">
        <f>+IFERROR(VLOOKUP(G206,'S1&amp;2 Lists'!$C$4:$G$200,3,FALSE),"-")</f>
        <v>-</v>
      </c>
      <c r="N206" s="1405" t="str">
        <f t="shared" si="3"/>
        <v>-</v>
      </c>
      <c r="P206" s="1406">
        <f>ROUND(IF(L206='S1&amp;2 Lists'!$CV$3,K206,IF(L206='S1&amp;2 Lists'!$CV$4,K206/'S1&amp;2 Lists'!$CQ$6,0)),3)</f>
        <v>0</v>
      </c>
      <c r="Q206" s="10" t="s">
        <v>12</v>
      </c>
    </row>
    <row r="207" spans="1:17" s="652" customFormat="1">
      <c r="A207" s="455"/>
      <c r="B207" s="455"/>
      <c r="C207" s="653"/>
      <c r="D207" s="455"/>
      <c r="E207" s="654"/>
      <c r="F207" s="455"/>
      <c r="G207" s="648"/>
      <c r="H207" s="455"/>
      <c r="I207" s="654"/>
      <c r="J207" s="455"/>
      <c r="K207" s="455"/>
      <c r="L207" s="455"/>
      <c r="M207" s="1405" t="str">
        <f>+IFERROR(VLOOKUP(G207,'S1&amp;2 Lists'!$C$4:$G$200,3,FALSE),"-")</f>
        <v>-</v>
      </c>
      <c r="N207" s="1405" t="str">
        <f t="shared" si="3"/>
        <v>-</v>
      </c>
      <c r="P207" s="1406">
        <f>ROUND(IF(L207='S1&amp;2 Lists'!$CV$3,K207,IF(L207='S1&amp;2 Lists'!$CV$4,K207/'S1&amp;2 Lists'!$CQ$6,0)),3)</f>
        <v>0</v>
      </c>
      <c r="Q207" s="10" t="s">
        <v>12</v>
      </c>
    </row>
    <row r="208" spans="1:17" s="652" customFormat="1">
      <c r="A208" s="455"/>
      <c r="B208" s="455"/>
      <c r="C208" s="653"/>
      <c r="D208" s="455"/>
      <c r="E208" s="654"/>
      <c r="F208" s="455"/>
      <c r="G208" s="648"/>
      <c r="H208" s="455"/>
      <c r="I208" s="654"/>
      <c r="J208" s="455"/>
      <c r="K208" s="455"/>
      <c r="L208" s="455"/>
      <c r="M208" s="1405" t="str">
        <f>+IFERROR(VLOOKUP(G208,'S1&amp;2 Lists'!$C$4:$G$200,3,FALSE),"-")</f>
        <v>-</v>
      </c>
      <c r="N208" s="1405" t="str">
        <f t="shared" si="3"/>
        <v>-</v>
      </c>
      <c r="P208" s="1406">
        <f>ROUND(IF(L208='S1&amp;2 Lists'!$CV$3,K208,IF(L208='S1&amp;2 Lists'!$CV$4,K208/'S1&amp;2 Lists'!$CQ$6,0)),3)</f>
        <v>0</v>
      </c>
      <c r="Q208" s="10" t="s">
        <v>12</v>
      </c>
    </row>
    <row r="209" spans="1:17" s="652" customFormat="1">
      <c r="A209" s="455"/>
      <c r="B209" s="455"/>
      <c r="C209" s="653"/>
      <c r="D209" s="455"/>
      <c r="E209" s="654"/>
      <c r="F209" s="455"/>
      <c r="G209" s="648"/>
      <c r="H209" s="455"/>
      <c r="I209" s="654"/>
      <c r="J209" s="455"/>
      <c r="K209" s="455"/>
      <c r="L209" s="455"/>
      <c r="M209" s="1405" t="str">
        <f>+IFERROR(VLOOKUP(G209,'S1&amp;2 Lists'!$C$4:$G$200,3,FALSE),"-")</f>
        <v>-</v>
      </c>
      <c r="N209" s="1405" t="str">
        <f t="shared" si="3"/>
        <v>-</v>
      </c>
      <c r="P209" s="1406">
        <f>ROUND(IF(L209='S1&amp;2 Lists'!$CV$3,K209,IF(L209='S1&amp;2 Lists'!$CV$4,K209/'S1&amp;2 Lists'!$CQ$6,0)),3)</f>
        <v>0</v>
      </c>
      <c r="Q209" s="10" t="s">
        <v>12</v>
      </c>
    </row>
    <row r="210" spans="1:17" s="652" customFormat="1">
      <c r="A210" s="455"/>
      <c r="B210" s="455"/>
      <c r="C210" s="653"/>
      <c r="D210" s="455"/>
      <c r="E210" s="654"/>
      <c r="F210" s="455"/>
      <c r="G210" s="648"/>
      <c r="H210" s="455"/>
      <c r="I210" s="654"/>
      <c r="J210" s="455"/>
      <c r="K210" s="455"/>
      <c r="L210" s="455"/>
      <c r="M210" s="1405" t="str">
        <f>+IFERROR(VLOOKUP(G210,'S1&amp;2 Lists'!$C$4:$G$200,3,FALSE),"-")</f>
        <v>-</v>
      </c>
      <c r="N210" s="1405" t="str">
        <f t="shared" si="3"/>
        <v>-</v>
      </c>
      <c r="P210" s="1406">
        <f>ROUND(IF(L210='S1&amp;2 Lists'!$CV$3,K210,IF(L210='S1&amp;2 Lists'!$CV$4,K210/'S1&amp;2 Lists'!$CQ$6,0)),3)</f>
        <v>0</v>
      </c>
      <c r="Q210" s="10" t="s">
        <v>12</v>
      </c>
    </row>
    <row r="211" spans="1:17" s="652" customFormat="1">
      <c r="A211" s="455"/>
      <c r="B211" s="455"/>
      <c r="C211" s="653"/>
      <c r="D211" s="455"/>
      <c r="E211" s="654"/>
      <c r="F211" s="455"/>
      <c r="G211" s="648"/>
      <c r="H211" s="455"/>
      <c r="I211" s="654"/>
      <c r="J211" s="455"/>
      <c r="K211" s="455"/>
      <c r="L211" s="455"/>
      <c r="M211" s="1405" t="str">
        <f>+IFERROR(VLOOKUP(G211,'S1&amp;2 Lists'!$C$4:$G$200,3,FALSE),"-")</f>
        <v>-</v>
      </c>
      <c r="N211" s="1405" t="str">
        <f t="shared" si="3"/>
        <v>-</v>
      </c>
      <c r="P211" s="1406">
        <f>ROUND(IF(L211='S1&amp;2 Lists'!$CV$3,K211,IF(L211='S1&amp;2 Lists'!$CV$4,K211/'S1&amp;2 Lists'!$CQ$6,0)),3)</f>
        <v>0</v>
      </c>
      <c r="Q211" s="10" t="s">
        <v>12</v>
      </c>
    </row>
    <row r="212" spans="1:17" s="652" customFormat="1">
      <c r="A212" s="455"/>
      <c r="B212" s="455"/>
      <c r="C212" s="653"/>
      <c r="D212" s="455"/>
      <c r="E212" s="654"/>
      <c r="F212" s="455"/>
      <c r="G212" s="648"/>
      <c r="H212" s="455"/>
      <c r="I212" s="654"/>
      <c r="J212" s="455"/>
      <c r="K212" s="455"/>
      <c r="L212" s="455"/>
      <c r="M212" s="1405" t="str">
        <f>+IFERROR(VLOOKUP(G212,'S1&amp;2 Lists'!$C$4:$G$200,3,FALSE),"-")</f>
        <v>-</v>
      </c>
      <c r="N212" s="1405" t="str">
        <f t="shared" si="3"/>
        <v>-</v>
      </c>
      <c r="P212" s="1406">
        <f>ROUND(IF(L212='S1&amp;2 Lists'!$CV$3,K212,IF(L212='S1&amp;2 Lists'!$CV$4,K212/'S1&amp;2 Lists'!$CQ$6,0)),3)</f>
        <v>0</v>
      </c>
      <c r="Q212" s="10" t="s">
        <v>12</v>
      </c>
    </row>
    <row r="213" spans="1:17" s="652" customFormat="1">
      <c r="A213" s="455"/>
      <c r="B213" s="455"/>
      <c r="C213" s="653"/>
      <c r="D213" s="455"/>
      <c r="E213" s="654"/>
      <c r="F213" s="455"/>
      <c r="G213" s="648"/>
      <c r="H213" s="455"/>
      <c r="I213" s="654"/>
      <c r="J213" s="455"/>
      <c r="K213" s="455"/>
      <c r="L213" s="455"/>
      <c r="M213" s="1405" t="str">
        <f>+IFERROR(VLOOKUP(G213,'S1&amp;2 Lists'!$C$4:$G$200,3,FALSE),"-")</f>
        <v>-</v>
      </c>
      <c r="N213" s="1405" t="str">
        <f t="shared" si="3"/>
        <v>-</v>
      </c>
      <c r="P213" s="1406">
        <f>ROUND(IF(L213='S1&amp;2 Lists'!$CV$3,K213,IF(L213='S1&amp;2 Lists'!$CV$4,K213/'S1&amp;2 Lists'!$CQ$6,0)),3)</f>
        <v>0</v>
      </c>
      <c r="Q213" s="10" t="s">
        <v>12</v>
      </c>
    </row>
    <row r="214" spans="1:17" s="652" customFormat="1">
      <c r="A214" s="455"/>
      <c r="B214" s="455"/>
      <c r="C214" s="653"/>
      <c r="D214" s="455"/>
      <c r="E214" s="654"/>
      <c r="F214" s="455"/>
      <c r="G214" s="648"/>
      <c r="H214" s="455"/>
      <c r="I214" s="654"/>
      <c r="J214" s="455"/>
      <c r="K214" s="455"/>
      <c r="L214" s="455"/>
      <c r="M214" s="1405" t="str">
        <f>+IFERROR(VLOOKUP(G214,'S1&amp;2 Lists'!$C$4:$G$200,3,FALSE),"-")</f>
        <v>-</v>
      </c>
      <c r="N214" s="1405" t="str">
        <f t="shared" si="3"/>
        <v>-</v>
      </c>
      <c r="P214" s="1406">
        <f>ROUND(IF(L214='S1&amp;2 Lists'!$CV$3,K214,IF(L214='S1&amp;2 Lists'!$CV$4,K214/'S1&amp;2 Lists'!$CQ$6,0)),3)</f>
        <v>0</v>
      </c>
      <c r="Q214" s="10" t="s">
        <v>12</v>
      </c>
    </row>
    <row r="215" spans="1:17" s="652" customFormat="1">
      <c r="A215" s="455"/>
      <c r="B215" s="455"/>
      <c r="C215" s="653"/>
      <c r="D215" s="455"/>
      <c r="E215" s="654"/>
      <c r="F215" s="455"/>
      <c r="G215" s="648"/>
      <c r="H215" s="455"/>
      <c r="I215" s="654"/>
      <c r="J215" s="455"/>
      <c r="K215" s="455"/>
      <c r="L215" s="455"/>
      <c r="M215" s="1405" t="str">
        <f>+IFERROR(VLOOKUP(G215,'S1&amp;2 Lists'!$C$4:$G$200,3,FALSE),"-")</f>
        <v>-</v>
      </c>
      <c r="N215" s="1405" t="str">
        <f t="shared" si="3"/>
        <v>-</v>
      </c>
      <c r="P215" s="1406">
        <f>ROUND(IF(L215='S1&amp;2 Lists'!$CV$3,K215,IF(L215='S1&amp;2 Lists'!$CV$4,K215/'S1&amp;2 Lists'!$CQ$6,0)),3)</f>
        <v>0</v>
      </c>
      <c r="Q215" s="10" t="s">
        <v>12</v>
      </c>
    </row>
    <row r="216" spans="1:17" s="652" customFormat="1">
      <c r="A216" s="455"/>
      <c r="B216" s="455"/>
      <c r="C216" s="653"/>
      <c r="D216" s="455"/>
      <c r="E216" s="654"/>
      <c r="F216" s="455"/>
      <c r="G216" s="648"/>
      <c r="H216" s="455"/>
      <c r="I216" s="654"/>
      <c r="J216" s="455"/>
      <c r="K216" s="455"/>
      <c r="L216" s="455"/>
      <c r="M216" s="1405" t="str">
        <f>+IFERROR(VLOOKUP(G216,'S1&amp;2 Lists'!$C$4:$G$200,3,FALSE),"-")</f>
        <v>-</v>
      </c>
      <c r="N216" s="1405" t="str">
        <f t="shared" si="3"/>
        <v>-</v>
      </c>
      <c r="P216" s="1406">
        <f>ROUND(IF(L216='S1&amp;2 Lists'!$CV$3,K216,IF(L216='S1&amp;2 Lists'!$CV$4,K216/'S1&amp;2 Lists'!$CQ$6,0)),3)</f>
        <v>0</v>
      </c>
      <c r="Q216" s="10" t="s">
        <v>12</v>
      </c>
    </row>
    <row r="217" spans="1:17" s="652" customFormat="1">
      <c r="A217" s="455"/>
      <c r="B217" s="455"/>
      <c r="C217" s="653"/>
      <c r="D217" s="455"/>
      <c r="E217" s="654"/>
      <c r="F217" s="455"/>
      <c r="G217" s="648"/>
      <c r="H217" s="455"/>
      <c r="I217" s="654"/>
      <c r="J217" s="455"/>
      <c r="K217" s="455"/>
      <c r="L217" s="455"/>
      <c r="M217" s="1405" t="str">
        <f>+IFERROR(VLOOKUP(G217,'S1&amp;2 Lists'!$C$4:$G$200,3,FALSE),"-")</f>
        <v>-</v>
      </c>
      <c r="N217" s="1405" t="str">
        <f t="shared" si="3"/>
        <v>-</v>
      </c>
      <c r="P217" s="1406">
        <f>ROUND(IF(L217='S1&amp;2 Lists'!$CV$3,K217,IF(L217='S1&amp;2 Lists'!$CV$4,K217/'S1&amp;2 Lists'!$CQ$6,0)),3)</f>
        <v>0</v>
      </c>
      <c r="Q217" s="10" t="s">
        <v>12</v>
      </c>
    </row>
    <row r="218" spans="1:17" s="652" customFormat="1">
      <c r="A218" s="455"/>
      <c r="B218" s="455"/>
      <c r="C218" s="653"/>
      <c r="D218" s="455"/>
      <c r="E218" s="654"/>
      <c r="F218" s="455"/>
      <c r="G218" s="648"/>
      <c r="H218" s="455"/>
      <c r="I218" s="654"/>
      <c r="J218" s="455"/>
      <c r="K218" s="455"/>
      <c r="L218" s="455"/>
      <c r="M218" s="1405" t="str">
        <f>+IFERROR(VLOOKUP(G218,'S1&amp;2 Lists'!$C$4:$G$200,3,FALSE),"-")</f>
        <v>-</v>
      </c>
      <c r="N218" s="1405" t="str">
        <f t="shared" si="3"/>
        <v>-</v>
      </c>
      <c r="P218" s="1406">
        <f>ROUND(IF(L218='S1&amp;2 Lists'!$CV$3,K218,IF(L218='S1&amp;2 Lists'!$CV$4,K218/'S1&amp;2 Lists'!$CQ$6,0)),3)</f>
        <v>0</v>
      </c>
      <c r="Q218" s="10" t="s">
        <v>12</v>
      </c>
    </row>
    <row r="219" spans="1:17" s="652" customFormat="1">
      <c r="A219" s="455"/>
      <c r="B219" s="455"/>
      <c r="C219" s="653"/>
      <c r="D219" s="455"/>
      <c r="E219" s="654"/>
      <c r="F219" s="455"/>
      <c r="G219" s="648"/>
      <c r="H219" s="455"/>
      <c r="I219" s="654"/>
      <c r="J219" s="455"/>
      <c r="K219" s="455"/>
      <c r="L219" s="455"/>
      <c r="M219" s="1405" t="str">
        <f>+IFERROR(VLOOKUP(G219,'S1&amp;2 Lists'!$C$4:$G$200,3,FALSE),"-")</f>
        <v>-</v>
      </c>
      <c r="N219" s="1405" t="str">
        <f t="shared" si="3"/>
        <v>-</v>
      </c>
      <c r="P219" s="1406">
        <f>ROUND(IF(L219='S1&amp;2 Lists'!$CV$3,K219,IF(L219='S1&amp;2 Lists'!$CV$4,K219/'S1&amp;2 Lists'!$CQ$6,0)),3)</f>
        <v>0</v>
      </c>
      <c r="Q219" s="10" t="s">
        <v>12</v>
      </c>
    </row>
    <row r="220" spans="1:17" s="652" customFormat="1">
      <c r="A220" s="455"/>
      <c r="B220" s="455"/>
      <c r="C220" s="653"/>
      <c r="D220" s="455"/>
      <c r="E220" s="654"/>
      <c r="F220" s="455"/>
      <c r="G220" s="648"/>
      <c r="H220" s="455"/>
      <c r="I220" s="654"/>
      <c r="J220" s="455"/>
      <c r="K220" s="455"/>
      <c r="L220" s="455"/>
      <c r="M220" s="1405" t="str">
        <f>+IFERROR(VLOOKUP(G220,'S1&amp;2 Lists'!$C$4:$G$200,3,FALSE),"-")</f>
        <v>-</v>
      </c>
      <c r="N220" s="1405" t="str">
        <f t="shared" si="3"/>
        <v>-</v>
      </c>
      <c r="P220" s="1406">
        <f>ROUND(IF(L220='S1&amp;2 Lists'!$CV$3,K220,IF(L220='S1&amp;2 Lists'!$CV$4,K220/'S1&amp;2 Lists'!$CQ$6,0)),3)</f>
        <v>0</v>
      </c>
      <c r="Q220" s="10" t="s">
        <v>12</v>
      </c>
    </row>
    <row r="221" spans="1:17" s="652" customFormat="1">
      <c r="A221" s="455"/>
      <c r="B221" s="455"/>
      <c r="C221" s="653"/>
      <c r="D221" s="455"/>
      <c r="E221" s="654"/>
      <c r="F221" s="455"/>
      <c r="G221" s="648"/>
      <c r="H221" s="455"/>
      <c r="I221" s="654"/>
      <c r="J221" s="455"/>
      <c r="K221" s="455"/>
      <c r="L221" s="455"/>
      <c r="M221" s="1405" t="str">
        <f>+IFERROR(VLOOKUP(G221,'S1&amp;2 Lists'!$C$4:$G$200,3,FALSE),"-")</f>
        <v>-</v>
      </c>
      <c r="N221" s="1405" t="str">
        <f t="shared" si="3"/>
        <v>-</v>
      </c>
      <c r="P221" s="1406">
        <f>ROUND(IF(L221='S1&amp;2 Lists'!$CV$3,K221,IF(L221='S1&amp;2 Lists'!$CV$4,K221/'S1&amp;2 Lists'!$CQ$6,0)),3)</f>
        <v>0</v>
      </c>
      <c r="Q221" s="10" t="s">
        <v>12</v>
      </c>
    </row>
    <row r="222" spans="1:17" s="652" customFormat="1">
      <c r="A222" s="455"/>
      <c r="B222" s="455"/>
      <c r="C222" s="653"/>
      <c r="D222" s="455"/>
      <c r="E222" s="654"/>
      <c r="F222" s="455"/>
      <c r="G222" s="648"/>
      <c r="H222" s="455"/>
      <c r="I222" s="654"/>
      <c r="J222" s="455"/>
      <c r="K222" s="455"/>
      <c r="L222" s="455"/>
      <c r="M222" s="1405" t="str">
        <f>+IFERROR(VLOOKUP(G222,'S1&amp;2 Lists'!$C$4:$G$200,3,FALSE),"-")</f>
        <v>-</v>
      </c>
      <c r="N222" s="1405" t="str">
        <f t="shared" si="3"/>
        <v>-</v>
      </c>
      <c r="P222" s="1406">
        <f>ROUND(IF(L222='S1&amp;2 Lists'!$CV$3,K222,IF(L222='S1&amp;2 Lists'!$CV$4,K222/'S1&amp;2 Lists'!$CQ$6,0)),3)</f>
        <v>0</v>
      </c>
      <c r="Q222" s="10" t="s">
        <v>12</v>
      </c>
    </row>
    <row r="223" spans="1:17" s="652" customFormat="1">
      <c r="A223" s="455"/>
      <c r="B223" s="455"/>
      <c r="C223" s="653"/>
      <c r="D223" s="455"/>
      <c r="E223" s="654"/>
      <c r="F223" s="455"/>
      <c r="G223" s="648"/>
      <c r="H223" s="455"/>
      <c r="I223" s="654"/>
      <c r="J223" s="455"/>
      <c r="K223" s="455"/>
      <c r="L223" s="455"/>
      <c r="M223" s="1405" t="str">
        <f>+IFERROR(VLOOKUP(G223,'S1&amp;2 Lists'!$C$4:$G$200,3,FALSE),"-")</f>
        <v>-</v>
      </c>
      <c r="N223" s="1405" t="str">
        <f t="shared" si="3"/>
        <v>-</v>
      </c>
      <c r="P223" s="1406">
        <f>ROUND(IF(L223='S1&amp;2 Lists'!$CV$3,K223,IF(L223='S1&amp;2 Lists'!$CV$4,K223/'S1&amp;2 Lists'!$CQ$6,0)),3)</f>
        <v>0</v>
      </c>
      <c r="Q223" s="10" t="s">
        <v>12</v>
      </c>
    </row>
    <row r="224" spans="1:17" s="652" customFormat="1">
      <c r="A224" s="455"/>
      <c r="B224" s="455"/>
      <c r="C224" s="653"/>
      <c r="D224" s="455"/>
      <c r="E224" s="654"/>
      <c r="F224" s="455"/>
      <c r="G224" s="648"/>
      <c r="H224" s="455"/>
      <c r="I224" s="654"/>
      <c r="J224" s="455"/>
      <c r="K224" s="455"/>
      <c r="L224" s="455"/>
      <c r="M224" s="1405" t="str">
        <f>+IFERROR(VLOOKUP(G224,'S1&amp;2 Lists'!$C$4:$G$200,3,FALSE),"-")</f>
        <v>-</v>
      </c>
      <c r="N224" s="1405" t="str">
        <f t="shared" si="3"/>
        <v>-</v>
      </c>
      <c r="P224" s="1406">
        <f>ROUND(IF(L224='S1&amp;2 Lists'!$CV$3,K224,IF(L224='S1&amp;2 Lists'!$CV$4,K224/'S1&amp;2 Lists'!$CQ$6,0)),3)</f>
        <v>0</v>
      </c>
      <c r="Q224" s="10" t="s">
        <v>12</v>
      </c>
    </row>
    <row r="225" spans="1:17" s="652" customFormat="1">
      <c r="A225" s="455"/>
      <c r="B225" s="455"/>
      <c r="C225" s="653"/>
      <c r="D225" s="455"/>
      <c r="E225" s="654"/>
      <c r="F225" s="455"/>
      <c r="G225" s="648"/>
      <c r="H225" s="455"/>
      <c r="I225" s="654"/>
      <c r="J225" s="455"/>
      <c r="K225" s="455"/>
      <c r="L225" s="455"/>
      <c r="M225" s="1405" t="str">
        <f>+IFERROR(VLOOKUP(G225,'S1&amp;2 Lists'!$C$4:$G$200,3,FALSE),"-")</f>
        <v>-</v>
      </c>
      <c r="N225" s="1405" t="str">
        <f t="shared" si="3"/>
        <v>-</v>
      </c>
      <c r="P225" s="1406">
        <f>ROUND(IF(L225='S1&amp;2 Lists'!$CV$3,K225,IF(L225='S1&amp;2 Lists'!$CV$4,K225/'S1&amp;2 Lists'!$CQ$6,0)),3)</f>
        <v>0</v>
      </c>
      <c r="Q225" s="10" t="s">
        <v>12</v>
      </c>
    </row>
    <row r="226" spans="1:17" s="652" customFormat="1">
      <c r="A226" s="455"/>
      <c r="B226" s="455"/>
      <c r="C226" s="653"/>
      <c r="D226" s="455"/>
      <c r="E226" s="654"/>
      <c r="F226" s="455"/>
      <c r="G226" s="648"/>
      <c r="H226" s="455"/>
      <c r="I226" s="654"/>
      <c r="J226" s="455"/>
      <c r="K226" s="455"/>
      <c r="L226" s="455"/>
      <c r="M226" s="1405" t="str">
        <f>+IFERROR(VLOOKUP(G226,'S1&amp;2 Lists'!$C$4:$G$200,3,FALSE),"-")</f>
        <v>-</v>
      </c>
      <c r="N226" s="1405" t="str">
        <f t="shared" si="3"/>
        <v>-</v>
      </c>
      <c r="P226" s="1406">
        <f>ROUND(IF(L226='S1&amp;2 Lists'!$CV$3,K226,IF(L226='S1&amp;2 Lists'!$CV$4,K226/'S1&amp;2 Lists'!$CQ$6,0)),3)</f>
        <v>0</v>
      </c>
      <c r="Q226" s="10" t="s">
        <v>12</v>
      </c>
    </row>
    <row r="227" spans="1:17" s="652" customFormat="1">
      <c r="A227" s="455"/>
      <c r="B227" s="455"/>
      <c r="C227" s="653"/>
      <c r="D227" s="455"/>
      <c r="E227" s="654"/>
      <c r="F227" s="455"/>
      <c r="G227" s="648"/>
      <c r="H227" s="455"/>
      <c r="I227" s="654"/>
      <c r="J227" s="455"/>
      <c r="K227" s="455"/>
      <c r="L227" s="455"/>
      <c r="M227" s="1405" t="str">
        <f>+IFERROR(VLOOKUP(G227,'S1&amp;2 Lists'!$C$4:$G$200,3,FALSE),"-")</f>
        <v>-</v>
      </c>
      <c r="N227" s="1405" t="str">
        <f t="shared" si="3"/>
        <v>-</v>
      </c>
      <c r="P227" s="1406">
        <f>ROUND(IF(L227='S1&amp;2 Lists'!$CV$3,K227,IF(L227='S1&amp;2 Lists'!$CV$4,K227/'S1&amp;2 Lists'!$CQ$6,0)),3)</f>
        <v>0</v>
      </c>
      <c r="Q227" s="10" t="s">
        <v>12</v>
      </c>
    </row>
    <row r="228" spans="1:17" s="652" customFormat="1">
      <c r="A228" s="455"/>
      <c r="B228" s="455"/>
      <c r="C228" s="653"/>
      <c r="D228" s="455"/>
      <c r="E228" s="654"/>
      <c r="F228" s="455"/>
      <c r="G228" s="648"/>
      <c r="H228" s="455"/>
      <c r="I228" s="654"/>
      <c r="J228" s="455"/>
      <c r="K228" s="455"/>
      <c r="L228" s="455"/>
      <c r="M228" s="1405" t="str">
        <f>+IFERROR(VLOOKUP(G228,'S1&amp;2 Lists'!$C$4:$G$200,3,FALSE),"-")</f>
        <v>-</v>
      </c>
      <c r="N228" s="1405" t="str">
        <f t="shared" si="3"/>
        <v>-</v>
      </c>
      <c r="P228" s="1406">
        <f>ROUND(IF(L228='S1&amp;2 Lists'!$CV$3,K228,IF(L228='S1&amp;2 Lists'!$CV$4,K228/'S1&amp;2 Lists'!$CQ$6,0)),3)</f>
        <v>0</v>
      </c>
      <c r="Q228" s="10" t="s">
        <v>12</v>
      </c>
    </row>
    <row r="229" spans="1:17" s="652" customFormat="1">
      <c r="A229" s="455"/>
      <c r="B229" s="455"/>
      <c r="C229" s="653"/>
      <c r="D229" s="455"/>
      <c r="E229" s="654"/>
      <c r="F229" s="455"/>
      <c r="G229" s="648"/>
      <c r="H229" s="455"/>
      <c r="I229" s="654"/>
      <c r="J229" s="455"/>
      <c r="K229" s="455"/>
      <c r="L229" s="455"/>
      <c r="M229" s="1405" t="str">
        <f>+IFERROR(VLOOKUP(G229,'S1&amp;2 Lists'!$C$4:$G$200,3,FALSE),"-")</f>
        <v>-</v>
      </c>
      <c r="N229" s="1405" t="str">
        <f t="shared" si="3"/>
        <v>-</v>
      </c>
      <c r="P229" s="1406">
        <f>ROUND(IF(L229='S1&amp;2 Lists'!$CV$3,K229,IF(L229='S1&amp;2 Lists'!$CV$4,K229/'S1&amp;2 Lists'!$CQ$6,0)),3)</f>
        <v>0</v>
      </c>
      <c r="Q229" s="10" t="s">
        <v>12</v>
      </c>
    </row>
    <row r="230" spans="1:17" s="652" customFormat="1">
      <c r="A230" s="455"/>
      <c r="B230" s="455"/>
      <c r="C230" s="653"/>
      <c r="D230" s="455"/>
      <c r="E230" s="654"/>
      <c r="F230" s="455"/>
      <c r="G230" s="648"/>
      <c r="H230" s="455"/>
      <c r="I230" s="654"/>
      <c r="J230" s="455"/>
      <c r="K230" s="455"/>
      <c r="L230" s="455"/>
      <c r="M230" s="1405" t="str">
        <f>+IFERROR(VLOOKUP(G230,'S1&amp;2 Lists'!$C$4:$G$200,3,FALSE),"-")</f>
        <v>-</v>
      </c>
      <c r="N230" s="1405" t="str">
        <f t="shared" si="3"/>
        <v>-</v>
      </c>
      <c r="P230" s="1406">
        <f>ROUND(IF(L230='S1&amp;2 Lists'!$CV$3,K230,IF(L230='S1&amp;2 Lists'!$CV$4,K230/'S1&amp;2 Lists'!$CQ$6,0)),3)</f>
        <v>0</v>
      </c>
      <c r="Q230" s="10" t="s">
        <v>12</v>
      </c>
    </row>
    <row r="231" spans="1:17" s="652" customFormat="1">
      <c r="A231" s="455"/>
      <c r="B231" s="455"/>
      <c r="C231" s="653"/>
      <c r="D231" s="455"/>
      <c r="E231" s="654"/>
      <c r="F231" s="455"/>
      <c r="G231" s="648"/>
      <c r="H231" s="455"/>
      <c r="I231" s="654"/>
      <c r="J231" s="455"/>
      <c r="K231" s="455"/>
      <c r="L231" s="455"/>
      <c r="M231" s="1405" t="str">
        <f>+IFERROR(VLOOKUP(G231,'S1&amp;2 Lists'!$C$4:$G$200,3,FALSE),"-")</f>
        <v>-</v>
      </c>
      <c r="N231" s="1405" t="str">
        <f t="shared" si="3"/>
        <v>-</v>
      </c>
      <c r="P231" s="1406">
        <f>ROUND(IF(L231='S1&amp;2 Lists'!$CV$3,K231,IF(L231='S1&amp;2 Lists'!$CV$4,K231/'S1&amp;2 Lists'!$CQ$6,0)),3)</f>
        <v>0</v>
      </c>
      <c r="Q231" s="10" t="s">
        <v>12</v>
      </c>
    </row>
    <row r="232" spans="1:17" s="652" customFormat="1">
      <c r="A232" s="455"/>
      <c r="B232" s="455"/>
      <c r="C232" s="653"/>
      <c r="D232" s="455"/>
      <c r="E232" s="654"/>
      <c r="F232" s="455"/>
      <c r="G232" s="648"/>
      <c r="H232" s="455"/>
      <c r="I232" s="654"/>
      <c r="J232" s="455"/>
      <c r="K232" s="455"/>
      <c r="L232" s="455"/>
      <c r="M232" s="1405" t="str">
        <f>+IFERROR(VLOOKUP(G232,'S1&amp;2 Lists'!$C$4:$G$200,3,FALSE),"-")</f>
        <v>-</v>
      </c>
      <c r="N232" s="1405" t="str">
        <f t="shared" si="3"/>
        <v>-</v>
      </c>
      <c r="P232" s="1406">
        <f>ROUND(IF(L232='S1&amp;2 Lists'!$CV$3,K232,IF(L232='S1&amp;2 Lists'!$CV$4,K232/'S1&amp;2 Lists'!$CQ$6,0)),3)</f>
        <v>0</v>
      </c>
      <c r="Q232" s="10" t="s">
        <v>12</v>
      </c>
    </row>
    <row r="233" spans="1:17" s="652" customFormat="1">
      <c r="A233" s="455"/>
      <c r="B233" s="455"/>
      <c r="C233" s="653"/>
      <c r="D233" s="455"/>
      <c r="E233" s="654"/>
      <c r="F233" s="455"/>
      <c r="G233" s="648"/>
      <c r="H233" s="455"/>
      <c r="I233" s="654"/>
      <c r="J233" s="455"/>
      <c r="K233" s="455"/>
      <c r="L233" s="455"/>
      <c r="M233" s="1405" t="str">
        <f>+IFERROR(VLOOKUP(G233,'S1&amp;2 Lists'!$C$4:$G$200,3,FALSE),"-")</f>
        <v>-</v>
      </c>
      <c r="N233" s="1405" t="str">
        <f t="shared" si="3"/>
        <v>-</v>
      </c>
      <c r="P233" s="1406">
        <f>ROUND(IF(L233='S1&amp;2 Lists'!$CV$3,K233,IF(L233='S1&amp;2 Lists'!$CV$4,K233/'S1&amp;2 Lists'!$CQ$6,0)),3)</f>
        <v>0</v>
      </c>
      <c r="Q233" s="10" t="s">
        <v>12</v>
      </c>
    </row>
    <row r="234" spans="1:17" s="652" customFormat="1">
      <c r="A234" s="455"/>
      <c r="B234" s="455"/>
      <c r="C234" s="653"/>
      <c r="D234" s="455"/>
      <c r="E234" s="654"/>
      <c r="F234" s="455"/>
      <c r="G234" s="648"/>
      <c r="H234" s="455"/>
      <c r="I234" s="654"/>
      <c r="J234" s="455"/>
      <c r="K234" s="455"/>
      <c r="L234" s="455"/>
      <c r="M234" s="1405" t="str">
        <f>+IFERROR(VLOOKUP(G234,'S1&amp;2 Lists'!$C$4:$G$200,3,FALSE),"-")</f>
        <v>-</v>
      </c>
      <c r="N234" s="1405" t="str">
        <f t="shared" si="3"/>
        <v>-</v>
      </c>
      <c r="P234" s="1406">
        <f>ROUND(IF(L234='S1&amp;2 Lists'!$CV$3,K234,IF(L234='S1&amp;2 Lists'!$CV$4,K234/'S1&amp;2 Lists'!$CQ$6,0)),3)</f>
        <v>0</v>
      </c>
      <c r="Q234" s="10" t="s">
        <v>12</v>
      </c>
    </row>
    <row r="235" spans="1:17" s="652" customFormat="1">
      <c r="A235" s="455"/>
      <c r="B235" s="455"/>
      <c r="C235" s="653"/>
      <c r="D235" s="455"/>
      <c r="E235" s="654"/>
      <c r="F235" s="455"/>
      <c r="G235" s="648"/>
      <c r="H235" s="455"/>
      <c r="I235" s="654"/>
      <c r="J235" s="455"/>
      <c r="K235" s="455"/>
      <c r="L235" s="455"/>
      <c r="M235" s="1405" t="str">
        <f>+IFERROR(VLOOKUP(G235,'S1&amp;2 Lists'!$C$4:$G$200,3,FALSE),"-")</f>
        <v>-</v>
      </c>
      <c r="N235" s="1405" t="str">
        <f t="shared" si="3"/>
        <v>-</v>
      </c>
      <c r="P235" s="1406">
        <f>ROUND(IF(L235='S1&amp;2 Lists'!$CV$3,K235,IF(L235='S1&amp;2 Lists'!$CV$4,K235/'S1&amp;2 Lists'!$CQ$6,0)),3)</f>
        <v>0</v>
      </c>
      <c r="Q235" s="10" t="s">
        <v>12</v>
      </c>
    </row>
    <row r="236" spans="1:17" s="652" customFormat="1">
      <c r="A236" s="455"/>
      <c r="B236" s="455"/>
      <c r="C236" s="653"/>
      <c r="D236" s="455"/>
      <c r="E236" s="654"/>
      <c r="F236" s="455"/>
      <c r="G236" s="648"/>
      <c r="H236" s="455"/>
      <c r="I236" s="654"/>
      <c r="J236" s="455"/>
      <c r="K236" s="455"/>
      <c r="L236" s="455"/>
      <c r="M236" s="1405" t="str">
        <f>+IFERROR(VLOOKUP(G236,'S1&amp;2 Lists'!$C$4:$G$200,3,FALSE),"-")</f>
        <v>-</v>
      </c>
      <c r="N236" s="1405" t="str">
        <f t="shared" si="3"/>
        <v>-</v>
      </c>
      <c r="P236" s="1406">
        <f>ROUND(IF(L236='S1&amp;2 Lists'!$CV$3,K236,IF(L236='S1&amp;2 Lists'!$CV$4,K236/'S1&amp;2 Lists'!$CQ$6,0)),3)</f>
        <v>0</v>
      </c>
      <c r="Q236" s="10" t="s">
        <v>12</v>
      </c>
    </row>
    <row r="237" spans="1:17" s="652" customFormat="1">
      <c r="A237" s="455"/>
      <c r="B237" s="455"/>
      <c r="C237" s="653"/>
      <c r="D237" s="455"/>
      <c r="E237" s="654"/>
      <c r="F237" s="455"/>
      <c r="G237" s="648"/>
      <c r="H237" s="455"/>
      <c r="I237" s="654"/>
      <c r="J237" s="455"/>
      <c r="K237" s="455"/>
      <c r="L237" s="455"/>
      <c r="M237" s="1405" t="str">
        <f>+IFERROR(VLOOKUP(G237,'S1&amp;2 Lists'!$C$4:$G$200,3,FALSE),"-")</f>
        <v>-</v>
      </c>
      <c r="N237" s="1405" t="str">
        <f t="shared" si="3"/>
        <v>-</v>
      </c>
      <c r="P237" s="1406">
        <f>ROUND(IF(L237='S1&amp;2 Lists'!$CV$3,K237,IF(L237='S1&amp;2 Lists'!$CV$4,K237/'S1&amp;2 Lists'!$CQ$6,0)),3)</f>
        <v>0</v>
      </c>
      <c r="Q237" s="10" t="s">
        <v>12</v>
      </c>
    </row>
    <row r="238" spans="1:17" s="652" customFormat="1">
      <c r="A238" s="455"/>
      <c r="B238" s="455"/>
      <c r="C238" s="653"/>
      <c r="D238" s="455"/>
      <c r="E238" s="654"/>
      <c r="F238" s="455"/>
      <c r="G238" s="648"/>
      <c r="H238" s="455"/>
      <c r="I238" s="654"/>
      <c r="J238" s="455"/>
      <c r="K238" s="455"/>
      <c r="L238" s="455"/>
      <c r="M238" s="1405" t="str">
        <f>+IFERROR(VLOOKUP(G238,'S1&amp;2 Lists'!$C$4:$G$200,3,FALSE),"-")</f>
        <v>-</v>
      </c>
      <c r="N238" s="1405" t="str">
        <f t="shared" si="3"/>
        <v>-</v>
      </c>
      <c r="P238" s="1406">
        <f>ROUND(IF(L238='S1&amp;2 Lists'!$CV$3,K238,IF(L238='S1&amp;2 Lists'!$CV$4,K238/'S1&amp;2 Lists'!$CQ$6,0)),3)</f>
        <v>0</v>
      </c>
      <c r="Q238" s="10" t="s">
        <v>12</v>
      </c>
    </row>
    <row r="239" spans="1:17" s="652" customFormat="1">
      <c r="A239" s="455"/>
      <c r="B239" s="455"/>
      <c r="C239" s="653"/>
      <c r="D239" s="455"/>
      <c r="E239" s="654"/>
      <c r="F239" s="455"/>
      <c r="G239" s="648"/>
      <c r="H239" s="455"/>
      <c r="I239" s="654"/>
      <c r="J239" s="455"/>
      <c r="K239" s="455"/>
      <c r="L239" s="455"/>
      <c r="M239" s="1405" t="str">
        <f>+IFERROR(VLOOKUP(G239,'S1&amp;2 Lists'!$C$4:$G$200,3,FALSE),"-")</f>
        <v>-</v>
      </c>
      <c r="N239" s="1405" t="str">
        <f t="shared" si="3"/>
        <v>-</v>
      </c>
      <c r="P239" s="1406">
        <f>ROUND(IF(L239='S1&amp;2 Lists'!$CV$3,K239,IF(L239='S1&amp;2 Lists'!$CV$4,K239/'S1&amp;2 Lists'!$CQ$6,0)),3)</f>
        <v>0</v>
      </c>
      <c r="Q239" s="10" t="s">
        <v>12</v>
      </c>
    </row>
    <row r="240" spans="1:17" s="652" customFormat="1">
      <c r="A240" s="455"/>
      <c r="B240" s="455"/>
      <c r="C240" s="653"/>
      <c r="D240" s="455"/>
      <c r="E240" s="654"/>
      <c r="F240" s="455"/>
      <c r="G240" s="648"/>
      <c r="H240" s="455"/>
      <c r="I240" s="654"/>
      <c r="J240" s="455"/>
      <c r="K240" s="455"/>
      <c r="L240" s="455"/>
      <c r="M240" s="1405" t="str">
        <f>+IFERROR(VLOOKUP(G240,'S1&amp;2 Lists'!$C$4:$G$200,3,FALSE),"-")</f>
        <v>-</v>
      </c>
      <c r="N240" s="1405" t="str">
        <f t="shared" si="3"/>
        <v>-</v>
      </c>
      <c r="P240" s="1406">
        <f>ROUND(IF(L240='S1&amp;2 Lists'!$CV$3,K240,IF(L240='S1&amp;2 Lists'!$CV$4,K240/'S1&amp;2 Lists'!$CQ$6,0)),3)</f>
        <v>0</v>
      </c>
      <c r="Q240" s="10" t="s">
        <v>12</v>
      </c>
    </row>
    <row r="241" spans="1:17" s="652" customFormat="1">
      <c r="A241" s="455"/>
      <c r="B241" s="455"/>
      <c r="C241" s="653"/>
      <c r="D241" s="455"/>
      <c r="E241" s="654"/>
      <c r="F241" s="455"/>
      <c r="G241" s="648"/>
      <c r="H241" s="455"/>
      <c r="I241" s="654"/>
      <c r="J241" s="455"/>
      <c r="K241" s="455"/>
      <c r="L241" s="455"/>
      <c r="M241" s="1405" t="str">
        <f>+IFERROR(VLOOKUP(G241,'S1&amp;2 Lists'!$C$4:$G$200,3,FALSE),"-")</f>
        <v>-</v>
      </c>
      <c r="N241" s="1405" t="str">
        <f t="shared" si="3"/>
        <v>-</v>
      </c>
      <c r="P241" s="1406">
        <f>ROUND(IF(L241='S1&amp;2 Lists'!$CV$3,K241,IF(L241='S1&amp;2 Lists'!$CV$4,K241/'S1&amp;2 Lists'!$CQ$6,0)),3)</f>
        <v>0</v>
      </c>
      <c r="Q241" s="10" t="s">
        <v>12</v>
      </c>
    </row>
    <row r="242" spans="1:17" s="652" customFormat="1">
      <c r="A242" s="455"/>
      <c r="B242" s="455"/>
      <c r="C242" s="653"/>
      <c r="D242" s="455"/>
      <c r="E242" s="654"/>
      <c r="F242" s="455"/>
      <c r="G242" s="648"/>
      <c r="H242" s="455"/>
      <c r="I242" s="654"/>
      <c r="J242" s="455"/>
      <c r="K242" s="455"/>
      <c r="L242" s="455"/>
      <c r="M242" s="1405" t="str">
        <f>+IFERROR(VLOOKUP(G242,'S1&amp;2 Lists'!$C$4:$G$200,3,FALSE),"-")</f>
        <v>-</v>
      </c>
      <c r="N242" s="1405" t="str">
        <f t="shared" si="3"/>
        <v>-</v>
      </c>
      <c r="P242" s="1406">
        <f>ROUND(IF(L242='S1&amp;2 Lists'!$CV$3,K242,IF(L242='S1&amp;2 Lists'!$CV$4,K242/'S1&amp;2 Lists'!$CQ$6,0)),3)</f>
        <v>0</v>
      </c>
      <c r="Q242" s="10" t="s">
        <v>12</v>
      </c>
    </row>
    <row r="243" spans="1:17" s="652" customFormat="1">
      <c r="A243" s="455"/>
      <c r="B243" s="455"/>
      <c r="C243" s="653"/>
      <c r="D243" s="455"/>
      <c r="E243" s="654"/>
      <c r="F243" s="455"/>
      <c r="G243" s="648"/>
      <c r="H243" s="455"/>
      <c r="I243" s="654"/>
      <c r="J243" s="455"/>
      <c r="K243" s="455"/>
      <c r="L243" s="455"/>
      <c r="M243" s="1405" t="str">
        <f>+IFERROR(VLOOKUP(G243,'S1&amp;2 Lists'!$C$4:$G$200,3,FALSE),"-")</f>
        <v>-</v>
      </c>
      <c r="N243" s="1405" t="str">
        <f t="shared" si="3"/>
        <v>-</v>
      </c>
      <c r="P243" s="1406">
        <f>ROUND(IF(L243='S1&amp;2 Lists'!$CV$3,K243,IF(L243='S1&amp;2 Lists'!$CV$4,K243/'S1&amp;2 Lists'!$CQ$6,0)),3)</f>
        <v>0</v>
      </c>
      <c r="Q243" s="10" t="s">
        <v>12</v>
      </c>
    </row>
    <row r="244" spans="1:17" s="652" customFormat="1">
      <c r="A244" s="455"/>
      <c r="B244" s="455"/>
      <c r="C244" s="653"/>
      <c r="D244" s="455"/>
      <c r="E244" s="654"/>
      <c r="F244" s="455"/>
      <c r="G244" s="648"/>
      <c r="H244" s="455"/>
      <c r="I244" s="654"/>
      <c r="J244" s="455"/>
      <c r="K244" s="455"/>
      <c r="L244" s="455"/>
      <c r="M244" s="1405" t="str">
        <f>+IFERROR(VLOOKUP(G244,'S1&amp;2 Lists'!$C$4:$G$200,3,FALSE),"-")</f>
        <v>-</v>
      </c>
      <c r="N244" s="1405" t="str">
        <f t="shared" si="3"/>
        <v>-</v>
      </c>
      <c r="P244" s="1406">
        <f>ROUND(IF(L244='S1&amp;2 Lists'!$CV$3,K244,IF(L244='S1&amp;2 Lists'!$CV$4,K244/'S1&amp;2 Lists'!$CQ$6,0)),3)</f>
        <v>0</v>
      </c>
      <c r="Q244" s="10" t="s">
        <v>12</v>
      </c>
    </row>
    <row r="245" spans="1:17" s="652" customFormat="1">
      <c r="A245" s="455"/>
      <c r="B245" s="455"/>
      <c r="C245" s="653"/>
      <c r="D245" s="455"/>
      <c r="E245" s="654"/>
      <c r="F245" s="455"/>
      <c r="G245" s="648"/>
      <c r="H245" s="455"/>
      <c r="I245" s="654"/>
      <c r="J245" s="455"/>
      <c r="K245" s="455"/>
      <c r="L245" s="455"/>
      <c r="M245" s="1405" t="str">
        <f>+IFERROR(VLOOKUP(G245,'S1&amp;2 Lists'!$C$4:$G$200,3,FALSE),"-")</f>
        <v>-</v>
      </c>
      <c r="N245" s="1405" t="str">
        <f t="shared" si="3"/>
        <v>-</v>
      </c>
      <c r="P245" s="1406">
        <f>ROUND(IF(L245='S1&amp;2 Lists'!$CV$3,K245,IF(L245='S1&amp;2 Lists'!$CV$4,K245/'S1&amp;2 Lists'!$CQ$6,0)),3)</f>
        <v>0</v>
      </c>
      <c r="Q245" s="10" t="s">
        <v>12</v>
      </c>
    </row>
    <row r="246" spans="1:17" s="652" customFormat="1">
      <c r="A246" s="455"/>
      <c r="B246" s="455"/>
      <c r="C246" s="653"/>
      <c r="D246" s="455"/>
      <c r="E246" s="654"/>
      <c r="F246" s="455"/>
      <c r="G246" s="648"/>
      <c r="H246" s="455"/>
      <c r="I246" s="654"/>
      <c r="J246" s="455"/>
      <c r="K246" s="455"/>
      <c r="L246" s="455"/>
      <c r="M246" s="1405" t="str">
        <f>+IFERROR(VLOOKUP(G246,'S1&amp;2 Lists'!$C$4:$G$200,3,FALSE),"-")</f>
        <v>-</v>
      </c>
      <c r="N246" s="1405" t="str">
        <f t="shared" si="3"/>
        <v>-</v>
      </c>
      <c r="P246" s="1406">
        <f>ROUND(IF(L246='S1&amp;2 Lists'!$CV$3,K246,IF(L246='S1&amp;2 Lists'!$CV$4,K246/'S1&amp;2 Lists'!$CQ$6,0)),3)</f>
        <v>0</v>
      </c>
      <c r="Q246" s="10" t="s">
        <v>12</v>
      </c>
    </row>
    <row r="247" spans="1:17" s="652" customFormat="1">
      <c r="A247" s="455"/>
      <c r="B247" s="455"/>
      <c r="C247" s="653"/>
      <c r="D247" s="455"/>
      <c r="E247" s="654"/>
      <c r="F247" s="455"/>
      <c r="G247" s="648"/>
      <c r="H247" s="455"/>
      <c r="I247" s="654"/>
      <c r="J247" s="455"/>
      <c r="K247" s="455"/>
      <c r="L247" s="455"/>
      <c r="M247" s="1405" t="str">
        <f>+IFERROR(VLOOKUP(G247,'S1&amp;2 Lists'!$C$4:$G$200,3,FALSE),"-")</f>
        <v>-</v>
      </c>
      <c r="N247" s="1405" t="str">
        <f t="shared" si="3"/>
        <v>-</v>
      </c>
      <c r="P247" s="1406">
        <f>ROUND(IF(L247='S1&amp;2 Lists'!$CV$3,K247,IF(L247='S1&amp;2 Lists'!$CV$4,K247/'S1&amp;2 Lists'!$CQ$6,0)),3)</f>
        <v>0</v>
      </c>
      <c r="Q247" s="10" t="s">
        <v>12</v>
      </c>
    </row>
    <row r="248" spans="1:17" s="652" customFormat="1">
      <c r="A248" s="455"/>
      <c r="B248" s="455"/>
      <c r="C248" s="653"/>
      <c r="D248" s="455"/>
      <c r="E248" s="654"/>
      <c r="F248" s="455"/>
      <c r="G248" s="648"/>
      <c r="H248" s="455"/>
      <c r="I248" s="654"/>
      <c r="J248" s="455"/>
      <c r="K248" s="455"/>
      <c r="L248" s="455"/>
      <c r="M248" s="1405" t="str">
        <f>+IFERROR(VLOOKUP(G248,'S1&amp;2 Lists'!$C$4:$G$200,3,FALSE),"-")</f>
        <v>-</v>
      </c>
      <c r="N248" s="1405" t="str">
        <f t="shared" si="3"/>
        <v>-</v>
      </c>
      <c r="P248" s="1406">
        <f>ROUND(IF(L248='S1&amp;2 Lists'!$CV$3,K248,IF(L248='S1&amp;2 Lists'!$CV$4,K248/'S1&amp;2 Lists'!$CQ$6,0)),3)</f>
        <v>0</v>
      </c>
      <c r="Q248" s="10" t="s">
        <v>12</v>
      </c>
    </row>
    <row r="249" spans="1:17" s="652" customFormat="1">
      <c r="A249" s="455"/>
      <c r="B249" s="455"/>
      <c r="C249" s="653"/>
      <c r="D249" s="455"/>
      <c r="E249" s="654"/>
      <c r="F249" s="455"/>
      <c r="G249" s="648"/>
      <c r="H249" s="455"/>
      <c r="I249" s="654"/>
      <c r="J249" s="455"/>
      <c r="K249" s="455"/>
      <c r="L249" s="455"/>
      <c r="M249" s="1405" t="str">
        <f>+IFERROR(VLOOKUP(G249,'S1&amp;2 Lists'!$C$4:$G$200,3,FALSE),"-")</f>
        <v>-</v>
      </c>
      <c r="N249" s="1405" t="str">
        <f t="shared" si="3"/>
        <v>-</v>
      </c>
      <c r="P249" s="1406">
        <f>ROUND(IF(L249='S1&amp;2 Lists'!$CV$3,K249,IF(L249='S1&amp;2 Lists'!$CV$4,K249/'S1&amp;2 Lists'!$CQ$6,0)),3)</f>
        <v>0</v>
      </c>
      <c r="Q249" s="10" t="s">
        <v>12</v>
      </c>
    </row>
    <row r="250" spans="1:17" s="652" customFormat="1">
      <c r="A250" s="455"/>
      <c r="B250" s="455"/>
      <c r="C250" s="653"/>
      <c r="D250" s="455"/>
      <c r="E250" s="654"/>
      <c r="F250" s="455"/>
      <c r="G250" s="648"/>
      <c r="H250" s="455"/>
      <c r="I250" s="654"/>
      <c r="J250" s="455"/>
      <c r="K250" s="455"/>
      <c r="L250" s="455"/>
      <c r="M250" s="1405" t="str">
        <f>+IFERROR(VLOOKUP(G250,'S1&amp;2 Lists'!$C$4:$G$200,3,FALSE),"-")</f>
        <v>-</v>
      </c>
      <c r="N250" s="1405" t="str">
        <f t="shared" si="3"/>
        <v>-</v>
      </c>
      <c r="P250" s="1406">
        <f>ROUND(IF(L250='S1&amp;2 Lists'!$CV$3,K250,IF(L250='S1&amp;2 Lists'!$CV$4,K250/'S1&amp;2 Lists'!$CQ$6,0)),3)</f>
        <v>0</v>
      </c>
      <c r="Q250" s="10" t="s">
        <v>12</v>
      </c>
    </row>
    <row r="251" spans="1:17" s="652" customFormat="1">
      <c r="A251" s="455"/>
      <c r="B251" s="455"/>
      <c r="C251" s="653"/>
      <c r="D251" s="455"/>
      <c r="E251" s="654"/>
      <c r="F251" s="455"/>
      <c r="G251" s="648"/>
      <c r="H251" s="455"/>
      <c r="I251" s="654"/>
      <c r="J251" s="455"/>
      <c r="K251" s="455"/>
      <c r="L251" s="455"/>
      <c r="M251" s="1405" t="str">
        <f>+IFERROR(VLOOKUP(G251,'S1&amp;2 Lists'!$C$4:$G$200,3,FALSE),"-")</f>
        <v>-</v>
      </c>
      <c r="N251" s="1405" t="str">
        <f t="shared" si="3"/>
        <v>-</v>
      </c>
      <c r="P251" s="1406">
        <f>ROUND(IF(L251='S1&amp;2 Lists'!$CV$3,K251,IF(L251='S1&amp;2 Lists'!$CV$4,K251/'S1&amp;2 Lists'!$CQ$6,0)),3)</f>
        <v>0</v>
      </c>
      <c r="Q251" s="10" t="s">
        <v>12</v>
      </c>
    </row>
    <row r="252" spans="1:17" s="652" customFormat="1">
      <c r="A252" s="455"/>
      <c r="B252" s="455"/>
      <c r="C252" s="653"/>
      <c r="D252" s="455"/>
      <c r="E252" s="654"/>
      <c r="F252" s="455"/>
      <c r="G252" s="648"/>
      <c r="H252" s="455"/>
      <c r="I252" s="654"/>
      <c r="J252" s="455"/>
      <c r="K252" s="455"/>
      <c r="L252" s="455"/>
      <c r="M252" s="1405" t="str">
        <f>+IFERROR(VLOOKUP(G252,'S1&amp;2 Lists'!$C$4:$G$200,3,FALSE),"-")</f>
        <v>-</v>
      </c>
      <c r="N252" s="1405" t="str">
        <f t="shared" si="3"/>
        <v>-</v>
      </c>
      <c r="P252" s="1406">
        <f>ROUND(IF(L252='S1&amp;2 Lists'!$CV$3,K252,IF(L252='S1&amp;2 Lists'!$CV$4,K252/'S1&amp;2 Lists'!$CQ$6,0)),3)</f>
        <v>0</v>
      </c>
      <c r="Q252" s="10" t="s">
        <v>12</v>
      </c>
    </row>
    <row r="253" spans="1:17" s="652" customFormat="1">
      <c r="A253" s="455"/>
      <c r="B253" s="455"/>
      <c r="C253" s="653"/>
      <c r="D253" s="455"/>
      <c r="E253" s="654"/>
      <c r="F253" s="455"/>
      <c r="G253" s="648"/>
      <c r="H253" s="455"/>
      <c r="I253" s="654"/>
      <c r="J253" s="455"/>
      <c r="K253" s="455"/>
      <c r="L253" s="455"/>
      <c r="M253" s="1405" t="str">
        <f>+IFERROR(VLOOKUP(G253,'S1&amp;2 Lists'!$C$4:$G$200,3,FALSE),"-")</f>
        <v>-</v>
      </c>
      <c r="N253" s="1405" t="str">
        <f t="shared" si="3"/>
        <v>-</v>
      </c>
      <c r="P253" s="1406">
        <f>ROUND(IF(L253='S1&amp;2 Lists'!$CV$3,K253,IF(L253='S1&amp;2 Lists'!$CV$4,K253/'S1&amp;2 Lists'!$CQ$6,0)),3)</f>
        <v>0</v>
      </c>
      <c r="Q253" s="10" t="s">
        <v>12</v>
      </c>
    </row>
    <row r="254" spans="1:17" s="652" customFormat="1">
      <c r="A254" s="455"/>
      <c r="B254" s="455"/>
      <c r="C254" s="653"/>
      <c r="D254" s="455"/>
      <c r="E254" s="654"/>
      <c r="F254" s="455"/>
      <c r="G254" s="648"/>
      <c r="H254" s="455"/>
      <c r="I254" s="654"/>
      <c r="J254" s="455"/>
      <c r="K254" s="455"/>
      <c r="L254" s="455"/>
      <c r="M254" s="1405" t="str">
        <f>+IFERROR(VLOOKUP(G254,'S1&amp;2 Lists'!$C$4:$G$200,3,FALSE),"-")</f>
        <v>-</v>
      </c>
      <c r="N254" s="1405" t="str">
        <f t="shared" si="3"/>
        <v>-</v>
      </c>
      <c r="P254" s="1406">
        <f>ROUND(IF(L254='S1&amp;2 Lists'!$CV$3,K254,IF(L254='S1&amp;2 Lists'!$CV$4,K254/'S1&amp;2 Lists'!$CQ$6,0)),3)</f>
        <v>0</v>
      </c>
      <c r="Q254" s="10" t="s">
        <v>12</v>
      </c>
    </row>
    <row r="255" spans="1:17" s="652" customFormat="1">
      <c r="A255" s="455"/>
      <c r="B255" s="455"/>
      <c r="C255" s="653"/>
      <c r="D255" s="455"/>
      <c r="E255" s="654"/>
      <c r="F255" s="455"/>
      <c r="G255" s="648"/>
      <c r="H255" s="455"/>
      <c r="I255" s="654"/>
      <c r="J255" s="455"/>
      <c r="K255" s="455"/>
      <c r="L255" s="455"/>
      <c r="M255" s="1405" t="str">
        <f>+IFERROR(VLOOKUP(G255,'S1&amp;2 Lists'!$C$4:$G$200,3,FALSE),"-")</f>
        <v>-</v>
      </c>
      <c r="N255" s="1405" t="str">
        <f t="shared" si="3"/>
        <v>-</v>
      </c>
      <c r="P255" s="1406">
        <f>ROUND(IF(L255='S1&amp;2 Lists'!$CV$3,K255,IF(L255='S1&amp;2 Lists'!$CV$4,K255/'S1&amp;2 Lists'!$CQ$6,0)),3)</f>
        <v>0</v>
      </c>
      <c r="Q255" s="10" t="s">
        <v>12</v>
      </c>
    </row>
    <row r="256" spans="1:17" s="652" customFormat="1">
      <c r="A256" s="455"/>
      <c r="B256" s="455"/>
      <c r="C256" s="653"/>
      <c r="D256" s="455"/>
      <c r="E256" s="654"/>
      <c r="F256" s="455"/>
      <c r="G256" s="648"/>
      <c r="H256" s="455"/>
      <c r="I256" s="654"/>
      <c r="J256" s="455"/>
      <c r="K256" s="455"/>
      <c r="L256" s="455"/>
      <c r="M256" s="1405" t="str">
        <f>+IFERROR(VLOOKUP(G256,'S1&amp;2 Lists'!$C$4:$G$200,3,FALSE),"-")</f>
        <v>-</v>
      </c>
      <c r="N256" s="1405" t="str">
        <f t="shared" si="3"/>
        <v>-</v>
      </c>
      <c r="P256" s="1406">
        <f>ROUND(IF(L256='S1&amp;2 Lists'!$CV$3,K256,IF(L256='S1&amp;2 Lists'!$CV$4,K256/'S1&amp;2 Lists'!$CQ$6,0)),3)</f>
        <v>0</v>
      </c>
      <c r="Q256" s="10" t="s">
        <v>12</v>
      </c>
    </row>
    <row r="257" spans="1:17" s="652" customFormat="1">
      <c r="A257" s="455"/>
      <c r="B257" s="455"/>
      <c r="C257" s="653"/>
      <c r="D257" s="455"/>
      <c r="E257" s="654"/>
      <c r="F257" s="455"/>
      <c r="G257" s="648"/>
      <c r="H257" s="455"/>
      <c r="I257" s="654"/>
      <c r="J257" s="455"/>
      <c r="K257" s="455"/>
      <c r="L257" s="455"/>
      <c r="M257" s="1405" t="str">
        <f>+IFERROR(VLOOKUP(G257,'S1&amp;2 Lists'!$C$4:$G$200,3,FALSE),"-")</f>
        <v>-</v>
      </c>
      <c r="N257" s="1405" t="str">
        <f t="shared" si="3"/>
        <v>-</v>
      </c>
      <c r="P257" s="1406">
        <f>ROUND(IF(L257='S1&amp;2 Lists'!$CV$3,K257,IF(L257='S1&amp;2 Lists'!$CV$4,K257/'S1&amp;2 Lists'!$CQ$6,0)),3)</f>
        <v>0</v>
      </c>
      <c r="Q257" s="10" t="s">
        <v>12</v>
      </c>
    </row>
    <row r="258" spans="1:17" s="652" customFormat="1">
      <c r="A258" s="455"/>
      <c r="B258" s="455"/>
      <c r="C258" s="653"/>
      <c r="D258" s="455"/>
      <c r="E258" s="654"/>
      <c r="F258" s="455"/>
      <c r="G258" s="648"/>
      <c r="H258" s="455"/>
      <c r="I258" s="654"/>
      <c r="J258" s="455"/>
      <c r="K258" s="455"/>
      <c r="L258" s="455"/>
      <c r="M258" s="1405" t="str">
        <f>+IFERROR(VLOOKUP(G258,'S1&amp;2 Lists'!$C$4:$G$200,3,FALSE),"-")</f>
        <v>-</v>
      </c>
      <c r="N258" s="1405" t="str">
        <f t="shared" si="3"/>
        <v>-</v>
      </c>
      <c r="P258" s="1406">
        <f>ROUND(IF(L258='S1&amp;2 Lists'!$CV$3,K258,IF(L258='S1&amp;2 Lists'!$CV$4,K258/'S1&amp;2 Lists'!$CQ$6,0)),3)</f>
        <v>0</v>
      </c>
      <c r="Q258" s="10" t="s">
        <v>12</v>
      </c>
    </row>
    <row r="259" spans="1:17" s="652" customFormat="1">
      <c r="A259" s="455"/>
      <c r="B259" s="455"/>
      <c r="C259" s="653"/>
      <c r="D259" s="455"/>
      <c r="E259" s="654"/>
      <c r="F259" s="455"/>
      <c r="G259" s="648"/>
      <c r="H259" s="455"/>
      <c r="I259" s="654"/>
      <c r="J259" s="455"/>
      <c r="K259" s="455"/>
      <c r="L259" s="455"/>
      <c r="M259" s="1405" t="str">
        <f>+IFERROR(VLOOKUP(G259,'S1&amp;2 Lists'!$C$4:$G$200,3,FALSE),"-")</f>
        <v>-</v>
      </c>
      <c r="N259" s="1405" t="str">
        <f t="shared" si="3"/>
        <v>-</v>
      </c>
      <c r="P259" s="1406">
        <f>ROUND(IF(L259='S1&amp;2 Lists'!$CV$3,K259,IF(L259='S1&amp;2 Lists'!$CV$4,K259/'S1&amp;2 Lists'!$CQ$6,0)),3)</f>
        <v>0</v>
      </c>
      <c r="Q259" s="10" t="s">
        <v>12</v>
      </c>
    </row>
    <row r="260" spans="1:17" s="652" customFormat="1">
      <c r="A260" s="455"/>
      <c r="B260" s="455"/>
      <c r="C260" s="653"/>
      <c r="D260" s="455"/>
      <c r="E260" s="654"/>
      <c r="F260" s="455"/>
      <c r="G260" s="648"/>
      <c r="H260" s="455"/>
      <c r="I260" s="654"/>
      <c r="J260" s="455"/>
      <c r="K260" s="455"/>
      <c r="L260" s="455"/>
      <c r="M260" s="1405" t="str">
        <f>+IFERROR(VLOOKUP(G260,'S1&amp;2 Lists'!$C$4:$G$200,3,FALSE),"-")</f>
        <v>-</v>
      </c>
      <c r="N260" s="1405" t="str">
        <f t="shared" si="3"/>
        <v>-</v>
      </c>
      <c r="P260" s="1406">
        <f>ROUND(IF(L260='S1&amp;2 Lists'!$CV$3,K260,IF(L260='S1&amp;2 Lists'!$CV$4,K260/'S1&amp;2 Lists'!$CQ$6,0)),3)</f>
        <v>0</v>
      </c>
      <c r="Q260" s="10" t="s">
        <v>12</v>
      </c>
    </row>
    <row r="261" spans="1:17" s="652" customFormat="1">
      <c r="A261" s="455"/>
      <c r="B261" s="455"/>
      <c r="C261" s="653"/>
      <c r="D261" s="455"/>
      <c r="E261" s="654"/>
      <c r="F261" s="455"/>
      <c r="G261" s="648"/>
      <c r="H261" s="455"/>
      <c r="I261" s="654"/>
      <c r="J261" s="455"/>
      <c r="K261" s="455"/>
      <c r="L261" s="455"/>
      <c r="M261" s="1405" t="str">
        <f>+IFERROR(VLOOKUP(G261,'S1&amp;2 Lists'!$C$4:$G$200,3,FALSE),"-")</f>
        <v>-</v>
      </c>
      <c r="N261" s="1405" t="str">
        <f t="shared" si="3"/>
        <v>-</v>
      </c>
      <c r="P261" s="1406">
        <f>ROUND(IF(L261='S1&amp;2 Lists'!$CV$3,K261,IF(L261='S1&amp;2 Lists'!$CV$4,K261/'S1&amp;2 Lists'!$CQ$6,0)),3)</f>
        <v>0</v>
      </c>
      <c r="Q261" s="10" t="s">
        <v>12</v>
      </c>
    </row>
    <row r="262" spans="1:17" s="652" customFormat="1">
      <c r="A262" s="455"/>
      <c r="B262" s="455"/>
      <c r="C262" s="653"/>
      <c r="D262" s="455"/>
      <c r="E262" s="654"/>
      <c r="F262" s="455"/>
      <c r="G262" s="648"/>
      <c r="H262" s="455"/>
      <c r="I262" s="654"/>
      <c r="J262" s="455"/>
      <c r="K262" s="455"/>
      <c r="L262" s="455"/>
      <c r="M262" s="1405" t="str">
        <f>+IFERROR(VLOOKUP(G262,'S1&amp;2 Lists'!$C$4:$G$200,3,FALSE),"-")</f>
        <v>-</v>
      </c>
      <c r="N262" s="1405" t="str">
        <f t="shared" si="3"/>
        <v>-</v>
      </c>
      <c r="P262" s="1406">
        <f>ROUND(IF(L262='S1&amp;2 Lists'!$CV$3,K262,IF(L262='S1&amp;2 Lists'!$CV$4,K262/'S1&amp;2 Lists'!$CQ$6,0)),3)</f>
        <v>0</v>
      </c>
      <c r="Q262" s="10" t="s">
        <v>12</v>
      </c>
    </row>
    <row r="263" spans="1:17" s="652" customFormat="1">
      <c r="A263" s="455"/>
      <c r="B263" s="455"/>
      <c r="C263" s="653"/>
      <c r="D263" s="455"/>
      <c r="E263" s="654"/>
      <c r="F263" s="455"/>
      <c r="G263" s="648"/>
      <c r="H263" s="455"/>
      <c r="I263" s="654"/>
      <c r="J263" s="455"/>
      <c r="K263" s="455"/>
      <c r="L263" s="455"/>
      <c r="M263" s="1405" t="str">
        <f>+IFERROR(VLOOKUP(G263,'S1&amp;2 Lists'!$C$4:$G$200,3,FALSE),"-")</f>
        <v>-</v>
      </c>
      <c r="N263" s="1405" t="str">
        <f t="shared" si="3"/>
        <v>-</v>
      </c>
      <c r="P263" s="1406">
        <f>ROUND(IF(L263='S1&amp;2 Lists'!$CV$3,K263,IF(L263='S1&amp;2 Lists'!$CV$4,K263/'S1&amp;2 Lists'!$CQ$6,0)),3)</f>
        <v>0</v>
      </c>
      <c r="Q263" s="10" t="s">
        <v>12</v>
      </c>
    </row>
    <row r="264" spans="1:17" s="652" customFormat="1">
      <c r="A264" s="455"/>
      <c r="B264" s="455"/>
      <c r="C264" s="653"/>
      <c r="D264" s="455"/>
      <c r="E264" s="654"/>
      <c r="F264" s="455"/>
      <c r="G264" s="648"/>
      <c r="H264" s="455"/>
      <c r="I264" s="654"/>
      <c r="J264" s="455"/>
      <c r="K264" s="455"/>
      <c r="L264" s="455"/>
      <c r="M264" s="1405" t="str">
        <f>+IFERROR(VLOOKUP(G264,'S1&amp;2 Lists'!$C$4:$G$200,3,FALSE),"-")</f>
        <v>-</v>
      </c>
      <c r="N264" s="1405" t="str">
        <f t="shared" si="3"/>
        <v>-</v>
      </c>
      <c r="P264" s="1406">
        <f>ROUND(IF(L264='S1&amp;2 Lists'!$CV$3,K264,IF(L264='S1&amp;2 Lists'!$CV$4,K264/'S1&amp;2 Lists'!$CQ$6,0)),3)</f>
        <v>0</v>
      </c>
      <c r="Q264" s="10" t="s">
        <v>12</v>
      </c>
    </row>
    <row r="265" spans="1:17" s="652" customFormat="1">
      <c r="A265" s="455"/>
      <c r="B265" s="455"/>
      <c r="C265" s="653"/>
      <c r="D265" s="455"/>
      <c r="E265" s="654"/>
      <c r="F265" s="455"/>
      <c r="G265" s="648"/>
      <c r="H265" s="455"/>
      <c r="I265" s="654"/>
      <c r="J265" s="455"/>
      <c r="K265" s="455"/>
      <c r="L265" s="455"/>
      <c r="M265" s="1405" t="str">
        <f>+IFERROR(VLOOKUP(G265,'S1&amp;2 Lists'!$C$4:$G$200,3,FALSE),"-")</f>
        <v>-</v>
      </c>
      <c r="N265" s="1405" t="str">
        <f t="shared" si="3"/>
        <v>-</v>
      </c>
      <c r="P265" s="1406">
        <f>ROUND(IF(L265='S1&amp;2 Lists'!$CV$3,K265,IF(L265='S1&amp;2 Lists'!$CV$4,K265/'S1&amp;2 Lists'!$CQ$6,0)),3)</f>
        <v>0</v>
      </c>
      <c r="Q265" s="10" t="s">
        <v>12</v>
      </c>
    </row>
    <row r="266" spans="1:17" s="652" customFormat="1">
      <c r="A266" s="455"/>
      <c r="B266" s="455"/>
      <c r="C266" s="653"/>
      <c r="D266" s="455"/>
      <c r="E266" s="654"/>
      <c r="F266" s="455"/>
      <c r="G266" s="648"/>
      <c r="H266" s="455"/>
      <c r="I266" s="654"/>
      <c r="J266" s="455"/>
      <c r="K266" s="455"/>
      <c r="L266" s="455"/>
      <c r="M266" s="1405" t="str">
        <f>+IFERROR(VLOOKUP(G266,'S1&amp;2 Lists'!$C$4:$G$200,3,FALSE),"-")</f>
        <v>-</v>
      </c>
      <c r="N266" s="1405" t="str">
        <f t="shared" si="3"/>
        <v>-</v>
      </c>
      <c r="P266" s="1406">
        <f>ROUND(IF(L266='S1&amp;2 Lists'!$CV$3,K266,IF(L266='S1&amp;2 Lists'!$CV$4,K266/'S1&amp;2 Lists'!$CQ$6,0)),3)</f>
        <v>0</v>
      </c>
      <c r="Q266" s="10" t="s">
        <v>12</v>
      </c>
    </row>
    <row r="267" spans="1:17" s="652" customFormat="1">
      <c r="A267" s="455"/>
      <c r="B267" s="455"/>
      <c r="C267" s="653"/>
      <c r="D267" s="455"/>
      <c r="E267" s="654"/>
      <c r="F267" s="455"/>
      <c r="G267" s="648"/>
      <c r="H267" s="455"/>
      <c r="I267" s="654"/>
      <c r="J267" s="455"/>
      <c r="K267" s="455"/>
      <c r="L267" s="455"/>
      <c r="M267" s="1405" t="str">
        <f>+IFERROR(VLOOKUP(G267,'S1&amp;2 Lists'!$C$4:$G$200,3,FALSE),"-")</f>
        <v>-</v>
      </c>
      <c r="N267" s="1405" t="str">
        <f t="shared" ref="N267:N330" si="4">+IFERROR(P267*M267,"-")</f>
        <v>-</v>
      </c>
      <c r="P267" s="1406">
        <f>ROUND(IF(L267='S1&amp;2 Lists'!$CV$3,K267,IF(L267='S1&amp;2 Lists'!$CV$4,K267/'S1&amp;2 Lists'!$CQ$6,0)),3)</f>
        <v>0</v>
      </c>
      <c r="Q267" s="10" t="s">
        <v>12</v>
      </c>
    </row>
    <row r="268" spans="1:17" s="652" customFormat="1">
      <c r="A268" s="455"/>
      <c r="B268" s="455"/>
      <c r="C268" s="653"/>
      <c r="D268" s="455"/>
      <c r="E268" s="654"/>
      <c r="F268" s="455"/>
      <c r="G268" s="648"/>
      <c r="H268" s="455"/>
      <c r="I268" s="654"/>
      <c r="J268" s="455"/>
      <c r="K268" s="455"/>
      <c r="L268" s="455"/>
      <c r="M268" s="1405" t="str">
        <f>+IFERROR(VLOOKUP(G268,'S1&amp;2 Lists'!$C$4:$G$200,3,FALSE),"-")</f>
        <v>-</v>
      </c>
      <c r="N268" s="1405" t="str">
        <f t="shared" si="4"/>
        <v>-</v>
      </c>
      <c r="P268" s="1406">
        <f>ROUND(IF(L268='S1&amp;2 Lists'!$CV$3,K268,IF(L268='S1&amp;2 Lists'!$CV$4,K268/'S1&amp;2 Lists'!$CQ$6,0)),3)</f>
        <v>0</v>
      </c>
      <c r="Q268" s="10" t="s">
        <v>12</v>
      </c>
    </row>
    <row r="269" spans="1:17" s="652" customFormat="1">
      <c r="A269" s="455"/>
      <c r="B269" s="455"/>
      <c r="C269" s="653"/>
      <c r="D269" s="455"/>
      <c r="E269" s="654"/>
      <c r="F269" s="455"/>
      <c r="G269" s="648"/>
      <c r="H269" s="455"/>
      <c r="I269" s="654"/>
      <c r="J269" s="455"/>
      <c r="K269" s="455"/>
      <c r="L269" s="455"/>
      <c r="M269" s="1405" t="str">
        <f>+IFERROR(VLOOKUP(G269,'S1&amp;2 Lists'!$C$4:$G$200,3,FALSE),"-")</f>
        <v>-</v>
      </c>
      <c r="N269" s="1405" t="str">
        <f t="shared" si="4"/>
        <v>-</v>
      </c>
      <c r="P269" s="1406">
        <f>ROUND(IF(L269='S1&amp;2 Lists'!$CV$3,K269,IF(L269='S1&amp;2 Lists'!$CV$4,K269/'S1&amp;2 Lists'!$CQ$6,0)),3)</f>
        <v>0</v>
      </c>
      <c r="Q269" s="10" t="s">
        <v>12</v>
      </c>
    </row>
    <row r="270" spans="1:17" s="652" customFormat="1">
      <c r="A270" s="455"/>
      <c r="B270" s="455"/>
      <c r="C270" s="653"/>
      <c r="D270" s="455"/>
      <c r="E270" s="654"/>
      <c r="F270" s="455"/>
      <c r="G270" s="648"/>
      <c r="H270" s="455"/>
      <c r="I270" s="654"/>
      <c r="J270" s="455"/>
      <c r="K270" s="455"/>
      <c r="L270" s="455"/>
      <c r="M270" s="1405" t="str">
        <f>+IFERROR(VLOOKUP(G270,'S1&amp;2 Lists'!$C$4:$G$200,3,FALSE),"-")</f>
        <v>-</v>
      </c>
      <c r="N270" s="1405" t="str">
        <f t="shared" si="4"/>
        <v>-</v>
      </c>
      <c r="P270" s="1406">
        <f>ROUND(IF(L270='S1&amp;2 Lists'!$CV$3,K270,IF(L270='S1&amp;2 Lists'!$CV$4,K270/'S1&amp;2 Lists'!$CQ$6,0)),3)</f>
        <v>0</v>
      </c>
      <c r="Q270" s="10" t="s">
        <v>12</v>
      </c>
    </row>
    <row r="271" spans="1:17" s="652" customFormat="1">
      <c r="A271" s="455"/>
      <c r="B271" s="455"/>
      <c r="C271" s="653"/>
      <c r="D271" s="455"/>
      <c r="E271" s="654"/>
      <c r="F271" s="455"/>
      <c r="G271" s="648"/>
      <c r="H271" s="455"/>
      <c r="I271" s="654"/>
      <c r="J271" s="455"/>
      <c r="K271" s="455"/>
      <c r="L271" s="455"/>
      <c r="M271" s="1405" t="str">
        <f>+IFERROR(VLOOKUP(G271,'S1&amp;2 Lists'!$C$4:$G$200,3,FALSE),"-")</f>
        <v>-</v>
      </c>
      <c r="N271" s="1405" t="str">
        <f t="shared" si="4"/>
        <v>-</v>
      </c>
      <c r="P271" s="1406">
        <f>ROUND(IF(L271='S1&amp;2 Lists'!$CV$3,K271,IF(L271='S1&amp;2 Lists'!$CV$4,K271/'S1&amp;2 Lists'!$CQ$6,0)),3)</f>
        <v>0</v>
      </c>
      <c r="Q271" s="10" t="s">
        <v>12</v>
      </c>
    </row>
    <row r="272" spans="1:17" s="652" customFormat="1">
      <c r="A272" s="455"/>
      <c r="B272" s="455"/>
      <c r="C272" s="653"/>
      <c r="D272" s="455"/>
      <c r="E272" s="654"/>
      <c r="F272" s="455"/>
      <c r="G272" s="648"/>
      <c r="H272" s="455"/>
      <c r="I272" s="654"/>
      <c r="J272" s="455"/>
      <c r="K272" s="455"/>
      <c r="L272" s="455"/>
      <c r="M272" s="1405" t="str">
        <f>+IFERROR(VLOOKUP(G272,'S1&amp;2 Lists'!$C$4:$G$200,3,FALSE),"-")</f>
        <v>-</v>
      </c>
      <c r="N272" s="1405" t="str">
        <f t="shared" si="4"/>
        <v>-</v>
      </c>
      <c r="P272" s="1406">
        <f>ROUND(IF(L272='S1&amp;2 Lists'!$CV$3,K272,IF(L272='S1&amp;2 Lists'!$CV$4,K272/'S1&amp;2 Lists'!$CQ$6,0)),3)</f>
        <v>0</v>
      </c>
      <c r="Q272" s="10" t="s">
        <v>12</v>
      </c>
    </row>
    <row r="273" spans="1:17" s="652" customFormat="1">
      <c r="A273" s="455"/>
      <c r="B273" s="455"/>
      <c r="C273" s="653"/>
      <c r="D273" s="455"/>
      <c r="E273" s="654"/>
      <c r="F273" s="455"/>
      <c r="G273" s="648"/>
      <c r="H273" s="455"/>
      <c r="I273" s="654"/>
      <c r="J273" s="455"/>
      <c r="K273" s="455"/>
      <c r="L273" s="455"/>
      <c r="M273" s="1405" t="str">
        <f>+IFERROR(VLOOKUP(G273,'S1&amp;2 Lists'!$C$4:$G$200,3,FALSE),"-")</f>
        <v>-</v>
      </c>
      <c r="N273" s="1405" t="str">
        <f t="shared" si="4"/>
        <v>-</v>
      </c>
      <c r="P273" s="1406">
        <f>ROUND(IF(L273='S1&amp;2 Lists'!$CV$3,K273,IF(L273='S1&amp;2 Lists'!$CV$4,K273/'S1&amp;2 Lists'!$CQ$6,0)),3)</f>
        <v>0</v>
      </c>
      <c r="Q273" s="10" t="s">
        <v>12</v>
      </c>
    </row>
    <row r="274" spans="1:17" s="652" customFormat="1">
      <c r="A274" s="455"/>
      <c r="B274" s="455"/>
      <c r="C274" s="653"/>
      <c r="D274" s="455"/>
      <c r="E274" s="654"/>
      <c r="F274" s="455"/>
      <c r="G274" s="648"/>
      <c r="H274" s="455"/>
      <c r="I274" s="654"/>
      <c r="J274" s="455"/>
      <c r="K274" s="455"/>
      <c r="L274" s="455"/>
      <c r="M274" s="1405" t="str">
        <f>+IFERROR(VLOOKUP(G274,'S1&amp;2 Lists'!$C$4:$G$200,3,FALSE),"-")</f>
        <v>-</v>
      </c>
      <c r="N274" s="1405" t="str">
        <f t="shared" si="4"/>
        <v>-</v>
      </c>
      <c r="P274" s="1406">
        <f>ROUND(IF(L274='S1&amp;2 Lists'!$CV$3,K274,IF(L274='S1&amp;2 Lists'!$CV$4,K274/'S1&amp;2 Lists'!$CQ$6,0)),3)</f>
        <v>0</v>
      </c>
      <c r="Q274" s="10" t="s">
        <v>12</v>
      </c>
    </row>
    <row r="275" spans="1:17" s="652" customFormat="1">
      <c r="A275" s="455"/>
      <c r="B275" s="455"/>
      <c r="C275" s="653"/>
      <c r="D275" s="455"/>
      <c r="E275" s="654"/>
      <c r="F275" s="455"/>
      <c r="G275" s="648"/>
      <c r="H275" s="455"/>
      <c r="I275" s="654"/>
      <c r="J275" s="455"/>
      <c r="K275" s="455"/>
      <c r="L275" s="455"/>
      <c r="M275" s="1405" t="str">
        <f>+IFERROR(VLOOKUP(G275,'S1&amp;2 Lists'!$C$4:$G$200,3,FALSE),"-")</f>
        <v>-</v>
      </c>
      <c r="N275" s="1405" t="str">
        <f t="shared" si="4"/>
        <v>-</v>
      </c>
      <c r="P275" s="1406">
        <f>ROUND(IF(L275='S1&amp;2 Lists'!$CV$3,K275,IF(L275='S1&amp;2 Lists'!$CV$4,K275/'S1&amp;2 Lists'!$CQ$6,0)),3)</f>
        <v>0</v>
      </c>
      <c r="Q275" s="10" t="s">
        <v>12</v>
      </c>
    </row>
    <row r="276" spans="1:17" s="652" customFormat="1">
      <c r="A276" s="455"/>
      <c r="B276" s="455"/>
      <c r="C276" s="653"/>
      <c r="D276" s="455"/>
      <c r="E276" s="654"/>
      <c r="F276" s="455"/>
      <c r="G276" s="648"/>
      <c r="H276" s="455"/>
      <c r="I276" s="654"/>
      <c r="J276" s="455"/>
      <c r="K276" s="455"/>
      <c r="L276" s="455"/>
      <c r="M276" s="1405" t="str">
        <f>+IFERROR(VLOOKUP(G276,'S1&amp;2 Lists'!$C$4:$G$200,3,FALSE),"-")</f>
        <v>-</v>
      </c>
      <c r="N276" s="1405" t="str">
        <f t="shared" si="4"/>
        <v>-</v>
      </c>
      <c r="P276" s="1406">
        <f>ROUND(IF(L276='S1&amp;2 Lists'!$CV$3,K276,IF(L276='S1&amp;2 Lists'!$CV$4,K276/'S1&amp;2 Lists'!$CQ$6,0)),3)</f>
        <v>0</v>
      </c>
      <c r="Q276" s="10" t="s">
        <v>12</v>
      </c>
    </row>
    <row r="277" spans="1:17" s="652" customFormat="1">
      <c r="A277" s="455"/>
      <c r="B277" s="455"/>
      <c r="C277" s="653"/>
      <c r="D277" s="455"/>
      <c r="E277" s="654"/>
      <c r="F277" s="455"/>
      <c r="G277" s="648"/>
      <c r="H277" s="455"/>
      <c r="I277" s="654"/>
      <c r="J277" s="455"/>
      <c r="K277" s="455"/>
      <c r="L277" s="455"/>
      <c r="M277" s="1405" t="str">
        <f>+IFERROR(VLOOKUP(G277,'S1&amp;2 Lists'!$C$4:$G$200,3,FALSE),"-")</f>
        <v>-</v>
      </c>
      <c r="N277" s="1405" t="str">
        <f t="shared" si="4"/>
        <v>-</v>
      </c>
      <c r="P277" s="1406">
        <f>ROUND(IF(L277='S1&amp;2 Lists'!$CV$3,K277,IF(L277='S1&amp;2 Lists'!$CV$4,K277/'S1&amp;2 Lists'!$CQ$6,0)),3)</f>
        <v>0</v>
      </c>
      <c r="Q277" s="10" t="s">
        <v>12</v>
      </c>
    </row>
    <row r="278" spans="1:17" s="652" customFormat="1">
      <c r="A278" s="455"/>
      <c r="B278" s="455"/>
      <c r="C278" s="653"/>
      <c r="D278" s="455"/>
      <c r="E278" s="654"/>
      <c r="F278" s="455"/>
      <c r="G278" s="648"/>
      <c r="H278" s="455"/>
      <c r="I278" s="654"/>
      <c r="J278" s="455"/>
      <c r="K278" s="455"/>
      <c r="L278" s="455"/>
      <c r="M278" s="1405" t="str">
        <f>+IFERROR(VLOOKUP(G278,'S1&amp;2 Lists'!$C$4:$G$200,3,FALSE),"-")</f>
        <v>-</v>
      </c>
      <c r="N278" s="1405" t="str">
        <f t="shared" si="4"/>
        <v>-</v>
      </c>
      <c r="P278" s="1406">
        <f>ROUND(IF(L278='S1&amp;2 Lists'!$CV$3,K278,IF(L278='S1&amp;2 Lists'!$CV$4,K278/'S1&amp;2 Lists'!$CQ$6,0)),3)</f>
        <v>0</v>
      </c>
      <c r="Q278" s="10" t="s">
        <v>12</v>
      </c>
    </row>
    <row r="279" spans="1:17" s="652" customFormat="1">
      <c r="A279" s="455"/>
      <c r="B279" s="455"/>
      <c r="C279" s="653"/>
      <c r="D279" s="455"/>
      <c r="E279" s="654"/>
      <c r="F279" s="455"/>
      <c r="G279" s="648"/>
      <c r="H279" s="455"/>
      <c r="I279" s="654"/>
      <c r="J279" s="455"/>
      <c r="K279" s="455"/>
      <c r="L279" s="455"/>
      <c r="M279" s="1405" t="str">
        <f>+IFERROR(VLOOKUP(G279,'S1&amp;2 Lists'!$C$4:$G$200,3,FALSE),"-")</f>
        <v>-</v>
      </c>
      <c r="N279" s="1405" t="str">
        <f t="shared" si="4"/>
        <v>-</v>
      </c>
      <c r="P279" s="1406">
        <f>ROUND(IF(L279='S1&amp;2 Lists'!$CV$3,K279,IF(L279='S1&amp;2 Lists'!$CV$4,K279/'S1&amp;2 Lists'!$CQ$6,0)),3)</f>
        <v>0</v>
      </c>
      <c r="Q279" s="10" t="s">
        <v>12</v>
      </c>
    </row>
    <row r="280" spans="1:17" s="652" customFormat="1">
      <c r="A280" s="455"/>
      <c r="B280" s="455"/>
      <c r="C280" s="653"/>
      <c r="D280" s="455"/>
      <c r="E280" s="654"/>
      <c r="F280" s="455"/>
      <c r="G280" s="648"/>
      <c r="H280" s="455"/>
      <c r="I280" s="654"/>
      <c r="J280" s="455"/>
      <c r="K280" s="455"/>
      <c r="L280" s="455"/>
      <c r="M280" s="1405" t="str">
        <f>+IFERROR(VLOOKUP(G280,'S1&amp;2 Lists'!$C$4:$G$200,3,FALSE),"-")</f>
        <v>-</v>
      </c>
      <c r="N280" s="1405" t="str">
        <f t="shared" si="4"/>
        <v>-</v>
      </c>
      <c r="P280" s="1406">
        <f>ROUND(IF(L280='S1&amp;2 Lists'!$CV$3,K280,IF(L280='S1&amp;2 Lists'!$CV$4,K280/'S1&amp;2 Lists'!$CQ$6,0)),3)</f>
        <v>0</v>
      </c>
      <c r="Q280" s="10" t="s">
        <v>12</v>
      </c>
    </row>
    <row r="281" spans="1:17" s="652" customFormat="1">
      <c r="A281" s="455"/>
      <c r="B281" s="455"/>
      <c r="C281" s="653"/>
      <c r="D281" s="455"/>
      <c r="E281" s="654"/>
      <c r="F281" s="455"/>
      <c r="G281" s="648"/>
      <c r="H281" s="455"/>
      <c r="I281" s="654"/>
      <c r="J281" s="455"/>
      <c r="K281" s="455"/>
      <c r="L281" s="455"/>
      <c r="M281" s="1405" t="str">
        <f>+IFERROR(VLOOKUP(G281,'S1&amp;2 Lists'!$C$4:$G$200,3,FALSE),"-")</f>
        <v>-</v>
      </c>
      <c r="N281" s="1405" t="str">
        <f t="shared" si="4"/>
        <v>-</v>
      </c>
      <c r="P281" s="1406">
        <f>ROUND(IF(L281='S1&amp;2 Lists'!$CV$3,K281,IF(L281='S1&amp;2 Lists'!$CV$4,K281/'S1&amp;2 Lists'!$CQ$6,0)),3)</f>
        <v>0</v>
      </c>
      <c r="Q281" s="10" t="s">
        <v>12</v>
      </c>
    </row>
    <row r="282" spans="1:17" s="652" customFormat="1">
      <c r="A282" s="455"/>
      <c r="B282" s="455"/>
      <c r="C282" s="653"/>
      <c r="D282" s="455"/>
      <c r="E282" s="654"/>
      <c r="F282" s="455"/>
      <c r="G282" s="648"/>
      <c r="H282" s="455"/>
      <c r="I282" s="654"/>
      <c r="J282" s="455"/>
      <c r="K282" s="455"/>
      <c r="L282" s="455"/>
      <c r="M282" s="1405" t="str">
        <f>+IFERROR(VLOOKUP(G282,'S1&amp;2 Lists'!$C$4:$G$200,3,FALSE),"-")</f>
        <v>-</v>
      </c>
      <c r="N282" s="1405" t="str">
        <f t="shared" si="4"/>
        <v>-</v>
      </c>
      <c r="P282" s="1406">
        <f>ROUND(IF(L282='S1&amp;2 Lists'!$CV$3,K282,IF(L282='S1&amp;2 Lists'!$CV$4,K282/'S1&amp;2 Lists'!$CQ$6,0)),3)</f>
        <v>0</v>
      </c>
      <c r="Q282" s="10" t="s">
        <v>12</v>
      </c>
    </row>
    <row r="283" spans="1:17" s="652" customFormat="1">
      <c r="A283" s="455"/>
      <c r="B283" s="455"/>
      <c r="C283" s="653"/>
      <c r="D283" s="455"/>
      <c r="E283" s="654"/>
      <c r="F283" s="455"/>
      <c r="G283" s="648"/>
      <c r="H283" s="455"/>
      <c r="I283" s="654"/>
      <c r="J283" s="455"/>
      <c r="K283" s="455"/>
      <c r="L283" s="455"/>
      <c r="M283" s="1405" t="str">
        <f>+IFERROR(VLOOKUP(G283,'S1&amp;2 Lists'!$C$4:$G$200,3,FALSE),"-")</f>
        <v>-</v>
      </c>
      <c r="N283" s="1405" t="str">
        <f t="shared" si="4"/>
        <v>-</v>
      </c>
      <c r="P283" s="1406">
        <f>ROUND(IF(L283='S1&amp;2 Lists'!$CV$3,K283,IF(L283='S1&amp;2 Lists'!$CV$4,K283/'S1&amp;2 Lists'!$CQ$6,0)),3)</f>
        <v>0</v>
      </c>
      <c r="Q283" s="10" t="s">
        <v>12</v>
      </c>
    </row>
    <row r="284" spans="1:17" s="652" customFormat="1">
      <c r="A284" s="455"/>
      <c r="B284" s="455"/>
      <c r="C284" s="653"/>
      <c r="D284" s="455"/>
      <c r="E284" s="654"/>
      <c r="F284" s="455"/>
      <c r="G284" s="648"/>
      <c r="H284" s="455"/>
      <c r="I284" s="654"/>
      <c r="J284" s="455"/>
      <c r="K284" s="455"/>
      <c r="L284" s="455"/>
      <c r="M284" s="1405" t="str">
        <f>+IFERROR(VLOOKUP(G284,'S1&amp;2 Lists'!$C$4:$G$200,3,FALSE),"-")</f>
        <v>-</v>
      </c>
      <c r="N284" s="1405" t="str">
        <f t="shared" si="4"/>
        <v>-</v>
      </c>
      <c r="P284" s="1406">
        <f>ROUND(IF(L284='S1&amp;2 Lists'!$CV$3,K284,IF(L284='S1&amp;2 Lists'!$CV$4,K284/'S1&amp;2 Lists'!$CQ$6,0)),3)</f>
        <v>0</v>
      </c>
      <c r="Q284" s="10" t="s">
        <v>12</v>
      </c>
    </row>
    <row r="285" spans="1:17" s="652" customFormat="1">
      <c r="A285" s="455"/>
      <c r="B285" s="455"/>
      <c r="C285" s="653"/>
      <c r="D285" s="455"/>
      <c r="E285" s="654"/>
      <c r="F285" s="455"/>
      <c r="G285" s="648"/>
      <c r="H285" s="455"/>
      <c r="I285" s="654"/>
      <c r="J285" s="455"/>
      <c r="K285" s="455"/>
      <c r="L285" s="455"/>
      <c r="M285" s="1405" t="str">
        <f>+IFERROR(VLOOKUP(G285,'S1&amp;2 Lists'!$C$4:$G$200,3,FALSE),"-")</f>
        <v>-</v>
      </c>
      <c r="N285" s="1405" t="str">
        <f t="shared" si="4"/>
        <v>-</v>
      </c>
      <c r="P285" s="1406">
        <f>ROUND(IF(L285='S1&amp;2 Lists'!$CV$3,K285,IF(L285='S1&amp;2 Lists'!$CV$4,K285/'S1&amp;2 Lists'!$CQ$6,0)),3)</f>
        <v>0</v>
      </c>
      <c r="Q285" s="10" t="s">
        <v>12</v>
      </c>
    </row>
    <row r="286" spans="1:17" s="652" customFormat="1">
      <c r="A286" s="455"/>
      <c r="B286" s="455"/>
      <c r="C286" s="653"/>
      <c r="D286" s="455"/>
      <c r="E286" s="654"/>
      <c r="F286" s="455"/>
      <c r="G286" s="648"/>
      <c r="H286" s="455"/>
      <c r="I286" s="654"/>
      <c r="J286" s="455"/>
      <c r="K286" s="455"/>
      <c r="L286" s="455"/>
      <c r="M286" s="1405" t="str">
        <f>+IFERROR(VLOOKUP(G286,'S1&amp;2 Lists'!$C$4:$G$200,3,FALSE),"-")</f>
        <v>-</v>
      </c>
      <c r="N286" s="1405" t="str">
        <f t="shared" si="4"/>
        <v>-</v>
      </c>
      <c r="P286" s="1406">
        <f>ROUND(IF(L286='S1&amp;2 Lists'!$CV$3,K286,IF(L286='S1&amp;2 Lists'!$CV$4,K286/'S1&amp;2 Lists'!$CQ$6,0)),3)</f>
        <v>0</v>
      </c>
      <c r="Q286" s="10" t="s">
        <v>12</v>
      </c>
    </row>
    <row r="287" spans="1:17" s="652" customFormat="1">
      <c r="A287" s="455"/>
      <c r="B287" s="455"/>
      <c r="C287" s="653"/>
      <c r="D287" s="455"/>
      <c r="E287" s="654"/>
      <c r="F287" s="455"/>
      <c r="G287" s="648"/>
      <c r="H287" s="455"/>
      <c r="I287" s="654"/>
      <c r="J287" s="455"/>
      <c r="K287" s="455"/>
      <c r="L287" s="455"/>
      <c r="M287" s="1405" t="str">
        <f>+IFERROR(VLOOKUP(G287,'S1&amp;2 Lists'!$C$4:$G$200,3,FALSE),"-")</f>
        <v>-</v>
      </c>
      <c r="N287" s="1405" t="str">
        <f t="shared" si="4"/>
        <v>-</v>
      </c>
      <c r="P287" s="1406">
        <f>ROUND(IF(L287='S1&amp;2 Lists'!$CV$3,K287,IF(L287='S1&amp;2 Lists'!$CV$4,K287/'S1&amp;2 Lists'!$CQ$6,0)),3)</f>
        <v>0</v>
      </c>
      <c r="Q287" s="10" t="s">
        <v>12</v>
      </c>
    </row>
    <row r="288" spans="1:17" s="652" customFormat="1">
      <c r="A288" s="455"/>
      <c r="B288" s="455"/>
      <c r="C288" s="653"/>
      <c r="D288" s="455"/>
      <c r="E288" s="654"/>
      <c r="F288" s="455"/>
      <c r="G288" s="648"/>
      <c r="H288" s="455"/>
      <c r="I288" s="654"/>
      <c r="J288" s="455"/>
      <c r="K288" s="455"/>
      <c r="L288" s="455"/>
      <c r="M288" s="1405" t="str">
        <f>+IFERROR(VLOOKUP(G288,'S1&amp;2 Lists'!$C$4:$G$200,3,FALSE),"-")</f>
        <v>-</v>
      </c>
      <c r="N288" s="1405" t="str">
        <f t="shared" si="4"/>
        <v>-</v>
      </c>
      <c r="P288" s="1406">
        <f>ROUND(IF(L288='S1&amp;2 Lists'!$CV$3,K288,IF(L288='S1&amp;2 Lists'!$CV$4,K288/'S1&amp;2 Lists'!$CQ$6,0)),3)</f>
        <v>0</v>
      </c>
      <c r="Q288" s="10" t="s">
        <v>12</v>
      </c>
    </row>
    <row r="289" spans="1:17" s="652" customFormat="1">
      <c r="A289" s="455"/>
      <c r="B289" s="455"/>
      <c r="C289" s="653"/>
      <c r="D289" s="455"/>
      <c r="E289" s="654"/>
      <c r="F289" s="455"/>
      <c r="G289" s="648"/>
      <c r="H289" s="455"/>
      <c r="I289" s="654"/>
      <c r="J289" s="455"/>
      <c r="K289" s="455"/>
      <c r="L289" s="455"/>
      <c r="M289" s="1405" t="str">
        <f>+IFERROR(VLOOKUP(G289,'S1&amp;2 Lists'!$C$4:$G$200,3,FALSE),"-")</f>
        <v>-</v>
      </c>
      <c r="N289" s="1405" t="str">
        <f t="shared" si="4"/>
        <v>-</v>
      </c>
      <c r="P289" s="1406">
        <f>ROUND(IF(L289='S1&amp;2 Lists'!$CV$3,K289,IF(L289='S1&amp;2 Lists'!$CV$4,K289/'S1&amp;2 Lists'!$CQ$6,0)),3)</f>
        <v>0</v>
      </c>
      <c r="Q289" s="10" t="s">
        <v>12</v>
      </c>
    </row>
    <row r="290" spans="1:17" s="652" customFormat="1">
      <c r="A290" s="455"/>
      <c r="B290" s="455"/>
      <c r="C290" s="653"/>
      <c r="D290" s="455"/>
      <c r="E290" s="654"/>
      <c r="F290" s="455"/>
      <c r="G290" s="648"/>
      <c r="H290" s="455"/>
      <c r="I290" s="654"/>
      <c r="J290" s="455"/>
      <c r="K290" s="455"/>
      <c r="L290" s="455"/>
      <c r="M290" s="1405" t="str">
        <f>+IFERROR(VLOOKUP(G290,'S1&amp;2 Lists'!$C$4:$G$200,3,FALSE),"-")</f>
        <v>-</v>
      </c>
      <c r="N290" s="1405" t="str">
        <f t="shared" si="4"/>
        <v>-</v>
      </c>
      <c r="P290" s="1406">
        <f>ROUND(IF(L290='S1&amp;2 Lists'!$CV$3,K290,IF(L290='S1&amp;2 Lists'!$CV$4,K290/'S1&amp;2 Lists'!$CQ$6,0)),3)</f>
        <v>0</v>
      </c>
      <c r="Q290" s="10" t="s">
        <v>12</v>
      </c>
    </row>
    <row r="291" spans="1:17" s="652" customFormat="1">
      <c r="A291" s="455"/>
      <c r="B291" s="455"/>
      <c r="C291" s="653"/>
      <c r="D291" s="455"/>
      <c r="E291" s="654"/>
      <c r="F291" s="455"/>
      <c r="G291" s="648"/>
      <c r="H291" s="455"/>
      <c r="I291" s="654"/>
      <c r="J291" s="455"/>
      <c r="K291" s="455"/>
      <c r="L291" s="455"/>
      <c r="M291" s="1405" t="str">
        <f>+IFERROR(VLOOKUP(G291,'S1&amp;2 Lists'!$C$4:$G$200,3,FALSE),"-")</f>
        <v>-</v>
      </c>
      <c r="N291" s="1405" t="str">
        <f t="shared" si="4"/>
        <v>-</v>
      </c>
      <c r="P291" s="1406">
        <f>ROUND(IF(L291='S1&amp;2 Lists'!$CV$3,K291,IF(L291='S1&amp;2 Lists'!$CV$4,K291/'S1&amp;2 Lists'!$CQ$6,0)),3)</f>
        <v>0</v>
      </c>
      <c r="Q291" s="10" t="s">
        <v>12</v>
      </c>
    </row>
    <row r="292" spans="1:17" s="652" customFormat="1">
      <c r="A292" s="455"/>
      <c r="B292" s="455"/>
      <c r="C292" s="653"/>
      <c r="D292" s="455"/>
      <c r="E292" s="654"/>
      <c r="F292" s="455"/>
      <c r="G292" s="648"/>
      <c r="H292" s="455"/>
      <c r="I292" s="654"/>
      <c r="J292" s="455"/>
      <c r="K292" s="455"/>
      <c r="L292" s="455"/>
      <c r="M292" s="1405" t="str">
        <f>+IFERROR(VLOOKUP(G292,'S1&amp;2 Lists'!$C$4:$G$200,3,FALSE),"-")</f>
        <v>-</v>
      </c>
      <c r="N292" s="1405" t="str">
        <f t="shared" si="4"/>
        <v>-</v>
      </c>
      <c r="P292" s="1406">
        <f>ROUND(IF(L292='S1&amp;2 Lists'!$CV$3,K292,IF(L292='S1&amp;2 Lists'!$CV$4,K292/'S1&amp;2 Lists'!$CQ$6,0)),3)</f>
        <v>0</v>
      </c>
      <c r="Q292" s="10" t="s">
        <v>12</v>
      </c>
    </row>
    <row r="293" spans="1:17" s="652" customFormat="1">
      <c r="A293" s="455"/>
      <c r="B293" s="455"/>
      <c r="C293" s="653"/>
      <c r="D293" s="455"/>
      <c r="E293" s="654"/>
      <c r="F293" s="455"/>
      <c r="G293" s="648"/>
      <c r="H293" s="455"/>
      <c r="I293" s="654"/>
      <c r="J293" s="455"/>
      <c r="K293" s="455"/>
      <c r="L293" s="455"/>
      <c r="M293" s="1405" t="str">
        <f>+IFERROR(VLOOKUP(G293,'S1&amp;2 Lists'!$C$4:$G$200,3,FALSE),"-")</f>
        <v>-</v>
      </c>
      <c r="N293" s="1405" t="str">
        <f t="shared" si="4"/>
        <v>-</v>
      </c>
      <c r="P293" s="1406">
        <f>ROUND(IF(L293='S1&amp;2 Lists'!$CV$3,K293,IF(L293='S1&amp;2 Lists'!$CV$4,K293/'S1&amp;2 Lists'!$CQ$6,0)),3)</f>
        <v>0</v>
      </c>
      <c r="Q293" s="10" t="s">
        <v>12</v>
      </c>
    </row>
    <row r="294" spans="1:17" s="652" customFormat="1">
      <c r="A294" s="455"/>
      <c r="B294" s="455"/>
      <c r="C294" s="653"/>
      <c r="D294" s="455"/>
      <c r="E294" s="654"/>
      <c r="F294" s="455"/>
      <c r="G294" s="648"/>
      <c r="H294" s="455"/>
      <c r="I294" s="654"/>
      <c r="J294" s="455"/>
      <c r="K294" s="455"/>
      <c r="L294" s="455"/>
      <c r="M294" s="1405" t="str">
        <f>+IFERROR(VLOOKUP(G294,'S1&amp;2 Lists'!$C$4:$G$200,3,FALSE),"-")</f>
        <v>-</v>
      </c>
      <c r="N294" s="1405" t="str">
        <f t="shared" si="4"/>
        <v>-</v>
      </c>
      <c r="P294" s="1406">
        <f>ROUND(IF(L294='S1&amp;2 Lists'!$CV$3,K294,IF(L294='S1&amp;2 Lists'!$CV$4,K294/'S1&amp;2 Lists'!$CQ$6,0)),3)</f>
        <v>0</v>
      </c>
      <c r="Q294" s="10" t="s">
        <v>12</v>
      </c>
    </row>
    <row r="295" spans="1:17" s="652" customFormat="1">
      <c r="A295" s="455"/>
      <c r="B295" s="455"/>
      <c r="C295" s="653"/>
      <c r="D295" s="455"/>
      <c r="E295" s="654"/>
      <c r="F295" s="455"/>
      <c r="G295" s="648"/>
      <c r="H295" s="455"/>
      <c r="I295" s="654"/>
      <c r="J295" s="455"/>
      <c r="K295" s="455"/>
      <c r="L295" s="455"/>
      <c r="M295" s="1405" t="str">
        <f>+IFERROR(VLOOKUP(G295,'S1&amp;2 Lists'!$C$4:$G$200,3,FALSE),"-")</f>
        <v>-</v>
      </c>
      <c r="N295" s="1405" t="str">
        <f t="shared" si="4"/>
        <v>-</v>
      </c>
      <c r="P295" s="1406">
        <f>ROUND(IF(L295='S1&amp;2 Lists'!$CV$3,K295,IF(L295='S1&amp;2 Lists'!$CV$4,K295/'S1&amp;2 Lists'!$CQ$6,0)),3)</f>
        <v>0</v>
      </c>
      <c r="Q295" s="10" t="s">
        <v>12</v>
      </c>
    </row>
    <row r="296" spans="1:17" s="652" customFormat="1">
      <c r="A296" s="455"/>
      <c r="B296" s="455"/>
      <c r="C296" s="653"/>
      <c r="D296" s="455"/>
      <c r="E296" s="654"/>
      <c r="F296" s="455"/>
      <c r="G296" s="648"/>
      <c r="H296" s="455"/>
      <c r="I296" s="654"/>
      <c r="J296" s="455"/>
      <c r="K296" s="455"/>
      <c r="L296" s="455"/>
      <c r="M296" s="1405" t="str">
        <f>+IFERROR(VLOOKUP(G296,'S1&amp;2 Lists'!$C$4:$G$200,3,FALSE),"-")</f>
        <v>-</v>
      </c>
      <c r="N296" s="1405" t="str">
        <f t="shared" si="4"/>
        <v>-</v>
      </c>
      <c r="P296" s="1406">
        <f>ROUND(IF(L296='S1&amp;2 Lists'!$CV$3,K296,IF(L296='S1&amp;2 Lists'!$CV$4,K296/'S1&amp;2 Lists'!$CQ$6,0)),3)</f>
        <v>0</v>
      </c>
      <c r="Q296" s="10" t="s">
        <v>12</v>
      </c>
    </row>
    <row r="297" spans="1:17" s="652" customFormat="1">
      <c r="A297" s="455"/>
      <c r="B297" s="455"/>
      <c r="C297" s="653"/>
      <c r="D297" s="455"/>
      <c r="E297" s="654"/>
      <c r="F297" s="455"/>
      <c r="G297" s="648"/>
      <c r="H297" s="455"/>
      <c r="I297" s="654"/>
      <c r="J297" s="455"/>
      <c r="K297" s="455"/>
      <c r="L297" s="455"/>
      <c r="M297" s="1405" t="str">
        <f>+IFERROR(VLOOKUP(G297,'S1&amp;2 Lists'!$C$4:$G$200,3,FALSE),"-")</f>
        <v>-</v>
      </c>
      <c r="N297" s="1405" t="str">
        <f t="shared" si="4"/>
        <v>-</v>
      </c>
      <c r="P297" s="1406">
        <f>ROUND(IF(L297='S1&amp;2 Lists'!$CV$3,K297,IF(L297='S1&amp;2 Lists'!$CV$4,K297/'S1&amp;2 Lists'!$CQ$6,0)),3)</f>
        <v>0</v>
      </c>
      <c r="Q297" s="10" t="s">
        <v>12</v>
      </c>
    </row>
    <row r="298" spans="1:17" s="652" customFormat="1">
      <c r="A298" s="455"/>
      <c r="B298" s="455"/>
      <c r="C298" s="653"/>
      <c r="D298" s="455"/>
      <c r="E298" s="654"/>
      <c r="F298" s="455"/>
      <c r="G298" s="648"/>
      <c r="H298" s="455"/>
      <c r="I298" s="654"/>
      <c r="J298" s="455"/>
      <c r="K298" s="455"/>
      <c r="L298" s="455"/>
      <c r="M298" s="1405" t="str">
        <f>+IFERROR(VLOOKUP(G298,'S1&amp;2 Lists'!$C$4:$G$200,3,FALSE),"-")</f>
        <v>-</v>
      </c>
      <c r="N298" s="1405" t="str">
        <f t="shared" si="4"/>
        <v>-</v>
      </c>
      <c r="P298" s="1406">
        <f>ROUND(IF(L298='S1&amp;2 Lists'!$CV$3,K298,IF(L298='S1&amp;2 Lists'!$CV$4,K298/'S1&amp;2 Lists'!$CQ$6,0)),3)</f>
        <v>0</v>
      </c>
      <c r="Q298" s="10" t="s">
        <v>12</v>
      </c>
    </row>
    <row r="299" spans="1:17" s="652" customFormat="1">
      <c r="A299" s="455"/>
      <c r="B299" s="455"/>
      <c r="C299" s="653"/>
      <c r="D299" s="455"/>
      <c r="E299" s="654"/>
      <c r="F299" s="455"/>
      <c r="G299" s="648"/>
      <c r="H299" s="455"/>
      <c r="I299" s="654"/>
      <c r="J299" s="455"/>
      <c r="K299" s="455"/>
      <c r="L299" s="455"/>
      <c r="M299" s="1405" t="str">
        <f>+IFERROR(VLOOKUP(G299,'S1&amp;2 Lists'!$C$4:$G$200,3,FALSE),"-")</f>
        <v>-</v>
      </c>
      <c r="N299" s="1405" t="str">
        <f t="shared" si="4"/>
        <v>-</v>
      </c>
      <c r="P299" s="1406">
        <f>ROUND(IF(L299='S1&amp;2 Lists'!$CV$3,K299,IF(L299='S1&amp;2 Lists'!$CV$4,K299/'S1&amp;2 Lists'!$CQ$6,0)),3)</f>
        <v>0</v>
      </c>
      <c r="Q299" s="10" t="s">
        <v>12</v>
      </c>
    </row>
    <row r="300" spans="1:17" s="652" customFormat="1">
      <c r="A300" s="455"/>
      <c r="B300" s="455"/>
      <c r="C300" s="653"/>
      <c r="D300" s="455"/>
      <c r="E300" s="654"/>
      <c r="F300" s="455"/>
      <c r="G300" s="648"/>
      <c r="H300" s="455"/>
      <c r="I300" s="654"/>
      <c r="J300" s="455"/>
      <c r="K300" s="455"/>
      <c r="L300" s="455"/>
      <c r="M300" s="1405" t="str">
        <f>+IFERROR(VLOOKUP(G300,'S1&amp;2 Lists'!$C$4:$G$200,3,FALSE),"-")</f>
        <v>-</v>
      </c>
      <c r="N300" s="1405" t="str">
        <f t="shared" si="4"/>
        <v>-</v>
      </c>
      <c r="P300" s="1406">
        <f>ROUND(IF(L300='S1&amp;2 Lists'!$CV$3,K300,IF(L300='S1&amp;2 Lists'!$CV$4,K300/'S1&amp;2 Lists'!$CQ$6,0)),3)</f>
        <v>0</v>
      </c>
      <c r="Q300" s="10" t="s">
        <v>12</v>
      </c>
    </row>
    <row r="301" spans="1:17" s="652" customFormat="1">
      <c r="A301" s="455"/>
      <c r="B301" s="455"/>
      <c r="C301" s="653"/>
      <c r="D301" s="455"/>
      <c r="E301" s="654"/>
      <c r="F301" s="455"/>
      <c r="G301" s="648"/>
      <c r="H301" s="455"/>
      <c r="I301" s="654"/>
      <c r="J301" s="455"/>
      <c r="K301" s="455"/>
      <c r="L301" s="455"/>
      <c r="M301" s="1405" t="str">
        <f>+IFERROR(VLOOKUP(G301,'S1&amp;2 Lists'!$C$4:$G$200,3,FALSE),"-")</f>
        <v>-</v>
      </c>
      <c r="N301" s="1405" t="str">
        <f t="shared" si="4"/>
        <v>-</v>
      </c>
      <c r="P301" s="1406">
        <f>ROUND(IF(L301='S1&amp;2 Lists'!$CV$3,K301,IF(L301='S1&amp;2 Lists'!$CV$4,K301/'S1&amp;2 Lists'!$CQ$6,0)),3)</f>
        <v>0</v>
      </c>
      <c r="Q301" s="10" t="s">
        <v>12</v>
      </c>
    </row>
    <row r="302" spans="1:17" s="652" customFormat="1">
      <c r="A302" s="455"/>
      <c r="B302" s="455"/>
      <c r="C302" s="653"/>
      <c r="D302" s="455"/>
      <c r="E302" s="654"/>
      <c r="F302" s="455"/>
      <c r="G302" s="648"/>
      <c r="H302" s="455"/>
      <c r="I302" s="654"/>
      <c r="J302" s="455"/>
      <c r="K302" s="455"/>
      <c r="L302" s="455"/>
      <c r="M302" s="1405" t="str">
        <f>+IFERROR(VLOOKUP(G302,'S1&amp;2 Lists'!$C$4:$G$200,3,FALSE),"-")</f>
        <v>-</v>
      </c>
      <c r="N302" s="1405" t="str">
        <f t="shared" si="4"/>
        <v>-</v>
      </c>
      <c r="P302" s="1406">
        <f>ROUND(IF(L302='S1&amp;2 Lists'!$CV$3,K302,IF(L302='S1&amp;2 Lists'!$CV$4,K302/'S1&amp;2 Lists'!$CQ$6,0)),3)</f>
        <v>0</v>
      </c>
      <c r="Q302" s="10" t="s">
        <v>12</v>
      </c>
    </row>
    <row r="303" spans="1:17" s="652" customFormat="1">
      <c r="A303" s="455"/>
      <c r="B303" s="455"/>
      <c r="C303" s="653"/>
      <c r="D303" s="455"/>
      <c r="E303" s="654"/>
      <c r="F303" s="455"/>
      <c r="G303" s="648"/>
      <c r="H303" s="455"/>
      <c r="I303" s="654"/>
      <c r="J303" s="455"/>
      <c r="K303" s="455"/>
      <c r="L303" s="455"/>
      <c r="M303" s="1405" t="str">
        <f>+IFERROR(VLOOKUP(G303,'S1&amp;2 Lists'!$C$4:$G$200,3,FALSE),"-")</f>
        <v>-</v>
      </c>
      <c r="N303" s="1405" t="str">
        <f t="shared" si="4"/>
        <v>-</v>
      </c>
      <c r="P303" s="1406">
        <f>ROUND(IF(L303='S1&amp;2 Lists'!$CV$3,K303,IF(L303='S1&amp;2 Lists'!$CV$4,K303/'S1&amp;2 Lists'!$CQ$6,0)),3)</f>
        <v>0</v>
      </c>
      <c r="Q303" s="10" t="s">
        <v>12</v>
      </c>
    </row>
    <row r="304" spans="1:17" s="652" customFormat="1">
      <c r="A304" s="455"/>
      <c r="B304" s="455"/>
      <c r="C304" s="653"/>
      <c r="D304" s="455"/>
      <c r="E304" s="654"/>
      <c r="F304" s="455"/>
      <c r="G304" s="648"/>
      <c r="H304" s="455"/>
      <c r="I304" s="654"/>
      <c r="J304" s="455"/>
      <c r="K304" s="455"/>
      <c r="L304" s="455"/>
      <c r="M304" s="1405" t="str">
        <f>+IFERROR(VLOOKUP(G304,'S1&amp;2 Lists'!$C$4:$G$200,3,FALSE),"-")</f>
        <v>-</v>
      </c>
      <c r="N304" s="1405" t="str">
        <f t="shared" si="4"/>
        <v>-</v>
      </c>
      <c r="P304" s="1406">
        <f>ROUND(IF(L304='S1&amp;2 Lists'!$CV$3,K304,IF(L304='S1&amp;2 Lists'!$CV$4,K304/'S1&amp;2 Lists'!$CQ$6,0)),3)</f>
        <v>0</v>
      </c>
      <c r="Q304" s="10" t="s">
        <v>12</v>
      </c>
    </row>
    <row r="305" spans="1:17" s="652" customFormat="1">
      <c r="A305" s="455"/>
      <c r="B305" s="455"/>
      <c r="C305" s="653"/>
      <c r="D305" s="455"/>
      <c r="E305" s="654"/>
      <c r="F305" s="455"/>
      <c r="G305" s="648"/>
      <c r="H305" s="455"/>
      <c r="I305" s="654"/>
      <c r="J305" s="455"/>
      <c r="K305" s="455"/>
      <c r="L305" s="455"/>
      <c r="M305" s="1405" t="str">
        <f>+IFERROR(VLOOKUP(G305,'S1&amp;2 Lists'!$C$4:$G$200,3,FALSE),"-")</f>
        <v>-</v>
      </c>
      <c r="N305" s="1405" t="str">
        <f t="shared" si="4"/>
        <v>-</v>
      </c>
      <c r="P305" s="1406">
        <f>ROUND(IF(L305='S1&amp;2 Lists'!$CV$3,K305,IF(L305='S1&amp;2 Lists'!$CV$4,K305/'S1&amp;2 Lists'!$CQ$6,0)),3)</f>
        <v>0</v>
      </c>
      <c r="Q305" s="10" t="s">
        <v>12</v>
      </c>
    </row>
    <row r="306" spans="1:17" s="652" customFormat="1">
      <c r="A306" s="455"/>
      <c r="B306" s="455"/>
      <c r="C306" s="653"/>
      <c r="D306" s="455"/>
      <c r="E306" s="654"/>
      <c r="F306" s="455"/>
      <c r="G306" s="648"/>
      <c r="H306" s="455"/>
      <c r="I306" s="654"/>
      <c r="J306" s="455"/>
      <c r="K306" s="455"/>
      <c r="L306" s="455"/>
      <c r="M306" s="1405" t="str">
        <f>+IFERROR(VLOOKUP(G306,'S1&amp;2 Lists'!$C$4:$G$200,3,FALSE),"-")</f>
        <v>-</v>
      </c>
      <c r="N306" s="1405" t="str">
        <f t="shared" si="4"/>
        <v>-</v>
      </c>
      <c r="P306" s="1406">
        <f>ROUND(IF(L306='S1&amp;2 Lists'!$CV$3,K306,IF(L306='S1&amp;2 Lists'!$CV$4,K306/'S1&amp;2 Lists'!$CQ$6,0)),3)</f>
        <v>0</v>
      </c>
      <c r="Q306" s="10" t="s">
        <v>12</v>
      </c>
    </row>
    <row r="307" spans="1:17" s="652" customFormat="1">
      <c r="A307" s="455"/>
      <c r="B307" s="455"/>
      <c r="C307" s="653"/>
      <c r="D307" s="455"/>
      <c r="E307" s="654"/>
      <c r="F307" s="455"/>
      <c r="G307" s="648"/>
      <c r="H307" s="455"/>
      <c r="I307" s="654"/>
      <c r="J307" s="455"/>
      <c r="K307" s="455"/>
      <c r="L307" s="455"/>
      <c r="M307" s="1405" t="str">
        <f>+IFERROR(VLOOKUP(G307,'S1&amp;2 Lists'!$C$4:$G$200,3,FALSE),"-")</f>
        <v>-</v>
      </c>
      <c r="N307" s="1405" t="str">
        <f t="shared" si="4"/>
        <v>-</v>
      </c>
      <c r="P307" s="1406">
        <f>ROUND(IF(L307='S1&amp;2 Lists'!$CV$3,K307,IF(L307='S1&amp;2 Lists'!$CV$4,K307/'S1&amp;2 Lists'!$CQ$6,0)),3)</f>
        <v>0</v>
      </c>
      <c r="Q307" s="10" t="s">
        <v>12</v>
      </c>
    </row>
    <row r="308" spans="1:17" s="652" customFormat="1">
      <c r="A308" s="455"/>
      <c r="B308" s="455"/>
      <c r="C308" s="653"/>
      <c r="D308" s="455"/>
      <c r="E308" s="654"/>
      <c r="F308" s="455"/>
      <c r="G308" s="648"/>
      <c r="H308" s="455"/>
      <c r="I308" s="654"/>
      <c r="J308" s="455"/>
      <c r="K308" s="455"/>
      <c r="L308" s="455"/>
      <c r="M308" s="1405" t="str">
        <f>+IFERROR(VLOOKUP(G308,'S1&amp;2 Lists'!$C$4:$G$200,3,FALSE),"-")</f>
        <v>-</v>
      </c>
      <c r="N308" s="1405" t="str">
        <f t="shared" si="4"/>
        <v>-</v>
      </c>
      <c r="P308" s="1406">
        <f>ROUND(IF(L308='S1&amp;2 Lists'!$CV$3,K308,IF(L308='S1&amp;2 Lists'!$CV$4,K308/'S1&amp;2 Lists'!$CQ$6,0)),3)</f>
        <v>0</v>
      </c>
      <c r="Q308" s="10" t="s">
        <v>12</v>
      </c>
    </row>
    <row r="309" spans="1:17" s="652" customFormat="1">
      <c r="A309" s="455"/>
      <c r="B309" s="455"/>
      <c r="C309" s="653"/>
      <c r="D309" s="455"/>
      <c r="E309" s="654"/>
      <c r="F309" s="455"/>
      <c r="G309" s="648"/>
      <c r="H309" s="455"/>
      <c r="I309" s="654"/>
      <c r="J309" s="455"/>
      <c r="K309" s="455"/>
      <c r="L309" s="455"/>
      <c r="M309" s="1405" t="str">
        <f>+IFERROR(VLOOKUP(G309,'S1&amp;2 Lists'!$C$4:$G$200,3,FALSE),"-")</f>
        <v>-</v>
      </c>
      <c r="N309" s="1405" t="str">
        <f t="shared" si="4"/>
        <v>-</v>
      </c>
      <c r="P309" s="1406">
        <f>ROUND(IF(L309='S1&amp;2 Lists'!$CV$3,K309,IF(L309='S1&amp;2 Lists'!$CV$4,K309/'S1&amp;2 Lists'!$CQ$6,0)),3)</f>
        <v>0</v>
      </c>
      <c r="Q309" s="10" t="s">
        <v>12</v>
      </c>
    </row>
    <row r="310" spans="1:17" s="652" customFormat="1">
      <c r="A310" s="455"/>
      <c r="B310" s="455"/>
      <c r="C310" s="653"/>
      <c r="D310" s="455"/>
      <c r="E310" s="654"/>
      <c r="F310" s="455"/>
      <c r="G310" s="648"/>
      <c r="H310" s="455"/>
      <c r="I310" s="654"/>
      <c r="J310" s="455"/>
      <c r="K310" s="455"/>
      <c r="L310" s="455"/>
      <c r="M310" s="1405" t="str">
        <f>+IFERROR(VLOOKUP(G310,'S1&amp;2 Lists'!$C$4:$G$200,3,FALSE),"-")</f>
        <v>-</v>
      </c>
      <c r="N310" s="1405" t="str">
        <f t="shared" si="4"/>
        <v>-</v>
      </c>
      <c r="P310" s="1406">
        <f>ROUND(IF(L310='S1&amp;2 Lists'!$CV$3,K310,IF(L310='S1&amp;2 Lists'!$CV$4,K310/'S1&amp;2 Lists'!$CQ$6,0)),3)</f>
        <v>0</v>
      </c>
      <c r="Q310" s="10" t="s">
        <v>12</v>
      </c>
    </row>
    <row r="311" spans="1:17" s="652" customFormat="1">
      <c r="A311" s="455"/>
      <c r="B311" s="455"/>
      <c r="C311" s="653"/>
      <c r="D311" s="455"/>
      <c r="E311" s="654"/>
      <c r="F311" s="455"/>
      <c r="G311" s="648"/>
      <c r="H311" s="455"/>
      <c r="I311" s="654"/>
      <c r="J311" s="455"/>
      <c r="K311" s="455"/>
      <c r="L311" s="455"/>
      <c r="M311" s="1405" t="str">
        <f>+IFERROR(VLOOKUP(G311,'S1&amp;2 Lists'!$C$4:$G$200,3,FALSE),"-")</f>
        <v>-</v>
      </c>
      <c r="N311" s="1405" t="str">
        <f t="shared" si="4"/>
        <v>-</v>
      </c>
      <c r="P311" s="1406">
        <f>ROUND(IF(L311='S1&amp;2 Lists'!$CV$3,K311,IF(L311='S1&amp;2 Lists'!$CV$4,K311/'S1&amp;2 Lists'!$CQ$6,0)),3)</f>
        <v>0</v>
      </c>
      <c r="Q311" s="10" t="s">
        <v>12</v>
      </c>
    </row>
    <row r="312" spans="1:17" s="652" customFormat="1">
      <c r="A312" s="455"/>
      <c r="B312" s="455"/>
      <c r="C312" s="653"/>
      <c r="D312" s="455"/>
      <c r="E312" s="654"/>
      <c r="F312" s="455"/>
      <c r="G312" s="648"/>
      <c r="H312" s="455"/>
      <c r="I312" s="654"/>
      <c r="J312" s="455"/>
      <c r="K312" s="455"/>
      <c r="L312" s="455"/>
      <c r="M312" s="1405" t="str">
        <f>+IFERROR(VLOOKUP(G312,'S1&amp;2 Lists'!$C$4:$G$200,3,FALSE),"-")</f>
        <v>-</v>
      </c>
      <c r="N312" s="1405" t="str">
        <f t="shared" si="4"/>
        <v>-</v>
      </c>
      <c r="P312" s="1406">
        <f>ROUND(IF(L312='S1&amp;2 Lists'!$CV$3,K312,IF(L312='S1&amp;2 Lists'!$CV$4,K312/'S1&amp;2 Lists'!$CQ$6,0)),3)</f>
        <v>0</v>
      </c>
      <c r="Q312" s="10" t="s">
        <v>12</v>
      </c>
    </row>
    <row r="313" spans="1:17" s="652" customFormat="1">
      <c r="A313" s="455"/>
      <c r="B313" s="455"/>
      <c r="C313" s="653"/>
      <c r="D313" s="455"/>
      <c r="E313" s="654"/>
      <c r="F313" s="455"/>
      <c r="G313" s="648"/>
      <c r="H313" s="455"/>
      <c r="I313" s="654"/>
      <c r="J313" s="455"/>
      <c r="K313" s="455"/>
      <c r="L313" s="455"/>
      <c r="M313" s="1405" t="str">
        <f>+IFERROR(VLOOKUP(G313,'S1&amp;2 Lists'!$C$4:$G$200,3,FALSE),"-")</f>
        <v>-</v>
      </c>
      <c r="N313" s="1405" t="str">
        <f t="shared" si="4"/>
        <v>-</v>
      </c>
      <c r="P313" s="1406">
        <f>ROUND(IF(L313='S1&amp;2 Lists'!$CV$3,K313,IF(L313='S1&amp;2 Lists'!$CV$4,K313/'S1&amp;2 Lists'!$CQ$6,0)),3)</f>
        <v>0</v>
      </c>
      <c r="Q313" s="10" t="s">
        <v>12</v>
      </c>
    </row>
    <row r="314" spans="1:17" s="652" customFormat="1">
      <c r="A314" s="455"/>
      <c r="B314" s="455"/>
      <c r="C314" s="653"/>
      <c r="D314" s="455"/>
      <c r="E314" s="654"/>
      <c r="F314" s="455"/>
      <c r="G314" s="648"/>
      <c r="H314" s="455"/>
      <c r="I314" s="654"/>
      <c r="J314" s="455"/>
      <c r="K314" s="455"/>
      <c r="L314" s="455"/>
      <c r="M314" s="1405" t="str">
        <f>+IFERROR(VLOOKUP(G314,'S1&amp;2 Lists'!$C$4:$G$200,3,FALSE),"-")</f>
        <v>-</v>
      </c>
      <c r="N314" s="1405" t="str">
        <f t="shared" si="4"/>
        <v>-</v>
      </c>
      <c r="P314" s="1406">
        <f>ROUND(IF(L314='S1&amp;2 Lists'!$CV$3,K314,IF(L314='S1&amp;2 Lists'!$CV$4,K314/'S1&amp;2 Lists'!$CQ$6,0)),3)</f>
        <v>0</v>
      </c>
      <c r="Q314" s="10" t="s">
        <v>12</v>
      </c>
    </row>
    <row r="315" spans="1:17" s="652" customFormat="1">
      <c r="A315" s="455"/>
      <c r="B315" s="455"/>
      <c r="C315" s="653"/>
      <c r="D315" s="455"/>
      <c r="E315" s="654"/>
      <c r="F315" s="455"/>
      <c r="G315" s="648"/>
      <c r="H315" s="455"/>
      <c r="I315" s="654"/>
      <c r="J315" s="455"/>
      <c r="K315" s="455"/>
      <c r="L315" s="455"/>
      <c r="M315" s="1405" t="str">
        <f>+IFERROR(VLOOKUP(G315,'S1&amp;2 Lists'!$C$4:$G$200,3,FALSE),"-")</f>
        <v>-</v>
      </c>
      <c r="N315" s="1405" t="str">
        <f t="shared" si="4"/>
        <v>-</v>
      </c>
      <c r="P315" s="1406">
        <f>ROUND(IF(L315='S1&amp;2 Lists'!$CV$3,K315,IF(L315='S1&amp;2 Lists'!$CV$4,K315/'S1&amp;2 Lists'!$CQ$6,0)),3)</f>
        <v>0</v>
      </c>
      <c r="Q315" s="10" t="s">
        <v>12</v>
      </c>
    </row>
    <row r="316" spans="1:17" s="652" customFormat="1">
      <c r="A316" s="455"/>
      <c r="B316" s="455"/>
      <c r="C316" s="653"/>
      <c r="D316" s="455"/>
      <c r="E316" s="654"/>
      <c r="F316" s="455"/>
      <c r="G316" s="648"/>
      <c r="H316" s="455"/>
      <c r="I316" s="654"/>
      <c r="J316" s="455"/>
      <c r="K316" s="455"/>
      <c r="L316" s="455"/>
      <c r="M316" s="1405" t="str">
        <f>+IFERROR(VLOOKUP(G316,'S1&amp;2 Lists'!$C$4:$G$200,3,FALSE),"-")</f>
        <v>-</v>
      </c>
      <c r="N316" s="1405" t="str">
        <f t="shared" si="4"/>
        <v>-</v>
      </c>
      <c r="P316" s="1406">
        <f>ROUND(IF(L316='S1&amp;2 Lists'!$CV$3,K316,IF(L316='S1&amp;2 Lists'!$CV$4,K316/'S1&amp;2 Lists'!$CQ$6,0)),3)</f>
        <v>0</v>
      </c>
      <c r="Q316" s="10" t="s">
        <v>12</v>
      </c>
    </row>
    <row r="317" spans="1:17" s="652" customFormat="1">
      <c r="A317" s="455"/>
      <c r="B317" s="455"/>
      <c r="C317" s="653"/>
      <c r="D317" s="455"/>
      <c r="E317" s="654"/>
      <c r="F317" s="455"/>
      <c r="G317" s="648"/>
      <c r="H317" s="455"/>
      <c r="I317" s="654"/>
      <c r="J317" s="455"/>
      <c r="K317" s="455"/>
      <c r="L317" s="455"/>
      <c r="M317" s="1405" t="str">
        <f>+IFERROR(VLOOKUP(G317,'S1&amp;2 Lists'!$C$4:$G$200,3,FALSE),"-")</f>
        <v>-</v>
      </c>
      <c r="N317" s="1405" t="str">
        <f t="shared" si="4"/>
        <v>-</v>
      </c>
      <c r="P317" s="1406">
        <f>ROUND(IF(L317='S1&amp;2 Lists'!$CV$3,K317,IF(L317='S1&amp;2 Lists'!$CV$4,K317/'S1&amp;2 Lists'!$CQ$6,0)),3)</f>
        <v>0</v>
      </c>
      <c r="Q317" s="10" t="s">
        <v>12</v>
      </c>
    </row>
    <row r="318" spans="1:17" s="652" customFormat="1">
      <c r="A318" s="455"/>
      <c r="B318" s="455"/>
      <c r="C318" s="653"/>
      <c r="D318" s="455"/>
      <c r="E318" s="654"/>
      <c r="F318" s="455"/>
      <c r="G318" s="648"/>
      <c r="H318" s="455"/>
      <c r="I318" s="654"/>
      <c r="J318" s="455"/>
      <c r="K318" s="455"/>
      <c r="L318" s="455"/>
      <c r="M318" s="1405" t="str">
        <f>+IFERROR(VLOOKUP(G318,'S1&amp;2 Lists'!$C$4:$G$200,3,FALSE),"-")</f>
        <v>-</v>
      </c>
      <c r="N318" s="1405" t="str">
        <f t="shared" si="4"/>
        <v>-</v>
      </c>
      <c r="P318" s="1406">
        <f>ROUND(IF(L318='S1&amp;2 Lists'!$CV$3,K318,IF(L318='S1&amp;2 Lists'!$CV$4,K318/'S1&amp;2 Lists'!$CQ$6,0)),3)</f>
        <v>0</v>
      </c>
      <c r="Q318" s="10" t="s">
        <v>12</v>
      </c>
    </row>
    <row r="319" spans="1:17" s="652" customFormat="1">
      <c r="A319" s="455"/>
      <c r="B319" s="455"/>
      <c r="C319" s="653"/>
      <c r="D319" s="455"/>
      <c r="E319" s="654"/>
      <c r="F319" s="455"/>
      <c r="G319" s="648"/>
      <c r="H319" s="455"/>
      <c r="I319" s="654"/>
      <c r="J319" s="455"/>
      <c r="K319" s="455"/>
      <c r="L319" s="455"/>
      <c r="M319" s="1405" t="str">
        <f>+IFERROR(VLOOKUP(G319,'S1&amp;2 Lists'!$C$4:$G$200,3,FALSE),"-")</f>
        <v>-</v>
      </c>
      <c r="N319" s="1405" t="str">
        <f t="shared" si="4"/>
        <v>-</v>
      </c>
      <c r="P319" s="1406">
        <f>ROUND(IF(L319='S1&amp;2 Lists'!$CV$3,K319,IF(L319='S1&amp;2 Lists'!$CV$4,K319/'S1&amp;2 Lists'!$CQ$6,0)),3)</f>
        <v>0</v>
      </c>
      <c r="Q319" s="10" t="s">
        <v>12</v>
      </c>
    </row>
    <row r="320" spans="1:17" s="652" customFormat="1">
      <c r="A320" s="455"/>
      <c r="B320" s="455"/>
      <c r="C320" s="653"/>
      <c r="D320" s="455"/>
      <c r="E320" s="654"/>
      <c r="F320" s="455"/>
      <c r="G320" s="648"/>
      <c r="H320" s="455"/>
      <c r="I320" s="654"/>
      <c r="J320" s="455"/>
      <c r="K320" s="455"/>
      <c r="L320" s="455"/>
      <c r="M320" s="1405" t="str">
        <f>+IFERROR(VLOOKUP(G320,'S1&amp;2 Lists'!$C$4:$G$200,3,FALSE),"-")</f>
        <v>-</v>
      </c>
      <c r="N320" s="1405" t="str">
        <f t="shared" si="4"/>
        <v>-</v>
      </c>
      <c r="P320" s="1406">
        <f>ROUND(IF(L320='S1&amp;2 Lists'!$CV$3,K320,IF(L320='S1&amp;2 Lists'!$CV$4,K320/'S1&amp;2 Lists'!$CQ$6,0)),3)</f>
        <v>0</v>
      </c>
      <c r="Q320" s="10" t="s">
        <v>12</v>
      </c>
    </row>
    <row r="321" spans="1:17" s="652" customFormat="1">
      <c r="A321" s="455"/>
      <c r="B321" s="455"/>
      <c r="C321" s="653"/>
      <c r="D321" s="455"/>
      <c r="E321" s="654"/>
      <c r="F321" s="455"/>
      <c r="G321" s="648"/>
      <c r="H321" s="455"/>
      <c r="I321" s="654"/>
      <c r="J321" s="455"/>
      <c r="K321" s="455"/>
      <c r="L321" s="455"/>
      <c r="M321" s="1405" t="str">
        <f>+IFERROR(VLOOKUP(G321,'S1&amp;2 Lists'!$C$4:$G$200,3,FALSE),"-")</f>
        <v>-</v>
      </c>
      <c r="N321" s="1405" t="str">
        <f t="shared" si="4"/>
        <v>-</v>
      </c>
      <c r="P321" s="1406">
        <f>ROUND(IF(L321='S1&amp;2 Lists'!$CV$3,K321,IF(L321='S1&amp;2 Lists'!$CV$4,K321/'S1&amp;2 Lists'!$CQ$6,0)),3)</f>
        <v>0</v>
      </c>
      <c r="Q321" s="10" t="s">
        <v>12</v>
      </c>
    </row>
    <row r="322" spans="1:17" s="652" customFormat="1">
      <c r="A322" s="455"/>
      <c r="B322" s="455"/>
      <c r="C322" s="653"/>
      <c r="D322" s="455"/>
      <c r="E322" s="654"/>
      <c r="F322" s="455"/>
      <c r="G322" s="648"/>
      <c r="H322" s="455"/>
      <c r="I322" s="654"/>
      <c r="J322" s="455"/>
      <c r="K322" s="455"/>
      <c r="L322" s="455"/>
      <c r="M322" s="1405" t="str">
        <f>+IFERROR(VLOOKUP(G322,'S1&amp;2 Lists'!$C$4:$G$200,3,FALSE),"-")</f>
        <v>-</v>
      </c>
      <c r="N322" s="1405" t="str">
        <f t="shared" si="4"/>
        <v>-</v>
      </c>
      <c r="P322" s="1406">
        <f>ROUND(IF(L322='S1&amp;2 Lists'!$CV$3,K322,IF(L322='S1&amp;2 Lists'!$CV$4,K322/'S1&amp;2 Lists'!$CQ$6,0)),3)</f>
        <v>0</v>
      </c>
      <c r="Q322" s="10" t="s">
        <v>12</v>
      </c>
    </row>
    <row r="323" spans="1:17" s="652" customFormat="1">
      <c r="A323" s="455"/>
      <c r="B323" s="455"/>
      <c r="C323" s="653"/>
      <c r="D323" s="455"/>
      <c r="E323" s="654"/>
      <c r="F323" s="455"/>
      <c r="G323" s="648"/>
      <c r="H323" s="455"/>
      <c r="I323" s="654"/>
      <c r="J323" s="455"/>
      <c r="K323" s="455"/>
      <c r="L323" s="455"/>
      <c r="M323" s="1405" t="str">
        <f>+IFERROR(VLOOKUP(G323,'S1&amp;2 Lists'!$C$4:$G$200,3,FALSE),"-")</f>
        <v>-</v>
      </c>
      <c r="N323" s="1405" t="str">
        <f t="shared" si="4"/>
        <v>-</v>
      </c>
      <c r="P323" s="1406">
        <f>ROUND(IF(L323='S1&amp;2 Lists'!$CV$3,K323,IF(L323='S1&amp;2 Lists'!$CV$4,K323/'S1&amp;2 Lists'!$CQ$6,0)),3)</f>
        <v>0</v>
      </c>
      <c r="Q323" s="10" t="s">
        <v>12</v>
      </c>
    </row>
    <row r="324" spans="1:17" s="652" customFormat="1">
      <c r="A324" s="455"/>
      <c r="B324" s="455"/>
      <c r="C324" s="653"/>
      <c r="D324" s="455"/>
      <c r="E324" s="654"/>
      <c r="F324" s="455"/>
      <c r="G324" s="648"/>
      <c r="H324" s="455"/>
      <c r="I324" s="654"/>
      <c r="J324" s="455"/>
      <c r="K324" s="455"/>
      <c r="L324" s="455"/>
      <c r="M324" s="1405" t="str">
        <f>+IFERROR(VLOOKUP(G324,'S1&amp;2 Lists'!$C$4:$G$200,3,FALSE),"-")</f>
        <v>-</v>
      </c>
      <c r="N324" s="1405" t="str">
        <f t="shared" si="4"/>
        <v>-</v>
      </c>
      <c r="P324" s="1406">
        <f>ROUND(IF(L324='S1&amp;2 Lists'!$CV$3,K324,IF(L324='S1&amp;2 Lists'!$CV$4,K324/'S1&amp;2 Lists'!$CQ$6,0)),3)</f>
        <v>0</v>
      </c>
      <c r="Q324" s="10" t="s">
        <v>12</v>
      </c>
    </row>
    <row r="325" spans="1:17" s="652" customFormat="1">
      <c r="A325" s="455"/>
      <c r="B325" s="455"/>
      <c r="C325" s="653"/>
      <c r="D325" s="455"/>
      <c r="E325" s="654"/>
      <c r="F325" s="455"/>
      <c r="G325" s="648"/>
      <c r="H325" s="455"/>
      <c r="I325" s="654"/>
      <c r="J325" s="455"/>
      <c r="K325" s="455"/>
      <c r="L325" s="455"/>
      <c r="M325" s="1405" t="str">
        <f>+IFERROR(VLOOKUP(G325,'S1&amp;2 Lists'!$C$4:$G$200,3,FALSE),"-")</f>
        <v>-</v>
      </c>
      <c r="N325" s="1405" t="str">
        <f t="shared" si="4"/>
        <v>-</v>
      </c>
      <c r="P325" s="1406">
        <f>ROUND(IF(L325='S1&amp;2 Lists'!$CV$3,K325,IF(L325='S1&amp;2 Lists'!$CV$4,K325/'S1&amp;2 Lists'!$CQ$6,0)),3)</f>
        <v>0</v>
      </c>
      <c r="Q325" s="10" t="s">
        <v>12</v>
      </c>
    </row>
    <row r="326" spans="1:17" s="652" customFormat="1">
      <c r="A326" s="455"/>
      <c r="B326" s="455"/>
      <c r="C326" s="653"/>
      <c r="D326" s="455"/>
      <c r="E326" s="654"/>
      <c r="F326" s="455"/>
      <c r="G326" s="648"/>
      <c r="H326" s="455"/>
      <c r="I326" s="654"/>
      <c r="J326" s="455"/>
      <c r="K326" s="455"/>
      <c r="L326" s="455"/>
      <c r="M326" s="1405" t="str">
        <f>+IFERROR(VLOOKUP(G326,'S1&amp;2 Lists'!$C$4:$G$200,3,FALSE),"-")</f>
        <v>-</v>
      </c>
      <c r="N326" s="1405" t="str">
        <f t="shared" si="4"/>
        <v>-</v>
      </c>
      <c r="P326" s="1406">
        <f>ROUND(IF(L326='S1&amp;2 Lists'!$CV$3,K326,IF(L326='S1&amp;2 Lists'!$CV$4,K326/'S1&amp;2 Lists'!$CQ$6,0)),3)</f>
        <v>0</v>
      </c>
      <c r="Q326" s="10" t="s">
        <v>12</v>
      </c>
    </row>
    <row r="327" spans="1:17" s="652" customFormat="1">
      <c r="A327" s="455"/>
      <c r="B327" s="455"/>
      <c r="C327" s="653"/>
      <c r="D327" s="455"/>
      <c r="E327" s="654"/>
      <c r="F327" s="455"/>
      <c r="G327" s="648"/>
      <c r="H327" s="455"/>
      <c r="I327" s="654"/>
      <c r="J327" s="455"/>
      <c r="K327" s="455"/>
      <c r="L327" s="455"/>
      <c r="M327" s="1405" t="str">
        <f>+IFERROR(VLOOKUP(G327,'S1&amp;2 Lists'!$C$4:$G$200,3,FALSE),"-")</f>
        <v>-</v>
      </c>
      <c r="N327" s="1405" t="str">
        <f t="shared" si="4"/>
        <v>-</v>
      </c>
      <c r="P327" s="1406">
        <f>ROUND(IF(L327='S1&amp;2 Lists'!$CV$3,K327,IF(L327='S1&amp;2 Lists'!$CV$4,K327/'S1&amp;2 Lists'!$CQ$6,0)),3)</f>
        <v>0</v>
      </c>
      <c r="Q327" s="10" t="s">
        <v>12</v>
      </c>
    </row>
    <row r="328" spans="1:17" s="652" customFormat="1">
      <c r="A328" s="455"/>
      <c r="B328" s="455"/>
      <c r="C328" s="653"/>
      <c r="D328" s="455"/>
      <c r="E328" s="654"/>
      <c r="F328" s="455"/>
      <c r="G328" s="648"/>
      <c r="H328" s="455"/>
      <c r="I328" s="654"/>
      <c r="J328" s="455"/>
      <c r="K328" s="455"/>
      <c r="L328" s="455"/>
      <c r="M328" s="1405" t="str">
        <f>+IFERROR(VLOOKUP(G328,'S1&amp;2 Lists'!$C$4:$G$200,3,FALSE),"-")</f>
        <v>-</v>
      </c>
      <c r="N328" s="1405" t="str">
        <f t="shared" si="4"/>
        <v>-</v>
      </c>
      <c r="P328" s="1406">
        <f>ROUND(IF(L328='S1&amp;2 Lists'!$CV$3,K328,IF(L328='S1&amp;2 Lists'!$CV$4,K328/'S1&amp;2 Lists'!$CQ$6,0)),3)</f>
        <v>0</v>
      </c>
      <c r="Q328" s="10" t="s">
        <v>12</v>
      </c>
    </row>
    <row r="329" spans="1:17" s="652" customFormat="1">
      <c r="A329" s="455"/>
      <c r="B329" s="455"/>
      <c r="C329" s="653"/>
      <c r="D329" s="455"/>
      <c r="E329" s="654"/>
      <c r="F329" s="455"/>
      <c r="G329" s="648"/>
      <c r="H329" s="455"/>
      <c r="I329" s="654"/>
      <c r="J329" s="455"/>
      <c r="K329" s="455"/>
      <c r="L329" s="455"/>
      <c r="M329" s="1405" t="str">
        <f>+IFERROR(VLOOKUP(G329,'S1&amp;2 Lists'!$C$4:$G$200,3,FALSE),"-")</f>
        <v>-</v>
      </c>
      <c r="N329" s="1405" t="str">
        <f t="shared" si="4"/>
        <v>-</v>
      </c>
      <c r="P329" s="1406">
        <f>ROUND(IF(L329='S1&amp;2 Lists'!$CV$3,K329,IF(L329='S1&amp;2 Lists'!$CV$4,K329/'S1&amp;2 Lists'!$CQ$6,0)),3)</f>
        <v>0</v>
      </c>
      <c r="Q329" s="10" t="s">
        <v>12</v>
      </c>
    </row>
    <row r="330" spans="1:17" s="652" customFormat="1">
      <c r="A330" s="455"/>
      <c r="B330" s="455"/>
      <c r="C330" s="653"/>
      <c r="D330" s="455"/>
      <c r="E330" s="654"/>
      <c r="F330" s="455"/>
      <c r="G330" s="648"/>
      <c r="H330" s="455"/>
      <c r="I330" s="654"/>
      <c r="J330" s="455"/>
      <c r="K330" s="455"/>
      <c r="L330" s="455"/>
      <c r="M330" s="1405" t="str">
        <f>+IFERROR(VLOOKUP(G330,'S1&amp;2 Lists'!$C$4:$G$200,3,FALSE),"-")</f>
        <v>-</v>
      </c>
      <c r="N330" s="1405" t="str">
        <f t="shared" si="4"/>
        <v>-</v>
      </c>
      <c r="P330" s="1406">
        <f>ROUND(IF(L330='S1&amp;2 Lists'!$CV$3,K330,IF(L330='S1&amp;2 Lists'!$CV$4,K330/'S1&amp;2 Lists'!$CQ$6,0)),3)</f>
        <v>0</v>
      </c>
      <c r="Q330" s="10" t="s">
        <v>12</v>
      </c>
    </row>
    <row r="331" spans="1:17" s="652" customFormat="1">
      <c r="A331" s="455"/>
      <c r="B331" s="455"/>
      <c r="C331" s="653"/>
      <c r="D331" s="455"/>
      <c r="E331" s="654"/>
      <c r="F331" s="455"/>
      <c r="G331" s="648"/>
      <c r="H331" s="455"/>
      <c r="I331" s="654"/>
      <c r="J331" s="455"/>
      <c r="K331" s="455"/>
      <c r="L331" s="455"/>
      <c r="M331" s="1405" t="str">
        <f>+IFERROR(VLOOKUP(G331,'S1&amp;2 Lists'!$C$4:$G$200,3,FALSE),"-")</f>
        <v>-</v>
      </c>
      <c r="N331" s="1405" t="str">
        <f t="shared" ref="N331:N394" si="5">+IFERROR(P331*M331,"-")</f>
        <v>-</v>
      </c>
      <c r="P331" s="1406">
        <f>ROUND(IF(L331='S1&amp;2 Lists'!$CV$3,K331,IF(L331='S1&amp;2 Lists'!$CV$4,K331/'S1&amp;2 Lists'!$CQ$6,0)),3)</f>
        <v>0</v>
      </c>
      <c r="Q331" s="10" t="s">
        <v>12</v>
      </c>
    </row>
    <row r="332" spans="1:17" s="652" customFormat="1">
      <c r="A332" s="455"/>
      <c r="B332" s="455"/>
      <c r="C332" s="653"/>
      <c r="D332" s="455"/>
      <c r="E332" s="654"/>
      <c r="F332" s="455"/>
      <c r="G332" s="648"/>
      <c r="H332" s="455"/>
      <c r="I332" s="654"/>
      <c r="J332" s="455"/>
      <c r="K332" s="455"/>
      <c r="L332" s="455"/>
      <c r="M332" s="1405" t="str">
        <f>+IFERROR(VLOOKUP(G332,'S1&amp;2 Lists'!$C$4:$G$200,3,FALSE),"-")</f>
        <v>-</v>
      </c>
      <c r="N332" s="1405" t="str">
        <f t="shared" si="5"/>
        <v>-</v>
      </c>
      <c r="P332" s="1406">
        <f>ROUND(IF(L332='S1&amp;2 Lists'!$CV$3,K332,IF(L332='S1&amp;2 Lists'!$CV$4,K332/'S1&amp;2 Lists'!$CQ$6,0)),3)</f>
        <v>0</v>
      </c>
      <c r="Q332" s="10" t="s">
        <v>12</v>
      </c>
    </row>
    <row r="333" spans="1:17" s="652" customFormat="1">
      <c r="A333" s="455"/>
      <c r="B333" s="455"/>
      <c r="C333" s="653"/>
      <c r="D333" s="455"/>
      <c r="E333" s="654"/>
      <c r="F333" s="455"/>
      <c r="G333" s="648"/>
      <c r="H333" s="455"/>
      <c r="I333" s="654"/>
      <c r="J333" s="455"/>
      <c r="K333" s="455"/>
      <c r="L333" s="455"/>
      <c r="M333" s="1405" t="str">
        <f>+IFERROR(VLOOKUP(G333,'S1&amp;2 Lists'!$C$4:$G$200,3,FALSE),"-")</f>
        <v>-</v>
      </c>
      <c r="N333" s="1405" t="str">
        <f t="shared" si="5"/>
        <v>-</v>
      </c>
      <c r="P333" s="1406">
        <f>ROUND(IF(L333='S1&amp;2 Lists'!$CV$3,K333,IF(L333='S1&amp;2 Lists'!$CV$4,K333/'S1&amp;2 Lists'!$CQ$6,0)),3)</f>
        <v>0</v>
      </c>
      <c r="Q333" s="10" t="s">
        <v>12</v>
      </c>
    </row>
    <row r="334" spans="1:17" s="652" customFormat="1">
      <c r="A334" s="455"/>
      <c r="B334" s="455"/>
      <c r="C334" s="653"/>
      <c r="D334" s="455"/>
      <c r="E334" s="654"/>
      <c r="F334" s="455"/>
      <c r="G334" s="648"/>
      <c r="H334" s="455"/>
      <c r="I334" s="654"/>
      <c r="J334" s="455"/>
      <c r="K334" s="455"/>
      <c r="L334" s="455"/>
      <c r="M334" s="1405" t="str">
        <f>+IFERROR(VLOOKUP(G334,'S1&amp;2 Lists'!$C$4:$G$200,3,FALSE),"-")</f>
        <v>-</v>
      </c>
      <c r="N334" s="1405" t="str">
        <f t="shared" si="5"/>
        <v>-</v>
      </c>
      <c r="P334" s="1406">
        <f>ROUND(IF(L334='S1&amp;2 Lists'!$CV$3,K334,IF(L334='S1&amp;2 Lists'!$CV$4,K334/'S1&amp;2 Lists'!$CQ$6,0)),3)</f>
        <v>0</v>
      </c>
      <c r="Q334" s="10" t="s">
        <v>12</v>
      </c>
    </row>
    <row r="335" spans="1:17" s="652" customFormat="1">
      <c r="A335" s="455"/>
      <c r="B335" s="455"/>
      <c r="C335" s="653"/>
      <c r="D335" s="455"/>
      <c r="E335" s="654"/>
      <c r="F335" s="455"/>
      <c r="G335" s="648"/>
      <c r="H335" s="455"/>
      <c r="I335" s="654"/>
      <c r="J335" s="455"/>
      <c r="K335" s="455"/>
      <c r="L335" s="455"/>
      <c r="M335" s="1405" t="str">
        <f>+IFERROR(VLOOKUP(G335,'S1&amp;2 Lists'!$C$4:$G$200,3,FALSE),"-")</f>
        <v>-</v>
      </c>
      <c r="N335" s="1405" t="str">
        <f t="shared" si="5"/>
        <v>-</v>
      </c>
      <c r="P335" s="1406">
        <f>ROUND(IF(L335='S1&amp;2 Lists'!$CV$3,K335,IF(L335='S1&amp;2 Lists'!$CV$4,K335/'S1&amp;2 Lists'!$CQ$6,0)),3)</f>
        <v>0</v>
      </c>
      <c r="Q335" s="10" t="s">
        <v>12</v>
      </c>
    </row>
    <row r="336" spans="1:17" s="652" customFormat="1">
      <c r="A336" s="455"/>
      <c r="B336" s="455"/>
      <c r="C336" s="653"/>
      <c r="D336" s="455"/>
      <c r="E336" s="654"/>
      <c r="F336" s="455"/>
      <c r="G336" s="648"/>
      <c r="H336" s="455"/>
      <c r="I336" s="654"/>
      <c r="J336" s="455"/>
      <c r="K336" s="455"/>
      <c r="L336" s="455"/>
      <c r="M336" s="1405" t="str">
        <f>+IFERROR(VLOOKUP(G336,'S1&amp;2 Lists'!$C$4:$G$200,3,FALSE),"-")</f>
        <v>-</v>
      </c>
      <c r="N336" s="1405" t="str">
        <f t="shared" si="5"/>
        <v>-</v>
      </c>
      <c r="P336" s="1406">
        <f>ROUND(IF(L336='S1&amp;2 Lists'!$CV$3,K336,IF(L336='S1&amp;2 Lists'!$CV$4,K336/'S1&amp;2 Lists'!$CQ$6,0)),3)</f>
        <v>0</v>
      </c>
      <c r="Q336" s="10" t="s">
        <v>12</v>
      </c>
    </row>
    <row r="337" spans="1:17" s="652" customFormat="1">
      <c r="A337" s="455"/>
      <c r="B337" s="455"/>
      <c r="C337" s="653"/>
      <c r="D337" s="455"/>
      <c r="E337" s="654"/>
      <c r="F337" s="455"/>
      <c r="G337" s="648"/>
      <c r="H337" s="455"/>
      <c r="I337" s="654"/>
      <c r="J337" s="455"/>
      <c r="K337" s="455"/>
      <c r="L337" s="455"/>
      <c r="M337" s="1405" t="str">
        <f>+IFERROR(VLOOKUP(G337,'S1&amp;2 Lists'!$C$4:$G$200,3,FALSE),"-")</f>
        <v>-</v>
      </c>
      <c r="N337" s="1405" t="str">
        <f t="shared" si="5"/>
        <v>-</v>
      </c>
      <c r="P337" s="1406">
        <f>ROUND(IF(L337='S1&amp;2 Lists'!$CV$3,K337,IF(L337='S1&amp;2 Lists'!$CV$4,K337/'S1&amp;2 Lists'!$CQ$6,0)),3)</f>
        <v>0</v>
      </c>
      <c r="Q337" s="10" t="s">
        <v>12</v>
      </c>
    </row>
    <row r="338" spans="1:17" s="652" customFormat="1">
      <c r="A338" s="455"/>
      <c r="B338" s="455"/>
      <c r="C338" s="653"/>
      <c r="D338" s="455"/>
      <c r="E338" s="654"/>
      <c r="F338" s="455"/>
      <c r="G338" s="648"/>
      <c r="H338" s="455"/>
      <c r="I338" s="654"/>
      <c r="J338" s="455"/>
      <c r="K338" s="455"/>
      <c r="L338" s="455"/>
      <c r="M338" s="1405" t="str">
        <f>+IFERROR(VLOOKUP(G338,'S1&amp;2 Lists'!$C$4:$G$200,3,FALSE),"-")</f>
        <v>-</v>
      </c>
      <c r="N338" s="1405" t="str">
        <f t="shared" si="5"/>
        <v>-</v>
      </c>
      <c r="P338" s="1406">
        <f>ROUND(IF(L338='S1&amp;2 Lists'!$CV$3,K338,IF(L338='S1&amp;2 Lists'!$CV$4,K338/'S1&amp;2 Lists'!$CQ$6,0)),3)</f>
        <v>0</v>
      </c>
      <c r="Q338" s="10" t="s">
        <v>12</v>
      </c>
    </row>
    <row r="339" spans="1:17" s="652" customFormat="1">
      <c r="A339" s="455"/>
      <c r="B339" s="455"/>
      <c r="C339" s="653"/>
      <c r="D339" s="455"/>
      <c r="E339" s="654"/>
      <c r="F339" s="455"/>
      <c r="G339" s="648"/>
      <c r="H339" s="455"/>
      <c r="I339" s="654"/>
      <c r="J339" s="455"/>
      <c r="K339" s="455"/>
      <c r="L339" s="455"/>
      <c r="M339" s="1405" t="str">
        <f>+IFERROR(VLOOKUP(G339,'S1&amp;2 Lists'!$C$4:$G$200,3,FALSE),"-")</f>
        <v>-</v>
      </c>
      <c r="N339" s="1405" t="str">
        <f t="shared" si="5"/>
        <v>-</v>
      </c>
      <c r="P339" s="1406">
        <f>ROUND(IF(L339='S1&amp;2 Lists'!$CV$3,K339,IF(L339='S1&amp;2 Lists'!$CV$4,K339/'S1&amp;2 Lists'!$CQ$6,0)),3)</f>
        <v>0</v>
      </c>
      <c r="Q339" s="10" t="s">
        <v>12</v>
      </c>
    </row>
    <row r="340" spans="1:17" s="652" customFormat="1">
      <c r="A340" s="455"/>
      <c r="B340" s="455"/>
      <c r="C340" s="653"/>
      <c r="D340" s="455"/>
      <c r="E340" s="654"/>
      <c r="F340" s="455"/>
      <c r="G340" s="648"/>
      <c r="H340" s="455"/>
      <c r="I340" s="654"/>
      <c r="J340" s="455"/>
      <c r="K340" s="455"/>
      <c r="L340" s="455"/>
      <c r="M340" s="1405" t="str">
        <f>+IFERROR(VLOOKUP(G340,'S1&amp;2 Lists'!$C$4:$G$200,3,FALSE),"-")</f>
        <v>-</v>
      </c>
      <c r="N340" s="1405" t="str">
        <f t="shared" si="5"/>
        <v>-</v>
      </c>
      <c r="P340" s="1406">
        <f>ROUND(IF(L340='S1&amp;2 Lists'!$CV$3,K340,IF(L340='S1&amp;2 Lists'!$CV$4,K340/'S1&amp;2 Lists'!$CQ$6,0)),3)</f>
        <v>0</v>
      </c>
      <c r="Q340" s="10" t="s">
        <v>12</v>
      </c>
    </row>
    <row r="341" spans="1:17" s="652" customFormat="1">
      <c r="A341" s="455"/>
      <c r="B341" s="455"/>
      <c r="C341" s="653"/>
      <c r="D341" s="455"/>
      <c r="E341" s="654"/>
      <c r="F341" s="455"/>
      <c r="G341" s="648"/>
      <c r="H341" s="455"/>
      <c r="I341" s="654"/>
      <c r="J341" s="455"/>
      <c r="K341" s="455"/>
      <c r="L341" s="455"/>
      <c r="M341" s="1405" t="str">
        <f>+IFERROR(VLOOKUP(G341,'S1&amp;2 Lists'!$C$4:$G$200,3,FALSE),"-")</f>
        <v>-</v>
      </c>
      <c r="N341" s="1405" t="str">
        <f t="shared" si="5"/>
        <v>-</v>
      </c>
      <c r="P341" s="1406">
        <f>ROUND(IF(L341='S1&amp;2 Lists'!$CV$3,K341,IF(L341='S1&amp;2 Lists'!$CV$4,K341/'S1&amp;2 Lists'!$CQ$6,0)),3)</f>
        <v>0</v>
      </c>
      <c r="Q341" s="10" t="s">
        <v>12</v>
      </c>
    </row>
    <row r="342" spans="1:17" s="652" customFormat="1">
      <c r="A342" s="455"/>
      <c r="B342" s="455"/>
      <c r="C342" s="653"/>
      <c r="D342" s="455"/>
      <c r="E342" s="654"/>
      <c r="F342" s="455"/>
      <c r="G342" s="648"/>
      <c r="H342" s="455"/>
      <c r="I342" s="654"/>
      <c r="J342" s="455"/>
      <c r="K342" s="455"/>
      <c r="L342" s="455"/>
      <c r="M342" s="1405" t="str">
        <f>+IFERROR(VLOOKUP(G342,'S1&amp;2 Lists'!$C$4:$G$200,3,FALSE),"-")</f>
        <v>-</v>
      </c>
      <c r="N342" s="1405" t="str">
        <f t="shared" si="5"/>
        <v>-</v>
      </c>
      <c r="P342" s="1406">
        <f>ROUND(IF(L342='S1&amp;2 Lists'!$CV$3,K342,IF(L342='S1&amp;2 Lists'!$CV$4,K342/'S1&amp;2 Lists'!$CQ$6,0)),3)</f>
        <v>0</v>
      </c>
      <c r="Q342" s="10" t="s">
        <v>12</v>
      </c>
    </row>
    <row r="343" spans="1:17" s="652" customFormat="1">
      <c r="A343" s="455"/>
      <c r="B343" s="455"/>
      <c r="C343" s="653"/>
      <c r="D343" s="455"/>
      <c r="E343" s="654"/>
      <c r="F343" s="455"/>
      <c r="G343" s="648"/>
      <c r="H343" s="455"/>
      <c r="I343" s="654"/>
      <c r="J343" s="455"/>
      <c r="K343" s="455"/>
      <c r="L343" s="455"/>
      <c r="M343" s="1405" t="str">
        <f>+IFERROR(VLOOKUP(G343,'S1&amp;2 Lists'!$C$4:$G$200,3,FALSE),"-")</f>
        <v>-</v>
      </c>
      <c r="N343" s="1405" t="str">
        <f t="shared" si="5"/>
        <v>-</v>
      </c>
      <c r="P343" s="1406">
        <f>ROUND(IF(L343='S1&amp;2 Lists'!$CV$3,K343,IF(L343='S1&amp;2 Lists'!$CV$4,K343/'S1&amp;2 Lists'!$CQ$6,0)),3)</f>
        <v>0</v>
      </c>
      <c r="Q343" s="10" t="s">
        <v>12</v>
      </c>
    </row>
    <row r="344" spans="1:17" s="652" customFormat="1">
      <c r="A344" s="455"/>
      <c r="B344" s="455"/>
      <c r="C344" s="653"/>
      <c r="D344" s="455"/>
      <c r="E344" s="654"/>
      <c r="F344" s="455"/>
      <c r="G344" s="648"/>
      <c r="H344" s="455"/>
      <c r="I344" s="654"/>
      <c r="J344" s="455"/>
      <c r="K344" s="455"/>
      <c r="L344" s="455"/>
      <c r="M344" s="1405" t="str">
        <f>+IFERROR(VLOOKUP(G344,'S1&amp;2 Lists'!$C$4:$G$200,3,FALSE),"-")</f>
        <v>-</v>
      </c>
      <c r="N344" s="1405" t="str">
        <f t="shared" si="5"/>
        <v>-</v>
      </c>
      <c r="P344" s="1406">
        <f>ROUND(IF(L344='S1&amp;2 Lists'!$CV$3,K344,IF(L344='S1&amp;2 Lists'!$CV$4,K344/'S1&amp;2 Lists'!$CQ$6,0)),3)</f>
        <v>0</v>
      </c>
      <c r="Q344" s="10" t="s">
        <v>12</v>
      </c>
    </row>
    <row r="345" spans="1:17" s="652" customFormat="1">
      <c r="A345" s="455"/>
      <c r="B345" s="455"/>
      <c r="C345" s="653"/>
      <c r="D345" s="455"/>
      <c r="E345" s="654"/>
      <c r="F345" s="455"/>
      <c r="G345" s="648"/>
      <c r="H345" s="455"/>
      <c r="I345" s="654"/>
      <c r="J345" s="455"/>
      <c r="K345" s="455"/>
      <c r="L345" s="455"/>
      <c r="M345" s="1405" t="str">
        <f>+IFERROR(VLOOKUP(G345,'S1&amp;2 Lists'!$C$4:$G$200,3,FALSE),"-")</f>
        <v>-</v>
      </c>
      <c r="N345" s="1405" t="str">
        <f t="shared" si="5"/>
        <v>-</v>
      </c>
      <c r="P345" s="1406">
        <f>ROUND(IF(L345='S1&amp;2 Lists'!$CV$3,K345,IF(L345='S1&amp;2 Lists'!$CV$4,K345/'S1&amp;2 Lists'!$CQ$6,0)),3)</f>
        <v>0</v>
      </c>
      <c r="Q345" s="10" t="s">
        <v>12</v>
      </c>
    </row>
    <row r="346" spans="1:17" s="652" customFormat="1">
      <c r="A346" s="455"/>
      <c r="B346" s="455"/>
      <c r="C346" s="653"/>
      <c r="D346" s="455"/>
      <c r="E346" s="654"/>
      <c r="F346" s="455"/>
      <c r="G346" s="648"/>
      <c r="H346" s="455"/>
      <c r="I346" s="654"/>
      <c r="J346" s="455"/>
      <c r="K346" s="455"/>
      <c r="L346" s="455"/>
      <c r="M346" s="1405" t="str">
        <f>+IFERROR(VLOOKUP(G346,'S1&amp;2 Lists'!$C$4:$G$200,3,FALSE),"-")</f>
        <v>-</v>
      </c>
      <c r="N346" s="1405" t="str">
        <f t="shared" si="5"/>
        <v>-</v>
      </c>
      <c r="P346" s="1406">
        <f>ROUND(IF(L346='S1&amp;2 Lists'!$CV$3,K346,IF(L346='S1&amp;2 Lists'!$CV$4,K346/'S1&amp;2 Lists'!$CQ$6,0)),3)</f>
        <v>0</v>
      </c>
      <c r="Q346" s="10" t="s">
        <v>12</v>
      </c>
    </row>
    <row r="347" spans="1:17" s="652" customFormat="1">
      <c r="A347" s="455"/>
      <c r="B347" s="455"/>
      <c r="C347" s="653"/>
      <c r="D347" s="455"/>
      <c r="E347" s="654"/>
      <c r="F347" s="455"/>
      <c r="G347" s="648"/>
      <c r="H347" s="455"/>
      <c r="I347" s="654"/>
      <c r="J347" s="455"/>
      <c r="K347" s="455"/>
      <c r="L347" s="455"/>
      <c r="M347" s="1405" t="str">
        <f>+IFERROR(VLOOKUP(G347,'S1&amp;2 Lists'!$C$4:$G$200,3,FALSE),"-")</f>
        <v>-</v>
      </c>
      <c r="N347" s="1405" t="str">
        <f t="shared" si="5"/>
        <v>-</v>
      </c>
      <c r="P347" s="1406">
        <f>ROUND(IF(L347='S1&amp;2 Lists'!$CV$3,K347,IF(L347='S1&amp;2 Lists'!$CV$4,K347/'S1&amp;2 Lists'!$CQ$6,0)),3)</f>
        <v>0</v>
      </c>
      <c r="Q347" s="10" t="s">
        <v>12</v>
      </c>
    </row>
    <row r="348" spans="1:17" s="652" customFormat="1">
      <c r="A348" s="455"/>
      <c r="B348" s="455"/>
      <c r="C348" s="653"/>
      <c r="D348" s="455"/>
      <c r="E348" s="654"/>
      <c r="F348" s="455"/>
      <c r="G348" s="648"/>
      <c r="H348" s="455"/>
      <c r="I348" s="654"/>
      <c r="J348" s="455"/>
      <c r="K348" s="455"/>
      <c r="L348" s="455"/>
      <c r="M348" s="1405" t="str">
        <f>+IFERROR(VLOOKUP(G348,'S1&amp;2 Lists'!$C$4:$G$200,3,FALSE),"-")</f>
        <v>-</v>
      </c>
      <c r="N348" s="1405" t="str">
        <f t="shared" si="5"/>
        <v>-</v>
      </c>
      <c r="P348" s="1406">
        <f>ROUND(IF(L348='S1&amp;2 Lists'!$CV$3,K348,IF(L348='S1&amp;2 Lists'!$CV$4,K348/'S1&amp;2 Lists'!$CQ$6,0)),3)</f>
        <v>0</v>
      </c>
      <c r="Q348" s="10" t="s">
        <v>12</v>
      </c>
    </row>
    <row r="349" spans="1:17" s="652" customFormat="1">
      <c r="A349" s="455"/>
      <c r="B349" s="455"/>
      <c r="C349" s="653"/>
      <c r="D349" s="455"/>
      <c r="E349" s="654"/>
      <c r="F349" s="455"/>
      <c r="G349" s="648"/>
      <c r="H349" s="455"/>
      <c r="I349" s="654"/>
      <c r="J349" s="455"/>
      <c r="K349" s="455"/>
      <c r="L349" s="455"/>
      <c r="M349" s="1405" t="str">
        <f>+IFERROR(VLOOKUP(G349,'S1&amp;2 Lists'!$C$4:$G$200,3,FALSE),"-")</f>
        <v>-</v>
      </c>
      <c r="N349" s="1405" t="str">
        <f t="shared" si="5"/>
        <v>-</v>
      </c>
      <c r="P349" s="1406">
        <f>ROUND(IF(L349='S1&amp;2 Lists'!$CV$3,K349,IF(L349='S1&amp;2 Lists'!$CV$4,K349/'S1&amp;2 Lists'!$CQ$6,0)),3)</f>
        <v>0</v>
      </c>
      <c r="Q349" s="10" t="s">
        <v>12</v>
      </c>
    </row>
    <row r="350" spans="1:17" s="652" customFormat="1">
      <c r="A350" s="455"/>
      <c r="B350" s="455"/>
      <c r="C350" s="653"/>
      <c r="D350" s="455"/>
      <c r="E350" s="654"/>
      <c r="F350" s="455"/>
      <c r="G350" s="648"/>
      <c r="H350" s="455"/>
      <c r="I350" s="654"/>
      <c r="J350" s="455"/>
      <c r="K350" s="455"/>
      <c r="L350" s="455"/>
      <c r="M350" s="1405" t="str">
        <f>+IFERROR(VLOOKUP(G350,'S1&amp;2 Lists'!$C$4:$G$200,3,FALSE),"-")</f>
        <v>-</v>
      </c>
      <c r="N350" s="1405" t="str">
        <f t="shared" si="5"/>
        <v>-</v>
      </c>
      <c r="P350" s="1406">
        <f>ROUND(IF(L350='S1&amp;2 Lists'!$CV$3,K350,IF(L350='S1&amp;2 Lists'!$CV$4,K350/'S1&amp;2 Lists'!$CQ$6,0)),3)</f>
        <v>0</v>
      </c>
      <c r="Q350" s="10" t="s">
        <v>12</v>
      </c>
    </row>
    <row r="351" spans="1:17" s="652" customFormat="1">
      <c r="A351" s="455"/>
      <c r="B351" s="455"/>
      <c r="C351" s="653"/>
      <c r="D351" s="455"/>
      <c r="E351" s="654"/>
      <c r="F351" s="455"/>
      <c r="G351" s="648"/>
      <c r="H351" s="455"/>
      <c r="I351" s="654"/>
      <c r="J351" s="455"/>
      <c r="K351" s="455"/>
      <c r="L351" s="455"/>
      <c r="M351" s="1405" t="str">
        <f>+IFERROR(VLOOKUP(G351,'S1&amp;2 Lists'!$C$4:$G$200,3,FALSE),"-")</f>
        <v>-</v>
      </c>
      <c r="N351" s="1405" t="str">
        <f t="shared" si="5"/>
        <v>-</v>
      </c>
      <c r="P351" s="1406">
        <f>ROUND(IF(L351='S1&amp;2 Lists'!$CV$3,K351,IF(L351='S1&amp;2 Lists'!$CV$4,K351/'S1&amp;2 Lists'!$CQ$6,0)),3)</f>
        <v>0</v>
      </c>
      <c r="Q351" s="10" t="s">
        <v>12</v>
      </c>
    </row>
    <row r="352" spans="1:17" s="652" customFormat="1">
      <c r="A352" s="455"/>
      <c r="B352" s="455"/>
      <c r="C352" s="653"/>
      <c r="D352" s="455"/>
      <c r="E352" s="654"/>
      <c r="F352" s="455"/>
      <c r="G352" s="648"/>
      <c r="H352" s="455"/>
      <c r="I352" s="654"/>
      <c r="J352" s="455"/>
      <c r="K352" s="455"/>
      <c r="L352" s="455"/>
      <c r="M352" s="1405" t="str">
        <f>+IFERROR(VLOOKUP(G352,'S1&amp;2 Lists'!$C$4:$G$200,3,FALSE),"-")</f>
        <v>-</v>
      </c>
      <c r="N352" s="1405" t="str">
        <f t="shared" si="5"/>
        <v>-</v>
      </c>
      <c r="P352" s="1406">
        <f>ROUND(IF(L352='S1&amp;2 Lists'!$CV$3,K352,IF(L352='S1&amp;2 Lists'!$CV$4,K352/'S1&amp;2 Lists'!$CQ$6,0)),3)</f>
        <v>0</v>
      </c>
      <c r="Q352" s="10" t="s">
        <v>12</v>
      </c>
    </row>
    <row r="353" spans="1:17" s="652" customFormat="1">
      <c r="A353" s="455"/>
      <c r="B353" s="455"/>
      <c r="C353" s="653"/>
      <c r="D353" s="455"/>
      <c r="E353" s="654"/>
      <c r="F353" s="455"/>
      <c r="G353" s="648"/>
      <c r="H353" s="455"/>
      <c r="I353" s="654"/>
      <c r="J353" s="455"/>
      <c r="K353" s="455"/>
      <c r="L353" s="455"/>
      <c r="M353" s="1405" t="str">
        <f>+IFERROR(VLOOKUP(G353,'S1&amp;2 Lists'!$C$4:$G$200,3,FALSE),"-")</f>
        <v>-</v>
      </c>
      <c r="N353" s="1405" t="str">
        <f t="shared" si="5"/>
        <v>-</v>
      </c>
      <c r="P353" s="1406">
        <f>ROUND(IF(L353='S1&amp;2 Lists'!$CV$3,K353,IF(L353='S1&amp;2 Lists'!$CV$4,K353/'S1&amp;2 Lists'!$CQ$6,0)),3)</f>
        <v>0</v>
      </c>
      <c r="Q353" s="10" t="s">
        <v>12</v>
      </c>
    </row>
    <row r="354" spans="1:17" s="652" customFormat="1">
      <c r="A354" s="455"/>
      <c r="B354" s="455"/>
      <c r="C354" s="653"/>
      <c r="D354" s="455"/>
      <c r="E354" s="654"/>
      <c r="F354" s="455"/>
      <c r="G354" s="648"/>
      <c r="H354" s="455"/>
      <c r="I354" s="654"/>
      <c r="J354" s="455"/>
      <c r="K354" s="455"/>
      <c r="L354" s="455"/>
      <c r="M354" s="1405" t="str">
        <f>+IFERROR(VLOOKUP(G354,'S1&amp;2 Lists'!$C$4:$G$200,3,FALSE),"-")</f>
        <v>-</v>
      </c>
      <c r="N354" s="1405" t="str">
        <f t="shared" si="5"/>
        <v>-</v>
      </c>
      <c r="P354" s="1406">
        <f>ROUND(IF(L354='S1&amp;2 Lists'!$CV$3,K354,IF(L354='S1&amp;2 Lists'!$CV$4,K354/'S1&amp;2 Lists'!$CQ$6,0)),3)</f>
        <v>0</v>
      </c>
      <c r="Q354" s="10" t="s">
        <v>12</v>
      </c>
    </row>
    <row r="355" spans="1:17" s="652" customFormat="1">
      <c r="A355" s="455"/>
      <c r="B355" s="455"/>
      <c r="C355" s="653"/>
      <c r="D355" s="455"/>
      <c r="E355" s="654"/>
      <c r="F355" s="455"/>
      <c r="G355" s="648"/>
      <c r="H355" s="455"/>
      <c r="I355" s="654"/>
      <c r="J355" s="455"/>
      <c r="K355" s="455"/>
      <c r="L355" s="455"/>
      <c r="M355" s="1405" t="str">
        <f>+IFERROR(VLOOKUP(G355,'S1&amp;2 Lists'!$C$4:$G$200,3,FALSE),"-")</f>
        <v>-</v>
      </c>
      <c r="N355" s="1405" t="str">
        <f t="shared" si="5"/>
        <v>-</v>
      </c>
      <c r="P355" s="1406">
        <f>ROUND(IF(L355='S1&amp;2 Lists'!$CV$3,K355,IF(L355='S1&amp;2 Lists'!$CV$4,K355/'S1&amp;2 Lists'!$CQ$6,0)),3)</f>
        <v>0</v>
      </c>
      <c r="Q355" s="10" t="s">
        <v>12</v>
      </c>
    </row>
    <row r="356" spans="1:17" s="652" customFormat="1">
      <c r="A356" s="455"/>
      <c r="B356" s="455"/>
      <c r="C356" s="653"/>
      <c r="D356" s="455"/>
      <c r="E356" s="654"/>
      <c r="F356" s="455"/>
      <c r="G356" s="648"/>
      <c r="H356" s="455"/>
      <c r="I356" s="654"/>
      <c r="J356" s="455"/>
      <c r="K356" s="455"/>
      <c r="L356" s="455"/>
      <c r="M356" s="1405" t="str">
        <f>+IFERROR(VLOOKUP(G356,'S1&amp;2 Lists'!$C$4:$G$200,3,FALSE),"-")</f>
        <v>-</v>
      </c>
      <c r="N356" s="1405" t="str">
        <f t="shared" si="5"/>
        <v>-</v>
      </c>
      <c r="P356" s="1406">
        <f>ROUND(IF(L356='S1&amp;2 Lists'!$CV$3,K356,IF(L356='S1&amp;2 Lists'!$CV$4,K356/'S1&amp;2 Lists'!$CQ$6,0)),3)</f>
        <v>0</v>
      </c>
      <c r="Q356" s="10" t="s">
        <v>12</v>
      </c>
    </row>
    <row r="357" spans="1:17" s="652" customFormat="1">
      <c r="A357" s="455"/>
      <c r="B357" s="455"/>
      <c r="C357" s="653"/>
      <c r="D357" s="455"/>
      <c r="E357" s="654"/>
      <c r="F357" s="455"/>
      <c r="G357" s="648"/>
      <c r="H357" s="455"/>
      <c r="I357" s="654"/>
      <c r="J357" s="455"/>
      <c r="K357" s="455"/>
      <c r="L357" s="455"/>
      <c r="M357" s="1405" t="str">
        <f>+IFERROR(VLOOKUP(G357,'S1&amp;2 Lists'!$C$4:$G$200,3,FALSE),"-")</f>
        <v>-</v>
      </c>
      <c r="N357" s="1405" t="str">
        <f t="shared" si="5"/>
        <v>-</v>
      </c>
      <c r="P357" s="1406">
        <f>ROUND(IF(L357='S1&amp;2 Lists'!$CV$3,K357,IF(L357='S1&amp;2 Lists'!$CV$4,K357/'S1&amp;2 Lists'!$CQ$6,0)),3)</f>
        <v>0</v>
      </c>
      <c r="Q357" s="10" t="s">
        <v>12</v>
      </c>
    </row>
    <row r="358" spans="1:17" s="652" customFormat="1">
      <c r="A358" s="455"/>
      <c r="B358" s="455"/>
      <c r="C358" s="653"/>
      <c r="D358" s="455"/>
      <c r="E358" s="654"/>
      <c r="F358" s="455"/>
      <c r="G358" s="648"/>
      <c r="H358" s="455"/>
      <c r="I358" s="654"/>
      <c r="J358" s="455"/>
      <c r="K358" s="455"/>
      <c r="L358" s="455"/>
      <c r="M358" s="1405" t="str">
        <f>+IFERROR(VLOOKUP(G358,'S1&amp;2 Lists'!$C$4:$G$200,3,FALSE),"-")</f>
        <v>-</v>
      </c>
      <c r="N358" s="1405" t="str">
        <f t="shared" si="5"/>
        <v>-</v>
      </c>
      <c r="P358" s="1406">
        <f>ROUND(IF(L358='S1&amp;2 Lists'!$CV$3,K358,IF(L358='S1&amp;2 Lists'!$CV$4,K358/'S1&amp;2 Lists'!$CQ$6,0)),3)</f>
        <v>0</v>
      </c>
      <c r="Q358" s="10" t="s">
        <v>12</v>
      </c>
    </row>
    <row r="359" spans="1:17" s="652" customFormat="1">
      <c r="A359" s="455"/>
      <c r="B359" s="455"/>
      <c r="C359" s="653"/>
      <c r="D359" s="455"/>
      <c r="E359" s="654"/>
      <c r="F359" s="455"/>
      <c r="G359" s="648"/>
      <c r="H359" s="455"/>
      <c r="I359" s="654"/>
      <c r="J359" s="455"/>
      <c r="K359" s="455"/>
      <c r="L359" s="455"/>
      <c r="M359" s="1405" t="str">
        <f>+IFERROR(VLOOKUP(G359,'S1&amp;2 Lists'!$C$4:$G$200,3,FALSE),"-")</f>
        <v>-</v>
      </c>
      <c r="N359" s="1405" t="str">
        <f t="shared" si="5"/>
        <v>-</v>
      </c>
      <c r="P359" s="1406">
        <f>ROUND(IF(L359='S1&amp;2 Lists'!$CV$3,K359,IF(L359='S1&amp;2 Lists'!$CV$4,K359/'S1&amp;2 Lists'!$CQ$6,0)),3)</f>
        <v>0</v>
      </c>
      <c r="Q359" s="10" t="s">
        <v>12</v>
      </c>
    </row>
    <row r="360" spans="1:17" s="652" customFormat="1">
      <c r="A360" s="455"/>
      <c r="B360" s="455"/>
      <c r="C360" s="653"/>
      <c r="D360" s="455"/>
      <c r="E360" s="654"/>
      <c r="F360" s="455"/>
      <c r="G360" s="648"/>
      <c r="H360" s="455"/>
      <c r="I360" s="654"/>
      <c r="J360" s="455"/>
      <c r="K360" s="455"/>
      <c r="L360" s="455"/>
      <c r="M360" s="1405" t="str">
        <f>+IFERROR(VLOOKUP(G360,'S1&amp;2 Lists'!$C$4:$G$200,3,FALSE),"-")</f>
        <v>-</v>
      </c>
      <c r="N360" s="1405" t="str">
        <f t="shared" si="5"/>
        <v>-</v>
      </c>
      <c r="P360" s="1406">
        <f>ROUND(IF(L360='S1&amp;2 Lists'!$CV$3,K360,IF(L360='S1&amp;2 Lists'!$CV$4,K360/'S1&amp;2 Lists'!$CQ$6,0)),3)</f>
        <v>0</v>
      </c>
      <c r="Q360" s="10" t="s">
        <v>12</v>
      </c>
    </row>
    <row r="361" spans="1:17" s="652" customFormat="1">
      <c r="A361" s="455"/>
      <c r="B361" s="455"/>
      <c r="C361" s="653"/>
      <c r="D361" s="455"/>
      <c r="E361" s="654"/>
      <c r="F361" s="455"/>
      <c r="G361" s="648"/>
      <c r="H361" s="455"/>
      <c r="I361" s="654"/>
      <c r="J361" s="455"/>
      <c r="K361" s="455"/>
      <c r="L361" s="455"/>
      <c r="M361" s="1405" t="str">
        <f>+IFERROR(VLOOKUP(G361,'S1&amp;2 Lists'!$C$4:$G$200,3,FALSE),"-")</f>
        <v>-</v>
      </c>
      <c r="N361" s="1405" t="str">
        <f t="shared" si="5"/>
        <v>-</v>
      </c>
      <c r="P361" s="1406">
        <f>ROUND(IF(L361='S1&amp;2 Lists'!$CV$3,K361,IF(L361='S1&amp;2 Lists'!$CV$4,K361/'S1&amp;2 Lists'!$CQ$6,0)),3)</f>
        <v>0</v>
      </c>
      <c r="Q361" s="10" t="s">
        <v>12</v>
      </c>
    </row>
    <row r="362" spans="1:17" s="652" customFormat="1">
      <c r="A362" s="455"/>
      <c r="B362" s="455"/>
      <c r="C362" s="653"/>
      <c r="D362" s="455"/>
      <c r="E362" s="654"/>
      <c r="F362" s="455"/>
      <c r="G362" s="648"/>
      <c r="H362" s="455"/>
      <c r="I362" s="654"/>
      <c r="J362" s="455"/>
      <c r="K362" s="455"/>
      <c r="L362" s="455"/>
      <c r="M362" s="1405" t="str">
        <f>+IFERROR(VLOOKUP(G362,'S1&amp;2 Lists'!$C$4:$G$200,3,FALSE),"-")</f>
        <v>-</v>
      </c>
      <c r="N362" s="1405" t="str">
        <f t="shared" si="5"/>
        <v>-</v>
      </c>
      <c r="P362" s="1406">
        <f>ROUND(IF(L362='S1&amp;2 Lists'!$CV$3,K362,IF(L362='S1&amp;2 Lists'!$CV$4,K362/'S1&amp;2 Lists'!$CQ$6,0)),3)</f>
        <v>0</v>
      </c>
      <c r="Q362" s="10" t="s">
        <v>12</v>
      </c>
    </row>
    <row r="363" spans="1:17" s="652" customFormat="1">
      <c r="A363" s="455"/>
      <c r="B363" s="455"/>
      <c r="C363" s="653"/>
      <c r="D363" s="455"/>
      <c r="E363" s="654"/>
      <c r="F363" s="455"/>
      <c r="G363" s="648"/>
      <c r="H363" s="455"/>
      <c r="I363" s="654"/>
      <c r="J363" s="455"/>
      <c r="K363" s="455"/>
      <c r="L363" s="455"/>
      <c r="M363" s="1405" t="str">
        <f>+IFERROR(VLOOKUP(G363,'S1&amp;2 Lists'!$C$4:$G$200,3,FALSE),"-")</f>
        <v>-</v>
      </c>
      <c r="N363" s="1405" t="str">
        <f t="shared" si="5"/>
        <v>-</v>
      </c>
      <c r="P363" s="1406">
        <f>ROUND(IF(L363='S1&amp;2 Lists'!$CV$3,K363,IF(L363='S1&amp;2 Lists'!$CV$4,K363/'S1&amp;2 Lists'!$CQ$6,0)),3)</f>
        <v>0</v>
      </c>
      <c r="Q363" s="10" t="s">
        <v>12</v>
      </c>
    </row>
    <row r="364" spans="1:17" s="652" customFormat="1">
      <c r="A364" s="455"/>
      <c r="B364" s="455"/>
      <c r="C364" s="653"/>
      <c r="D364" s="455"/>
      <c r="E364" s="654"/>
      <c r="F364" s="455"/>
      <c r="G364" s="648"/>
      <c r="H364" s="455"/>
      <c r="I364" s="654"/>
      <c r="J364" s="455"/>
      <c r="K364" s="455"/>
      <c r="L364" s="455"/>
      <c r="M364" s="1405" t="str">
        <f>+IFERROR(VLOOKUP(G364,'S1&amp;2 Lists'!$C$4:$G$200,3,FALSE),"-")</f>
        <v>-</v>
      </c>
      <c r="N364" s="1405" t="str">
        <f t="shared" si="5"/>
        <v>-</v>
      </c>
      <c r="P364" s="1406">
        <f>ROUND(IF(L364='S1&amp;2 Lists'!$CV$3,K364,IF(L364='S1&amp;2 Lists'!$CV$4,K364/'S1&amp;2 Lists'!$CQ$6,0)),3)</f>
        <v>0</v>
      </c>
      <c r="Q364" s="10" t="s">
        <v>12</v>
      </c>
    </row>
    <row r="365" spans="1:17" s="652" customFormat="1">
      <c r="A365" s="455"/>
      <c r="B365" s="455"/>
      <c r="C365" s="653"/>
      <c r="D365" s="455"/>
      <c r="E365" s="654"/>
      <c r="F365" s="455"/>
      <c r="G365" s="648"/>
      <c r="H365" s="455"/>
      <c r="I365" s="654"/>
      <c r="J365" s="455"/>
      <c r="K365" s="455"/>
      <c r="L365" s="455"/>
      <c r="M365" s="1405" t="str">
        <f>+IFERROR(VLOOKUP(G365,'S1&amp;2 Lists'!$C$4:$G$200,3,FALSE),"-")</f>
        <v>-</v>
      </c>
      <c r="N365" s="1405" t="str">
        <f t="shared" si="5"/>
        <v>-</v>
      </c>
      <c r="P365" s="1406">
        <f>ROUND(IF(L365='S1&amp;2 Lists'!$CV$3,K365,IF(L365='S1&amp;2 Lists'!$CV$4,K365/'S1&amp;2 Lists'!$CQ$6,0)),3)</f>
        <v>0</v>
      </c>
      <c r="Q365" s="10" t="s">
        <v>12</v>
      </c>
    </row>
    <row r="366" spans="1:17" s="652" customFormat="1">
      <c r="A366" s="455"/>
      <c r="B366" s="455"/>
      <c r="C366" s="653"/>
      <c r="D366" s="455"/>
      <c r="E366" s="654"/>
      <c r="F366" s="455"/>
      <c r="G366" s="648"/>
      <c r="H366" s="455"/>
      <c r="I366" s="654"/>
      <c r="J366" s="455"/>
      <c r="K366" s="455"/>
      <c r="L366" s="455"/>
      <c r="M366" s="1405" t="str">
        <f>+IFERROR(VLOOKUP(G366,'S1&amp;2 Lists'!$C$4:$G$200,3,FALSE),"-")</f>
        <v>-</v>
      </c>
      <c r="N366" s="1405" t="str">
        <f t="shared" si="5"/>
        <v>-</v>
      </c>
      <c r="P366" s="1406">
        <f>ROUND(IF(L366='S1&amp;2 Lists'!$CV$3,K366,IF(L366='S1&amp;2 Lists'!$CV$4,K366/'S1&amp;2 Lists'!$CQ$6,0)),3)</f>
        <v>0</v>
      </c>
      <c r="Q366" s="10" t="s">
        <v>12</v>
      </c>
    </row>
    <row r="367" spans="1:17" s="652" customFormat="1">
      <c r="A367" s="455"/>
      <c r="B367" s="455"/>
      <c r="C367" s="653"/>
      <c r="D367" s="455"/>
      <c r="E367" s="654"/>
      <c r="F367" s="455"/>
      <c r="G367" s="648"/>
      <c r="H367" s="455"/>
      <c r="I367" s="654"/>
      <c r="J367" s="455"/>
      <c r="K367" s="455"/>
      <c r="L367" s="455"/>
      <c r="M367" s="1405" t="str">
        <f>+IFERROR(VLOOKUP(G367,'S1&amp;2 Lists'!$C$4:$G$200,3,FALSE),"-")</f>
        <v>-</v>
      </c>
      <c r="N367" s="1405" t="str">
        <f t="shared" si="5"/>
        <v>-</v>
      </c>
      <c r="P367" s="1406">
        <f>ROUND(IF(L367='S1&amp;2 Lists'!$CV$3,K367,IF(L367='S1&amp;2 Lists'!$CV$4,K367/'S1&amp;2 Lists'!$CQ$6,0)),3)</f>
        <v>0</v>
      </c>
      <c r="Q367" s="10" t="s">
        <v>12</v>
      </c>
    </row>
    <row r="368" spans="1:17" s="652" customFormat="1">
      <c r="A368" s="455"/>
      <c r="B368" s="455"/>
      <c r="C368" s="653"/>
      <c r="D368" s="455"/>
      <c r="E368" s="654"/>
      <c r="F368" s="455"/>
      <c r="G368" s="648"/>
      <c r="H368" s="455"/>
      <c r="I368" s="654"/>
      <c r="J368" s="455"/>
      <c r="K368" s="455"/>
      <c r="L368" s="455"/>
      <c r="M368" s="1405" t="str">
        <f>+IFERROR(VLOOKUP(G368,'S1&amp;2 Lists'!$C$4:$G$200,3,FALSE),"-")</f>
        <v>-</v>
      </c>
      <c r="N368" s="1405" t="str">
        <f t="shared" si="5"/>
        <v>-</v>
      </c>
      <c r="P368" s="1406">
        <f>ROUND(IF(L368='S1&amp;2 Lists'!$CV$3,K368,IF(L368='S1&amp;2 Lists'!$CV$4,K368/'S1&amp;2 Lists'!$CQ$6,0)),3)</f>
        <v>0</v>
      </c>
      <c r="Q368" s="10" t="s">
        <v>12</v>
      </c>
    </row>
    <row r="369" spans="1:17" s="652" customFormat="1">
      <c r="A369" s="455"/>
      <c r="B369" s="455"/>
      <c r="C369" s="653"/>
      <c r="D369" s="455"/>
      <c r="E369" s="654"/>
      <c r="F369" s="455"/>
      <c r="G369" s="648"/>
      <c r="H369" s="455"/>
      <c r="I369" s="654"/>
      <c r="J369" s="455"/>
      <c r="K369" s="455"/>
      <c r="L369" s="455"/>
      <c r="M369" s="1405" t="str">
        <f>+IFERROR(VLOOKUP(G369,'S1&amp;2 Lists'!$C$4:$G$200,3,FALSE),"-")</f>
        <v>-</v>
      </c>
      <c r="N369" s="1405" t="str">
        <f t="shared" si="5"/>
        <v>-</v>
      </c>
      <c r="P369" s="1406">
        <f>ROUND(IF(L369='S1&amp;2 Lists'!$CV$3,K369,IF(L369='S1&amp;2 Lists'!$CV$4,K369/'S1&amp;2 Lists'!$CQ$6,0)),3)</f>
        <v>0</v>
      </c>
      <c r="Q369" s="10" t="s">
        <v>12</v>
      </c>
    </row>
    <row r="370" spans="1:17" s="652" customFormat="1">
      <c r="A370" s="455"/>
      <c r="B370" s="455"/>
      <c r="C370" s="653"/>
      <c r="D370" s="455"/>
      <c r="E370" s="654"/>
      <c r="F370" s="455"/>
      <c r="G370" s="648"/>
      <c r="H370" s="455"/>
      <c r="I370" s="654"/>
      <c r="J370" s="455"/>
      <c r="K370" s="455"/>
      <c r="L370" s="455"/>
      <c r="M370" s="1405" t="str">
        <f>+IFERROR(VLOOKUP(G370,'S1&amp;2 Lists'!$C$4:$G$200,3,FALSE),"-")</f>
        <v>-</v>
      </c>
      <c r="N370" s="1405" t="str">
        <f t="shared" si="5"/>
        <v>-</v>
      </c>
      <c r="P370" s="1406">
        <f>ROUND(IF(L370='S1&amp;2 Lists'!$CV$3,K370,IF(L370='S1&amp;2 Lists'!$CV$4,K370/'S1&amp;2 Lists'!$CQ$6,0)),3)</f>
        <v>0</v>
      </c>
      <c r="Q370" s="10" t="s">
        <v>12</v>
      </c>
    </row>
    <row r="371" spans="1:17" s="652" customFormat="1">
      <c r="A371" s="455"/>
      <c r="B371" s="455"/>
      <c r="C371" s="653"/>
      <c r="D371" s="455"/>
      <c r="E371" s="654"/>
      <c r="F371" s="455"/>
      <c r="G371" s="648"/>
      <c r="H371" s="455"/>
      <c r="I371" s="654"/>
      <c r="J371" s="455"/>
      <c r="K371" s="455"/>
      <c r="L371" s="455"/>
      <c r="M371" s="1405" t="str">
        <f>+IFERROR(VLOOKUP(G371,'S1&amp;2 Lists'!$C$4:$G$200,3,FALSE),"-")</f>
        <v>-</v>
      </c>
      <c r="N371" s="1405" t="str">
        <f t="shared" si="5"/>
        <v>-</v>
      </c>
      <c r="P371" s="1406">
        <f>ROUND(IF(L371='S1&amp;2 Lists'!$CV$3,K371,IF(L371='S1&amp;2 Lists'!$CV$4,K371/'S1&amp;2 Lists'!$CQ$6,0)),3)</f>
        <v>0</v>
      </c>
      <c r="Q371" s="10" t="s">
        <v>12</v>
      </c>
    </row>
    <row r="372" spans="1:17" s="652" customFormat="1">
      <c r="A372" s="455"/>
      <c r="B372" s="455"/>
      <c r="C372" s="653"/>
      <c r="D372" s="455"/>
      <c r="E372" s="654"/>
      <c r="F372" s="455"/>
      <c r="G372" s="648"/>
      <c r="H372" s="455"/>
      <c r="I372" s="654"/>
      <c r="J372" s="455"/>
      <c r="K372" s="455"/>
      <c r="L372" s="455"/>
      <c r="M372" s="1405" t="str">
        <f>+IFERROR(VLOOKUP(G372,'S1&amp;2 Lists'!$C$4:$G$200,3,FALSE),"-")</f>
        <v>-</v>
      </c>
      <c r="N372" s="1405" t="str">
        <f t="shared" si="5"/>
        <v>-</v>
      </c>
      <c r="P372" s="1406">
        <f>ROUND(IF(L372='S1&amp;2 Lists'!$CV$3,K372,IF(L372='S1&amp;2 Lists'!$CV$4,K372/'S1&amp;2 Lists'!$CQ$6,0)),3)</f>
        <v>0</v>
      </c>
      <c r="Q372" s="10" t="s">
        <v>12</v>
      </c>
    </row>
    <row r="373" spans="1:17" s="652" customFormat="1">
      <c r="A373" s="455"/>
      <c r="B373" s="455"/>
      <c r="C373" s="653"/>
      <c r="D373" s="455"/>
      <c r="E373" s="654"/>
      <c r="F373" s="455"/>
      <c r="G373" s="648"/>
      <c r="H373" s="455"/>
      <c r="I373" s="654"/>
      <c r="J373" s="455"/>
      <c r="K373" s="455"/>
      <c r="L373" s="455"/>
      <c r="M373" s="1405" t="str">
        <f>+IFERROR(VLOOKUP(G373,'S1&amp;2 Lists'!$C$4:$G$200,3,FALSE),"-")</f>
        <v>-</v>
      </c>
      <c r="N373" s="1405" t="str">
        <f t="shared" si="5"/>
        <v>-</v>
      </c>
      <c r="P373" s="1406">
        <f>ROUND(IF(L373='S1&amp;2 Lists'!$CV$3,K373,IF(L373='S1&amp;2 Lists'!$CV$4,K373/'S1&amp;2 Lists'!$CQ$6,0)),3)</f>
        <v>0</v>
      </c>
      <c r="Q373" s="10" t="s">
        <v>12</v>
      </c>
    </row>
    <row r="374" spans="1:17" s="652" customFormat="1">
      <c r="A374" s="455"/>
      <c r="B374" s="455"/>
      <c r="C374" s="653"/>
      <c r="D374" s="455"/>
      <c r="E374" s="654"/>
      <c r="F374" s="455"/>
      <c r="G374" s="648"/>
      <c r="H374" s="455"/>
      <c r="I374" s="654"/>
      <c r="J374" s="455"/>
      <c r="K374" s="455"/>
      <c r="L374" s="455"/>
      <c r="M374" s="1405" t="str">
        <f>+IFERROR(VLOOKUP(G374,'S1&amp;2 Lists'!$C$4:$G$200,3,FALSE),"-")</f>
        <v>-</v>
      </c>
      <c r="N374" s="1405" t="str">
        <f t="shared" si="5"/>
        <v>-</v>
      </c>
      <c r="P374" s="1406">
        <f>ROUND(IF(L374='S1&amp;2 Lists'!$CV$3,K374,IF(L374='S1&amp;2 Lists'!$CV$4,K374/'S1&amp;2 Lists'!$CQ$6,0)),3)</f>
        <v>0</v>
      </c>
      <c r="Q374" s="10" t="s">
        <v>12</v>
      </c>
    </row>
    <row r="375" spans="1:17" s="652" customFormat="1">
      <c r="A375" s="455"/>
      <c r="B375" s="455"/>
      <c r="C375" s="653"/>
      <c r="D375" s="455"/>
      <c r="E375" s="654"/>
      <c r="F375" s="455"/>
      <c r="G375" s="648"/>
      <c r="H375" s="455"/>
      <c r="I375" s="654"/>
      <c r="J375" s="455"/>
      <c r="K375" s="455"/>
      <c r="L375" s="455"/>
      <c r="M375" s="1405" t="str">
        <f>+IFERROR(VLOOKUP(G375,'S1&amp;2 Lists'!$C$4:$G$200,3,FALSE),"-")</f>
        <v>-</v>
      </c>
      <c r="N375" s="1405" t="str">
        <f t="shared" si="5"/>
        <v>-</v>
      </c>
      <c r="P375" s="1406">
        <f>ROUND(IF(L375='S1&amp;2 Lists'!$CV$3,K375,IF(L375='S1&amp;2 Lists'!$CV$4,K375/'S1&amp;2 Lists'!$CQ$6,0)),3)</f>
        <v>0</v>
      </c>
      <c r="Q375" s="10" t="s">
        <v>12</v>
      </c>
    </row>
    <row r="376" spans="1:17" s="652" customFormat="1">
      <c r="A376" s="455"/>
      <c r="B376" s="455"/>
      <c r="C376" s="653"/>
      <c r="D376" s="455"/>
      <c r="E376" s="654"/>
      <c r="F376" s="455"/>
      <c r="G376" s="648"/>
      <c r="H376" s="455"/>
      <c r="I376" s="654"/>
      <c r="J376" s="455"/>
      <c r="K376" s="455"/>
      <c r="L376" s="455"/>
      <c r="M376" s="1405" t="str">
        <f>+IFERROR(VLOOKUP(G376,'S1&amp;2 Lists'!$C$4:$G$200,3,FALSE),"-")</f>
        <v>-</v>
      </c>
      <c r="N376" s="1405" t="str">
        <f t="shared" si="5"/>
        <v>-</v>
      </c>
      <c r="P376" s="1406">
        <f>ROUND(IF(L376='S1&amp;2 Lists'!$CV$3,K376,IF(L376='S1&amp;2 Lists'!$CV$4,K376/'S1&amp;2 Lists'!$CQ$6,0)),3)</f>
        <v>0</v>
      </c>
      <c r="Q376" s="10" t="s">
        <v>12</v>
      </c>
    </row>
    <row r="377" spans="1:17" s="652" customFormat="1">
      <c r="A377" s="455"/>
      <c r="B377" s="455"/>
      <c r="C377" s="653"/>
      <c r="D377" s="455"/>
      <c r="E377" s="654"/>
      <c r="F377" s="455"/>
      <c r="G377" s="648"/>
      <c r="H377" s="455"/>
      <c r="I377" s="654"/>
      <c r="J377" s="455"/>
      <c r="K377" s="455"/>
      <c r="L377" s="455"/>
      <c r="M377" s="1405" t="str">
        <f>+IFERROR(VLOOKUP(G377,'S1&amp;2 Lists'!$C$4:$G$200,3,FALSE),"-")</f>
        <v>-</v>
      </c>
      <c r="N377" s="1405" t="str">
        <f t="shared" si="5"/>
        <v>-</v>
      </c>
      <c r="P377" s="1406">
        <f>ROUND(IF(L377='S1&amp;2 Lists'!$CV$3,K377,IF(L377='S1&amp;2 Lists'!$CV$4,K377/'S1&amp;2 Lists'!$CQ$6,0)),3)</f>
        <v>0</v>
      </c>
      <c r="Q377" s="10" t="s">
        <v>12</v>
      </c>
    </row>
    <row r="378" spans="1:17" s="652" customFormat="1">
      <c r="A378" s="455"/>
      <c r="B378" s="455"/>
      <c r="C378" s="653"/>
      <c r="D378" s="455"/>
      <c r="E378" s="654"/>
      <c r="F378" s="455"/>
      <c r="G378" s="648"/>
      <c r="H378" s="455"/>
      <c r="I378" s="654"/>
      <c r="J378" s="455"/>
      <c r="K378" s="455"/>
      <c r="L378" s="455"/>
      <c r="M378" s="1405" t="str">
        <f>+IFERROR(VLOOKUP(G378,'S1&amp;2 Lists'!$C$4:$G$200,3,FALSE),"-")</f>
        <v>-</v>
      </c>
      <c r="N378" s="1405" t="str">
        <f t="shared" si="5"/>
        <v>-</v>
      </c>
      <c r="P378" s="1406">
        <f>ROUND(IF(L378='S1&amp;2 Lists'!$CV$3,K378,IF(L378='S1&amp;2 Lists'!$CV$4,K378/'S1&amp;2 Lists'!$CQ$6,0)),3)</f>
        <v>0</v>
      </c>
      <c r="Q378" s="10" t="s">
        <v>12</v>
      </c>
    </row>
    <row r="379" spans="1:17" s="652" customFormat="1">
      <c r="A379" s="455"/>
      <c r="B379" s="455"/>
      <c r="C379" s="653"/>
      <c r="D379" s="455"/>
      <c r="E379" s="654"/>
      <c r="F379" s="455"/>
      <c r="G379" s="648"/>
      <c r="H379" s="455"/>
      <c r="I379" s="654"/>
      <c r="J379" s="455"/>
      <c r="K379" s="455"/>
      <c r="L379" s="455"/>
      <c r="M379" s="1405" t="str">
        <f>+IFERROR(VLOOKUP(G379,'S1&amp;2 Lists'!$C$4:$G$200,3,FALSE),"-")</f>
        <v>-</v>
      </c>
      <c r="N379" s="1405" t="str">
        <f t="shared" si="5"/>
        <v>-</v>
      </c>
      <c r="P379" s="1406">
        <f>ROUND(IF(L379='S1&amp;2 Lists'!$CV$3,K379,IF(L379='S1&amp;2 Lists'!$CV$4,K379/'S1&amp;2 Lists'!$CQ$6,0)),3)</f>
        <v>0</v>
      </c>
      <c r="Q379" s="10" t="s">
        <v>12</v>
      </c>
    </row>
    <row r="380" spans="1:17" s="652" customFormat="1">
      <c r="A380" s="455"/>
      <c r="B380" s="455"/>
      <c r="C380" s="653"/>
      <c r="D380" s="455"/>
      <c r="E380" s="654"/>
      <c r="F380" s="455"/>
      <c r="G380" s="648"/>
      <c r="H380" s="455"/>
      <c r="I380" s="654"/>
      <c r="J380" s="455"/>
      <c r="K380" s="455"/>
      <c r="L380" s="455"/>
      <c r="M380" s="1405" t="str">
        <f>+IFERROR(VLOOKUP(G380,'S1&amp;2 Lists'!$C$4:$G$200,3,FALSE),"-")</f>
        <v>-</v>
      </c>
      <c r="N380" s="1405" t="str">
        <f t="shared" si="5"/>
        <v>-</v>
      </c>
      <c r="P380" s="1406">
        <f>ROUND(IF(L380='S1&amp;2 Lists'!$CV$3,K380,IF(L380='S1&amp;2 Lists'!$CV$4,K380/'S1&amp;2 Lists'!$CQ$6,0)),3)</f>
        <v>0</v>
      </c>
      <c r="Q380" s="10" t="s">
        <v>12</v>
      </c>
    </row>
    <row r="381" spans="1:17" s="652" customFormat="1">
      <c r="A381" s="455"/>
      <c r="B381" s="455"/>
      <c r="C381" s="653"/>
      <c r="D381" s="455"/>
      <c r="E381" s="654"/>
      <c r="F381" s="455"/>
      <c r="G381" s="648"/>
      <c r="H381" s="455"/>
      <c r="I381" s="654"/>
      <c r="J381" s="455"/>
      <c r="K381" s="455"/>
      <c r="L381" s="455"/>
      <c r="M381" s="1405" t="str">
        <f>+IFERROR(VLOOKUP(G381,'S1&amp;2 Lists'!$C$4:$G$200,3,FALSE),"-")</f>
        <v>-</v>
      </c>
      <c r="N381" s="1405" t="str">
        <f t="shared" si="5"/>
        <v>-</v>
      </c>
      <c r="P381" s="1406">
        <f>ROUND(IF(L381='S1&amp;2 Lists'!$CV$3,K381,IF(L381='S1&amp;2 Lists'!$CV$4,K381/'S1&amp;2 Lists'!$CQ$6,0)),3)</f>
        <v>0</v>
      </c>
      <c r="Q381" s="10" t="s">
        <v>12</v>
      </c>
    </row>
    <row r="382" spans="1:17" s="652" customFormat="1">
      <c r="A382" s="455"/>
      <c r="B382" s="455"/>
      <c r="C382" s="653"/>
      <c r="D382" s="455"/>
      <c r="E382" s="654"/>
      <c r="F382" s="455"/>
      <c r="G382" s="648"/>
      <c r="H382" s="455"/>
      <c r="I382" s="654"/>
      <c r="J382" s="455"/>
      <c r="K382" s="455"/>
      <c r="L382" s="455"/>
      <c r="M382" s="1405" t="str">
        <f>+IFERROR(VLOOKUP(G382,'S1&amp;2 Lists'!$C$4:$G$200,3,FALSE),"-")</f>
        <v>-</v>
      </c>
      <c r="N382" s="1405" t="str">
        <f t="shared" si="5"/>
        <v>-</v>
      </c>
      <c r="P382" s="1406">
        <f>ROUND(IF(L382='S1&amp;2 Lists'!$CV$3,K382,IF(L382='S1&amp;2 Lists'!$CV$4,K382/'S1&amp;2 Lists'!$CQ$6,0)),3)</f>
        <v>0</v>
      </c>
      <c r="Q382" s="10" t="s">
        <v>12</v>
      </c>
    </row>
    <row r="383" spans="1:17" s="652" customFormat="1">
      <c r="A383" s="455"/>
      <c r="B383" s="455"/>
      <c r="C383" s="653"/>
      <c r="D383" s="455"/>
      <c r="E383" s="654"/>
      <c r="F383" s="455"/>
      <c r="G383" s="648"/>
      <c r="H383" s="455"/>
      <c r="I383" s="654"/>
      <c r="J383" s="455"/>
      <c r="K383" s="455"/>
      <c r="L383" s="455"/>
      <c r="M383" s="1405" t="str">
        <f>+IFERROR(VLOOKUP(G383,'S1&amp;2 Lists'!$C$4:$G$200,3,FALSE),"-")</f>
        <v>-</v>
      </c>
      <c r="N383" s="1405" t="str">
        <f t="shared" si="5"/>
        <v>-</v>
      </c>
      <c r="P383" s="1406">
        <f>ROUND(IF(L383='S1&amp;2 Lists'!$CV$3,K383,IF(L383='S1&amp;2 Lists'!$CV$4,K383/'S1&amp;2 Lists'!$CQ$6,0)),3)</f>
        <v>0</v>
      </c>
      <c r="Q383" s="10" t="s">
        <v>12</v>
      </c>
    </row>
    <row r="384" spans="1:17" s="652" customFormat="1">
      <c r="A384" s="455"/>
      <c r="B384" s="455"/>
      <c r="C384" s="653"/>
      <c r="D384" s="455"/>
      <c r="E384" s="654"/>
      <c r="F384" s="455"/>
      <c r="G384" s="648"/>
      <c r="H384" s="455"/>
      <c r="I384" s="654"/>
      <c r="J384" s="455"/>
      <c r="K384" s="455"/>
      <c r="L384" s="455"/>
      <c r="M384" s="1405" t="str">
        <f>+IFERROR(VLOOKUP(G384,'S1&amp;2 Lists'!$C$4:$G$200,3,FALSE),"-")</f>
        <v>-</v>
      </c>
      <c r="N384" s="1405" t="str">
        <f t="shared" si="5"/>
        <v>-</v>
      </c>
      <c r="P384" s="1406">
        <f>ROUND(IF(L384='S1&amp;2 Lists'!$CV$3,K384,IF(L384='S1&amp;2 Lists'!$CV$4,K384/'S1&amp;2 Lists'!$CQ$6,0)),3)</f>
        <v>0</v>
      </c>
      <c r="Q384" s="10" t="s">
        <v>12</v>
      </c>
    </row>
    <row r="385" spans="1:17" s="652" customFormat="1">
      <c r="A385" s="455"/>
      <c r="B385" s="455"/>
      <c r="C385" s="653"/>
      <c r="D385" s="455"/>
      <c r="E385" s="654"/>
      <c r="F385" s="455"/>
      <c r="G385" s="648"/>
      <c r="H385" s="455"/>
      <c r="I385" s="654"/>
      <c r="J385" s="455"/>
      <c r="K385" s="455"/>
      <c r="L385" s="455"/>
      <c r="M385" s="1405" t="str">
        <f>+IFERROR(VLOOKUP(G385,'S1&amp;2 Lists'!$C$4:$G$200,3,FALSE),"-")</f>
        <v>-</v>
      </c>
      <c r="N385" s="1405" t="str">
        <f t="shared" si="5"/>
        <v>-</v>
      </c>
      <c r="P385" s="1406">
        <f>ROUND(IF(L385='S1&amp;2 Lists'!$CV$3,K385,IF(L385='S1&amp;2 Lists'!$CV$4,K385/'S1&amp;2 Lists'!$CQ$6,0)),3)</f>
        <v>0</v>
      </c>
      <c r="Q385" s="10" t="s">
        <v>12</v>
      </c>
    </row>
    <row r="386" spans="1:17" s="652" customFormat="1">
      <c r="A386" s="455"/>
      <c r="B386" s="455"/>
      <c r="C386" s="653"/>
      <c r="D386" s="455"/>
      <c r="E386" s="654"/>
      <c r="F386" s="455"/>
      <c r="G386" s="648"/>
      <c r="H386" s="455"/>
      <c r="I386" s="654"/>
      <c r="J386" s="455"/>
      <c r="K386" s="455"/>
      <c r="L386" s="455"/>
      <c r="M386" s="1405" t="str">
        <f>+IFERROR(VLOOKUP(G386,'S1&amp;2 Lists'!$C$4:$G$200,3,FALSE),"-")</f>
        <v>-</v>
      </c>
      <c r="N386" s="1405" t="str">
        <f t="shared" si="5"/>
        <v>-</v>
      </c>
      <c r="P386" s="1406">
        <f>ROUND(IF(L386='S1&amp;2 Lists'!$CV$3,K386,IF(L386='S1&amp;2 Lists'!$CV$4,K386/'S1&amp;2 Lists'!$CQ$6,0)),3)</f>
        <v>0</v>
      </c>
      <c r="Q386" s="10" t="s">
        <v>12</v>
      </c>
    </row>
    <row r="387" spans="1:17" s="652" customFormat="1">
      <c r="A387" s="455"/>
      <c r="B387" s="455"/>
      <c r="C387" s="653"/>
      <c r="D387" s="455"/>
      <c r="E387" s="654"/>
      <c r="F387" s="455"/>
      <c r="G387" s="648"/>
      <c r="H387" s="455"/>
      <c r="I387" s="654"/>
      <c r="J387" s="455"/>
      <c r="K387" s="455"/>
      <c r="L387" s="455"/>
      <c r="M387" s="1405" t="str">
        <f>+IFERROR(VLOOKUP(G387,'S1&amp;2 Lists'!$C$4:$G$200,3,FALSE),"-")</f>
        <v>-</v>
      </c>
      <c r="N387" s="1405" t="str">
        <f t="shared" si="5"/>
        <v>-</v>
      </c>
      <c r="P387" s="1406">
        <f>ROUND(IF(L387='S1&amp;2 Lists'!$CV$3,K387,IF(L387='S1&amp;2 Lists'!$CV$4,K387/'S1&amp;2 Lists'!$CQ$6,0)),3)</f>
        <v>0</v>
      </c>
      <c r="Q387" s="10" t="s">
        <v>12</v>
      </c>
    </row>
    <row r="388" spans="1:17" s="652" customFormat="1">
      <c r="A388" s="455"/>
      <c r="B388" s="455"/>
      <c r="C388" s="653"/>
      <c r="D388" s="455"/>
      <c r="E388" s="654"/>
      <c r="F388" s="455"/>
      <c r="G388" s="648"/>
      <c r="H388" s="455"/>
      <c r="I388" s="654"/>
      <c r="J388" s="455"/>
      <c r="K388" s="455"/>
      <c r="L388" s="455"/>
      <c r="M388" s="1405" t="str">
        <f>+IFERROR(VLOOKUP(G388,'S1&amp;2 Lists'!$C$4:$G$200,3,FALSE),"-")</f>
        <v>-</v>
      </c>
      <c r="N388" s="1405" t="str">
        <f t="shared" si="5"/>
        <v>-</v>
      </c>
      <c r="P388" s="1406">
        <f>ROUND(IF(L388='S1&amp;2 Lists'!$CV$3,K388,IF(L388='S1&amp;2 Lists'!$CV$4,K388/'S1&amp;2 Lists'!$CQ$6,0)),3)</f>
        <v>0</v>
      </c>
      <c r="Q388" s="10" t="s">
        <v>12</v>
      </c>
    </row>
    <row r="389" spans="1:17" s="652" customFormat="1">
      <c r="A389" s="455"/>
      <c r="B389" s="455"/>
      <c r="C389" s="653"/>
      <c r="D389" s="455"/>
      <c r="E389" s="654"/>
      <c r="F389" s="455"/>
      <c r="G389" s="648"/>
      <c r="H389" s="455"/>
      <c r="I389" s="654"/>
      <c r="J389" s="455"/>
      <c r="K389" s="455"/>
      <c r="L389" s="455"/>
      <c r="M389" s="1405" t="str">
        <f>+IFERROR(VLOOKUP(G389,'S1&amp;2 Lists'!$C$4:$G$200,3,FALSE),"-")</f>
        <v>-</v>
      </c>
      <c r="N389" s="1405" t="str">
        <f t="shared" si="5"/>
        <v>-</v>
      </c>
      <c r="P389" s="1406">
        <f>ROUND(IF(L389='S1&amp;2 Lists'!$CV$3,K389,IF(L389='S1&amp;2 Lists'!$CV$4,K389/'S1&amp;2 Lists'!$CQ$6,0)),3)</f>
        <v>0</v>
      </c>
      <c r="Q389" s="10" t="s">
        <v>12</v>
      </c>
    </row>
    <row r="390" spans="1:17" s="652" customFormat="1">
      <c r="A390" s="455"/>
      <c r="B390" s="455"/>
      <c r="C390" s="653"/>
      <c r="D390" s="455"/>
      <c r="E390" s="654"/>
      <c r="F390" s="455"/>
      <c r="G390" s="648"/>
      <c r="H390" s="455"/>
      <c r="I390" s="654"/>
      <c r="J390" s="455"/>
      <c r="K390" s="455"/>
      <c r="L390" s="455"/>
      <c r="M390" s="1405" t="str">
        <f>+IFERROR(VLOOKUP(G390,'S1&amp;2 Lists'!$C$4:$G$200,3,FALSE),"-")</f>
        <v>-</v>
      </c>
      <c r="N390" s="1405" t="str">
        <f t="shared" si="5"/>
        <v>-</v>
      </c>
      <c r="P390" s="1406">
        <f>ROUND(IF(L390='S1&amp;2 Lists'!$CV$3,K390,IF(L390='S1&amp;2 Lists'!$CV$4,K390/'S1&amp;2 Lists'!$CQ$6,0)),3)</f>
        <v>0</v>
      </c>
      <c r="Q390" s="10" t="s">
        <v>12</v>
      </c>
    </row>
    <row r="391" spans="1:17" s="652" customFormat="1">
      <c r="A391" s="455"/>
      <c r="B391" s="455"/>
      <c r="C391" s="653"/>
      <c r="D391" s="455"/>
      <c r="E391" s="654"/>
      <c r="F391" s="455"/>
      <c r="G391" s="648"/>
      <c r="H391" s="455"/>
      <c r="I391" s="654"/>
      <c r="J391" s="455"/>
      <c r="K391" s="455"/>
      <c r="L391" s="455"/>
      <c r="M391" s="1405" t="str">
        <f>+IFERROR(VLOOKUP(G391,'S1&amp;2 Lists'!$C$4:$G$200,3,FALSE),"-")</f>
        <v>-</v>
      </c>
      <c r="N391" s="1405" t="str">
        <f t="shared" si="5"/>
        <v>-</v>
      </c>
      <c r="P391" s="1406">
        <f>ROUND(IF(L391='S1&amp;2 Lists'!$CV$3,K391,IF(L391='S1&amp;2 Lists'!$CV$4,K391/'S1&amp;2 Lists'!$CQ$6,0)),3)</f>
        <v>0</v>
      </c>
      <c r="Q391" s="10" t="s">
        <v>12</v>
      </c>
    </row>
    <row r="392" spans="1:17" s="652" customFormat="1">
      <c r="A392" s="455"/>
      <c r="B392" s="455"/>
      <c r="C392" s="653"/>
      <c r="D392" s="455"/>
      <c r="E392" s="654"/>
      <c r="F392" s="455"/>
      <c r="G392" s="648"/>
      <c r="H392" s="455"/>
      <c r="I392" s="654"/>
      <c r="J392" s="455"/>
      <c r="K392" s="455"/>
      <c r="L392" s="455"/>
      <c r="M392" s="1405" t="str">
        <f>+IFERROR(VLOOKUP(G392,'S1&amp;2 Lists'!$C$4:$G$200,3,FALSE),"-")</f>
        <v>-</v>
      </c>
      <c r="N392" s="1405" t="str">
        <f t="shared" si="5"/>
        <v>-</v>
      </c>
      <c r="P392" s="1406">
        <f>ROUND(IF(L392='S1&amp;2 Lists'!$CV$3,K392,IF(L392='S1&amp;2 Lists'!$CV$4,K392/'S1&amp;2 Lists'!$CQ$6,0)),3)</f>
        <v>0</v>
      </c>
      <c r="Q392" s="10" t="s">
        <v>12</v>
      </c>
    </row>
    <row r="393" spans="1:17" s="652" customFormat="1">
      <c r="A393" s="455"/>
      <c r="B393" s="455"/>
      <c r="C393" s="653"/>
      <c r="D393" s="455"/>
      <c r="E393" s="654"/>
      <c r="F393" s="455"/>
      <c r="G393" s="648"/>
      <c r="H393" s="455"/>
      <c r="I393" s="654"/>
      <c r="J393" s="455"/>
      <c r="K393" s="455"/>
      <c r="L393" s="455"/>
      <c r="M393" s="1405" t="str">
        <f>+IFERROR(VLOOKUP(G393,'S1&amp;2 Lists'!$C$4:$G$200,3,FALSE),"-")</f>
        <v>-</v>
      </c>
      <c r="N393" s="1405" t="str">
        <f t="shared" si="5"/>
        <v>-</v>
      </c>
      <c r="P393" s="1406">
        <f>ROUND(IF(L393='S1&amp;2 Lists'!$CV$3,K393,IF(L393='S1&amp;2 Lists'!$CV$4,K393/'S1&amp;2 Lists'!$CQ$6,0)),3)</f>
        <v>0</v>
      </c>
      <c r="Q393" s="10" t="s">
        <v>12</v>
      </c>
    </row>
    <row r="394" spans="1:17" s="652" customFormat="1">
      <c r="A394" s="455"/>
      <c r="B394" s="455"/>
      <c r="C394" s="653"/>
      <c r="D394" s="455"/>
      <c r="E394" s="654"/>
      <c r="F394" s="455"/>
      <c r="G394" s="648"/>
      <c r="H394" s="455"/>
      <c r="I394" s="654"/>
      <c r="J394" s="455"/>
      <c r="K394" s="455"/>
      <c r="L394" s="455"/>
      <c r="M394" s="1405" t="str">
        <f>+IFERROR(VLOOKUP(G394,'S1&amp;2 Lists'!$C$4:$G$200,3,FALSE),"-")</f>
        <v>-</v>
      </c>
      <c r="N394" s="1405" t="str">
        <f t="shared" si="5"/>
        <v>-</v>
      </c>
      <c r="P394" s="1406">
        <f>ROUND(IF(L394='S1&amp;2 Lists'!$CV$3,K394,IF(L394='S1&amp;2 Lists'!$CV$4,K394/'S1&amp;2 Lists'!$CQ$6,0)),3)</f>
        <v>0</v>
      </c>
      <c r="Q394" s="10" t="s">
        <v>12</v>
      </c>
    </row>
    <row r="395" spans="1:17" s="652" customFormat="1">
      <c r="A395" s="455"/>
      <c r="B395" s="455"/>
      <c r="C395" s="653"/>
      <c r="D395" s="455"/>
      <c r="E395" s="654"/>
      <c r="F395" s="455"/>
      <c r="G395" s="648"/>
      <c r="H395" s="455"/>
      <c r="I395" s="654"/>
      <c r="J395" s="455"/>
      <c r="K395" s="455"/>
      <c r="L395" s="455"/>
      <c r="M395" s="1405" t="str">
        <f>+IFERROR(VLOOKUP(G395,'S1&amp;2 Lists'!$C$4:$G$200,3,FALSE),"-")</f>
        <v>-</v>
      </c>
      <c r="N395" s="1405" t="str">
        <f t="shared" ref="N395:N458" si="6">+IFERROR(P395*M395,"-")</f>
        <v>-</v>
      </c>
      <c r="P395" s="1406">
        <f>ROUND(IF(L395='S1&amp;2 Lists'!$CV$3,K395,IF(L395='S1&amp;2 Lists'!$CV$4,K395/'S1&amp;2 Lists'!$CQ$6,0)),3)</f>
        <v>0</v>
      </c>
      <c r="Q395" s="10" t="s">
        <v>12</v>
      </c>
    </row>
    <row r="396" spans="1:17" s="652" customFormat="1">
      <c r="A396" s="455"/>
      <c r="B396" s="455"/>
      <c r="C396" s="653"/>
      <c r="D396" s="455"/>
      <c r="E396" s="654"/>
      <c r="F396" s="455"/>
      <c r="G396" s="648"/>
      <c r="H396" s="455"/>
      <c r="I396" s="654"/>
      <c r="J396" s="455"/>
      <c r="K396" s="455"/>
      <c r="L396" s="455"/>
      <c r="M396" s="1405" t="str">
        <f>+IFERROR(VLOOKUP(G396,'S1&amp;2 Lists'!$C$4:$G$200,3,FALSE),"-")</f>
        <v>-</v>
      </c>
      <c r="N396" s="1405" t="str">
        <f t="shared" si="6"/>
        <v>-</v>
      </c>
      <c r="P396" s="1406">
        <f>ROUND(IF(L396='S1&amp;2 Lists'!$CV$3,K396,IF(L396='S1&amp;2 Lists'!$CV$4,K396/'S1&amp;2 Lists'!$CQ$6,0)),3)</f>
        <v>0</v>
      </c>
      <c r="Q396" s="10" t="s">
        <v>12</v>
      </c>
    </row>
    <row r="397" spans="1:17" s="652" customFormat="1">
      <c r="A397" s="455"/>
      <c r="B397" s="455"/>
      <c r="C397" s="653"/>
      <c r="D397" s="455"/>
      <c r="E397" s="654"/>
      <c r="F397" s="455"/>
      <c r="G397" s="648"/>
      <c r="H397" s="455"/>
      <c r="I397" s="654"/>
      <c r="J397" s="455"/>
      <c r="K397" s="455"/>
      <c r="L397" s="455"/>
      <c r="M397" s="1405" t="str">
        <f>+IFERROR(VLOOKUP(G397,'S1&amp;2 Lists'!$C$4:$G$200,3,FALSE),"-")</f>
        <v>-</v>
      </c>
      <c r="N397" s="1405" t="str">
        <f t="shared" si="6"/>
        <v>-</v>
      </c>
      <c r="P397" s="1406">
        <f>ROUND(IF(L397='S1&amp;2 Lists'!$CV$3,K397,IF(L397='S1&amp;2 Lists'!$CV$4,K397/'S1&amp;2 Lists'!$CQ$6,0)),3)</f>
        <v>0</v>
      </c>
      <c r="Q397" s="10" t="s">
        <v>12</v>
      </c>
    </row>
    <row r="398" spans="1:17" s="652" customFormat="1">
      <c r="A398" s="455"/>
      <c r="B398" s="455"/>
      <c r="C398" s="653"/>
      <c r="D398" s="455"/>
      <c r="E398" s="654"/>
      <c r="F398" s="455"/>
      <c r="G398" s="648"/>
      <c r="H398" s="455"/>
      <c r="I398" s="654"/>
      <c r="J398" s="455"/>
      <c r="K398" s="455"/>
      <c r="L398" s="455"/>
      <c r="M398" s="1405" t="str">
        <f>+IFERROR(VLOOKUP(G398,'S1&amp;2 Lists'!$C$4:$G$200,3,FALSE),"-")</f>
        <v>-</v>
      </c>
      <c r="N398" s="1405" t="str">
        <f t="shared" si="6"/>
        <v>-</v>
      </c>
      <c r="P398" s="1406">
        <f>ROUND(IF(L398='S1&amp;2 Lists'!$CV$3,K398,IF(L398='S1&amp;2 Lists'!$CV$4,K398/'S1&amp;2 Lists'!$CQ$6,0)),3)</f>
        <v>0</v>
      </c>
      <c r="Q398" s="10" t="s">
        <v>12</v>
      </c>
    </row>
    <row r="399" spans="1:17" s="652" customFormat="1">
      <c r="A399" s="455"/>
      <c r="B399" s="455"/>
      <c r="C399" s="653"/>
      <c r="D399" s="455"/>
      <c r="E399" s="654"/>
      <c r="F399" s="455"/>
      <c r="G399" s="648"/>
      <c r="H399" s="455"/>
      <c r="I399" s="654"/>
      <c r="J399" s="455"/>
      <c r="K399" s="455"/>
      <c r="L399" s="455"/>
      <c r="M399" s="1405" t="str">
        <f>+IFERROR(VLOOKUP(G399,'S1&amp;2 Lists'!$C$4:$G$200,3,FALSE),"-")</f>
        <v>-</v>
      </c>
      <c r="N399" s="1405" t="str">
        <f t="shared" si="6"/>
        <v>-</v>
      </c>
      <c r="P399" s="1406">
        <f>ROUND(IF(L399='S1&amp;2 Lists'!$CV$3,K399,IF(L399='S1&amp;2 Lists'!$CV$4,K399/'S1&amp;2 Lists'!$CQ$6,0)),3)</f>
        <v>0</v>
      </c>
      <c r="Q399" s="10" t="s">
        <v>12</v>
      </c>
    </row>
    <row r="400" spans="1:17" s="652" customFormat="1">
      <c r="A400" s="455"/>
      <c r="B400" s="455"/>
      <c r="C400" s="653"/>
      <c r="D400" s="455"/>
      <c r="E400" s="654"/>
      <c r="F400" s="455"/>
      <c r="G400" s="648"/>
      <c r="H400" s="455"/>
      <c r="I400" s="654"/>
      <c r="J400" s="455"/>
      <c r="K400" s="455"/>
      <c r="L400" s="455"/>
      <c r="M400" s="1405" t="str">
        <f>+IFERROR(VLOOKUP(G400,'S1&amp;2 Lists'!$C$4:$G$200,3,FALSE),"-")</f>
        <v>-</v>
      </c>
      <c r="N400" s="1405" t="str">
        <f t="shared" si="6"/>
        <v>-</v>
      </c>
      <c r="P400" s="1406">
        <f>ROUND(IF(L400='S1&amp;2 Lists'!$CV$3,K400,IF(L400='S1&amp;2 Lists'!$CV$4,K400/'S1&amp;2 Lists'!$CQ$6,0)),3)</f>
        <v>0</v>
      </c>
      <c r="Q400" s="10" t="s">
        <v>12</v>
      </c>
    </row>
    <row r="401" spans="1:17" s="652" customFormat="1">
      <c r="A401" s="455"/>
      <c r="B401" s="455"/>
      <c r="C401" s="653"/>
      <c r="D401" s="455"/>
      <c r="E401" s="654"/>
      <c r="F401" s="455"/>
      <c r="G401" s="648"/>
      <c r="H401" s="455"/>
      <c r="I401" s="654"/>
      <c r="J401" s="455"/>
      <c r="K401" s="455"/>
      <c r="L401" s="455"/>
      <c r="M401" s="1405" t="str">
        <f>+IFERROR(VLOOKUP(G401,'S1&amp;2 Lists'!$C$4:$G$200,3,FALSE),"-")</f>
        <v>-</v>
      </c>
      <c r="N401" s="1405" t="str">
        <f t="shared" si="6"/>
        <v>-</v>
      </c>
      <c r="P401" s="1406">
        <f>ROUND(IF(L401='S1&amp;2 Lists'!$CV$3,K401,IF(L401='S1&amp;2 Lists'!$CV$4,K401/'S1&amp;2 Lists'!$CQ$6,0)),3)</f>
        <v>0</v>
      </c>
      <c r="Q401" s="10" t="s">
        <v>12</v>
      </c>
    </row>
    <row r="402" spans="1:17" s="652" customFormat="1">
      <c r="A402" s="455"/>
      <c r="B402" s="455"/>
      <c r="C402" s="653"/>
      <c r="D402" s="455"/>
      <c r="E402" s="654"/>
      <c r="F402" s="455"/>
      <c r="G402" s="648"/>
      <c r="H402" s="455"/>
      <c r="I402" s="654"/>
      <c r="J402" s="455"/>
      <c r="K402" s="455"/>
      <c r="L402" s="455"/>
      <c r="M402" s="1405" t="str">
        <f>+IFERROR(VLOOKUP(G402,'S1&amp;2 Lists'!$C$4:$G$200,3,FALSE),"-")</f>
        <v>-</v>
      </c>
      <c r="N402" s="1405" t="str">
        <f t="shared" si="6"/>
        <v>-</v>
      </c>
      <c r="P402" s="1406">
        <f>ROUND(IF(L402='S1&amp;2 Lists'!$CV$3,K402,IF(L402='S1&amp;2 Lists'!$CV$4,K402/'S1&amp;2 Lists'!$CQ$6,0)),3)</f>
        <v>0</v>
      </c>
      <c r="Q402" s="10" t="s">
        <v>12</v>
      </c>
    </row>
    <row r="403" spans="1:17" s="652" customFormat="1">
      <c r="A403" s="455"/>
      <c r="B403" s="455"/>
      <c r="C403" s="653"/>
      <c r="D403" s="455"/>
      <c r="E403" s="654"/>
      <c r="F403" s="455"/>
      <c r="G403" s="648"/>
      <c r="H403" s="455"/>
      <c r="I403" s="654"/>
      <c r="J403" s="455"/>
      <c r="K403" s="455"/>
      <c r="L403" s="455"/>
      <c r="M403" s="1405" t="str">
        <f>+IFERROR(VLOOKUP(G403,'S1&amp;2 Lists'!$C$4:$G$200,3,FALSE),"-")</f>
        <v>-</v>
      </c>
      <c r="N403" s="1405" t="str">
        <f t="shared" si="6"/>
        <v>-</v>
      </c>
      <c r="P403" s="1406">
        <f>ROUND(IF(L403='S1&amp;2 Lists'!$CV$3,K403,IF(L403='S1&amp;2 Lists'!$CV$4,K403/'S1&amp;2 Lists'!$CQ$6,0)),3)</f>
        <v>0</v>
      </c>
      <c r="Q403" s="10" t="s">
        <v>12</v>
      </c>
    </row>
    <row r="404" spans="1:17" s="652" customFormat="1">
      <c r="A404" s="455"/>
      <c r="B404" s="455"/>
      <c r="C404" s="653"/>
      <c r="D404" s="455"/>
      <c r="E404" s="654"/>
      <c r="F404" s="455"/>
      <c r="G404" s="648"/>
      <c r="H404" s="455"/>
      <c r="I404" s="654"/>
      <c r="J404" s="455"/>
      <c r="K404" s="455"/>
      <c r="L404" s="455"/>
      <c r="M404" s="1405" t="str">
        <f>+IFERROR(VLOOKUP(G404,'S1&amp;2 Lists'!$C$4:$G$200,3,FALSE),"-")</f>
        <v>-</v>
      </c>
      <c r="N404" s="1405" t="str">
        <f t="shared" si="6"/>
        <v>-</v>
      </c>
      <c r="P404" s="1406">
        <f>ROUND(IF(L404='S1&amp;2 Lists'!$CV$3,K404,IF(L404='S1&amp;2 Lists'!$CV$4,K404/'S1&amp;2 Lists'!$CQ$6,0)),3)</f>
        <v>0</v>
      </c>
      <c r="Q404" s="10" t="s">
        <v>12</v>
      </c>
    </row>
    <row r="405" spans="1:17" s="652" customFormat="1">
      <c r="A405" s="455"/>
      <c r="B405" s="455"/>
      <c r="C405" s="653"/>
      <c r="D405" s="455"/>
      <c r="E405" s="654"/>
      <c r="F405" s="455"/>
      <c r="G405" s="648"/>
      <c r="H405" s="455"/>
      <c r="I405" s="654"/>
      <c r="J405" s="455"/>
      <c r="K405" s="455"/>
      <c r="L405" s="455"/>
      <c r="M405" s="1405" t="str">
        <f>+IFERROR(VLOOKUP(G405,'S1&amp;2 Lists'!$C$4:$G$200,3,FALSE),"-")</f>
        <v>-</v>
      </c>
      <c r="N405" s="1405" t="str">
        <f t="shared" si="6"/>
        <v>-</v>
      </c>
      <c r="P405" s="1406">
        <f>ROUND(IF(L405='S1&amp;2 Lists'!$CV$3,K405,IF(L405='S1&amp;2 Lists'!$CV$4,K405/'S1&amp;2 Lists'!$CQ$6,0)),3)</f>
        <v>0</v>
      </c>
      <c r="Q405" s="10" t="s">
        <v>12</v>
      </c>
    </row>
    <row r="406" spans="1:17" s="652" customFormat="1">
      <c r="A406" s="455"/>
      <c r="B406" s="455"/>
      <c r="C406" s="653"/>
      <c r="D406" s="455"/>
      <c r="E406" s="654"/>
      <c r="F406" s="455"/>
      <c r="G406" s="648"/>
      <c r="H406" s="455"/>
      <c r="I406" s="654"/>
      <c r="J406" s="455"/>
      <c r="K406" s="455"/>
      <c r="L406" s="455"/>
      <c r="M406" s="1405" t="str">
        <f>+IFERROR(VLOOKUP(G406,'S1&amp;2 Lists'!$C$4:$G$200,3,FALSE),"-")</f>
        <v>-</v>
      </c>
      <c r="N406" s="1405" t="str">
        <f t="shared" si="6"/>
        <v>-</v>
      </c>
      <c r="P406" s="1406">
        <f>ROUND(IF(L406='S1&amp;2 Lists'!$CV$3,K406,IF(L406='S1&amp;2 Lists'!$CV$4,K406/'S1&amp;2 Lists'!$CQ$6,0)),3)</f>
        <v>0</v>
      </c>
      <c r="Q406" s="10" t="s">
        <v>12</v>
      </c>
    </row>
    <row r="407" spans="1:17" s="652" customFormat="1">
      <c r="A407" s="455"/>
      <c r="B407" s="455"/>
      <c r="C407" s="653"/>
      <c r="D407" s="455"/>
      <c r="E407" s="654"/>
      <c r="F407" s="455"/>
      <c r="G407" s="648"/>
      <c r="H407" s="455"/>
      <c r="I407" s="654"/>
      <c r="J407" s="455"/>
      <c r="K407" s="455"/>
      <c r="L407" s="455"/>
      <c r="M407" s="1405" t="str">
        <f>+IFERROR(VLOOKUP(G407,'S1&amp;2 Lists'!$C$4:$G$200,3,FALSE),"-")</f>
        <v>-</v>
      </c>
      <c r="N407" s="1405" t="str">
        <f t="shared" si="6"/>
        <v>-</v>
      </c>
      <c r="P407" s="1406">
        <f>ROUND(IF(L407='S1&amp;2 Lists'!$CV$3,K407,IF(L407='S1&amp;2 Lists'!$CV$4,K407/'S1&amp;2 Lists'!$CQ$6,0)),3)</f>
        <v>0</v>
      </c>
      <c r="Q407" s="10" t="s">
        <v>12</v>
      </c>
    </row>
    <row r="408" spans="1:17" s="652" customFormat="1">
      <c r="A408" s="455"/>
      <c r="B408" s="455"/>
      <c r="C408" s="653"/>
      <c r="D408" s="455"/>
      <c r="E408" s="654"/>
      <c r="F408" s="455"/>
      <c r="G408" s="648"/>
      <c r="H408" s="455"/>
      <c r="I408" s="654"/>
      <c r="J408" s="455"/>
      <c r="K408" s="455"/>
      <c r="L408" s="455"/>
      <c r="M408" s="1405" t="str">
        <f>+IFERROR(VLOOKUP(G408,'S1&amp;2 Lists'!$C$4:$G$200,3,FALSE),"-")</f>
        <v>-</v>
      </c>
      <c r="N408" s="1405" t="str">
        <f t="shared" si="6"/>
        <v>-</v>
      </c>
      <c r="P408" s="1406">
        <f>ROUND(IF(L408='S1&amp;2 Lists'!$CV$3,K408,IF(L408='S1&amp;2 Lists'!$CV$4,K408/'S1&amp;2 Lists'!$CQ$6,0)),3)</f>
        <v>0</v>
      </c>
      <c r="Q408" s="10" t="s">
        <v>12</v>
      </c>
    </row>
    <row r="409" spans="1:17" s="652" customFormat="1">
      <c r="A409" s="455"/>
      <c r="B409" s="455"/>
      <c r="C409" s="653"/>
      <c r="D409" s="455"/>
      <c r="E409" s="654"/>
      <c r="F409" s="455"/>
      <c r="G409" s="648"/>
      <c r="H409" s="455"/>
      <c r="I409" s="654"/>
      <c r="J409" s="455"/>
      <c r="K409" s="455"/>
      <c r="L409" s="455"/>
      <c r="M409" s="1405" t="str">
        <f>+IFERROR(VLOOKUP(G409,'S1&amp;2 Lists'!$C$4:$G$200,3,FALSE),"-")</f>
        <v>-</v>
      </c>
      <c r="N409" s="1405" t="str">
        <f t="shared" si="6"/>
        <v>-</v>
      </c>
      <c r="P409" s="1406">
        <f>ROUND(IF(L409='S1&amp;2 Lists'!$CV$3,K409,IF(L409='S1&amp;2 Lists'!$CV$4,K409/'S1&amp;2 Lists'!$CQ$6,0)),3)</f>
        <v>0</v>
      </c>
      <c r="Q409" s="10" t="s">
        <v>12</v>
      </c>
    </row>
    <row r="410" spans="1:17" s="652" customFormat="1">
      <c r="A410" s="455"/>
      <c r="B410" s="455"/>
      <c r="C410" s="653"/>
      <c r="D410" s="455"/>
      <c r="E410" s="654"/>
      <c r="F410" s="455"/>
      <c r="G410" s="648"/>
      <c r="H410" s="455"/>
      <c r="I410" s="654"/>
      <c r="J410" s="455"/>
      <c r="K410" s="455"/>
      <c r="L410" s="455"/>
      <c r="M410" s="1405" t="str">
        <f>+IFERROR(VLOOKUP(G410,'S1&amp;2 Lists'!$C$4:$G$200,3,FALSE),"-")</f>
        <v>-</v>
      </c>
      <c r="N410" s="1405" t="str">
        <f t="shared" si="6"/>
        <v>-</v>
      </c>
      <c r="P410" s="1406">
        <f>ROUND(IF(L410='S1&amp;2 Lists'!$CV$3,K410,IF(L410='S1&amp;2 Lists'!$CV$4,K410/'S1&amp;2 Lists'!$CQ$6,0)),3)</f>
        <v>0</v>
      </c>
      <c r="Q410" s="10" t="s">
        <v>12</v>
      </c>
    </row>
    <row r="411" spans="1:17" s="652" customFormat="1">
      <c r="A411" s="455"/>
      <c r="B411" s="455"/>
      <c r="C411" s="653"/>
      <c r="D411" s="455"/>
      <c r="E411" s="654"/>
      <c r="F411" s="455"/>
      <c r="G411" s="648"/>
      <c r="H411" s="455"/>
      <c r="I411" s="654"/>
      <c r="J411" s="455"/>
      <c r="K411" s="455"/>
      <c r="L411" s="455"/>
      <c r="M411" s="1405" t="str">
        <f>+IFERROR(VLOOKUP(G411,'S1&amp;2 Lists'!$C$4:$G$200,3,FALSE),"-")</f>
        <v>-</v>
      </c>
      <c r="N411" s="1405" t="str">
        <f t="shared" si="6"/>
        <v>-</v>
      </c>
      <c r="P411" s="1406">
        <f>ROUND(IF(L411='S1&amp;2 Lists'!$CV$3,K411,IF(L411='S1&amp;2 Lists'!$CV$4,K411/'S1&amp;2 Lists'!$CQ$6,0)),3)</f>
        <v>0</v>
      </c>
      <c r="Q411" s="10" t="s">
        <v>12</v>
      </c>
    </row>
    <row r="412" spans="1:17" s="652" customFormat="1">
      <c r="A412" s="455"/>
      <c r="B412" s="455"/>
      <c r="C412" s="653"/>
      <c r="D412" s="455"/>
      <c r="E412" s="654"/>
      <c r="F412" s="455"/>
      <c r="G412" s="648"/>
      <c r="H412" s="455"/>
      <c r="I412" s="654"/>
      <c r="J412" s="455"/>
      <c r="K412" s="455"/>
      <c r="L412" s="455"/>
      <c r="M412" s="1405" t="str">
        <f>+IFERROR(VLOOKUP(G412,'S1&amp;2 Lists'!$C$4:$G$200,3,FALSE),"-")</f>
        <v>-</v>
      </c>
      <c r="N412" s="1405" t="str">
        <f t="shared" si="6"/>
        <v>-</v>
      </c>
      <c r="P412" s="1406">
        <f>ROUND(IF(L412='S1&amp;2 Lists'!$CV$3,K412,IF(L412='S1&amp;2 Lists'!$CV$4,K412/'S1&amp;2 Lists'!$CQ$6,0)),3)</f>
        <v>0</v>
      </c>
      <c r="Q412" s="10" t="s">
        <v>12</v>
      </c>
    </row>
    <row r="413" spans="1:17" s="652" customFormat="1">
      <c r="A413" s="455"/>
      <c r="B413" s="455"/>
      <c r="C413" s="653"/>
      <c r="D413" s="455"/>
      <c r="E413" s="654"/>
      <c r="F413" s="455"/>
      <c r="G413" s="648"/>
      <c r="H413" s="455"/>
      <c r="I413" s="654"/>
      <c r="J413" s="455"/>
      <c r="K413" s="455"/>
      <c r="L413" s="455"/>
      <c r="M413" s="1405" t="str">
        <f>+IFERROR(VLOOKUP(G413,'S1&amp;2 Lists'!$C$4:$G$200,3,FALSE),"-")</f>
        <v>-</v>
      </c>
      <c r="N413" s="1405" t="str">
        <f t="shared" si="6"/>
        <v>-</v>
      </c>
      <c r="P413" s="1406">
        <f>ROUND(IF(L413='S1&amp;2 Lists'!$CV$3,K413,IF(L413='S1&amp;2 Lists'!$CV$4,K413/'S1&amp;2 Lists'!$CQ$6,0)),3)</f>
        <v>0</v>
      </c>
      <c r="Q413" s="10" t="s">
        <v>12</v>
      </c>
    </row>
    <row r="414" spans="1:17" s="652" customFormat="1">
      <c r="A414" s="455"/>
      <c r="B414" s="455"/>
      <c r="C414" s="653"/>
      <c r="D414" s="455"/>
      <c r="E414" s="654"/>
      <c r="F414" s="455"/>
      <c r="G414" s="648"/>
      <c r="H414" s="455"/>
      <c r="I414" s="654"/>
      <c r="J414" s="455"/>
      <c r="K414" s="455"/>
      <c r="L414" s="455"/>
      <c r="M414" s="1405" t="str">
        <f>+IFERROR(VLOOKUP(G414,'S1&amp;2 Lists'!$C$4:$G$200,3,FALSE),"-")</f>
        <v>-</v>
      </c>
      <c r="N414" s="1405" t="str">
        <f t="shared" si="6"/>
        <v>-</v>
      </c>
      <c r="P414" s="1406">
        <f>ROUND(IF(L414='S1&amp;2 Lists'!$CV$3,K414,IF(L414='S1&amp;2 Lists'!$CV$4,K414/'S1&amp;2 Lists'!$CQ$6,0)),3)</f>
        <v>0</v>
      </c>
      <c r="Q414" s="10" t="s">
        <v>12</v>
      </c>
    </row>
    <row r="415" spans="1:17" s="652" customFormat="1">
      <c r="A415" s="455"/>
      <c r="B415" s="455"/>
      <c r="C415" s="653"/>
      <c r="D415" s="455"/>
      <c r="E415" s="654"/>
      <c r="F415" s="455"/>
      <c r="G415" s="648"/>
      <c r="H415" s="455"/>
      <c r="I415" s="654"/>
      <c r="J415" s="455"/>
      <c r="K415" s="455"/>
      <c r="L415" s="455"/>
      <c r="M415" s="1405" t="str">
        <f>+IFERROR(VLOOKUP(G415,'S1&amp;2 Lists'!$C$4:$G$200,3,FALSE),"-")</f>
        <v>-</v>
      </c>
      <c r="N415" s="1405" t="str">
        <f t="shared" si="6"/>
        <v>-</v>
      </c>
      <c r="P415" s="1406">
        <f>ROUND(IF(L415='S1&amp;2 Lists'!$CV$3,K415,IF(L415='S1&amp;2 Lists'!$CV$4,K415/'S1&amp;2 Lists'!$CQ$6,0)),3)</f>
        <v>0</v>
      </c>
      <c r="Q415" s="10" t="s">
        <v>12</v>
      </c>
    </row>
    <row r="416" spans="1:17" s="652" customFormat="1">
      <c r="A416" s="455"/>
      <c r="B416" s="455"/>
      <c r="C416" s="653"/>
      <c r="D416" s="455"/>
      <c r="E416" s="654"/>
      <c r="F416" s="455"/>
      <c r="G416" s="648"/>
      <c r="H416" s="455"/>
      <c r="I416" s="654"/>
      <c r="J416" s="455"/>
      <c r="K416" s="455"/>
      <c r="L416" s="455"/>
      <c r="M416" s="1405" t="str">
        <f>+IFERROR(VLOOKUP(G416,'S1&amp;2 Lists'!$C$4:$G$200,3,FALSE),"-")</f>
        <v>-</v>
      </c>
      <c r="N416" s="1405" t="str">
        <f t="shared" si="6"/>
        <v>-</v>
      </c>
      <c r="P416" s="1406">
        <f>ROUND(IF(L416='S1&amp;2 Lists'!$CV$3,K416,IF(L416='S1&amp;2 Lists'!$CV$4,K416/'S1&amp;2 Lists'!$CQ$6,0)),3)</f>
        <v>0</v>
      </c>
      <c r="Q416" s="10" t="s">
        <v>12</v>
      </c>
    </row>
    <row r="417" spans="1:17" s="652" customFormat="1">
      <c r="A417" s="455"/>
      <c r="B417" s="455"/>
      <c r="C417" s="653"/>
      <c r="D417" s="455"/>
      <c r="E417" s="654"/>
      <c r="F417" s="455"/>
      <c r="G417" s="648"/>
      <c r="H417" s="455"/>
      <c r="I417" s="654"/>
      <c r="J417" s="455"/>
      <c r="K417" s="455"/>
      <c r="L417" s="455"/>
      <c r="M417" s="1405" t="str">
        <f>+IFERROR(VLOOKUP(G417,'S1&amp;2 Lists'!$C$4:$G$200,3,FALSE),"-")</f>
        <v>-</v>
      </c>
      <c r="N417" s="1405" t="str">
        <f t="shared" si="6"/>
        <v>-</v>
      </c>
      <c r="P417" s="1406">
        <f>ROUND(IF(L417='S1&amp;2 Lists'!$CV$3,K417,IF(L417='S1&amp;2 Lists'!$CV$4,K417/'S1&amp;2 Lists'!$CQ$6,0)),3)</f>
        <v>0</v>
      </c>
      <c r="Q417" s="10" t="s">
        <v>12</v>
      </c>
    </row>
    <row r="418" spans="1:17" s="652" customFormat="1">
      <c r="A418" s="455"/>
      <c r="B418" s="455"/>
      <c r="C418" s="653"/>
      <c r="D418" s="455"/>
      <c r="E418" s="654"/>
      <c r="F418" s="455"/>
      <c r="G418" s="648"/>
      <c r="H418" s="455"/>
      <c r="I418" s="654"/>
      <c r="J418" s="455"/>
      <c r="K418" s="455"/>
      <c r="L418" s="455"/>
      <c r="M418" s="1405" t="str">
        <f>+IFERROR(VLOOKUP(G418,'S1&amp;2 Lists'!$C$4:$G$200,3,FALSE),"-")</f>
        <v>-</v>
      </c>
      <c r="N418" s="1405" t="str">
        <f t="shared" si="6"/>
        <v>-</v>
      </c>
      <c r="P418" s="1406">
        <f>ROUND(IF(L418='S1&amp;2 Lists'!$CV$3,K418,IF(L418='S1&amp;2 Lists'!$CV$4,K418/'S1&amp;2 Lists'!$CQ$6,0)),3)</f>
        <v>0</v>
      </c>
      <c r="Q418" s="10" t="s">
        <v>12</v>
      </c>
    </row>
    <row r="419" spans="1:17" s="652" customFormat="1">
      <c r="A419" s="455"/>
      <c r="B419" s="455"/>
      <c r="C419" s="653"/>
      <c r="D419" s="455"/>
      <c r="E419" s="654"/>
      <c r="F419" s="455"/>
      <c r="G419" s="648"/>
      <c r="H419" s="455"/>
      <c r="I419" s="654"/>
      <c r="J419" s="455"/>
      <c r="K419" s="455"/>
      <c r="L419" s="455"/>
      <c r="M419" s="1405" t="str">
        <f>+IFERROR(VLOOKUP(G419,'S1&amp;2 Lists'!$C$4:$G$200,3,FALSE),"-")</f>
        <v>-</v>
      </c>
      <c r="N419" s="1405" t="str">
        <f t="shared" si="6"/>
        <v>-</v>
      </c>
      <c r="P419" s="1406">
        <f>ROUND(IF(L419='S1&amp;2 Lists'!$CV$3,K419,IF(L419='S1&amp;2 Lists'!$CV$4,K419/'S1&amp;2 Lists'!$CQ$6,0)),3)</f>
        <v>0</v>
      </c>
      <c r="Q419" s="10" t="s">
        <v>12</v>
      </c>
    </row>
    <row r="420" spans="1:17" s="652" customFormat="1">
      <c r="A420" s="455"/>
      <c r="B420" s="455"/>
      <c r="C420" s="653"/>
      <c r="D420" s="455"/>
      <c r="E420" s="654"/>
      <c r="F420" s="455"/>
      <c r="G420" s="648"/>
      <c r="H420" s="455"/>
      <c r="I420" s="654"/>
      <c r="J420" s="455"/>
      <c r="K420" s="455"/>
      <c r="L420" s="455"/>
      <c r="M420" s="1405" t="str">
        <f>+IFERROR(VLOOKUP(G420,'S1&amp;2 Lists'!$C$4:$G$200,3,FALSE),"-")</f>
        <v>-</v>
      </c>
      <c r="N420" s="1405" t="str">
        <f t="shared" si="6"/>
        <v>-</v>
      </c>
      <c r="P420" s="1406">
        <f>ROUND(IF(L420='S1&amp;2 Lists'!$CV$3,K420,IF(L420='S1&amp;2 Lists'!$CV$4,K420/'S1&amp;2 Lists'!$CQ$6,0)),3)</f>
        <v>0</v>
      </c>
      <c r="Q420" s="10" t="s">
        <v>12</v>
      </c>
    </row>
    <row r="421" spans="1:17" s="652" customFormat="1">
      <c r="A421" s="455"/>
      <c r="B421" s="455"/>
      <c r="C421" s="653"/>
      <c r="D421" s="455"/>
      <c r="E421" s="654"/>
      <c r="F421" s="455"/>
      <c r="G421" s="648"/>
      <c r="H421" s="455"/>
      <c r="I421" s="654"/>
      <c r="J421" s="455"/>
      <c r="K421" s="455"/>
      <c r="L421" s="455"/>
      <c r="M421" s="1405" t="str">
        <f>+IFERROR(VLOOKUP(G421,'S1&amp;2 Lists'!$C$4:$G$200,3,FALSE),"-")</f>
        <v>-</v>
      </c>
      <c r="N421" s="1405" t="str">
        <f t="shared" si="6"/>
        <v>-</v>
      </c>
      <c r="P421" s="1406">
        <f>ROUND(IF(L421='S1&amp;2 Lists'!$CV$3,K421,IF(L421='S1&amp;2 Lists'!$CV$4,K421/'S1&amp;2 Lists'!$CQ$6,0)),3)</f>
        <v>0</v>
      </c>
      <c r="Q421" s="10" t="s">
        <v>12</v>
      </c>
    </row>
    <row r="422" spans="1:17" s="652" customFormat="1">
      <c r="A422" s="455"/>
      <c r="B422" s="455"/>
      <c r="C422" s="653"/>
      <c r="D422" s="455"/>
      <c r="E422" s="654"/>
      <c r="F422" s="455"/>
      <c r="G422" s="648"/>
      <c r="H422" s="455"/>
      <c r="I422" s="654"/>
      <c r="J422" s="455"/>
      <c r="K422" s="455"/>
      <c r="L422" s="455"/>
      <c r="M422" s="1405" t="str">
        <f>+IFERROR(VLOOKUP(G422,'S1&amp;2 Lists'!$C$4:$G$200,3,FALSE),"-")</f>
        <v>-</v>
      </c>
      <c r="N422" s="1405" t="str">
        <f t="shared" si="6"/>
        <v>-</v>
      </c>
      <c r="P422" s="1406">
        <f>ROUND(IF(L422='S1&amp;2 Lists'!$CV$3,K422,IF(L422='S1&amp;2 Lists'!$CV$4,K422/'S1&amp;2 Lists'!$CQ$6,0)),3)</f>
        <v>0</v>
      </c>
      <c r="Q422" s="10" t="s">
        <v>12</v>
      </c>
    </row>
    <row r="423" spans="1:17" s="652" customFormat="1">
      <c r="A423" s="455"/>
      <c r="B423" s="455"/>
      <c r="C423" s="653"/>
      <c r="D423" s="455"/>
      <c r="E423" s="654"/>
      <c r="F423" s="455"/>
      <c r="G423" s="648"/>
      <c r="H423" s="455"/>
      <c r="I423" s="654"/>
      <c r="J423" s="455"/>
      <c r="K423" s="455"/>
      <c r="L423" s="455"/>
      <c r="M423" s="1405" t="str">
        <f>+IFERROR(VLOOKUP(G423,'S1&amp;2 Lists'!$C$4:$G$200,3,FALSE),"-")</f>
        <v>-</v>
      </c>
      <c r="N423" s="1405" t="str">
        <f t="shared" si="6"/>
        <v>-</v>
      </c>
      <c r="P423" s="1406">
        <f>ROUND(IF(L423='S1&amp;2 Lists'!$CV$3,K423,IF(L423='S1&amp;2 Lists'!$CV$4,K423/'S1&amp;2 Lists'!$CQ$6,0)),3)</f>
        <v>0</v>
      </c>
      <c r="Q423" s="10" t="s">
        <v>12</v>
      </c>
    </row>
    <row r="424" spans="1:17" s="652" customFormat="1">
      <c r="A424" s="455"/>
      <c r="B424" s="455"/>
      <c r="C424" s="653"/>
      <c r="D424" s="455"/>
      <c r="E424" s="654"/>
      <c r="F424" s="455"/>
      <c r="G424" s="648"/>
      <c r="H424" s="455"/>
      <c r="I424" s="654"/>
      <c r="J424" s="455"/>
      <c r="K424" s="455"/>
      <c r="L424" s="455"/>
      <c r="M424" s="1405" t="str">
        <f>+IFERROR(VLOOKUP(G424,'S1&amp;2 Lists'!$C$4:$G$200,3,FALSE),"-")</f>
        <v>-</v>
      </c>
      <c r="N424" s="1405" t="str">
        <f t="shared" si="6"/>
        <v>-</v>
      </c>
      <c r="P424" s="1406">
        <f>ROUND(IF(L424='S1&amp;2 Lists'!$CV$3,K424,IF(L424='S1&amp;2 Lists'!$CV$4,K424/'S1&amp;2 Lists'!$CQ$6,0)),3)</f>
        <v>0</v>
      </c>
      <c r="Q424" s="10" t="s">
        <v>12</v>
      </c>
    </row>
    <row r="425" spans="1:17" s="652" customFormat="1">
      <c r="A425" s="455"/>
      <c r="B425" s="455"/>
      <c r="C425" s="653"/>
      <c r="D425" s="455"/>
      <c r="E425" s="654"/>
      <c r="F425" s="455"/>
      <c r="G425" s="648"/>
      <c r="H425" s="455"/>
      <c r="I425" s="654"/>
      <c r="J425" s="455"/>
      <c r="K425" s="455"/>
      <c r="L425" s="455"/>
      <c r="M425" s="1405" t="str">
        <f>+IFERROR(VLOOKUP(G425,'S1&amp;2 Lists'!$C$4:$G$200,3,FALSE),"-")</f>
        <v>-</v>
      </c>
      <c r="N425" s="1405" t="str">
        <f t="shared" si="6"/>
        <v>-</v>
      </c>
      <c r="P425" s="1406">
        <f>ROUND(IF(L425='S1&amp;2 Lists'!$CV$3,K425,IF(L425='S1&amp;2 Lists'!$CV$4,K425/'S1&amp;2 Lists'!$CQ$6,0)),3)</f>
        <v>0</v>
      </c>
      <c r="Q425" s="10" t="s">
        <v>12</v>
      </c>
    </row>
    <row r="426" spans="1:17" s="652" customFormat="1">
      <c r="A426" s="455"/>
      <c r="B426" s="455"/>
      <c r="C426" s="653"/>
      <c r="D426" s="455"/>
      <c r="E426" s="654"/>
      <c r="F426" s="455"/>
      <c r="G426" s="648"/>
      <c r="H426" s="455"/>
      <c r="I426" s="654"/>
      <c r="J426" s="455"/>
      <c r="K426" s="455"/>
      <c r="L426" s="455"/>
      <c r="M426" s="1405" t="str">
        <f>+IFERROR(VLOOKUP(G426,'S1&amp;2 Lists'!$C$4:$G$200,3,FALSE),"-")</f>
        <v>-</v>
      </c>
      <c r="N426" s="1405" t="str">
        <f t="shared" si="6"/>
        <v>-</v>
      </c>
      <c r="P426" s="1406">
        <f>ROUND(IF(L426='S1&amp;2 Lists'!$CV$3,K426,IF(L426='S1&amp;2 Lists'!$CV$4,K426/'S1&amp;2 Lists'!$CQ$6,0)),3)</f>
        <v>0</v>
      </c>
      <c r="Q426" s="10" t="s">
        <v>12</v>
      </c>
    </row>
    <row r="427" spans="1:17" s="652" customFormat="1">
      <c r="A427" s="455"/>
      <c r="B427" s="455"/>
      <c r="C427" s="653"/>
      <c r="D427" s="455"/>
      <c r="E427" s="654"/>
      <c r="F427" s="455"/>
      <c r="G427" s="648"/>
      <c r="H427" s="455"/>
      <c r="I427" s="654"/>
      <c r="J427" s="455"/>
      <c r="K427" s="455"/>
      <c r="L427" s="455"/>
      <c r="M427" s="1405" t="str">
        <f>+IFERROR(VLOOKUP(G427,'S1&amp;2 Lists'!$C$4:$G$200,3,FALSE),"-")</f>
        <v>-</v>
      </c>
      <c r="N427" s="1405" t="str">
        <f t="shared" si="6"/>
        <v>-</v>
      </c>
      <c r="P427" s="1406">
        <f>ROUND(IF(L427='S1&amp;2 Lists'!$CV$3,K427,IF(L427='S1&amp;2 Lists'!$CV$4,K427/'S1&amp;2 Lists'!$CQ$6,0)),3)</f>
        <v>0</v>
      </c>
      <c r="Q427" s="10" t="s">
        <v>12</v>
      </c>
    </row>
    <row r="428" spans="1:17" s="652" customFormat="1">
      <c r="A428" s="455"/>
      <c r="B428" s="455"/>
      <c r="C428" s="653"/>
      <c r="D428" s="455"/>
      <c r="E428" s="654"/>
      <c r="F428" s="455"/>
      <c r="G428" s="648"/>
      <c r="H428" s="455"/>
      <c r="I428" s="654"/>
      <c r="J428" s="455"/>
      <c r="K428" s="455"/>
      <c r="L428" s="455"/>
      <c r="M428" s="1405" t="str">
        <f>+IFERROR(VLOOKUP(G428,'S1&amp;2 Lists'!$C$4:$G$200,3,FALSE),"-")</f>
        <v>-</v>
      </c>
      <c r="N428" s="1405" t="str">
        <f t="shared" si="6"/>
        <v>-</v>
      </c>
      <c r="P428" s="1406">
        <f>ROUND(IF(L428='S1&amp;2 Lists'!$CV$3,K428,IF(L428='S1&amp;2 Lists'!$CV$4,K428/'S1&amp;2 Lists'!$CQ$6,0)),3)</f>
        <v>0</v>
      </c>
      <c r="Q428" s="10" t="s">
        <v>12</v>
      </c>
    </row>
    <row r="429" spans="1:17" s="652" customFormat="1">
      <c r="A429" s="455"/>
      <c r="B429" s="455"/>
      <c r="C429" s="653"/>
      <c r="D429" s="455"/>
      <c r="E429" s="654"/>
      <c r="F429" s="455"/>
      <c r="G429" s="648"/>
      <c r="H429" s="455"/>
      <c r="I429" s="654"/>
      <c r="J429" s="455"/>
      <c r="K429" s="455"/>
      <c r="L429" s="455"/>
      <c r="M429" s="1405" t="str">
        <f>+IFERROR(VLOOKUP(G429,'S1&amp;2 Lists'!$C$4:$G$200,3,FALSE),"-")</f>
        <v>-</v>
      </c>
      <c r="N429" s="1405" t="str">
        <f t="shared" si="6"/>
        <v>-</v>
      </c>
      <c r="P429" s="1406">
        <f>ROUND(IF(L429='S1&amp;2 Lists'!$CV$3,K429,IF(L429='S1&amp;2 Lists'!$CV$4,K429/'S1&amp;2 Lists'!$CQ$6,0)),3)</f>
        <v>0</v>
      </c>
      <c r="Q429" s="10" t="s">
        <v>12</v>
      </c>
    </row>
    <row r="430" spans="1:17" s="652" customFormat="1">
      <c r="A430" s="455"/>
      <c r="B430" s="455"/>
      <c r="C430" s="653"/>
      <c r="D430" s="455"/>
      <c r="E430" s="654"/>
      <c r="F430" s="455"/>
      <c r="G430" s="648"/>
      <c r="H430" s="455"/>
      <c r="I430" s="654"/>
      <c r="J430" s="455"/>
      <c r="K430" s="455"/>
      <c r="L430" s="455"/>
      <c r="M430" s="1405" t="str">
        <f>+IFERROR(VLOOKUP(G430,'S1&amp;2 Lists'!$C$4:$G$200,3,FALSE),"-")</f>
        <v>-</v>
      </c>
      <c r="N430" s="1405" t="str">
        <f t="shared" si="6"/>
        <v>-</v>
      </c>
      <c r="P430" s="1406">
        <f>ROUND(IF(L430='S1&amp;2 Lists'!$CV$3,K430,IF(L430='S1&amp;2 Lists'!$CV$4,K430/'S1&amp;2 Lists'!$CQ$6,0)),3)</f>
        <v>0</v>
      </c>
      <c r="Q430" s="10" t="s">
        <v>12</v>
      </c>
    </row>
    <row r="431" spans="1:17" s="652" customFormat="1">
      <c r="A431" s="455"/>
      <c r="B431" s="455"/>
      <c r="C431" s="653"/>
      <c r="D431" s="455"/>
      <c r="E431" s="654"/>
      <c r="F431" s="455"/>
      <c r="G431" s="648"/>
      <c r="H431" s="455"/>
      <c r="I431" s="654"/>
      <c r="J431" s="455"/>
      <c r="K431" s="455"/>
      <c r="L431" s="455"/>
      <c r="M431" s="1405" t="str">
        <f>+IFERROR(VLOOKUP(G431,'S1&amp;2 Lists'!$C$4:$G$200,3,FALSE),"-")</f>
        <v>-</v>
      </c>
      <c r="N431" s="1405" t="str">
        <f t="shared" si="6"/>
        <v>-</v>
      </c>
      <c r="P431" s="1406">
        <f>ROUND(IF(L431='S1&amp;2 Lists'!$CV$3,K431,IF(L431='S1&amp;2 Lists'!$CV$4,K431/'S1&amp;2 Lists'!$CQ$6,0)),3)</f>
        <v>0</v>
      </c>
      <c r="Q431" s="10" t="s">
        <v>12</v>
      </c>
    </row>
    <row r="432" spans="1:17" s="652" customFormat="1">
      <c r="A432" s="455"/>
      <c r="B432" s="455"/>
      <c r="C432" s="653"/>
      <c r="D432" s="455"/>
      <c r="E432" s="654"/>
      <c r="F432" s="455"/>
      <c r="G432" s="648"/>
      <c r="H432" s="455"/>
      <c r="I432" s="654"/>
      <c r="J432" s="455"/>
      <c r="K432" s="455"/>
      <c r="L432" s="455"/>
      <c r="M432" s="1405" t="str">
        <f>+IFERROR(VLOOKUP(G432,'S1&amp;2 Lists'!$C$4:$G$200,3,FALSE),"-")</f>
        <v>-</v>
      </c>
      <c r="N432" s="1405" t="str">
        <f t="shared" si="6"/>
        <v>-</v>
      </c>
      <c r="P432" s="1406">
        <f>ROUND(IF(L432='S1&amp;2 Lists'!$CV$3,K432,IF(L432='S1&amp;2 Lists'!$CV$4,K432/'S1&amp;2 Lists'!$CQ$6,0)),3)</f>
        <v>0</v>
      </c>
      <c r="Q432" s="10" t="s">
        <v>12</v>
      </c>
    </row>
    <row r="433" spans="1:17" s="652" customFormat="1">
      <c r="A433" s="455"/>
      <c r="B433" s="455"/>
      <c r="C433" s="653"/>
      <c r="D433" s="455"/>
      <c r="E433" s="654"/>
      <c r="F433" s="455"/>
      <c r="G433" s="648"/>
      <c r="H433" s="455"/>
      <c r="I433" s="654"/>
      <c r="J433" s="455"/>
      <c r="K433" s="455"/>
      <c r="L433" s="455"/>
      <c r="M433" s="1405" t="str">
        <f>+IFERROR(VLOOKUP(G433,'S1&amp;2 Lists'!$C$4:$G$200,3,FALSE),"-")</f>
        <v>-</v>
      </c>
      <c r="N433" s="1405" t="str">
        <f t="shared" si="6"/>
        <v>-</v>
      </c>
      <c r="P433" s="1406">
        <f>ROUND(IF(L433='S1&amp;2 Lists'!$CV$3,K433,IF(L433='S1&amp;2 Lists'!$CV$4,K433/'S1&amp;2 Lists'!$CQ$6,0)),3)</f>
        <v>0</v>
      </c>
      <c r="Q433" s="10" t="s">
        <v>12</v>
      </c>
    </row>
    <row r="434" spans="1:17" s="652" customFormat="1">
      <c r="A434" s="455"/>
      <c r="B434" s="455"/>
      <c r="C434" s="653"/>
      <c r="D434" s="455"/>
      <c r="E434" s="654"/>
      <c r="F434" s="455"/>
      <c r="G434" s="648"/>
      <c r="H434" s="455"/>
      <c r="I434" s="654"/>
      <c r="J434" s="455"/>
      <c r="K434" s="455"/>
      <c r="L434" s="455"/>
      <c r="M434" s="1405" t="str">
        <f>+IFERROR(VLOOKUP(G434,'S1&amp;2 Lists'!$C$4:$G$200,3,FALSE),"-")</f>
        <v>-</v>
      </c>
      <c r="N434" s="1405" t="str">
        <f t="shared" si="6"/>
        <v>-</v>
      </c>
      <c r="P434" s="1406">
        <f>ROUND(IF(L434='S1&amp;2 Lists'!$CV$3,K434,IF(L434='S1&amp;2 Lists'!$CV$4,K434/'S1&amp;2 Lists'!$CQ$6,0)),3)</f>
        <v>0</v>
      </c>
      <c r="Q434" s="10" t="s">
        <v>12</v>
      </c>
    </row>
    <row r="435" spans="1:17" s="652" customFormat="1">
      <c r="A435" s="455"/>
      <c r="B435" s="455"/>
      <c r="C435" s="653"/>
      <c r="D435" s="455"/>
      <c r="E435" s="654"/>
      <c r="F435" s="455"/>
      <c r="G435" s="648"/>
      <c r="H435" s="455"/>
      <c r="I435" s="654"/>
      <c r="J435" s="455"/>
      <c r="K435" s="455"/>
      <c r="L435" s="455"/>
      <c r="M435" s="1405" t="str">
        <f>+IFERROR(VLOOKUP(G435,'S1&amp;2 Lists'!$C$4:$G$200,3,FALSE),"-")</f>
        <v>-</v>
      </c>
      <c r="N435" s="1405" t="str">
        <f t="shared" si="6"/>
        <v>-</v>
      </c>
      <c r="P435" s="1406">
        <f>ROUND(IF(L435='S1&amp;2 Lists'!$CV$3,K435,IF(L435='S1&amp;2 Lists'!$CV$4,K435/'S1&amp;2 Lists'!$CQ$6,0)),3)</f>
        <v>0</v>
      </c>
      <c r="Q435" s="10" t="s">
        <v>12</v>
      </c>
    </row>
    <row r="436" spans="1:17" s="652" customFormat="1">
      <c r="A436" s="455"/>
      <c r="B436" s="455"/>
      <c r="C436" s="653"/>
      <c r="D436" s="455"/>
      <c r="E436" s="654"/>
      <c r="F436" s="455"/>
      <c r="G436" s="648"/>
      <c r="H436" s="455"/>
      <c r="I436" s="654"/>
      <c r="J436" s="455"/>
      <c r="K436" s="455"/>
      <c r="L436" s="455"/>
      <c r="M436" s="1405" t="str">
        <f>+IFERROR(VLOOKUP(G436,'S1&amp;2 Lists'!$C$4:$G$200,3,FALSE),"-")</f>
        <v>-</v>
      </c>
      <c r="N436" s="1405" t="str">
        <f t="shared" si="6"/>
        <v>-</v>
      </c>
      <c r="P436" s="1406">
        <f>ROUND(IF(L436='S1&amp;2 Lists'!$CV$3,K436,IF(L436='S1&amp;2 Lists'!$CV$4,K436/'S1&amp;2 Lists'!$CQ$6,0)),3)</f>
        <v>0</v>
      </c>
      <c r="Q436" s="10" t="s">
        <v>12</v>
      </c>
    </row>
    <row r="437" spans="1:17" s="652" customFormat="1">
      <c r="A437" s="455"/>
      <c r="B437" s="455"/>
      <c r="C437" s="653"/>
      <c r="D437" s="455"/>
      <c r="E437" s="654"/>
      <c r="F437" s="455"/>
      <c r="G437" s="648"/>
      <c r="H437" s="455"/>
      <c r="I437" s="654"/>
      <c r="J437" s="455"/>
      <c r="K437" s="455"/>
      <c r="L437" s="455"/>
      <c r="M437" s="1405" t="str">
        <f>+IFERROR(VLOOKUP(G437,'S1&amp;2 Lists'!$C$4:$G$200,3,FALSE),"-")</f>
        <v>-</v>
      </c>
      <c r="N437" s="1405" t="str">
        <f t="shared" si="6"/>
        <v>-</v>
      </c>
      <c r="P437" s="1406">
        <f>ROUND(IF(L437='S1&amp;2 Lists'!$CV$3,K437,IF(L437='S1&amp;2 Lists'!$CV$4,K437/'S1&amp;2 Lists'!$CQ$6,0)),3)</f>
        <v>0</v>
      </c>
      <c r="Q437" s="10" t="s">
        <v>12</v>
      </c>
    </row>
    <row r="438" spans="1:17" s="652" customFormat="1">
      <c r="A438" s="455"/>
      <c r="B438" s="455"/>
      <c r="C438" s="653"/>
      <c r="D438" s="455"/>
      <c r="E438" s="654"/>
      <c r="F438" s="455"/>
      <c r="G438" s="648"/>
      <c r="H438" s="455"/>
      <c r="I438" s="654"/>
      <c r="J438" s="455"/>
      <c r="K438" s="455"/>
      <c r="L438" s="455"/>
      <c r="M438" s="1405" t="str">
        <f>+IFERROR(VLOOKUP(G438,'S1&amp;2 Lists'!$C$4:$G$200,3,FALSE),"-")</f>
        <v>-</v>
      </c>
      <c r="N438" s="1405" t="str">
        <f t="shared" si="6"/>
        <v>-</v>
      </c>
      <c r="P438" s="1406">
        <f>ROUND(IF(L438='S1&amp;2 Lists'!$CV$3,K438,IF(L438='S1&amp;2 Lists'!$CV$4,K438/'S1&amp;2 Lists'!$CQ$6,0)),3)</f>
        <v>0</v>
      </c>
      <c r="Q438" s="10" t="s">
        <v>12</v>
      </c>
    </row>
    <row r="439" spans="1:17" s="652" customFormat="1">
      <c r="A439" s="455"/>
      <c r="B439" s="455"/>
      <c r="C439" s="653"/>
      <c r="D439" s="455"/>
      <c r="E439" s="654"/>
      <c r="F439" s="455"/>
      <c r="G439" s="648"/>
      <c r="H439" s="455"/>
      <c r="I439" s="654"/>
      <c r="J439" s="455"/>
      <c r="K439" s="455"/>
      <c r="L439" s="455"/>
      <c r="M439" s="1405" t="str">
        <f>+IFERROR(VLOOKUP(G439,'S1&amp;2 Lists'!$C$4:$G$200,3,FALSE),"-")</f>
        <v>-</v>
      </c>
      <c r="N439" s="1405" t="str">
        <f t="shared" si="6"/>
        <v>-</v>
      </c>
      <c r="P439" s="1406">
        <f>ROUND(IF(L439='S1&amp;2 Lists'!$CV$3,K439,IF(L439='S1&amp;2 Lists'!$CV$4,K439/'S1&amp;2 Lists'!$CQ$6,0)),3)</f>
        <v>0</v>
      </c>
      <c r="Q439" s="10" t="s">
        <v>12</v>
      </c>
    </row>
    <row r="440" spans="1:17" s="652" customFormat="1">
      <c r="A440" s="455"/>
      <c r="B440" s="455"/>
      <c r="C440" s="653"/>
      <c r="D440" s="455"/>
      <c r="E440" s="654"/>
      <c r="F440" s="455"/>
      <c r="G440" s="648"/>
      <c r="H440" s="455"/>
      <c r="I440" s="654"/>
      <c r="J440" s="455"/>
      <c r="K440" s="455"/>
      <c r="L440" s="455"/>
      <c r="M440" s="1405" t="str">
        <f>+IFERROR(VLOOKUP(G440,'S1&amp;2 Lists'!$C$4:$G$200,3,FALSE),"-")</f>
        <v>-</v>
      </c>
      <c r="N440" s="1405" t="str">
        <f t="shared" si="6"/>
        <v>-</v>
      </c>
      <c r="P440" s="1406">
        <f>ROUND(IF(L440='S1&amp;2 Lists'!$CV$3,K440,IF(L440='S1&amp;2 Lists'!$CV$4,K440/'S1&amp;2 Lists'!$CQ$6,0)),3)</f>
        <v>0</v>
      </c>
      <c r="Q440" s="10" t="s">
        <v>12</v>
      </c>
    </row>
    <row r="441" spans="1:17" s="652" customFormat="1">
      <c r="A441" s="455"/>
      <c r="B441" s="455"/>
      <c r="C441" s="653"/>
      <c r="D441" s="455"/>
      <c r="E441" s="654"/>
      <c r="F441" s="455"/>
      <c r="G441" s="648"/>
      <c r="H441" s="455"/>
      <c r="I441" s="654"/>
      <c r="J441" s="455"/>
      <c r="K441" s="455"/>
      <c r="L441" s="455"/>
      <c r="M441" s="1405" t="str">
        <f>+IFERROR(VLOOKUP(G441,'S1&amp;2 Lists'!$C$4:$G$200,3,FALSE),"-")</f>
        <v>-</v>
      </c>
      <c r="N441" s="1405" t="str">
        <f t="shared" si="6"/>
        <v>-</v>
      </c>
      <c r="P441" s="1406">
        <f>ROUND(IF(L441='S1&amp;2 Lists'!$CV$3,K441,IF(L441='S1&amp;2 Lists'!$CV$4,K441/'S1&amp;2 Lists'!$CQ$6,0)),3)</f>
        <v>0</v>
      </c>
      <c r="Q441" s="10" t="s">
        <v>12</v>
      </c>
    </row>
    <row r="442" spans="1:17" s="652" customFormat="1">
      <c r="A442" s="455"/>
      <c r="B442" s="455"/>
      <c r="C442" s="653"/>
      <c r="D442" s="455"/>
      <c r="E442" s="654"/>
      <c r="F442" s="455"/>
      <c r="G442" s="648"/>
      <c r="H442" s="455"/>
      <c r="I442" s="654"/>
      <c r="J442" s="455"/>
      <c r="K442" s="455"/>
      <c r="L442" s="455"/>
      <c r="M442" s="1405" t="str">
        <f>+IFERROR(VLOOKUP(G442,'S1&amp;2 Lists'!$C$4:$G$200,3,FALSE),"-")</f>
        <v>-</v>
      </c>
      <c r="N442" s="1405" t="str">
        <f t="shared" si="6"/>
        <v>-</v>
      </c>
      <c r="P442" s="1406">
        <f>ROUND(IF(L442='S1&amp;2 Lists'!$CV$3,K442,IF(L442='S1&amp;2 Lists'!$CV$4,K442/'S1&amp;2 Lists'!$CQ$6,0)),3)</f>
        <v>0</v>
      </c>
      <c r="Q442" s="10" t="s">
        <v>12</v>
      </c>
    </row>
    <row r="443" spans="1:17" s="652" customFormat="1">
      <c r="A443" s="455"/>
      <c r="B443" s="455"/>
      <c r="C443" s="653"/>
      <c r="D443" s="455"/>
      <c r="E443" s="654"/>
      <c r="F443" s="455"/>
      <c r="G443" s="648"/>
      <c r="H443" s="455"/>
      <c r="I443" s="654"/>
      <c r="J443" s="455"/>
      <c r="K443" s="455"/>
      <c r="L443" s="455"/>
      <c r="M443" s="1405" t="str">
        <f>+IFERROR(VLOOKUP(G443,'S1&amp;2 Lists'!$C$4:$G$200,3,FALSE),"-")</f>
        <v>-</v>
      </c>
      <c r="N443" s="1405" t="str">
        <f t="shared" si="6"/>
        <v>-</v>
      </c>
      <c r="P443" s="1406">
        <f>ROUND(IF(L443='S1&amp;2 Lists'!$CV$3,K443,IF(L443='S1&amp;2 Lists'!$CV$4,K443/'S1&amp;2 Lists'!$CQ$6,0)),3)</f>
        <v>0</v>
      </c>
      <c r="Q443" s="10" t="s">
        <v>12</v>
      </c>
    </row>
    <row r="444" spans="1:17" s="652" customFormat="1">
      <c r="A444" s="455"/>
      <c r="B444" s="455"/>
      <c r="C444" s="653"/>
      <c r="D444" s="455"/>
      <c r="E444" s="654"/>
      <c r="F444" s="455"/>
      <c r="G444" s="648"/>
      <c r="H444" s="455"/>
      <c r="I444" s="654"/>
      <c r="J444" s="455"/>
      <c r="K444" s="455"/>
      <c r="L444" s="455"/>
      <c r="M444" s="1405" t="str">
        <f>+IFERROR(VLOOKUP(G444,'S1&amp;2 Lists'!$C$4:$G$200,3,FALSE),"-")</f>
        <v>-</v>
      </c>
      <c r="N444" s="1405" t="str">
        <f t="shared" si="6"/>
        <v>-</v>
      </c>
      <c r="P444" s="1406">
        <f>ROUND(IF(L444='S1&amp;2 Lists'!$CV$3,K444,IF(L444='S1&amp;2 Lists'!$CV$4,K444/'S1&amp;2 Lists'!$CQ$6,0)),3)</f>
        <v>0</v>
      </c>
      <c r="Q444" s="10" t="s">
        <v>12</v>
      </c>
    </row>
    <row r="445" spans="1:17" s="652" customFormat="1">
      <c r="A445" s="455"/>
      <c r="B445" s="455"/>
      <c r="C445" s="653"/>
      <c r="D445" s="455"/>
      <c r="E445" s="654"/>
      <c r="F445" s="455"/>
      <c r="G445" s="648"/>
      <c r="H445" s="455"/>
      <c r="I445" s="654"/>
      <c r="J445" s="455"/>
      <c r="K445" s="455"/>
      <c r="L445" s="455"/>
      <c r="M445" s="1405" t="str">
        <f>+IFERROR(VLOOKUP(G445,'S1&amp;2 Lists'!$C$4:$G$200,3,FALSE),"-")</f>
        <v>-</v>
      </c>
      <c r="N445" s="1405" t="str">
        <f t="shared" si="6"/>
        <v>-</v>
      </c>
      <c r="P445" s="1406">
        <f>ROUND(IF(L445='S1&amp;2 Lists'!$CV$3,K445,IF(L445='S1&amp;2 Lists'!$CV$4,K445/'S1&amp;2 Lists'!$CQ$6,0)),3)</f>
        <v>0</v>
      </c>
      <c r="Q445" s="10" t="s">
        <v>12</v>
      </c>
    </row>
    <row r="446" spans="1:17" s="652" customFormat="1">
      <c r="A446" s="455"/>
      <c r="B446" s="455"/>
      <c r="C446" s="653"/>
      <c r="D446" s="455"/>
      <c r="E446" s="654"/>
      <c r="F446" s="455"/>
      <c r="G446" s="648"/>
      <c r="H446" s="455"/>
      <c r="I446" s="654"/>
      <c r="J446" s="455"/>
      <c r="K446" s="455"/>
      <c r="L446" s="455"/>
      <c r="M446" s="1405" t="str">
        <f>+IFERROR(VLOOKUP(G446,'S1&amp;2 Lists'!$C$4:$G$200,3,FALSE),"-")</f>
        <v>-</v>
      </c>
      <c r="N446" s="1405" t="str">
        <f t="shared" si="6"/>
        <v>-</v>
      </c>
      <c r="P446" s="1406">
        <f>ROUND(IF(L446='S1&amp;2 Lists'!$CV$3,K446,IF(L446='S1&amp;2 Lists'!$CV$4,K446/'S1&amp;2 Lists'!$CQ$6,0)),3)</f>
        <v>0</v>
      </c>
      <c r="Q446" s="10" t="s">
        <v>12</v>
      </c>
    </row>
    <row r="447" spans="1:17" s="652" customFormat="1">
      <c r="A447" s="455"/>
      <c r="B447" s="455"/>
      <c r="C447" s="653"/>
      <c r="D447" s="455"/>
      <c r="E447" s="654"/>
      <c r="F447" s="455"/>
      <c r="G447" s="648"/>
      <c r="H447" s="455"/>
      <c r="I447" s="654"/>
      <c r="J447" s="455"/>
      <c r="K447" s="455"/>
      <c r="L447" s="455"/>
      <c r="M447" s="1405" t="str">
        <f>+IFERROR(VLOOKUP(G447,'S1&amp;2 Lists'!$C$4:$G$200,3,FALSE),"-")</f>
        <v>-</v>
      </c>
      <c r="N447" s="1405" t="str">
        <f t="shared" si="6"/>
        <v>-</v>
      </c>
      <c r="P447" s="1406">
        <f>ROUND(IF(L447='S1&amp;2 Lists'!$CV$3,K447,IF(L447='S1&amp;2 Lists'!$CV$4,K447/'S1&amp;2 Lists'!$CQ$6,0)),3)</f>
        <v>0</v>
      </c>
      <c r="Q447" s="10" t="s">
        <v>12</v>
      </c>
    </row>
    <row r="448" spans="1:17" s="652" customFormat="1">
      <c r="A448" s="455"/>
      <c r="B448" s="455"/>
      <c r="C448" s="653"/>
      <c r="D448" s="455"/>
      <c r="E448" s="654"/>
      <c r="F448" s="455"/>
      <c r="G448" s="648"/>
      <c r="H448" s="455"/>
      <c r="I448" s="654"/>
      <c r="J448" s="455"/>
      <c r="K448" s="455"/>
      <c r="L448" s="455"/>
      <c r="M448" s="1405" t="str">
        <f>+IFERROR(VLOOKUP(G448,'S1&amp;2 Lists'!$C$4:$G$200,3,FALSE),"-")</f>
        <v>-</v>
      </c>
      <c r="N448" s="1405" t="str">
        <f t="shared" si="6"/>
        <v>-</v>
      </c>
      <c r="P448" s="1406">
        <f>ROUND(IF(L448='S1&amp;2 Lists'!$CV$3,K448,IF(L448='S1&amp;2 Lists'!$CV$4,K448/'S1&amp;2 Lists'!$CQ$6,0)),3)</f>
        <v>0</v>
      </c>
      <c r="Q448" s="10" t="s">
        <v>12</v>
      </c>
    </row>
    <row r="449" spans="1:17" s="652" customFormat="1">
      <c r="A449" s="455"/>
      <c r="B449" s="455"/>
      <c r="C449" s="653"/>
      <c r="D449" s="455"/>
      <c r="E449" s="654"/>
      <c r="F449" s="455"/>
      <c r="G449" s="648"/>
      <c r="H449" s="455"/>
      <c r="I449" s="654"/>
      <c r="J449" s="455"/>
      <c r="K449" s="455"/>
      <c r="L449" s="455"/>
      <c r="M449" s="1405" t="str">
        <f>+IFERROR(VLOOKUP(G449,'S1&amp;2 Lists'!$C$4:$G$200,3,FALSE),"-")</f>
        <v>-</v>
      </c>
      <c r="N449" s="1405" t="str">
        <f t="shared" si="6"/>
        <v>-</v>
      </c>
      <c r="P449" s="1406">
        <f>ROUND(IF(L449='S1&amp;2 Lists'!$CV$3,K449,IF(L449='S1&amp;2 Lists'!$CV$4,K449/'S1&amp;2 Lists'!$CQ$6,0)),3)</f>
        <v>0</v>
      </c>
      <c r="Q449" s="10" t="s">
        <v>12</v>
      </c>
    </row>
    <row r="450" spans="1:17" s="652" customFormat="1">
      <c r="A450" s="455"/>
      <c r="B450" s="455"/>
      <c r="C450" s="653"/>
      <c r="D450" s="455"/>
      <c r="E450" s="654"/>
      <c r="F450" s="455"/>
      <c r="G450" s="648"/>
      <c r="H450" s="455"/>
      <c r="I450" s="654"/>
      <c r="J450" s="455"/>
      <c r="K450" s="455"/>
      <c r="L450" s="455"/>
      <c r="M450" s="1405" t="str">
        <f>+IFERROR(VLOOKUP(G450,'S1&amp;2 Lists'!$C$4:$G$200,3,FALSE),"-")</f>
        <v>-</v>
      </c>
      <c r="N450" s="1405" t="str">
        <f t="shared" si="6"/>
        <v>-</v>
      </c>
      <c r="P450" s="1406">
        <f>ROUND(IF(L450='S1&amp;2 Lists'!$CV$3,K450,IF(L450='S1&amp;2 Lists'!$CV$4,K450/'S1&amp;2 Lists'!$CQ$6,0)),3)</f>
        <v>0</v>
      </c>
      <c r="Q450" s="10" t="s">
        <v>12</v>
      </c>
    </row>
    <row r="451" spans="1:17" s="652" customFormat="1">
      <c r="A451" s="455"/>
      <c r="B451" s="455"/>
      <c r="C451" s="653"/>
      <c r="D451" s="455"/>
      <c r="E451" s="654"/>
      <c r="F451" s="455"/>
      <c r="G451" s="648"/>
      <c r="H451" s="455"/>
      <c r="I451" s="654"/>
      <c r="J451" s="455"/>
      <c r="K451" s="455"/>
      <c r="L451" s="455"/>
      <c r="M451" s="1405" t="str">
        <f>+IFERROR(VLOOKUP(G451,'S1&amp;2 Lists'!$C$4:$G$200,3,FALSE),"-")</f>
        <v>-</v>
      </c>
      <c r="N451" s="1405" t="str">
        <f t="shared" si="6"/>
        <v>-</v>
      </c>
      <c r="P451" s="1406">
        <f>ROUND(IF(L451='S1&amp;2 Lists'!$CV$3,K451,IF(L451='S1&amp;2 Lists'!$CV$4,K451/'S1&amp;2 Lists'!$CQ$6,0)),3)</f>
        <v>0</v>
      </c>
      <c r="Q451" s="10" t="s">
        <v>12</v>
      </c>
    </row>
    <row r="452" spans="1:17" s="652" customFormat="1">
      <c r="A452" s="455"/>
      <c r="B452" s="455"/>
      <c r="C452" s="653"/>
      <c r="D452" s="455"/>
      <c r="E452" s="654"/>
      <c r="F452" s="455"/>
      <c r="G452" s="648"/>
      <c r="H452" s="455"/>
      <c r="I452" s="654"/>
      <c r="J452" s="455"/>
      <c r="K452" s="455"/>
      <c r="L452" s="455"/>
      <c r="M452" s="1405" t="str">
        <f>+IFERROR(VLOOKUP(G452,'S1&amp;2 Lists'!$C$4:$G$200,3,FALSE),"-")</f>
        <v>-</v>
      </c>
      <c r="N452" s="1405" t="str">
        <f t="shared" si="6"/>
        <v>-</v>
      </c>
      <c r="P452" s="1406">
        <f>ROUND(IF(L452='S1&amp;2 Lists'!$CV$3,K452,IF(L452='S1&amp;2 Lists'!$CV$4,K452/'S1&amp;2 Lists'!$CQ$6,0)),3)</f>
        <v>0</v>
      </c>
      <c r="Q452" s="10" t="s">
        <v>12</v>
      </c>
    </row>
    <row r="453" spans="1:17" s="652" customFormat="1">
      <c r="A453" s="455"/>
      <c r="B453" s="455"/>
      <c r="C453" s="653"/>
      <c r="D453" s="455"/>
      <c r="E453" s="654"/>
      <c r="F453" s="455"/>
      <c r="G453" s="648"/>
      <c r="H453" s="455"/>
      <c r="I453" s="654"/>
      <c r="J453" s="455"/>
      <c r="K453" s="455"/>
      <c r="L453" s="455"/>
      <c r="M453" s="1405" t="str">
        <f>+IFERROR(VLOOKUP(G453,'S1&amp;2 Lists'!$C$4:$G$200,3,FALSE),"-")</f>
        <v>-</v>
      </c>
      <c r="N453" s="1405" t="str">
        <f t="shared" si="6"/>
        <v>-</v>
      </c>
      <c r="P453" s="1406">
        <f>ROUND(IF(L453='S1&amp;2 Lists'!$CV$3,K453,IF(L453='S1&amp;2 Lists'!$CV$4,K453/'S1&amp;2 Lists'!$CQ$6,0)),3)</f>
        <v>0</v>
      </c>
      <c r="Q453" s="10" t="s">
        <v>12</v>
      </c>
    </row>
    <row r="454" spans="1:17" s="652" customFormat="1">
      <c r="A454" s="455"/>
      <c r="B454" s="455"/>
      <c r="C454" s="653"/>
      <c r="D454" s="455"/>
      <c r="E454" s="654"/>
      <c r="F454" s="455"/>
      <c r="G454" s="648"/>
      <c r="H454" s="455"/>
      <c r="I454" s="654"/>
      <c r="J454" s="455"/>
      <c r="K454" s="455"/>
      <c r="L454" s="455"/>
      <c r="M454" s="1405" t="str">
        <f>+IFERROR(VLOOKUP(G454,'S1&amp;2 Lists'!$C$4:$G$200,3,FALSE),"-")</f>
        <v>-</v>
      </c>
      <c r="N454" s="1405" t="str">
        <f t="shared" si="6"/>
        <v>-</v>
      </c>
      <c r="P454" s="1406">
        <f>ROUND(IF(L454='S1&amp;2 Lists'!$CV$3,K454,IF(L454='S1&amp;2 Lists'!$CV$4,K454/'S1&amp;2 Lists'!$CQ$6,0)),3)</f>
        <v>0</v>
      </c>
      <c r="Q454" s="10" t="s">
        <v>12</v>
      </c>
    </row>
    <row r="455" spans="1:17" s="652" customFormat="1">
      <c r="A455" s="455"/>
      <c r="B455" s="455"/>
      <c r="C455" s="653"/>
      <c r="D455" s="455"/>
      <c r="E455" s="654"/>
      <c r="F455" s="455"/>
      <c r="G455" s="648"/>
      <c r="H455" s="455"/>
      <c r="I455" s="654"/>
      <c r="J455" s="455"/>
      <c r="K455" s="455"/>
      <c r="L455" s="455"/>
      <c r="M455" s="1405" t="str">
        <f>+IFERROR(VLOOKUP(G455,'S1&amp;2 Lists'!$C$4:$G$200,3,FALSE),"-")</f>
        <v>-</v>
      </c>
      <c r="N455" s="1405" t="str">
        <f t="shared" si="6"/>
        <v>-</v>
      </c>
      <c r="P455" s="1406">
        <f>ROUND(IF(L455='S1&amp;2 Lists'!$CV$3,K455,IF(L455='S1&amp;2 Lists'!$CV$4,K455/'S1&amp;2 Lists'!$CQ$6,0)),3)</f>
        <v>0</v>
      </c>
      <c r="Q455" s="10" t="s">
        <v>12</v>
      </c>
    </row>
    <row r="456" spans="1:17" s="652" customFormat="1">
      <c r="A456" s="455"/>
      <c r="B456" s="455"/>
      <c r="C456" s="653"/>
      <c r="D456" s="455"/>
      <c r="E456" s="654"/>
      <c r="F456" s="455"/>
      <c r="G456" s="648"/>
      <c r="H456" s="455"/>
      <c r="I456" s="654"/>
      <c r="J456" s="455"/>
      <c r="K456" s="455"/>
      <c r="L456" s="455"/>
      <c r="M456" s="1405" t="str">
        <f>+IFERROR(VLOOKUP(G456,'S1&amp;2 Lists'!$C$4:$G$200,3,FALSE),"-")</f>
        <v>-</v>
      </c>
      <c r="N456" s="1405" t="str">
        <f t="shared" si="6"/>
        <v>-</v>
      </c>
      <c r="P456" s="1406">
        <f>ROUND(IF(L456='S1&amp;2 Lists'!$CV$3,K456,IF(L456='S1&amp;2 Lists'!$CV$4,K456/'S1&amp;2 Lists'!$CQ$6,0)),3)</f>
        <v>0</v>
      </c>
      <c r="Q456" s="10" t="s">
        <v>12</v>
      </c>
    </row>
    <row r="457" spans="1:17" s="652" customFormat="1">
      <c r="A457" s="455"/>
      <c r="B457" s="455"/>
      <c r="C457" s="653"/>
      <c r="D457" s="455"/>
      <c r="E457" s="654"/>
      <c r="F457" s="455"/>
      <c r="G457" s="648"/>
      <c r="H457" s="455"/>
      <c r="I457" s="654"/>
      <c r="J457" s="455"/>
      <c r="K457" s="455"/>
      <c r="L457" s="455"/>
      <c r="M457" s="1405" t="str">
        <f>+IFERROR(VLOOKUP(G457,'S1&amp;2 Lists'!$C$4:$G$200,3,FALSE),"-")</f>
        <v>-</v>
      </c>
      <c r="N457" s="1405" t="str">
        <f t="shared" si="6"/>
        <v>-</v>
      </c>
      <c r="P457" s="1406">
        <f>ROUND(IF(L457='S1&amp;2 Lists'!$CV$3,K457,IF(L457='S1&amp;2 Lists'!$CV$4,K457/'S1&amp;2 Lists'!$CQ$6,0)),3)</f>
        <v>0</v>
      </c>
      <c r="Q457" s="10" t="s">
        <v>12</v>
      </c>
    </row>
    <row r="458" spans="1:17" s="652" customFormat="1">
      <c r="A458" s="455"/>
      <c r="B458" s="455"/>
      <c r="C458" s="653"/>
      <c r="D458" s="455"/>
      <c r="E458" s="654"/>
      <c r="F458" s="455"/>
      <c r="G458" s="648"/>
      <c r="H458" s="455"/>
      <c r="I458" s="654"/>
      <c r="J458" s="455"/>
      <c r="K458" s="455"/>
      <c r="L458" s="455"/>
      <c r="M458" s="1405" t="str">
        <f>+IFERROR(VLOOKUP(G458,'S1&amp;2 Lists'!$C$4:$G$200,3,FALSE),"-")</f>
        <v>-</v>
      </c>
      <c r="N458" s="1405" t="str">
        <f t="shared" si="6"/>
        <v>-</v>
      </c>
      <c r="P458" s="1406">
        <f>ROUND(IF(L458='S1&amp;2 Lists'!$CV$3,K458,IF(L458='S1&amp;2 Lists'!$CV$4,K458/'S1&amp;2 Lists'!$CQ$6,0)),3)</f>
        <v>0</v>
      </c>
      <c r="Q458" s="10" t="s">
        <v>12</v>
      </c>
    </row>
    <row r="459" spans="1:17" s="652" customFormat="1">
      <c r="A459" s="455"/>
      <c r="B459" s="455"/>
      <c r="C459" s="653"/>
      <c r="D459" s="455"/>
      <c r="E459" s="654"/>
      <c r="F459" s="455"/>
      <c r="G459" s="648"/>
      <c r="H459" s="455"/>
      <c r="I459" s="654"/>
      <c r="J459" s="455"/>
      <c r="K459" s="455"/>
      <c r="L459" s="455"/>
      <c r="M459" s="1405" t="str">
        <f>+IFERROR(VLOOKUP(G459,'S1&amp;2 Lists'!$C$4:$G$200,3,FALSE),"-")</f>
        <v>-</v>
      </c>
      <c r="N459" s="1405" t="str">
        <f t="shared" ref="N459:N522" si="7">+IFERROR(P459*M459,"-")</f>
        <v>-</v>
      </c>
      <c r="P459" s="1406">
        <f>ROUND(IF(L459='S1&amp;2 Lists'!$CV$3,K459,IF(L459='S1&amp;2 Lists'!$CV$4,K459/'S1&amp;2 Lists'!$CQ$6,0)),3)</f>
        <v>0</v>
      </c>
      <c r="Q459" s="10" t="s">
        <v>12</v>
      </c>
    </row>
    <row r="460" spans="1:17" s="652" customFormat="1">
      <c r="A460" s="455"/>
      <c r="B460" s="455"/>
      <c r="C460" s="653"/>
      <c r="D460" s="455"/>
      <c r="E460" s="654"/>
      <c r="F460" s="455"/>
      <c r="G460" s="648"/>
      <c r="H460" s="455"/>
      <c r="I460" s="654"/>
      <c r="J460" s="455"/>
      <c r="K460" s="455"/>
      <c r="L460" s="455"/>
      <c r="M460" s="1405" t="str">
        <f>+IFERROR(VLOOKUP(G460,'S1&amp;2 Lists'!$C$4:$G$200,3,FALSE),"-")</f>
        <v>-</v>
      </c>
      <c r="N460" s="1405" t="str">
        <f t="shared" si="7"/>
        <v>-</v>
      </c>
      <c r="P460" s="1406">
        <f>ROUND(IF(L460='S1&amp;2 Lists'!$CV$3,K460,IF(L460='S1&amp;2 Lists'!$CV$4,K460/'S1&amp;2 Lists'!$CQ$6,0)),3)</f>
        <v>0</v>
      </c>
      <c r="Q460" s="10" t="s">
        <v>12</v>
      </c>
    </row>
    <row r="461" spans="1:17" s="652" customFormat="1">
      <c r="A461" s="455"/>
      <c r="B461" s="455"/>
      <c r="C461" s="653"/>
      <c r="D461" s="455"/>
      <c r="E461" s="654"/>
      <c r="F461" s="455"/>
      <c r="G461" s="648"/>
      <c r="H461" s="455"/>
      <c r="I461" s="654"/>
      <c r="J461" s="455"/>
      <c r="K461" s="455"/>
      <c r="L461" s="455"/>
      <c r="M461" s="1405" t="str">
        <f>+IFERROR(VLOOKUP(G461,'S1&amp;2 Lists'!$C$4:$G$200,3,FALSE),"-")</f>
        <v>-</v>
      </c>
      <c r="N461" s="1405" t="str">
        <f t="shared" si="7"/>
        <v>-</v>
      </c>
      <c r="P461" s="1406">
        <f>ROUND(IF(L461='S1&amp;2 Lists'!$CV$3,K461,IF(L461='S1&amp;2 Lists'!$CV$4,K461/'S1&amp;2 Lists'!$CQ$6,0)),3)</f>
        <v>0</v>
      </c>
      <c r="Q461" s="10" t="s">
        <v>12</v>
      </c>
    </row>
    <row r="462" spans="1:17" s="652" customFormat="1">
      <c r="A462" s="455"/>
      <c r="B462" s="455"/>
      <c r="C462" s="653"/>
      <c r="D462" s="455"/>
      <c r="E462" s="654"/>
      <c r="F462" s="455"/>
      <c r="G462" s="648"/>
      <c r="H462" s="455"/>
      <c r="I462" s="654"/>
      <c r="J462" s="455"/>
      <c r="K462" s="455"/>
      <c r="L462" s="455"/>
      <c r="M462" s="1405" t="str">
        <f>+IFERROR(VLOOKUP(G462,'S1&amp;2 Lists'!$C$4:$G$200,3,FALSE),"-")</f>
        <v>-</v>
      </c>
      <c r="N462" s="1405" t="str">
        <f t="shared" si="7"/>
        <v>-</v>
      </c>
      <c r="P462" s="1406">
        <f>ROUND(IF(L462='S1&amp;2 Lists'!$CV$3,K462,IF(L462='S1&amp;2 Lists'!$CV$4,K462/'S1&amp;2 Lists'!$CQ$6,0)),3)</f>
        <v>0</v>
      </c>
      <c r="Q462" s="10" t="s">
        <v>12</v>
      </c>
    </row>
    <row r="463" spans="1:17" s="652" customFormat="1">
      <c r="A463" s="455"/>
      <c r="B463" s="455"/>
      <c r="C463" s="653"/>
      <c r="D463" s="455"/>
      <c r="E463" s="654"/>
      <c r="F463" s="455"/>
      <c r="G463" s="648"/>
      <c r="H463" s="455"/>
      <c r="I463" s="654"/>
      <c r="J463" s="455"/>
      <c r="K463" s="455"/>
      <c r="L463" s="455"/>
      <c r="M463" s="1405" t="str">
        <f>+IFERROR(VLOOKUP(G463,'S1&amp;2 Lists'!$C$4:$G$200,3,FALSE),"-")</f>
        <v>-</v>
      </c>
      <c r="N463" s="1405" t="str">
        <f t="shared" si="7"/>
        <v>-</v>
      </c>
      <c r="P463" s="1406">
        <f>ROUND(IF(L463='S1&amp;2 Lists'!$CV$3,K463,IF(L463='S1&amp;2 Lists'!$CV$4,K463/'S1&amp;2 Lists'!$CQ$6,0)),3)</f>
        <v>0</v>
      </c>
      <c r="Q463" s="10" t="s">
        <v>12</v>
      </c>
    </row>
    <row r="464" spans="1:17" s="652" customFormat="1">
      <c r="A464" s="455"/>
      <c r="B464" s="455"/>
      <c r="C464" s="653"/>
      <c r="D464" s="455"/>
      <c r="E464" s="654"/>
      <c r="F464" s="455"/>
      <c r="G464" s="648"/>
      <c r="H464" s="455"/>
      <c r="I464" s="654"/>
      <c r="J464" s="455"/>
      <c r="K464" s="455"/>
      <c r="L464" s="455"/>
      <c r="M464" s="1405" t="str">
        <f>+IFERROR(VLOOKUP(G464,'S1&amp;2 Lists'!$C$4:$G$200,3,FALSE),"-")</f>
        <v>-</v>
      </c>
      <c r="N464" s="1405" t="str">
        <f t="shared" si="7"/>
        <v>-</v>
      </c>
      <c r="P464" s="1406">
        <f>ROUND(IF(L464='S1&amp;2 Lists'!$CV$3,K464,IF(L464='S1&amp;2 Lists'!$CV$4,K464/'S1&amp;2 Lists'!$CQ$6,0)),3)</f>
        <v>0</v>
      </c>
      <c r="Q464" s="10" t="s">
        <v>12</v>
      </c>
    </row>
    <row r="465" spans="1:17" s="652" customFormat="1">
      <c r="A465" s="455"/>
      <c r="B465" s="455"/>
      <c r="C465" s="653"/>
      <c r="D465" s="455"/>
      <c r="E465" s="654"/>
      <c r="F465" s="455"/>
      <c r="G465" s="648"/>
      <c r="H465" s="455"/>
      <c r="I465" s="654"/>
      <c r="J465" s="455"/>
      <c r="K465" s="455"/>
      <c r="L465" s="455"/>
      <c r="M465" s="1405" t="str">
        <f>+IFERROR(VLOOKUP(G465,'S1&amp;2 Lists'!$C$4:$G$200,3,FALSE),"-")</f>
        <v>-</v>
      </c>
      <c r="N465" s="1405" t="str">
        <f t="shared" si="7"/>
        <v>-</v>
      </c>
      <c r="P465" s="1406">
        <f>ROUND(IF(L465='S1&amp;2 Lists'!$CV$3,K465,IF(L465='S1&amp;2 Lists'!$CV$4,K465/'S1&amp;2 Lists'!$CQ$6,0)),3)</f>
        <v>0</v>
      </c>
      <c r="Q465" s="10" t="s">
        <v>12</v>
      </c>
    </row>
    <row r="466" spans="1:17" s="652" customFormat="1">
      <c r="A466" s="455"/>
      <c r="B466" s="455"/>
      <c r="C466" s="653"/>
      <c r="D466" s="455"/>
      <c r="E466" s="654"/>
      <c r="F466" s="455"/>
      <c r="G466" s="648"/>
      <c r="H466" s="455"/>
      <c r="I466" s="654"/>
      <c r="J466" s="455"/>
      <c r="K466" s="455"/>
      <c r="L466" s="455"/>
      <c r="M466" s="1405" t="str">
        <f>+IFERROR(VLOOKUP(G466,'S1&amp;2 Lists'!$C$4:$G$200,3,FALSE),"-")</f>
        <v>-</v>
      </c>
      <c r="N466" s="1405" t="str">
        <f t="shared" si="7"/>
        <v>-</v>
      </c>
      <c r="P466" s="1406">
        <f>ROUND(IF(L466='S1&amp;2 Lists'!$CV$3,K466,IF(L466='S1&amp;2 Lists'!$CV$4,K466/'S1&amp;2 Lists'!$CQ$6,0)),3)</f>
        <v>0</v>
      </c>
      <c r="Q466" s="10" t="s">
        <v>12</v>
      </c>
    </row>
    <row r="467" spans="1:17" s="652" customFormat="1">
      <c r="A467" s="455"/>
      <c r="B467" s="455"/>
      <c r="C467" s="653"/>
      <c r="D467" s="455"/>
      <c r="E467" s="654"/>
      <c r="F467" s="455"/>
      <c r="G467" s="648"/>
      <c r="H467" s="455"/>
      <c r="I467" s="654"/>
      <c r="J467" s="455"/>
      <c r="K467" s="455"/>
      <c r="L467" s="455"/>
      <c r="M467" s="1405" t="str">
        <f>+IFERROR(VLOOKUP(G467,'S1&amp;2 Lists'!$C$4:$G$200,3,FALSE),"-")</f>
        <v>-</v>
      </c>
      <c r="N467" s="1405" t="str">
        <f t="shared" si="7"/>
        <v>-</v>
      </c>
      <c r="P467" s="1406">
        <f>ROUND(IF(L467='S1&amp;2 Lists'!$CV$3,K467,IF(L467='S1&amp;2 Lists'!$CV$4,K467/'S1&amp;2 Lists'!$CQ$6,0)),3)</f>
        <v>0</v>
      </c>
      <c r="Q467" s="10" t="s">
        <v>12</v>
      </c>
    </row>
    <row r="468" spans="1:17" s="652" customFormat="1">
      <c r="A468" s="455"/>
      <c r="B468" s="455"/>
      <c r="C468" s="653"/>
      <c r="D468" s="455"/>
      <c r="E468" s="654"/>
      <c r="F468" s="455"/>
      <c r="G468" s="648"/>
      <c r="H468" s="455"/>
      <c r="I468" s="654"/>
      <c r="J468" s="455"/>
      <c r="K468" s="455"/>
      <c r="L468" s="455"/>
      <c r="M468" s="1405" t="str">
        <f>+IFERROR(VLOOKUP(G468,'S1&amp;2 Lists'!$C$4:$G$200,3,FALSE),"-")</f>
        <v>-</v>
      </c>
      <c r="N468" s="1405" t="str">
        <f t="shared" si="7"/>
        <v>-</v>
      </c>
      <c r="P468" s="1406">
        <f>ROUND(IF(L468='S1&amp;2 Lists'!$CV$3,K468,IF(L468='S1&amp;2 Lists'!$CV$4,K468/'S1&amp;2 Lists'!$CQ$6,0)),3)</f>
        <v>0</v>
      </c>
      <c r="Q468" s="10" t="s">
        <v>12</v>
      </c>
    </row>
    <row r="469" spans="1:17" s="652" customFormat="1">
      <c r="A469" s="455"/>
      <c r="B469" s="455"/>
      <c r="C469" s="653"/>
      <c r="D469" s="455"/>
      <c r="E469" s="654"/>
      <c r="F469" s="455"/>
      <c r="G469" s="648"/>
      <c r="H469" s="455"/>
      <c r="I469" s="654"/>
      <c r="J469" s="455"/>
      <c r="K469" s="455"/>
      <c r="L469" s="455"/>
      <c r="M469" s="1405" t="str">
        <f>+IFERROR(VLOOKUP(G469,'S1&amp;2 Lists'!$C$4:$G$200,3,FALSE),"-")</f>
        <v>-</v>
      </c>
      <c r="N469" s="1405" t="str">
        <f t="shared" si="7"/>
        <v>-</v>
      </c>
      <c r="P469" s="1406">
        <f>ROUND(IF(L469='S1&amp;2 Lists'!$CV$3,K469,IF(L469='S1&amp;2 Lists'!$CV$4,K469/'S1&amp;2 Lists'!$CQ$6,0)),3)</f>
        <v>0</v>
      </c>
      <c r="Q469" s="10" t="s">
        <v>12</v>
      </c>
    </row>
    <row r="470" spans="1:17" s="652" customFormat="1">
      <c r="A470" s="455"/>
      <c r="B470" s="455"/>
      <c r="C470" s="653"/>
      <c r="D470" s="455"/>
      <c r="E470" s="654"/>
      <c r="F470" s="455"/>
      <c r="G470" s="648"/>
      <c r="H470" s="455"/>
      <c r="I470" s="654"/>
      <c r="J470" s="455"/>
      <c r="K470" s="455"/>
      <c r="L470" s="455"/>
      <c r="M470" s="1405" t="str">
        <f>+IFERROR(VLOOKUP(G470,'S1&amp;2 Lists'!$C$4:$G$200,3,FALSE),"-")</f>
        <v>-</v>
      </c>
      <c r="N470" s="1405" t="str">
        <f t="shared" si="7"/>
        <v>-</v>
      </c>
      <c r="P470" s="1406">
        <f>ROUND(IF(L470='S1&amp;2 Lists'!$CV$3,K470,IF(L470='S1&amp;2 Lists'!$CV$4,K470/'S1&amp;2 Lists'!$CQ$6,0)),3)</f>
        <v>0</v>
      </c>
      <c r="Q470" s="10" t="s">
        <v>12</v>
      </c>
    </row>
    <row r="471" spans="1:17" s="652" customFormat="1">
      <c r="A471" s="455"/>
      <c r="B471" s="455"/>
      <c r="C471" s="653"/>
      <c r="D471" s="455"/>
      <c r="E471" s="654"/>
      <c r="F471" s="455"/>
      <c r="G471" s="648"/>
      <c r="H471" s="455"/>
      <c r="I471" s="654"/>
      <c r="J471" s="455"/>
      <c r="K471" s="455"/>
      <c r="L471" s="455"/>
      <c r="M471" s="1405" t="str">
        <f>+IFERROR(VLOOKUP(G471,'S1&amp;2 Lists'!$C$4:$G$200,3,FALSE),"-")</f>
        <v>-</v>
      </c>
      <c r="N471" s="1405" t="str">
        <f t="shared" si="7"/>
        <v>-</v>
      </c>
      <c r="P471" s="1406">
        <f>ROUND(IF(L471='S1&amp;2 Lists'!$CV$3,K471,IF(L471='S1&amp;2 Lists'!$CV$4,K471/'S1&amp;2 Lists'!$CQ$6,0)),3)</f>
        <v>0</v>
      </c>
      <c r="Q471" s="10" t="s">
        <v>12</v>
      </c>
    </row>
    <row r="472" spans="1:17" s="652" customFormat="1">
      <c r="A472" s="455"/>
      <c r="B472" s="455"/>
      <c r="C472" s="653"/>
      <c r="D472" s="455"/>
      <c r="E472" s="654"/>
      <c r="F472" s="455"/>
      <c r="G472" s="648"/>
      <c r="H472" s="455"/>
      <c r="I472" s="654"/>
      <c r="J472" s="455"/>
      <c r="K472" s="455"/>
      <c r="L472" s="455"/>
      <c r="M472" s="1405" t="str">
        <f>+IFERROR(VLOOKUP(G472,'S1&amp;2 Lists'!$C$4:$G$200,3,FALSE),"-")</f>
        <v>-</v>
      </c>
      <c r="N472" s="1405" t="str">
        <f t="shared" si="7"/>
        <v>-</v>
      </c>
      <c r="P472" s="1406">
        <f>ROUND(IF(L472='S1&amp;2 Lists'!$CV$3,K472,IF(L472='S1&amp;2 Lists'!$CV$4,K472/'S1&amp;2 Lists'!$CQ$6,0)),3)</f>
        <v>0</v>
      </c>
      <c r="Q472" s="10" t="s">
        <v>12</v>
      </c>
    </row>
    <row r="473" spans="1:17" s="652" customFormat="1">
      <c r="A473" s="455"/>
      <c r="B473" s="455"/>
      <c r="C473" s="653"/>
      <c r="D473" s="455"/>
      <c r="E473" s="654"/>
      <c r="F473" s="455"/>
      <c r="G473" s="648"/>
      <c r="H473" s="455"/>
      <c r="I473" s="654"/>
      <c r="J473" s="455"/>
      <c r="K473" s="455"/>
      <c r="L473" s="455"/>
      <c r="M473" s="1405" t="str">
        <f>+IFERROR(VLOOKUP(G473,'S1&amp;2 Lists'!$C$4:$G$200,3,FALSE),"-")</f>
        <v>-</v>
      </c>
      <c r="N473" s="1405" t="str">
        <f t="shared" si="7"/>
        <v>-</v>
      </c>
      <c r="P473" s="1406">
        <f>ROUND(IF(L473='S1&amp;2 Lists'!$CV$3,K473,IF(L473='S1&amp;2 Lists'!$CV$4,K473/'S1&amp;2 Lists'!$CQ$6,0)),3)</f>
        <v>0</v>
      </c>
      <c r="Q473" s="10" t="s">
        <v>12</v>
      </c>
    </row>
    <row r="474" spans="1:17" s="652" customFormat="1">
      <c r="A474" s="455"/>
      <c r="B474" s="455"/>
      <c r="C474" s="653"/>
      <c r="D474" s="455"/>
      <c r="E474" s="654"/>
      <c r="F474" s="455"/>
      <c r="G474" s="648"/>
      <c r="H474" s="455"/>
      <c r="I474" s="654"/>
      <c r="J474" s="455"/>
      <c r="K474" s="455"/>
      <c r="L474" s="455"/>
      <c r="M474" s="1405" t="str">
        <f>+IFERROR(VLOOKUP(G474,'S1&amp;2 Lists'!$C$4:$G$200,3,FALSE),"-")</f>
        <v>-</v>
      </c>
      <c r="N474" s="1405" t="str">
        <f t="shared" si="7"/>
        <v>-</v>
      </c>
      <c r="P474" s="1406">
        <f>ROUND(IF(L474='S1&amp;2 Lists'!$CV$3,K474,IF(L474='S1&amp;2 Lists'!$CV$4,K474/'S1&amp;2 Lists'!$CQ$6,0)),3)</f>
        <v>0</v>
      </c>
      <c r="Q474" s="10" t="s">
        <v>12</v>
      </c>
    </row>
    <row r="475" spans="1:17" s="652" customFormat="1">
      <c r="A475" s="455"/>
      <c r="B475" s="455"/>
      <c r="C475" s="653"/>
      <c r="D475" s="455"/>
      <c r="E475" s="654"/>
      <c r="F475" s="455"/>
      <c r="G475" s="648"/>
      <c r="H475" s="455"/>
      <c r="I475" s="654"/>
      <c r="J475" s="455"/>
      <c r="K475" s="455"/>
      <c r="L475" s="455"/>
      <c r="M475" s="1405" t="str">
        <f>+IFERROR(VLOOKUP(G475,'S1&amp;2 Lists'!$C$4:$G$200,3,FALSE),"-")</f>
        <v>-</v>
      </c>
      <c r="N475" s="1405" t="str">
        <f t="shared" si="7"/>
        <v>-</v>
      </c>
      <c r="P475" s="1406">
        <f>ROUND(IF(L475='S1&amp;2 Lists'!$CV$3,K475,IF(L475='S1&amp;2 Lists'!$CV$4,K475/'S1&amp;2 Lists'!$CQ$6,0)),3)</f>
        <v>0</v>
      </c>
      <c r="Q475" s="10" t="s">
        <v>12</v>
      </c>
    </row>
    <row r="476" spans="1:17" s="652" customFormat="1">
      <c r="A476" s="455"/>
      <c r="B476" s="455"/>
      <c r="C476" s="653"/>
      <c r="D476" s="455"/>
      <c r="E476" s="654"/>
      <c r="F476" s="455"/>
      <c r="G476" s="648"/>
      <c r="H476" s="455"/>
      <c r="I476" s="654"/>
      <c r="J476" s="455"/>
      <c r="K476" s="455"/>
      <c r="L476" s="455"/>
      <c r="M476" s="1405" t="str">
        <f>+IFERROR(VLOOKUP(G476,'S1&amp;2 Lists'!$C$4:$G$200,3,FALSE),"-")</f>
        <v>-</v>
      </c>
      <c r="N476" s="1405" t="str">
        <f t="shared" si="7"/>
        <v>-</v>
      </c>
      <c r="P476" s="1406">
        <f>ROUND(IF(L476='S1&amp;2 Lists'!$CV$3,K476,IF(L476='S1&amp;2 Lists'!$CV$4,K476/'S1&amp;2 Lists'!$CQ$6,0)),3)</f>
        <v>0</v>
      </c>
      <c r="Q476" s="10" t="s">
        <v>12</v>
      </c>
    </row>
    <row r="477" spans="1:17" s="652" customFormat="1">
      <c r="A477" s="455"/>
      <c r="B477" s="455"/>
      <c r="C477" s="653"/>
      <c r="D477" s="455"/>
      <c r="E477" s="654"/>
      <c r="F477" s="455"/>
      <c r="G477" s="648"/>
      <c r="H477" s="455"/>
      <c r="I477" s="654"/>
      <c r="J477" s="455"/>
      <c r="K477" s="455"/>
      <c r="L477" s="455"/>
      <c r="M477" s="1405" t="str">
        <f>+IFERROR(VLOOKUP(G477,'S1&amp;2 Lists'!$C$4:$G$200,3,FALSE),"-")</f>
        <v>-</v>
      </c>
      <c r="N477" s="1405" t="str">
        <f t="shared" si="7"/>
        <v>-</v>
      </c>
      <c r="P477" s="1406">
        <f>ROUND(IF(L477='S1&amp;2 Lists'!$CV$3,K477,IF(L477='S1&amp;2 Lists'!$CV$4,K477/'S1&amp;2 Lists'!$CQ$6,0)),3)</f>
        <v>0</v>
      </c>
      <c r="Q477" s="10" t="s">
        <v>12</v>
      </c>
    </row>
    <row r="478" spans="1:17" s="652" customFormat="1">
      <c r="A478" s="455"/>
      <c r="B478" s="455"/>
      <c r="C478" s="653"/>
      <c r="D478" s="455"/>
      <c r="E478" s="654"/>
      <c r="F478" s="455"/>
      <c r="G478" s="648"/>
      <c r="H478" s="455"/>
      <c r="I478" s="654"/>
      <c r="J478" s="455"/>
      <c r="K478" s="455"/>
      <c r="L478" s="455"/>
      <c r="M478" s="1405" t="str">
        <f>+IFERROR(VLOOKUP(G478,'S1&amp;2 Lists'!$C$4:$G$200,3,FALSE),"-")</f>
        <v>-</v>
      </c>
      <c r="N478" s="1405" t="str">
        <f t="shared" si="7"/>
        <v>-</v>
      </c>
      <c r="P478" s="1406">
        <f>ROUND(IF(L478='S1&amp;2 Lists'!$CV$3,K478,IF(L478='S1&amp;2 Lists'!$CV$4,K478/'S1&amp;2 Lists'!$CQ$6,0)),3)</f>
        <v>0</v>
      </c>
      <c r="Q478" s="10" t="s">
        <v>12</v>
      </c>
    </row>
    <row r="479" spans="1:17" s="652" customFormat="1">
      <c r="A479" s="455"/>
      <c r="B479" s="455"/>
      <c r="C479" s="653"/>
      <c r="D479" s="455"/>
      <c r="E479" s="654"/>
      <c r="F479" s="455"/>
      <c r="G479" s="648"/>
      <c r="H479" s="455"/>
      <c r="I479" s="654"/>
      <c r="J479" s="455"/>
      <c r="K479" s="455"/>
      <c r="L479" s="455"/>
      <c r="M479" s="1405" t="str">
        <f>+IFERROR(VLOOKUP(G479,'S1&amp;2 Lists'!$C$4:$G$200,3,FALSE),"-")</f>
        <v>-</v>
      </c>
      <c r="N479" s="1405" t="str">
        <f t="shared" si="7"/>
        <v>-</v>
      </c>
      <c r="P479" s="1406">
        <f>ROUND(IF(L479='S1&amp;2 Lists'!$CV$3,K479,IF(L479='S1&amp;2 Lists'!$CV$4,K479/'S1&amp;2 Lists'!$CQ$6,0)),3)</f>
        <v>0</v>
      </c>
      <c r="Q479" s="10" t="s">
        <v>12</v>
      </c>
    </row>
    <row r="480" spans="1:17" s="652" customFormat="1">
      <c r="A480" s="455"/>
      <c r="B480" s="455"/>
      <c r="C480" s="653"/>
      <c r="D480" s="455"/>
      <c r="E480" s="654"/>
      <c r="F480" s="455"/>
      <c r="G480" s="648"/>
      <c r="H480" s="455"/>
      <c r="I480" s="654"/>
      <c r="J480" s="455"/>
      <c r="K480" s="455"/>
      <c r="L480" s="455"/>
      <c r="M480" s="1405" t="str">
        <f>+IFERROR(VLOOKUP(G480,'S1&amp;2 Lists'!$C$4:$G$200,3,FALSE),"-")</f>
        <v>-</v>
      </c>
      <c r="N480" s="1405" t="str">
        <f t="shared" si="7"/>
        <v>-</v>
      </c>
      <c r="P480" s="1406">
        <f>ROUND(IF(L480='S1&amp;2 Lists'!$CV$3,K480,IF(L480='S1&amp;2 Lists'!$CV$4,K480/'S1&amp;2 Lists'!$CQ$6,0)),3)</f>
        <v>0</v>
      </c>
      <c r="Q480" s="10" t="s">
        <v>12</v>
      </c>
    </row>
    <row r="481" spans="1:17" s="652" customFormat="1">
      <c r="A481" s="455"/>
      <c r="B481" s="455"/>
      <c r="C481" s="653"/>
      <c r="D481" s="455"/>
      <c r="E481" s="654"/>
      <c r="F481" s="455"/>
      <c r="G481" s="648"/>
      <c r="H481" s="455"/>
      <c r="I481" s="654"/>
      <c r="J481" s="455"/>
      <c r="K481" s="455"/>
      <c r="L481" s="455"/>
      <c r="M481" s="1405" t="str">
        <f>+IFERROR(VLOOKUP(G481,'S1&amp;2 Lists'!$C$4:$G$200,3,FALSE),"-")</f>
        <v>-</v>
      </c>
      <c r="N481" s="1405" t="str">
        <f t="shared" si="7"/>
        <v>-</v>
      </c>
      <c r="P481" s="1406">
        <f>ROUND(IF(L481='S1&amp;2 Lists'!$CV$3,K481,IF(L481='S1&amp;2 Lists'!$CV$4,K481/'S1&amp;2 Lists'!$CQ$6,0)),3)</f>
        <v>0</v>
      </c>
      <c r="Q481" s="10" t="s">
        <v>12</v>
      </c>
    </row>
    <row r="482" spans="1:17" s="652" customFormat="1">
      <c r="A482" s="455"/>
      <c r="B482" s="455"/>
      <c r="C482" s="653"/>
      <c r="D482" s="455"/>
      <c r="E482" s="654"/>
      <c r="F482" s="455"/>
      <c r="G482" s="648"/>
      <c r="H482" s="455"/>
      <c r="I482" s="654"/>
      <c r="J482" s="455"/>
      <c r="K482" s="455"/>
      <c r="L482" s="455"/>
      <c r="M482" s="1405" t="str">
        <f>+IFERROR(VLOOKUP(G482,'S1&amp;2 Lists'!$C$4:$G$200,3,FALSE),"-")</f>
        <v>-</v>
      </c>
      <c r="N482" s="1405" t="str">
        <f t="shared" si="7"/>
        <v>-</v>
      </c>
      <c r="P482" s="1406">
        <f>ROUND(IF(L482='S1&amp;2 Lists'!$CV$3,K482,IF(L482='S1&amp;2 Lists'!$CV$4,K482/'S1&amp;2 Lists'!$CQ$6,0)),3)</f>
        <v>0</v>
      </c>
      <c r="Q482" s="10" t="s">
        <v>12</v>
      </c>
    </row>
    <row r="483" spans="1:17" s="652" customFormat="1">
      <c r="A483" s="455"/>
      <c r="B483" s="455"/>
      <c r="C483" s="653"/>
      <c r="D483" s="455"/>
      <c r="E483" s="654"/>
      <c r="F483" s="455"/>
      <c r="G483" s="648"/>
      <c r="H483" s="455"/>
      <c r="I483" s="654"/>
      <c r="J483" s="455"/>
      <c r="K483" s="455"/>
      <c r="L483" s="455"/>
      <c r="M483" s="1405" t="str">
        <f>+IFERROR(VLOOKUP(G483,'S1&amp;2 Lists'!$C$4:$G$200,3,FALSE),"-")</f>
        <v>-</v>
      </c>
      <c r="N483" s="1405" t="str">
        <f t="shared" si="7"/>
        <v>-</v>
      </c>
      <c r="P483" s="1406">
        <f>ROUND(IF(L483='S1&amp;2 Lists'!$CV$3,K483,IF(L483='S1&amp;2 Lists'!$CV$4,K483/'S1&amp;2 Lists'!$CQ$6,0)),3)</f>
        <v>0</v>
      </c>
      <c r="Q483" s="10" t="s">
        <v>12</v>
      </c>
    </row>
    <row r="484" spans="1:17" s="652" customFormat="1">
      <c r="A484" s="455"/>
      <c r="B484" s="455"/>
      <c r="C484" s="653"/>
      <c r="D484" s="455"/>
      <c r="E484" s="654"/>
      <c r="F484" s="455"/>
      <c r="G484" s="648"/>
      <c r="H484" s="455"/>
      <c r="I484" s="654"/>
      <c r="J484" s="455"/>
      <c r="K484" s="455"/>
      <c r="L484" s="455"/>
      <c r="M484" s="1405" t="str">
        <f>+IFERROR(VLOOKUP(G484,'S1&amp;2 Lists'!$C$4:$G$200,3,FALSE),"-")</f>
        <v>-</v>
      </c>
      <c r="N484" s="1405" t="str">
        <f t="shared" si="7"/>
        <v>-</v>
      </c>
      <c r="P484" s="1406">
        <f>ROUND(IF(L484='S1&amp;2 Lists'!$CV$3,K484,IF(L484='S1&amp;2 Lists'!$CV$4,K484/'S1&amp;2 Lists'!$CQ$6,0)),3)</f>
        <v>0</v>
      </c>
      <c r="Q484" s="10" t="s">
        <v>12</v>
      </c>
    </row>
    <row r="485" spans="1:17" s="652" customFormat="1">
      <c r="A485" s="455"/>
      <c r="B485" s="455"/>
      <c r="C485" s="653"/>
      <c r="D485" s="455"/>
      <c r="E485" s="654"/>
      <c r="F485" s="455"/>
      <c r="G485" s="648"/>
      <c r="H485" s="455"/>
      <c r="I485" s="654"/>
      <c r="J485" s="455"/>
      <c r="K485" s="455"/>
      <c r="L485" s="455"/>
      <c r="M485" s="1405" t="str">
        <f>+IFERROR(VLOOKUP(G485,'S1&amp;2 Lists'!$C$4:$G$200,3,FALSE),"-")</f>
        <v>-</v>
      </c>
      <c r="N485" s="1405" t="str">
        <f t="shared" si="7"/>
        <v>-</v>
      </c>
      <c r="P485" s="1406">
        <f>ROUND(IF(L485='S1&amp;2 Lists'!$CV$3,K485,IF(L485='S1&amp;2 Lists'!$CV$4,K485/'S1&amp;2 Lists'!$CQ$6,0)),3)</f>
        <v>0</v>
      </c>
      <c r="Q485" s="10" t="s">
        <v>12</v>
      </c>
    </row>
    <row r="486" spans="1:17" s="652" customFormat="1">
      <c r="A486" s="455"/>
      <c r="B486" s="455"/>
      <c r="C486" s="653"/>
      <c r="D486" s="455"/>
      <c r="E486" s="654"/>
      <c r="F486" s="455"/>
      <c r="G486" s="648"/>
      <c r="H486" s="455"/>
      <c r="I486" s="654"/>
      <c r="J486" s="455"/>
      <c r="K486" s="455"/>
      <c r="L486" s="455"/>
      <c r="M486" s="1405" t="str">
        <f>+IFERROR(VLOOKUP(G486,'S1&amp;2 Lists'!$C$4:$G$200,3,FALSE),"-")</f>
        <v>-</v>
      </c>
      <c r="N486" s="1405" t="str">
        <f t="shared" si="7"/>
        <v>-</v>
      </c>
      <c r="P486" s="1406">
        <f>ROUND(IF(L486='S1&amp;2 Lists'!$CV$3,K486,IF(L486='S1&amp;2 Lists'!$CV$4,K486/'S1&amp;2 Lists'!$CQ$6,0)),3)</f>
        <v>0</v>
      </c>
      <c r="Q486" s="10" t="s">
        <v>12</v>
      </c>
    </row>
    <row r="487" spans="1:17" s="652" customFormat="1">
      <c r="A487" s="455"/>
      <c r="B487" s="455"/>
      <c r="C487" s="653"/>
      <c r="D487" s="455"/>
      <c r="E487" s="654"/>
      <c r="F487" s="455"/>
      <c r="G487" s="648"/>
      <c r="H487" s="455"/>
      <c r="I487" s="654"/>
      <c r="J487" s="455"/>
      <c r="K487" s="455"/>
      <c r="L487" s="455"/>
      <c r="M487" s="1405" t="str">
        <f>+IFERROR(VLOOKUP(G487,'S1&amp;2 Lists'!$C$4:$G$200,3,FALSE),"-")</f>
        <v>-</v>
      </c>
      <c r="N487" s="1405" t="str">
        <f t="shared" si="7"/>
        <v>-</v>
      </c>
      <c r="P487" s="1406">
        <f>ROUND(IF(L487='S1&amp;2 Lists'!$CV$3,K487,IF(L487='S1&amp;2 Lists'!$CV$4,K487/'S1&amp;2 Lists'!$CQ$6,0)),3)</f>
        <v>0</v>
      </c>
      <c r="Q487" s="10" t="s">
        <v>12</v>
      </c>
    </row>
    <row r="488" spans="1:17" s="652" customFormat="1">
      <c r="A488" s="455"/>
      <c r="B488" s="455"/>
      <c r="C488" s="653"/>
      <c r="D488" s="455"/>
      <c r="E488" s="654"/>
      <c r="F488" s="455"/>
      <c r="G488" s="648"/>
      <c r="H488" s="455"/>
      <c r="I488" s="654"/>
      <c r="J488" s="455"/>
      <c r="K488" s="455"/>
      <c r="L488" s="455"/>
      <c r="M488" s="1405" t="str">
        <f>+IFERROR(VLOOKUP(G488,'S1&amp;2 Lists'!$C$4:$G$200,3,FALSE),"-")</f>
        <v>-</v>
      </c>
      <c r="N488" s="1405" t="str">
        <f t="shared" si="7"/>
        <v>-</v>
      </c>
      <c r="P488" s="1406">
        <f>ROUND(IF(L488='S1&amp;2 Lists'!$CV$3,K488,IF(L488='S1&amp;2 Lists'!$CV$4,K488/'S1&amp;2 Lists'!$CQ$6,0)),3)</f>
        <v>0</v>
      </c>
      <c r="Q488" s="10" t="s">
        <v>12</v>
      </c>
    </row>
    <row r="489" spans="1:17" s="652" customFormat="1">
      <c r="A489" s="455"/>
      <c r="B489" s="455"/>
      <c r="C489" s="653"/>
      <c r="D489" s="455"/>
      <c r="E489" s="654"/>
      <c r="F489" s="455"/>
      <c r="G489" s="648"/>
      <c r="H489" s="455"/>
      <c r="I489" s="654"/>
      <c r="J489" s="455"/>
      <c r="K489" s="455"/>
      <c r="L489" s="455"/>
      <c r="M489" s="1405" t="str">
        <f>+IFERROR(VLOOKUP(G489,'S1&amp;2 Lists'!$C$4:$G$200,3,FALSE),"-")</f>
        <v>-</v>
      </c>
      <c r="N489" s="1405" t="str">
        <f t="shared" si="7"/>
        <v>-</v>
      </c>
      <c r="P489" s="1406">
        <f>ROUND(IF(L489='S1&amp;2 Lists'!$CV$3,K489,IF(L489='S1&amp;2 Lists'!$CV$4,K489/'S1&amp;2 Lists'!$CQ$6,0)),3)</f>
        <v>0</v>
      </c>
      <c r="Q489" s="10" t="s">
        <v>12</v>
      </c>
    </row>
    <row r="490" spans="1:17" s="652" customFormat="1">
      <c r="A490" s="455"/>
      <c r="B490" s="455"/>
      <c r="C490" s="653"/>
      <c r="D490" s="455"/>
      <c r="E490" s="654"/>
      <c r="F490" s="455"/>
      <c r="G490" s="648"/>
      <c r="H490" s="455"/>
      <c r="I490" s="654"/>
      <c r="J490" s="455"/>
      <c r="K490" s="455"/>
      <c r="L490" s="455"/>
      <c r="M490" s="1405" t="str">
        <f>+IFERROR(VLOOKUP(G490,'S1&amp;2 Lists'!$C$4:$G$200,3,FALSE),"-")</f>
        <v>-</v>
      </c>
      <c r="N490" s="1405" t="str">
        <f t="shared" si="7"/>
        <v>-</v>
      </c>
      <c r="P490" s="1406">
        <f>ROUND(IF(L490='S1&amp;2 Lists'!$CV$3,K490,IF(L490='S1&amp;2 Lists'!$CV$4,K490/'S1&amp;2 Lists'!$CQ$6,0)),3)</f>
        <v>0</v>
      </c>
      <c r="Q490" s="10" t="s">
        <v>12</v>
      </c>
    </row>
    <row r="491" spans="1:17" s="652" customFormat="1">
      <c r="A491" s="455"/>
      <c r="B491" s="455"/>
      <c r="C491" s="653"/>
      <c r="D491" s="455"/>
      <c r="E491" s="654"/>
      <c r="F491" s="455"/>
      <c r="G491" s="648"/>
      <c r="H491" s="455"/>
      <c r="I491" s="654"/>
      <c r="J491" s="455"/>
      <c r="K491" s="455"/>
      <c r="L491" s="455"/>
      <c r="M491" s="1405" t="str">
        <f>+IFERROR(VLOOKUP(G491,'S1&amp;2 Lists'!$C$4:$G$200,3,FALSE),"-")</f>
        <v>-</v>
      </c>
      <c r="N491" s="1405" t="str">
        <f t="shared" si="7"/>
        <v>-</v>
      </c>
      <c r="P491" s="1406">
        <f>ROUND(IF(L491='S1&amp;2 Lists'!$CV$3,K491,IF(L491='S1&amp;2 Lists'!$CV$4,K491/'S1&amp;2 Lists'!$CQ$6,0)),3)</f>
        <v>0</v>
      </c>
      <c r="Q491" s="10" t="s">
        <v>12</v>
      </c>
    </row>
    <row r="492" spans="1:17" s="652" customFormat="1">
      <c r="A492" s="455"/>
      <c r="B492" s="455"/>
      <c r="C492" s="653"/>
      <c r="D492" s="455"/>
      <c r="E492" s="654"/>
      <c r="F492" s="455"/>
      <c r="G492" s="648"/>
      <c r="H492" s="455"/>
      <c r="I492" s="654"/>
      <c r="J492" s="455"/>
      <c r="K492" s="455"/>
      <c r="L492" s="455"/>
      <c r="M492" s="1405" t="str">
        <f>+IFERROR(VLOOKUP(G492,'S1&amp;2 Lists'!$C$4:$G$200,3,FALSE),"-")</f>
        <v>-</v>
      </c>
      <c r="N492" s="1405" t="str">
        <f t="shared" si="7"/>
        <v>-</v>
      </c>
      <c r="P492" s="1406">
        <f>ROUND(IF(L492='S1&amp;2 Lists'!$CV$3,K492,IF(L492='S1&amp;2 Lists'!$CV$4,K492/'S1&amp;2 Lists'!$CQ$6,0)),3)</f>
        <v>0</v>
      </c>
      <c r="Q492" s="10" t="s">
        <v>12</v>
      </c>
    </row>
    <row r="493" spans="1:17" s="652" customFormat="1">
      <c r="A493" s="455"/>
      <c r="B493" s="455"/>
      <c r="C493" s="653"/>
      <c r="D493" s="455"/>
      <c r="E493" s="654"/>
      <c r="F493" s="455"/>
      <c r="G493" s="648"/>
      <c r="H493" s="455"/>
      <c r="I493" s="654"/>
      <c r="J493" s="455"/>
      <c r="K493" s="455"/>
      <c r="L493" s="455"/>
      <c r="M493" s="1405" t="str">
        <f>+IFERROR(VLOOKUP(G493,'S1&amp;2 Lists'!$C$4:$G$200,3,FALSE),"-")</f>
        <v>-</v>
      </c>
      <c r="N493" s="1405" t="str">
        <f t="shared" si="7"/>
        <v>-</v>
      </c>
      <c r="P493" s="1406">
        <f>ROUND(IF(L493='S1&amp;2 Lists'!$CV$3,K493,IF(L493='S1&amp;2 Lists'!$CV$4,K493/'S1&amp;2 Lists'!$CQ$6,0)),3)</f>
        <v>0</v>
      </c>
      <c r="Q493" s="10" t="s">
        <v>12</v>
      </c>
    </row>
    <row r="494" spans="1:17" s="652" customFormat="1">
      <c r="A494" s="455"/>
      <c r="B494" s="455"/>
      <c r="C494" s="653"/>
      <c r="D494" s="455"/>
      <c r="E494" s="654"/>
      <c r="F494" s="455"/>
      <c r="G494" s="648"/>
      <c r="H494" s="455"/>
      <c r="I494" s="654"/>
      <c r="J494" s="455"/>
      <c r="K494" s="455"/>
      <c r="L494" s="455"/>
      <c r="M494" s="1405" t="str">
        <f>+IFERROR(VLOOKUP(G494,'S1&amp;2 Lists'!$C$4:$G$200,3,FALSE),"-")</f>
        <v>-</v>
      </c>
      <c r="N494" s="1405" t="str">
        <f t="shared" si="7"/>
        <v>-</v>
      </c>
      <c r="P494" s="1406">
        <f>ROUND(IF(L494='S1&amp;2 Lists'!$CV$3,K494,IF(L494='S1&amp;2 Lists'!$CV$4,K494/'S1&amp;2 Lists'!$CQ$6,0)),3)</f>
        <v>0</v>
      </c>
      <c r="Q494" s="10" t="s">
        <v>12</v>
      </c>
    </row>
    <row r="495" spans="1:17" s="652" customFormat="1">
      <c r="A495" s="455"/>
      <c r="B495" s="455"/>
      <c r="C495" s="653"/>
      <c r="D495" s="455"/>
      <c r="E495" s="654"/>
      <c r="F495" s="455"/>
      <c r="G495" s="648"/>
      <c r="H495" s="455"/>
      <c r="I495" s="654"/>
      <c r="J495" s="455"/>
      <c r="K495" s="455"/>
      <c r="L495" s="455"/>
      <c r="M495" s="1405" t="str">
        <f>+IFERROR(VLOOKUP(G495,'S1&amp;2 Lists'!$C$4:$G$200,3,FALSE),"-")</f>
        <v>-</v>
      </c>
      <c r="N495" s="1405" t="str">
        <f t="shared" si="7"/>
        <v>-</v>
      </c>
      <c r="P495" s="1406">
        <f>ROUND(IF(L495='S1&amp;2 Lists'!$CV$3,K495,IF(L495='S1&amp;2 Lists'!$CV$4,K495/'S1&amp;2 Lists'!$CQ$6,0)),3)</f>
        <v>0</v>
      </c>
      <c r="Q495" s="10" t="s">
        <v>12</v>
      </c>
    </row>
    <row r="496" spans="1:17" s="652" customFormat="1">
      <c r="A496" s="455"/>
      <c r="B496" s="455"/>
      <c r="C496" s="653"/>
      <c r="D496" s="455"/>
      <c r="E496" s="654"/>
      <c r="F496" s="455"/>
      <c r="G496" s="648"/>
      <c r="H496" s="455"/>
      <c r="I496" s="654"/>
      <c r="J496" s="455"/>
      <c r="K496" s="455"/>
      <c r="L496" s="455"/>
      <c r="M496" s="1405" t="str">
        <f>+IFERROR(VLOOKUP(G496,'S1&amp;2 Lists'!$C$4:$G$200,3,FALSE),"-")</f>
        <v>-</v>
      </c>
      <c r="N496" s="1405" t="str">
        <f t="shared" si="7"/>
        <v>-</v>
      </c>
      <c r="P496" s="1406">
        <f>ROUND(IF(L496='S1&amp;2 Lists'!$CV$3,K496,IF(L496='S1&amp;2 Lists'!$CV$4,K496/'S1&amp;2 Lists'!$CQ$6,0)),3)</f>
        <v>0</v>
      </c>
      <c r="Q496" s="10" t="s">
        <v>12</v>
      </c>
    </row>
    <row r="497" spans="1:17" s="652" customFormat="1">
      <c r="A497" s="455"/>
      <c r="B497" s="455"/>
      <c r="C497" s="653"/>
      <c r="D497" s="455"/>
      <c r="E497" s="654"/>
      <c r="F497" s="455"/>
      <c r="G497" s="648"/>
      <c r="H497" s="455"/>
      <c r="I497" s="654"/>
      <c r="J497" s="455"/>
      <c r="K497" s="455"/>
      <c r="L497" s="455"/>
      <c r="M497" s="1405" t="str">
        <f>+IFERROR(VLOOKUP(G497,'S1&amp;2 Lists'!$C$4:$G$200,3,FALSE),"-")</f>
        <v>-</v>
      </c>
      <c r="N497" s="1405" t="str">
        <f t="shared" si="7"/>
        <v>-</v>
      </c>
      <c r="P497" s="1406">
        <f>ROUND(IF(L497='S1&amp;2 Lists'!$CV$3,K497,IF(L497='S1&amp;2 Lists'!$CV$4,K497/'S1&amp;2 Lists'!$CQ$6,0)),3)</f>
        <v>0</v>
      </c>
      <c r="Q497" s="10" t="s">
        <v>12</v>
      </c>
    </row>
    <row r="498" spans="1:17" s="652" customFormat="1">
      <c r="A498" s="455"/>
      <c r="B498" s="455"/>
      <c r="C498" s="653"/>
      <c r="D498" s="455"/>
      <c r="E498" s="654"/>
      <c r="F498" s="455"/>
      <c r="G498" s="648"/>
      <c r="H498" s="455"/>
      <c r="I498" s="654"/>
      <c r="J498" s="455"/>
      <c r="K498" s="455"/>
      <c r="L498" s="455"/>
      <c r="M498" s="1405" t="str">
        <f>+IFERROR(VLOOKUP(G498,'S1&amp;2 Lists'!$C$4:$G$200,3,FALSE),"-")</f>
        <v>-</v>
      </c>
      <c r="N498" s="1405" t="str">
        <f t="shared" si="7"/>
        <v>-</v>
      </c>
      <c r="P498" s="1406">
        <f>ROUND(IF(L498='S1&amp;2 Lists'!$CV$3,K498,IF(L498='S1&amp;2 Lists'!$CV$4,K498/'S1&amp;2 Lists'!$CQ$6,0)),3)</f>
        <v>0</v>
      </c>
      <c r="Q498" s="10" t="s">
        <v>12</v>
      </c>
    </row>
    <row r="499" spans="1:17" s="652" customFormat="1">
      <c r="A499" s="455"/>
      <c r="B499" s="455"/>
      <c r="C499" s="653"/>
      <c r="D499" s="455"/>
      <c r="E499" s="654"/>
      <c r="F499" s="455"/>
      <c r="G499" s="648"/>
      <c r="H499" s="455"/>
      <c r="I499" s="654"/>
      <c r="J499" s="455"/>
      <c r="K499" s="455"/>
      <c r="L499" s="455"/>
      <c r="M499" s="1405" t="str">
        <f>+IFERROR(VLOOKUP(G499,'S1&amp;2 Lists'!$C$4:$G$200,3,FALSE),"-")</f>
        <v>-</v>
      </c>
      <c r="N499" s="1405" t="str">
        <f t="shared" si="7"/>
        <v>-</v>
      </c>
      <c r="P499" s="1406">
        <f>ROUND(IF(L499='S1&amp;2 Lists'!$CV$3,K499,IF(L499='S1&amp;2 Lists'!$CV$4,K499/'S1&amp;2 Lists'!$CQ$6,0)),3)</f>
        <v>0</v>
      </c>
      <c r="Q499" s="10" t="s">
        <v>12</v>
      </c>
    </row>
    <row r="500" spans="1:17" s="652" customFormat="1">
      <c r="A500" s="455"/>
      <c r="B500" s="455"/>
      <c r="C500" s="653"/>
      <c r="D500" s="455"/>
      <c r="E500" s="654"/>
      <c r="F500" s="455"/>
      <c r="G500" s="648"/>
      <c r="H500" s="455"/>
      <c r="I500" s="654"/>
      <c r="J500" s="455"/>
      <c r="K500" s="455"/>
      <c r="L500" s="455"/>
      <c r="M500" s="1405" t="str">
        <f>+IFERROR(VLOOKUP(G500,'S1&amp;2 Lists'!$C$4:$G$200,3,FALSE),"-")</f>
        <v>-</v>
      </c>
      <c r="N500" s="1405" t="str">
        <f t="shared" si="7"/>
        <v>-</v>
      </c>
      <c r="P500" s="1406">
        <f>ROUND(IF(L500='S1&amp;2 Lists'!$CV$3,K500,IF(L500='S1&amp;2 Lists'!$CV$4,K500/'S1&amp;2 Lists'!$CQ$6,0)),3)</f>
        <v>0</v>
      </c>
      <c r="Q500" s="10" t="s">
        <v>12</v>
      </c>
    </row>
    <row r="501" spans="1:17" s="652" customFormat="1">
      <c r="A501" s="455"/>
      <c r="B501" s="455"/>
      <c r="C501" s="653"/>
      <c r="D501" s="455"/>
      <c r="E501" s="654"/>
      <c r="F501" s="455"/>
      <c r="G501" s="648"/>
      <c r="H501" s="455"/>
      <c r="I501" s="654"/>
      <c r="J501" s="455"/>
      <c r="K501" s="455"/>
      <c r="L501" s="455"/>
      <c r="M501" s="1405" t="str">
        <f>+IFERROR(VLOOKUP(G501,'S1&amp;2 Lists'!$C$4:$G$200,3,FALSE),"-")</f>
        <v>-</v>
      </c>
      <c r="N501" s="1405" t="str">
        <f t="shared" si="7"/>
        <v>-</v>
      </c>
      <c r="P501" s="1406">
        <f>ROUND(IF(L501='S1&amp;2 Lists'!$CV$3,K501,IF(L501='S1&amp;2 Lists'!$CV$4,K501/'S1&amp;2 Lists'!$CQ$6,0)),3)</f>
        <v>0</v>
      </c>
      <c r="Q501" s="10" t="s">
        <v>12</v>
      </c>
    </row>
    <row r="502" spans="1:17" s="652" customFormat="1">
      <c r="A502" s="455"/>
      <c r="B502" s="455"/>
      <c r="C502" s="653"/>
      <c r="D502" s="455"/>
      <c r="E502" s="654"/>
      <c r="F502" s="455"/>
      <c r="G502" s="648"/>
      <c r="H502" s="455"/>
      <c r="I502" s="654"/>
      <c r="J502" s="455"/>
      <c r="K502" s="455"/>
      <c r="L502" s="455"/>
      <c r="M502" s="1405" t="str">
        <f>+IFERROR(VLOOKUP(G502,'S1&amp;2 Lists'!$C$4:$G$200,3,FALSE),"-")</f>
        <v>-</v>
      </c>
      <c r="N502" s="1405" t="str">
        <f t="shared" si="7"/>
        <v>-</v>
      </c>
      <c r="P502" s="1406">
        <f>ROUND(IF(L502='S1&amp;2 Lists'!$CV$3,K502,IF(L502='S1&amp;2 Lists'!$CV$4,K502/'S1&amp;2 Lists'!$CQ$6,0)),3)</f>
        <v>0</v>
      </c>
      <c r="Q502" s="10" t="s">
        <v>12</v>
      </c>
    </row>
    <row r="503" spans="1:17" s="652" customFormat="1">
      <c r="A503" s="455"/>
      <c r="B503" s="455"/>
      <c r="C503" s="653"/>
      <c r="D503" s="455"/>
      <c r="E503" s="654"/>
      <c r="F503" s="455"/>
      <c r="G503" s="648"/>
      <c r="H503" s="455"/>
      <c r="I503" s="654"/>
      <c r="J503" s="455"/>
      <c r="K503" s="455"/>
      <c r="L503" s="455"/>
      <c r="M503" s="1405" t="str">
        <f>+IFERROR(VLOOKUP(G503,'S1&amp;2 Lists'!$C$4:$G$200,3,FALSE),"-")</f>
        <v>-</v>
      </c>
      <c r="N503" s="1405" t="str">
        <f t="shared" si="7"/>
        <v>-</v>
      </c>
      <c r="P503" s="1406">
        <f>ROUND(IF(L503='S1&amp;2 Lists'!$CV$3,K503,IF(L503='S1&amp;2 Lists'!$CV$4,K503/'S1&amp;2 Lists'!$CQ$6,0)),3)</f>
        <v>0</v>
      </c>
      <c r="Q503" s="10" t="s">
        <v>12</v>
      </c>
    </row>
    <row r="504" spans="1:17" s="652" customFormat="1">
      <c r="A504" s="455"/>
      <c r="B504" s="455"/>
      <c r="C504" s="653"/>
      <c r="D504" s="455"/>
      <c r="E504" s="654"/>
      <c r="F504" s="455"/>
      <c r="G504" s="648"/>
      <c r="H504" s="455"/>
      <c r="I504" s="654"/>
      <c r="J504" s="455"/>
      <c r="K504" s="455"/>
      <c r="L504" s="455"/>
      <c r="M504" s="1405" t="str">
        <f>+IFERROR(VLOOKUP(G504,'S1&amp;2 Lists'!$C$4:$G$200,3,FALSE),"-")</f>
        <v>-</v>
      </c>
      <c r="N504" s="1405" t="str">
        <f t="shared" si="7"/>
        <v>-</v>
      </c>
      <c r="P504" s="1406">
        <f>ROUND(IF(L504='S1&amp;2 Lists'!$CV$3,K504,IF(L504='S1&amp;2 Lists'!$CV$4,K504/'S1&amp;2 Lists'!$CQ$6,0)),3)</f>
        <v>0</v>
      </c>
      <c r="Q504" s="10" t="s">
        <v>12</v>
      </c>
    </row>
    <row r="505" spans="1:17" s="652" customFormat="1">
      <c r="A505" s="455"/>
      <c r="B505" s="455"/>
      <c r="C505" s="653"/>
      <c r="D505" s="455"/>
      <c r="E505" s="654"/>
      <c r="F505" s="455"/>
      <c r="G505" s="648"/>
      <c r="H505" s="455"/>
      <c r="I505" s="654"/>
      <c r="J505" s="455"/>
      <c r="K505" s="455"/>
      <c r="L505" s="455"/>
      <c r="M505" s="1405" t="str">
        <f>+IFERROR(VLOOKUP(G505,'S1&amp;2 Lists'!$C$4:$G$200,3,FALSE),"-")</f>
        <v>-</v>
      </c>
      <c r="N505" s="1405" t="str">
        <f t="shared" si="7"/>
        <v>-</v>
      </c>
      <c r="P505" s="1406">
        <f>ROUND(IF(L505='S1&amp;2 Lists'!$CV$3,K505,IF(L505='S1&amp;2 Lists'!$CV$4,K505/'S1&amp;2 Lists'!$CQ$6,0)),3)</f>
        <v>0</v>
      </c>
      <c r="Q505" s="10" t="s">
        <v>12</v>
      </c>
    </row>
    <row r="506" spans="1:17" s="652" customFormat="1">
      <c r="A506" s="455"/>
      <c r="B506" s="455"/>
      <c r="C506" s="653"/>
      <c r="D506" s="455"/>
      <c r="E506" s="654"/>
      <c r="F506" s="455"/>
      <c r="G506" s="648"/>
      <c r="H506" s="455"/>
      <c r="I506" s="654"/>
      <c r="J506" s="455"/>
      <c r="K506" s="455"/>
      <c r="L506" s="455"/>
      <c r="M506" s="1405" t="str">
        <f>+IFERROR(VLOOKUP(G506,'S1&amp;2 Lists'!$C$4:$G$200,3,FALSE),"-")</f>
        <v>-</v>
      </c>
      <c r="N506" s="1405" t="str">
        <f t="shared" si="7"/>
        <v>-</v>
      </c>
      <c r="P506" s="1406">
        <f>ROUND(IF(L506='S1&amp;2 Lists'!$CV$3,K506,IF(L506='S1&amp;2 Lists'!$CV$4,K506/'S1&amp;2 Lists'!$CQ$6,0)),3)</f>
        <v>0</v>
      </c>
      <c r="Q506" s="10" t="s">
        <v>12</v>
      </c>
    </row>
    <row r="507" spans="1:17" s="652" customFormat="1">
      <c r="A507" s="455"/>
      <c r="B507" s="455"/>
      <c r="C507" s="653"/>
      <c r="D507" s="455"/>
      <c r="E507" s="654"/>
      <c r="F507" s="455"/>
      <c r="G507" s="648"/>
      <c r="H507" s="455"/>
      <c r="I507" s="654"/>
      <c r="J507" s="455"/>
      <c r="K507" s="455"/>
      <c r="L507" s="455"/>
      <c r="M507" s="1405" t="str">
        <f>+IFERROR(VLOOKUP(G507,'S1&amp;2 Lists'!$C$4:$G$200,3,FALSE),"-")</f>
        <v>-</v>
      </c>
      <c r="N507" s="1405" t="str">
        <f t="shared" si="7"/>
        <v>-</v>
      </c>
      <c r="P507" s="1406">
        <f>ROUND(IF(L507='S1&amp;2 Lists'!$CV$3,K507,IF(L507='S1&amp;2 Lists'!$CV$4,K507/'S1&amp;2 Lists'!$CQ$6,0)),3)</f>
        <v>0</v>
      </c>
      <c r="Q507" s="10" t="s">
        <v>12</v>
      </c>
    </row>
    <row r="508" spans="1:17" s="652" customFormat="1">
      <c r="A508" s="455"/>
      <c r="B508" s="455"/>
      <c r="C508" s="653"/>
      <c r="D508" s="455"/>
      <c r="E508" s="654"/>
      <c r="F508" s="455"/>
      <c r="G508" s="648"/>
      <c r="H508" s="455"/>
      <c r="I508" s="654"/>
      <c r="J508" s="455"/>
      <c r="K508" s="455"/>
      <c r="L508" s="455"/>
      <c r="M508" s="1405" t="str">
        <f>+IFERROR(VLOOKUP(G508,'S1&amp;2 Lists'!$C$4:$G$200,3,FALSE),"-")</f>
        <v>-</v>
      </c>
      <c r="N508" s="1405" t="str">
        <f t="shared" si="7"/>
        <v>-</v>
      </c>
      <c r="P508" s="1406">
        <f>ROUND(IF(L508='S1&amp;2 Lists'!$CV$3,K508,IF(L508='S1&amp;2 Lists'!$CV$4,K508/'S1&amp;2 Lists'!$CQ$6,0)),3)</f>
        <v>0</v>
      </c>
      <c r="Q508" s="10" t="s">
        <v>12</v>
      </c>
    </row>
    <row r="509" spans="1:17" s="652" customFormat="1">
      <c r="A509" s="455"/>
      <c r="B509" s="455"/>
      <c r="C509" s="653"/>
      <c r="D509" s="455"/>
      <c r="E509" s="654"/>
      <c r="F509" s="455"/>
      <c r="G509" s="648"/>
      <c r="H509" s="455"/>
      <c r="I509" s="654"/>
      <c r="J509" s="455"/>
      <c r="K509" s="455"/>
      <c r="L509" s="455"/>
      <c r="M509" s="1405" t="str">
        <f>+IFERROR(VLOOKUP(G509,'S1&amp;2 Lists'!$C$4:$G$200,3,FALSE),"-")</f>
        <v>-</v>
      </c>
      <c r="N509" s="1405" t="str">
        <f t="shared" si="7"/>
        <v>-</v>
      </c>
      <c r="P509" s="1406">
        <f>ROUND(IF(L509='S1&amp;2 Lists'!$CV$3,K509,IF(L509='S1&amp;2 Lists'!$CV$4,K509/'S1&amp;2 Lists'!$CQ$6,0)),3)</f>
        <v>0</v>
      </c>
      <c r="Q509" s="10" t="s">
        <v>12</v>
      </c>
    </row>
    <row r="510" spans="1:17" s="652" customFormat="1">
      <c r="A510" s="455"/>
      <c r="B510" s="455"/>
      <c r="C510" s="653"/>
      <c r="D510" s="455"/>
      <c r="E510" s="654"/>
      <c r="F510" s="455"/>
      <c r="G510" s="648"/>
      <c r="H510" s="455"/>
      <c r="I510" s="654"/>
      <c r="J510" s="455"/>
      <c r="K510" s="455"/>
      <c r="L510" s="455"/>
      <c r="M510" s="1405" t="str">
        <f>+IFERROR(VLOOKUP(G510,'S1&amp;2 Lists'!$C$4:$G$200,3,FALSE),"-")</f>
        <v>-</v>
      </c>
      <c r="N510" s="1405" t="str">
        <f t="shared" si="7"/>
        <v>-</v>
      </c>
      <c r="P510" s="1406">
        <f>ROUND(IF(L510='S1&amp;2 Lists'!$CV$3,K510,IF(L510='S1&amp;2 Lists'!$CV$4,K510/'S1&amp;2 Lists'!$CQ$6,0)),3)</f>
        <v>0</v>
      </c>
      <c r="Q510" s="10" t="s">
        <v>12</v>
      </c>
    </row>
    <row r="511" spans="1:17" s="652" customFormat="1">
      <c r="A511" s="455"/>
      <c r="B511" s="455"/>
      <c r="C511" s="653"/>
      <c r="D511" s="455"/>
      <c r="E511" s="654"/>
      <c r="F511" s="455"/>
      <c r="G511" s="648"/>
      <c r="H511" s="455"/>
      <c r="I511" s="654"/>
      <c r="J511" s="455"/>
      <c r="K511" s="455"/>
      <c r="L511" s="455"/>
      <c r="M511" s="1405" t="str">
        <f>+IFERROR(VLOOKUP(G511,'S1&amp;2 Lists'!$C$4:$G$200,3,FALSE),"-")</f>
        <v>-</v>
      </c>
      <c r="N511" s="1405" t="str">
        <f t="shared" si="7"/>
        <v>-</v>
      </c>
      <c r="P511" s="1406">
        <f>ROUND(IF(L511='S1&amp;2 Lists'!$CV$3,K511,IF(L511='S1&amp;2 Lists'!$CV$4,K511/'S1&amp;2 Lists'!$CQ$6,0)),3)</f>
        <v>0</v>
      </c>
      <c r="Q511" s="10" t="s">
        <v>12</v>
      </c>
    </row>
    <row r="512" spans="1:17" s="652" customFormat="1">
      <c r="A512" s="455"/>
      <c r="B512" s="455"/>
      <c r="C512" s="653"/>
      <c r="D512" s="455"/>
      <c r="E512" s="654"/>
      <c r="F512" s="455"/>
      <c r="G512" s="648"/>
      <c r="H512" s="455"/>
      <c r="I512" s="654"/>
      <c r="J512" s="455"/>
      <c r="K512" s="455"/>
      <c r="L512" s="455"/>
      <c r="M512" s="1405" t="str">
        <f>+IFERROR(VLOOKUP(G512,'S1&amp;2 Lists'!$C$4:$G$200,3,FALSE),"-")</f>
        <v>-</v>
      </c>
      <c r="N512" s="1405" t="str">
        <f t="shared" si="7"/>
        <v>-</v>
      </c>
      <c r="P512" s="1406">
        <f>ROUND(IF(L512='S1&amp;2 Lists'!$CV$3,K512,IF(L512='S1&amp;2 Lists'!$CV$4,K512/'S1&amp;2 Lists'!$CQ$6,0)),3)</f>
        <v>0</v>
      </c>
      <c r="Q512" s="10" t="s">
        <v>12</v>
      </c>
    </row>
    <row r="513" spans="1:17" s="652" customFormat="1">
      <c r="A513" s="455"/>
      <c r="B513" s="455"/>
      <c r="C513" s="653"/>
      <c r="D513" s="455"/>
      <c r="E513" s="654"/>
      <c r="F513" s="455"/>
      <c r="G513" s="648"/>
      <c r="H513" s="455"/>
      <c r="I513" s="654"/>
      <c r="J513" s="455"/>
      <c r="K513" s="455"/>
      <c r="L513" s="455"/>
      <c r="M513" s="1405" t="str">
        <f>+IFERROR(VLOOKUP(G513,'S1&amp;2 Lists'!$C$4:$G$200,3,FALSE),"-")</f>
        <v>-</v>
      </c>
      <c r="N513" s="1405" t="str">
        <f t="shared" si="7"/>
        <v>-</v>
      </c>
      <c r="P513" s="1406">
        <f>ROUND(IF(L513='S1&amp;2 Lists'!$CV$3,K513,IF(L513='S1&amp;2 Lists'!$CV$4,K513/'S1&amp;2 Lists'!$CQ$6,0)),3)</f>
        <v>0</v>
      </c>
      <c r="Q513" s="10" t="s">
        <v>12</v>
      </c>
    </row>
    <row r="514" spans="1:17" s="652" customFormat="1">
      <c r="A514" s="455"/>
      <c r="B514" s="455"/>
      <c r="C514" s="653"/>
      <c r="D514" s="455"/>
      <c r="E514" s="654"/>
      <c r="F514" s="455"/>
      <c r="G514" s="648"/>
      <c r="H514" s="455"/>
      <c r="I514" s="654"/>
      <c r="J514" s="455"/>
      <c r="K514" s="455"/>
      <c r="L514" s="455"/>
      <c r="M514" s="1405" t="str">
        <f>+IFERROR(VLOOKUP(G514,'S1&amp;2 Lists'!$C$4:$G$200,3,FALSE),"-")</f>
        <v>-</v>
      </c>
      <c r="N514" s="1405" t="str">
        <f t="shared" si="7"/>
        <v>-</v>
      </c>
      <c r="P514" s="1406">
        <f>ROUND(IF(L514='S1&amp;2 Lists'!$CV$3,K514,IF(L514='S1&amp;2 Lists'!$CV$4,K514/'S1&amp;2 Lists'!$CQ$6,0)),3)</f>
        <v>0</v>
      </c>
      <c r="Q514" s="10" t="s">
        <v>12</v>
      </c>
    </row>
    <row r="515" spans="1:17" s="652" customFormat="1">
      <c r="A515" s="455"/>
      <c r="B515" s="455"/>
      <c r="C515" s="653"/>
      <c r="D515" s="455"/>
      <c r="E515" s="654"/>
      <c r="F515" s="455"/>
      <c r="G515" s="648"/>
      <c r="H515" s="455"/>
      <c r="I515" s="654"/>
      <c r="J515" s="455"/>
      <c r="K515" s="455"/>
      <c r="L515" s="455"/>
      <c r="M515" s="1405" t="str">
        <f>+IFERROR(VLOOKUP(G515,'S1&amp;2 Lists'!$C$4:$G$200,3,FALSE),"-")</f>
        <v>-</v>
      </c>
      <c r="N515" s="1405" t="str">
        <f t="shared" si="7"/>
        <v>-</v>
      </c>
      <c r="P515" s="1406">
        <f>ROUND(IF(L515='S1&amp;2 Lists'!$CV$3,K515,IF(L515='S1&amp;2 Lists'!$CV$4,K515/'S1&amp;2 Lists'!$CQ$6,0)),3)</f>
        <v>0</v>
      </c>
      <c r="Q515" s="10" t="s">
        <v>12</v>
      </c>
    </row>
    <row r="516" spans="1:17" s="652" customFormat="1">
      <c r="A516" s="455"/>
      <c r="B516" s="455"/>
      <c r="C516" s="653"/>
      <c r="D516" s="455"/>
      <c r="E516" s="654"/>
      <c r="F516" s="455"/>
      <c r="G516" s="648"/>
      <c r="H516" s="455"/>
      <c r="I516" s="654"/>
      <c r="J516" s="455"/>
      <c r="K516" s="455"/>
      <c r="L516" s="455"/>
      <c r="M516" s="1405" t="str">
        <f>+IFERROR(VLOOKUP(G516,'S1&amp;2 Lists'!$C$4:$G$200,3,FALSE),"-")</f>
        <v>-</v>
      </c>
      <c r="N516" s="1405" t="str">
        <f t="shared" si="7"/>
        <v>-</v>
      </c>
      <c r="P516" s="1406">
        <f>ROUND(IF(L516='S1&amp;2 Lists'!$CV$3,K516,IF(L516='S1&amp;2 Lists'!$CV$4,K516/'S1&amp;2 Lists'!$CQ$6,0)),3)</f>
        <v>0</v>
      </c>
      <c r="Q516" s="10" t="s">
        <v>12</v>
      </c>
    </row>
    <row r="517" spans="1:17" s="652" customFormat="1">
      <c r="A517" s="455"/>
      <c r="B517" s="455"/>
      <c r="C517" s="653"/>
      <c r="D517" s="455"/>
      <c r="E517" s="654"/>
      <c r="F517" s="455"/>
      <c r="G517" s="648"/>
      <c r="H517" s="455"/>
      <c r="I517" s="654"/>
      <c r="J517" s="455"/>
      <c r="K517" s="455"/>
      <c r="L517" s="455"/>
      <c r="M517" s="1405" t="str">
        <f>+IFERROR(VLOOKUP(G517,'S1&amp;2 Lists'!$C$4:$G$200,3,FALSE),"-")</f>
        <v>-</v>
      </c>
      <c r="N517" s="1405" t="str">
        <f t="shared" si="7"/>
        <v>-</v>
      </c>
      <c r="P517" s="1406">
        <f>ROUND(IF(L517='S1&amp;2 Lists'!$CV$3,K517,IF(L517='S1&amp;2 Lists'!$CV$4,K517/'S1&amp;2 Lists'!$CQ$6,0)),3)</f>
        <v>0</v>
      </c>
      <c r="Q517" s="10" t="s">
        <v>12</v>
      </c>
    </row>
    <row r="518" spans="1:17" s="652" customFormat="1">
      <c r="A518" s="455"/>
      <c r="B518" s="455"/>
      <c r="C518" s="653"/>
      <c r="D518" s="455"/>
      <c r="E518" s="654"/>
      <c r="F518" s="455"/>
      <c r="G518" s="648"/>
      <c r="H518" s="455"/>
      <c r="I518" s="654"/>
      <c r="J518" s="455"/>
      <c r="K518" s="455"/>
      <c r="L518" s="455"/>
      <c r="M518" s="1405" t="str">
        <f>+IFERROR(VLOOKUP(G518,'S1&amp;2 Lists'!$C$4:$G$200,3,FALSE),"-")</f>
        <v>-</v>
      </c>
      <c r="N518" s="1405" t="str">
        <f t="shared" si="7"/>
        <v>-</v>
      </c>
      <c r="P518" s="1406">
        <f>ROUND(IF(L518='S1&amp;2 Lists'!$CV$3,K518,IF(L518='S1&amp;2 Lists'!$CV$4,K518/'S1&amp;2 Lists'!$CQ$6,0)),3)</f>
        <v>0</v>
      </c>
      <c r="Q518" s="10" t="s">
        <v>12</v>
      </c>
    </row>
    <row r="519" spans="1:17" s="652" customFormat="1">
      <c r="A519" s="455"/>
      <c r="B519" s="455"/>
      <c r="C519" s="653"/>
      <c r="D519" s="455"/>
      <c r="E519" s="654"/>
      <c r="F519" s="455"/>
      <c r="G519" s="648"/>
      <c r="H519" s="455"/>
      <c r="I519" s="654"/>
      <c r="J519" s="455"/>
      <c r="K519" s="455"/>
      <c r="L519" s="455"/>
      <c r="M519" s="1405" t="str">
        <f>+IFERROR(VLOOKUP(G519,'S1&amp;2 Lists'!$C$4:$G$200,3,FALSE),"-")</f>
        <v>-</v>
      </c>
      <c r="N519" s="1405" t="str">
        <f t="shared" si="7"/>
        <v>-</v>
      </c>
      <c r="P519" s="1406">
        <f>ROUND(IF(L519='S1&amp;2 Lists'!$CV$3,K519,IF(L519='S1&amp;2 Lists'!$CV$4,K519/'S1&amp;2 Lists'!$CQ$6,0)),3)</f>
        <v>0</v>
      </c>
      <c r="Q519" s="10" t="s">
        <v>12</v>
      </c>
    </row>
    <row r="520" spans="1:17" s="652" customFormat="1">
      <c r="A520" s="455"/>
      <c r="B520" s="455"/>
      <c r="C520" s="653"/>
      <c r="D520" s="455"/>
      <c r="E520" s="654"/>
      <c r="F520" s="455"/>
      <c r="G520" s="648"/>
      <c r="H520" s="455"/>
      <c r="I520" s="654"/>
      <c r="J520" s="455"/>
      <c r="K520" s="455"/>
      <c r="L520" s="455"/>
      <c r="M520" s="1405" t="str">
        <f>+IFERROR(VLOOKUP(G520,'S1&amp;2 Lists'!$C$4:$G$200,3,FALSE),"-")</f>
        <v>-</v>
      </c>
      <c r="N520" s="1405" t="str">
        <f t="shared" si="7"/>
        <v>-</v>
      </c>
      <c r="P520" s="1406">
        <f>ROUND(IF(L520='S1&amp;2 Lists'!$CV$3,K520,IF(L520='S1&amp;2 Lists'!$CV$4,K520/'S1&amp;2 Lists'!$CQ$6,0)),3)</f>
        <v>0</v>
      </c>
      <c r="Q520" s="10" t="s">
        <v>12</v>
      </c>
    </row>
    <row r="521" spans="1:17" s="652" customFormat="1">
      <c r="A521" s="455"/>
      <c r="B521" s="455"/>
      <c r="C521" s="653"/>
      <c r="D521" s="455"/>
      <c r="E521" s="654"/>
      <c r="F521" s="455"/>
      <c r="G521" s="648"/>
      <c r="H521" s="455"/>
      <c r="I521" s="654"/>
      <c r="J521" s="455"/>
      <c r="K521" s="455"/>
      <c r="L521" s="455"/>
      <c r="M521" s="1405" t="str">
        <f>+IFERROR(VLOOKUP(G521,'S1&amp;2 Lists'!$C$4:$G$200,3,FALSE),"-")</f>
        <v>-</v>
      </c>
      <c r="N521" s="1405" t="str">
        <f t="shared" si="7"/>
        <v>-</v>
      </c>
      <c r="P521" s="1406">
        <f>ROUND(IF(L521='S1&amp;2 Lists'!$CV$3,K521,IF(L521='S1&amp;2 Lists'!$CV$4,K521/'S1&amp;2 Lists'!$CQ$6,0)),3)</f>
        <v>0</v>
      </c>
      <c r="Q521" s="10" t="s">
        <v>12</v>
      </c>
    </row>
    <row r="522" spans="1:17" s="652" customFormat="1">
      <c r="A522" s="455"/>
      <c r="B522" s="455"/>
      <c r="C522" s="653"/>
      <c r="D522" s="455"/>
      <c r="E522" s="654"/>
      <c r="F522" s="455"/>
      <c r="G522" s="648"/>
      <c r="H522" s="455"/>
      <c r="I522" s="654"/>
      <c r="J522" s="455"/>
      <c r="K522" s="455"/>
      <c r="L522" s="455"/>
      <c r="M522" s="1405" t="str">
        <f>+IFERROR(VLOOKUP(G522,'S1&amp;2 Lists'!$C$4:$G$200,3,FALSE),"-")</f>
        <v>-</v>
      </c>
      <c r="N522" s="1405" t="str">
        <f t="shared" si="7"/>
        <v>-</v>
      </c>
      <c r="P522" s="1406">
        <f>ROUND(IF(L522='S1&amp;2 Lists'!$CV$3,K522,IF(L522='S1&amp;2 Lists'!$CV$4,K522/'S1&amp;2 Lists'!$CQ$6,0)),3)</f>
        <v>0</v>
      </c>
      <c r="Q522" s="10" t="s">
        <v>12</v>
      </c>
    </row>
    <row r="523" spans="1:17" s="652" customFormat="1">
      <c r="A523" s="455"/>
      <c r="B523" s="455"/>
      <c r="C523" s="653"/>
      <c r="D523" s="455"/>
      <c r="E523" s="654"/>
      <c r="F523" s="455"/>
      <c r="G523" s="648"/>
      <c r="H523" s="455"/>
      <c r="I523" s="654"/>
      <c r="J523" s="455"/>
      <c r="K523" s="455"/>
      <c r="L523" s="455"/>
      <c r="M523" s="1405" t="str">
        <f>+IFERROR(VLOOKUP(G523,'S1&amp;2 Lists'!$C$4:$G$200,3,FALSE),"-")</f>
        <v>-</v>
      </c>
      <c r="N523" s="1405" t="str">
        <f t="shared" ref="N523:N586" si="8">+IFERROR(P523*M523,"-")</f>
        <v>-</v>
      </c>
      <c r="P523" s="1406">
        <f>ROUND(IF(L523='S1&amp;2 Lists'!$CV$3,K523,IF(L523='S1&amp;2 Lists'!$CV$4,K523/'S1&amp;2 Lists'!$CQ$6,0)),3)</f>
        <v>0</v>
      </c>
      <c r="Q523" s="10" t="s">
        <v>12</v>
      </c>
    </row>
    <row r="524" spans="1:17" s="652" customFormat="1">
      <c r="A524" s="455"/>
      <c r="B524" s="455"/>
      <c r="C524" s="653"/>
      <c r="D524" s="455"/>
      <c r="E524" s="654"/>
      <c r="F524" s="455"/>
      <c r="G524" s="648"/>
      <c r="H524" s="455"/>
      <c r="I524" s="654"/>
      <c r="J524" s="455"/>
      <c r="K524" s="455"/>
      <c r="L524" s="455"/>
      <c r="M524" s="1405" t="str">
        <f>+IFERROR(VLOOKUP(G524,'S1&amp;2 Lists'!$C$4:$G$200,3,FALSE),"-")</f>
        <v>-</v>
      </c>
      <c r="N524" s="1405" t="str">
        <f t="shared" si="8"/>
        <v>-</v>
      </c>
      <c r="P524" s="1406">
        <f>ROUND(IF(L524='S1&amp;2 Lists'!$CV$3,K524,IF(L524='S1&amp;2 Lists'!$CV$4,K524/'S1&amp;2 Lists'!$CQ$6,0)),3)</f>
        <v>0</v>
      </c>
      <c r="Q524" s="10" t="s">
        <v>12</v>
      </c>
    </row>
    <row r="525" spans="1:17" s="652" customFormat="1">
      <c r="A525" s="455"/>
      <c r="B525" s="455"/>
      <c r="C525" s="653"/>
      <c r="D525" s="455"/>
      <c r="E525" s="654"/>
      <c r="F525" s="455"/>
      <c r="G525" s="648"/>
      <c r="H525" s="455"/>
      <c r="I525" s="654"/>
      <c r="J525" s="455"/>
      <c r="K525" s="455"/>
      <c r="L525" s="455"/>
      <c r="M525" s="1405" t="str">
        <f>+IFERROR(VLOOKUP(G525,'S1&amp;2 Lists'!$C$4:$G$200,3,FALSE),"-")</f>
        <v>-</v>
      </c>
      <c r="N525" s="1405" t="str">
        <f t="shared" si="8"/>
        <v>-</v>
      </c>
      <c r="P525" s="1406">
        <f>ROUND(IF(L525='S1&amp;2 Lists'!$CV$3,K525,IF(L525='S1&amp;2 Lists'!$CV$4,K525/'S1&amp;2 Lists'!$CQ$6,0)),3)</f>
        <v>0</v>
      </c>
      <c r="Q525" s="10" t="s">
        <v>12</v>
      </c>
    </row>
    <row r="526" spans="1:17" s="652" customFormat="1">
      <c r="A526" s="455"/>
      <c r="B526" s="455"/>
      <c r="C526" s="653"/>
      <c r="D526" s="455"/>
      <c r="E526" s="654"/>
      <c r="F526" s="455"/>
      <c r="G526" s="648"/>
      <c r="H526" s="455"/>
      <c r="I526" s="654"/>
      <c r="J526" s="455"/>
      <c r="K526" s="455"/>
      <c r="L526" s="455"/>
      <c r="M526" s="1405" t="str">
        <f>+IFERROR(VLOOKUP(G526,'S1&amp;2 Lists'!$C$4:$G$200,3,FALSE),"-")</f>
        <v>-</v>
      </c>
      <c r="N526" s="1405" t="str">
        <f t="shared" si="8"/>
        <v>-</v>
      </c>
      <c r="P526" s="1406">
        <f>ROUND(IF(L526='S1&amp;2 Lists'!$CV$3,K526,IF(L526='S1&amp;2 Lists'!$CV$4,K526/'S1&amp;2 Lists'!$CQ$6,0)),3)</f>
        <v>0</v>
      </c>
      <c r="Q526" s="10" t="s">
        <v>12</v>
      </c>
    </row>
    <row r="527" spans="1:17" s="652" customFormat="1">
      <c r="A527" s="455"/>
      <c r="B527" s="455"/>
      <c r="C527" s="653"/>
      <c r="D527" s="455"/>
      <c r="E527" s="654"/>
      <c r="F527" s="455"/>
      <c r="G527" s="648"/>
      <c r="H527" s="455"/>
      <c r="I527" s="654"/>
      <c r="J527" s="455"/>
      <c r="K527" s="455"/>
      <c r="L527" s="455"/>
      <c r="M527" s="1405" t="str">
        <f>+IFERROR(VLOOKUP(G527,'S1&amp;2 Lists'!$C$4:$G$200,3,FALSE),"-")</f>
        <v>-</v>
      </c>
      <c r="N527" s="1405" t="str">
        <f t="shared" si="8"/>
        <v>-</v>
      </c>
      <c r="P527" s="1406">
        <f>ROUND(IF(L527='S1&amp;2 Lists'!$CV$3,K527,IF(L527='S1&amp;2 Lists'!$CV$4,K527/'S1&amp;2 Lists'!$CQ$6,0)),3)</f>
        <v>0</v>
      </c>
      <c r="Q527" s="10" t="s">
        <v>12</v>
      </c>
    </row>
    <row r="528" spans="1:17" s="652" customFormat="1">
      <c r="A528" s="455"/>
      <c r="B528" s="455"/>
      <c r="C528" s="653"/>
      <c r="D528" s="455"/>
      <c r="E528" s="654"/>
      <c r="F528" s="455"/>
      <c r="G528" s="648"/>
      <c r="H528" s="455"/>
      <c r="I528" s="654"/>
      <c r="J528" s="455"/>
      <c r="K528" s="455"/>
      <c r="L528" s="455"/>
      <c r="M528" s="1405" t="str">
        <f>+IFERROR(VLOOKUP(G528,'S1&amp;2 Lists'!$C$4:$G$200,3,FALSE),"-")</f>
        <v>-</v>
      </c>
      <c r="N528" s="1405" t="str">
        <f t="shared" si="8"/>
        <v>-</v>
      </c>
      <c r="P528" s="1406">
        <f>ROUND(IF(L528='S1&amp;2 Lists'!$CV$3,K528,IF(L528='S1&amp;2 Lists'!$CV$4,K528/'S1&amp;2 Lists'!$CQ$6,0)),3)</f>
        <v>0</v>
      </c>
      <c r="Q528" s="10" t="s">
        <v>12</v>
      </c>
    </row>
    <row r="529" spans="1:17" s="652" customFormat="1">
      <c r="A529" s="455"/>
      <c r="B529" s="455"/>
      <c r="C529" s="653"/>
      <c r="D529" s="455"/>
      <c r="E529" s="654"/>
      <c r="F529" s="455"/>
      <c r="G529" s="648"/>
      <c r="H529" s="455"/>
      <c r="I529" s="654"/>
      <c r="J529" s="455"/>
      <c r="K529" s="455"/>
      <c r="L529" s="455"/>
      <c r="M529" s="1405" t="str">
        <f>+IFERROR(VLOOKUP(G529,'S1&amp;2 Lists'!$C$4:$G$200,3,FALSE),"-")</f>
        <v>-</v>
      </c>
      <c r="N529" s="1405" t="str">
        <f t="shared" si="8"/>
        <v>-</v>
      </c>
      <c r="P529" s="1406">
        <f>ROUND(IF(L529='S1&amp;2 Lists'!$CV$3,K529,IF(L529='S1&amp;2 Lists'!$CV$4,K529/'S1&amp;2 Lists'!$CQ$6,0)),3)</f>
        <v>0</v>
      </c>
      <c r="Q529" s="10" t="s">
        <v>12</v>
      </c>
    </row>
    <row r="530" spans="1:17" s="652" customFormat="1">
      <c r="A530" s="455"/>
      <c r="B530" s="455"/>
      <c r="C530" s="653"/>
      <c r="D530" s="455"/>
      <c r="E530" s="654"/>
      <c r="F530" s="455"/>
      <c r="G530" s="648"/>
      <c r="H530" s="455"/>
      <c r="I530" s="654"/>
      <c r="J530" s="455"/>
      <c r="K530" s="455"/>
      <c r="L530" s="455"/>
      <c r="M530" s="1405" t="str">
        <f>+IFERROR(VLOOKUP(G530,'S1&amp;2 Lists'!$C$4:$G$200,3,FALSE),"-")</f>
        <v>-</v>
      </c>
      <c r="N530" s="1405" t="str">
        <f t="shared" si="8"/>
        <v>-</v>
      </c>
      <c r="P530" s="1406">
        <f>ROUND(IF(L530='S1&amp;2 Lists'!$CV$3,K530,IF(L530='S1&amp;2 Lists'!$CV$4,K530/'S1&amp;2 Lists'!$CQ$6,0)),3)</f>
        <v>0</v>
      </c>
      <c r="Q530" s="10" t="s">
        <v>12</v>
      </c>
    </row>
    <row r="531" spans="1:17" s="652" customFormat="1">
      <c r="A531" s="455"/>
      <c r="B531" s="455"/>
      <c r="C531" s="653"/>
      <c r="D531" s="455"/>
      <c r="E531" s="654"/>
      <c r="F531" s="455"/>
      <c r="G531" s="648"/>
      <c r="H531" s="455"/>
      <c r="I531" s="654"/>
      <c r="J531" s="455"/>
      <c r="K531" s="455"/>
      <c r="L531" s="455"/>
      <c r="M531" s="1405" t="str">
        <f>+IFERROR(VLOOKUP(G531,'S1&amp;2 Lists'!$C$4:$G$200,3,FALSE),"-")</f>
        <v>-</v>
      </c>
      <c r="N531" s="1405" t="str">
        <f t="shared" si="8"/>
        <v>-</v>
      </c>
      <c r="P531" s="1406">
        <f>ROUND(IF(L531='S1&amp;2 Lists'!$CV$3,K531,IF(L531='S1&amp;2 Lists'!$CV$4,K531/'S1&amp;2 Lists'!$CQ$6,0)),3)</f>
        <v>0</v>
      </c>
      <c r="Q531" s="10" t="s">
        <v>12</v>
      </c>
    </row>
    <row r="532" spans="1:17" s="652" customFormat="1">
      <c r="A532" s="455"/>
      <c r="B532" s="455"/>
      <c r="C532" s="653"/>
      <c r="D532" s="455"/>
      <c r="E532" s="654"/>
      <c r="F532" s="455"/>
      <c r="G532" s="648"/>
      <c r="H532" s="455"/>
      <c r="I532" s="654"/>
      <c r="J532" s="455"/>
      <c r="K532" s="455"/>
      <c r="L532" s="455"/>
      <c r="M532" s="1405" t="str">
        <f>+IFERROR(VLOOKUP(G532,'S1&amp;2 Lists'!$C$4:$G$200,3,FALSE),"-")</f>
        <v>-</v>
      </c>
      <c r="N532" s="1405" t="str">
        <f t="shared" si="8"/>
        <v>-</v>
      </c>
      <c r="P532" s="1406">
        <f>ROUND(IF(L532='S1&amp;2 Lists'!$CV$3,K532,IF(L532='S1&amp;2 Lists'!$CV$4,K532/'S1&amp;2 Lists'!$CQ$6,0)),3)</f>
        <v>0</v>
      </c>
      <c r="Q532" s="10" t="s">
        <v>12</v>
      </c>
    </row>
    <row r="533" spans="1:17" s="652" customFormat="1">
      <c r="A533" s="455"/>
      <c r="B533" s="455"/>
      <c r="C533" s="653"/>
      <c r="D533" s="455"/>
      <c r="E533" s="654"/>
      <c r="F533" s="455"/>
      <c r="G533" s="648"/>
      <c r="H533" s="455"/>
      <c r="I533" s="654"/>
      <c r="J533" s="455"/>
      <c r="K533" s="455"/>
      <c r="L533" s="455"/>
      <c r="M533" s="1405" t="str">
        <f>+IFERROR(VLOOKUP(G533,'S1&amp;2 Lists'!$C$4:$G$200,3,FALSE),"-")</f>
        <v>-</v>
      </c>
      <c r="N533" s="1405" t="str">
        <f t="shared" si="8"/>
        <v>-</v>
      </c>
      <c r="P533" s="1406">
        <f>ROUND(IF(L533='S1&amp;2 Lists'!$CV$3,K533,IF(L533='S1&amp;2 Lists'!$CV$4,K533/'S1&amp;2 Lists'!$CQ$6,0)),3)</f>
        <v>0</v>
      </c>
      <c r="Q533" s="10" t="s">
        <v>12</v>
      </c>
    </row>
    <row r="534" spans="1:17" s="652" customFormat="1">
      <c r="A534" s="455"/>
      <c r="B534" s="455"/>
      <c r="C534" s="653"/>
      <c r="D534" s="455"/>
      <c r="E534" s="654"/>
      <c r="F534" s="455"/>
      <c r="G534" s="648"/>
      <c r="H534" s="455"/>
      <c r="I534" s="654"/>
      <c r="J534" s="455"/>
      <c r="K534" s="455"/>
      <c r="L534" s="455"/>
      <c r="M534" s="1405" t="str">
        <f>+IFERROR(VLOOKUP(G534,'S1&amp;2 Lists'!$C$4:$G$200,3,FALSE),"-")</f>
        <v>-</v>
      </c>
      <c r="N534" s="1405" t="str">
        <f t="shared" si="8"/>
        <v>-</v>
      </c>
      <c r="P534" s="1406">
        <f>ROUND(IF(L534='S1&amp;2 Lists'!$CV$3,K534,IF(L534='S1&amp;2 Lists'!$CV$4,K534/'S1&amp;2 Lists'!$CQ$6,0)),3)</f>
        <v>0</v>
      </c>
      <c r="Q534" s="10" t="s">
        <v>12</v>
      </c>
    </row>
    <row r="535" spans="1:17" s="652" customFormat="1">
      <c r="A535" s="455"/>
      <c r="B535" s="455"/>
      <c r="C535" s="653"/>
      <c r="D535" s="455"/>
      <c r="E535" s="654"/>
      <c r="F535" s="455"/>
      <c r="G535" s="648"/>
      <c r="H535" s="455"/>
      <c r="I535" s="654"/>
      <c r="J535" s="455"/>
      <c r="K535" s="455"/>
      <c r="L535" s="455"/>
      <c r="M535" s="1405" t="str">
        <f>+IFERROR(VLOOKUP(G535,'S1&amp;2 Lists'!$C$4:$G$200,3,FALSE),"-")</f>
        <v>-</v>
      </c>
      <c r="N535" s="1405" t="str">
        <f t="shared" si="8"/>
        <v>-</v>
      </c>
      <c r="P535" s="1406">
        <f>ROUND(IF(L535='S1&amp;2 Lists'!$CV$3,K535,IF(L535='S1&amp;2 Lists'!$CV$4,K535/'S1&amp;2 Lists'!$CQ$6,0)),3)</f>
        <v>0</v>
      </c>
      <c r="Q535" s="10" t="s">
        <v>12</v>
      </c>
    </row>
    <row r="536" spans="1:17" s="652" customFormat="1">
      <c r="A536" s="455"/>
      <c r="B536" s="455"/>
      <c r="C536" s="653"/>
      <c r="D536" s="455"/>
      <c r="E536" s="654"/>
      <c r="F536" s="455"/>
      <c r="G536" s="648"/>
      <c r="H536" s="455"/>
      <c r="I536" s="654"/>
      <c r="J536" s="455"/>
      <c r="K536" s="455"/>
      <c r="L536" s="455"/>
      <c r="M536" s="1405" t="str">
        <f>+IFERROR(VLOOKUP(G536,'S1&amp;2 Lists'!$C$4:$G$200,3,FALSE),"-")</f>
        <v>-</v>
      </c>
      <c r="N536" s="1405" t="str">
        <f t="shared" si="8"/>
        <v>-</v>
      </c>
      <c r="P536" s="1406">
        <f>ROUND(IF(L536='S1&amp;2 Lists'!$CV$3,K536,IF(L536='S1&amp;2 Lists'!$CV$4,K536/'S1&amp;2 Lists'!$CQ$6,0)),3)</f>
        <v>0</v>
      </c>
      <c r="Q536" s="10" t="s">
        <v>12</v>
      </c>
    </row>
    <row r="537" spans="1:17" s="652" customFormat="1">
      <c r="A537" s="455"/>
      <c r="B537" s="455"/>
      <c r="C537" s="653"/>
      <c r="D537" s="455"/>
      <c r="E537" s="654"/>
      <c r="F537" s="455"/>
      <c r="G537" s="648"/>
      <c r="H537" s="455"/>
      <c r="I537" s="654"/>
      <c r="J537" s="455"/>
      <c r="K537" s="455"/>
      <c r="L537" s="455"/>
      <c r="M537" s="1405" t="str">
        <f>+IFERROR(VLOOKUP(G537,'S1&amp;2 Lists'!$C$4:$G$200,3,FALSE),"-")</f>
        <v>-</v>
      </c>
      <c r="N537" s="1405" t="str">
        <f t="shared" si="8"/>
        <v>-</v>
      </c>
      <c r="P537" s="1406">
        <f>ROUND(IF(L537='S1&amp;2 Lists'!$CV$3,K537,IF(L537='S1&amp;2 Lists'!$CV$4,K537/'S1&amp;2 Lists'!$CQ$6,0)),3)</f>
        <v>0</v>
      </c>
      <c r="Q537" s="10" t="s">
        <v>12</v>
      </c>
    </row>
    <row r="538" spans="1:17" s="652" customFormat="1">
      <c r="A538" s="455"/>
      <c r="B538" s="455"/>
      <c r="C538" s="653"/>
      <c r="D538" s="455"/>
      <c r="E538" s="654"/>
      <c r="F538" s="455"/>
      <c r="G538" s="648"/>
      <c r="H538" s="455"/>
      <c r="I538" s="654"/>
      <c r="J538" s="455"/>
      <c r="K538" s="455"/>
      <c r="L538" s="455"/>
      <c r="M538" s="1405" t="str">
        <f>+IFERROR(VLOOKUP(G538,'S1&amp;2 Lists'!$C$4:$G$200,3,FALSE),"-")</f>
        <v>-</v>
      </c>
      <c r="N538" s="1405" t="str">
        <f t="shared" si="8"/>
        <v>-</v>
      </c>
      <c r="P538" s="1406">
        <f>ROUND(IF(L538='S1&amp;2 Lists'!$CV$3,K538,IF(L538='S1&amp;2 Lists'!$CV$4,K538/'S1&amp;2 Lists'!$CQ$6,0)),3)</f>
        <v>0</v>
      </c>
      <c r="Q538" s="10" t="s">
        <v>12</v>
      </c>
    </row>
    <row r="539" spans="1:17" s="652" customFormat="1">
      <c r="A539" s="455"/>
      <c r="B539" s="455"/>
      <c r="C539" s="653"/>
      <c r="D539" s="455"/>
      <c r="E539" s="654"/>
      <c r="F539" s="455"/>
      <c r="G539" s="648"/>
      <c r="H539" s="455"/>
      <c r="I539" s="654"/>
      <c r="J539" s="455"/>
      <c r="K539" s="455"/>
      <c r="L539" s="455"/>
      <c r="M539" s="1405" t="str">
        <f>+IFERROR(VLOOKUP(G539,'S1&amp;2 Lists'!$C$4:$G$200,3,FALSE),"-")</f>
        <v>-</v>
      </c>
      <c r="N539" s="1405" t="str">
        <f t="shared" si="8"/>
        <v>-</v>
      </c>
      <c r="P539" s="1406">
        <f>ROUND(IF(L539='S1&amp;2 Lists'!$CV$3,K539,IF(L539='S1&amp;2 Lists'!$CV$4,K539/'S1&amp;2 Lists'!$CQ$6,0)),3)</f>
        <v>0</v>
      </c>
      <c r="Q539" s="10" t="s">
        <v>12</v>
      </c>
    </row>
    <row r="540" spans="1:17" s="652" customFormat="1">
      <c r="A540" s="455"/>
      <c r="B540" s="455"/>
      <c r="C540" s="653"/>
      <c r="D540" s="455"/>
      <c r="E540" s="654"/>
      <c r="F540" s="455"/>
      <c r="G540" s="648"/>
      <c r="H540" s="455"/>
      <c r="I540" s="654"/>
      <c r="J540" s="455"/>
      <c r="K540" s="455"/>
      <c r="L540" s="455"/>
      <c r="M540" s="1405" t="str">
        <f>+IFERROR(VLOOKUP(G540,'S1&amp;2 Lists'!$C$4:$G$200,3,FALSE),"-")</f>
        <v>-</v>
      </c>
      <c r="N540" s="1405" t="str">
        <f t="shared" si="8"/>
        <v>-</v>
      </c>
      <c r="P540" s="1406">
        <f>ROUND(IF(L540='S1&amp;2 Lists'!$CV$3,K540,IF(L540='S1&amp;2 Lists'!$CV$4,K540/'S1&amp;2 Lists'!$CQ$6,0)),3)</f>
        <v>0</v>
      </c>
      <c r="Q540" s="10" t="s">
        <v>12</v>
      </c>
    </row>
    <row r="541" spans="1:17" s="652" customFormat="1">
      <c r="A541" s="455"/>
      <c r="B541" s="455"/>
      <c r="C541" s="653"/>
      <c r="D541" s="455"/>
      <c r="E541" s="654"/>
      <c r="F541" s="455"/>
      <c r="G541" s="648"/>
      <c r="H541" s="455"/>
      <c r="I541" s="654"/>
      <c r="J541" s="455"/>
      <c r="K541" s="455"/>
      <c r="L541" s="455"/>
      <c r="M541" s="1405" t="str">
        <f>+IFERROR(VLOOKUP(G541,'S1&amp;2 Lists'!$C$4:$G$200,3,FALSE),"-")</f>
        <v>-</v>
      </c>
      <c r="N541" s="1405" t="str">
        <f t="shared" si="8"/>
        <v>-</v>
      </c>
      <c r="P541" s="1406">
        <f>ROUND(IF(L541='S1&amp;2 Lists'!$CV$3,K541,IF(L541='S1&amp;2 Lists'!$CV$4,K541/'S1&amp;2 Lists'!$CQ$6,0)),3)</f>
        <v>0</v>
      </c>
      <c r="Q541" s="10" t="s">
        <v>12</v>
      </c>
    </row>
    <row r="542" spans="1:17" s="652" customFormat="1">
      <c r="A542" s="455"/>
      <c r="B542" s="455"/>
      <c r="C542" s="653"/>
      <c r="D542" s="455"/>
      <c r="E542" s="654"/>
      <c r="F542" s="455"/>
      <c r="G542" s="648"/>
      <c r="H542" s="455"/>
      <c r="I542" s="654"/>
      <c r="J542" s="455"/>
      <c r="K542" s="455"/>
      <c r="L542" s="455"/>
      <c r="M542" s="1405" t="str">
        <f>+IFERROR(VLOOKUP(G542,'S1&amp;2 Lists'!$C$4:$G$200,3,FALSE),"-")</f>
        <v>-</v>
      </c>
      <c r="N542" s="1405" t="str">
        <f t="shared" si="8"/>
        <v>-</v>
      </c>
      <c r="P542" s="1406">
        <f>ROUND(IF(L542='S1&amp;2 Lists'!$CV$3,K542,IF(L542='S1&amp;2 Lists'!$CV$4,K542/'S1&amp;2 Lists'!$CQ$6,0)),3)</f>
        <v>0</v>
      </c>
      <c r="Q542" s="10" t="s">
        <v>12</v>
      </c>
    </row>
    <row r="543" spans="1:17" s="652" customFormat="1">
      <c r="A543" s="455"/>
      <c r="B543" s="455"/>
      <c r="C543" s="653"/>
      <c r="D543" s="455"/>
      <c r="E543" s="654"/>
      <c r="F543" s="455"/>
      <c r="G543" s="648"/>
      <c r="H543" s="455"/>
      <c r="I543" s="654"/>
      <c r="J543" s="455"/>
      <c r="K543" s="455"/>
      <c r="L543" s="455"/>
      <c r="M543" s="1405" t="str">
        <f>+IFERROR(VLOOKUP(G543,'S1&amp;2 Lists'!$C$4:$G$200,3,FALSE),"-")</f>
        <v>-</v>
      </c>
      <c r="N543" s="1405" t="str">
        <f t="shared" si="8"/>
        <v>-</v>
      </c>
      <c r="P543" s="1406">
        <f>ROUND(IF(L543='S1&amp;2 Lists'!$CV$3,K543,IF(L543='S1&amp;2 Lists'!$CV$4,K543/'S1&amp;2 Lists'!$CQ$6,0)),3)</f>
        <v>0</v>
      </c>
      <c r="Q543" s="10" t="s">
        <v>12</v>
      </c>
    </row>
    <row r="544" spans="1:17" s="652" customFormat="1">
      <c r="A544" s="455"/>
      <c r="B544" s="455"/>
      <c r="C544" s="653"/>
      <c r="D544" s="455"/>
      <c r="E544" s="654"/>
      <c r="F544" s="455"/>
      <c r="G544" s="648"/>
      <c r="H544" s="455"/>
      <c r="I544" s="654"/>
      <c r="J544" s="455"/>
      <c r="K544" s="455"/>
      <c r="L544" s="455"/>
      <c r="M544" s="1405" t="str">
        <f>+IFERROR(VLOOKUP(G544,'S1&amp;2 Lists'!$C$4:$G$200,3,FALSE),"-")</f>
        <v>-</v>
      </c>
      <c r="N544" s="1405" t="str">
        <f t="shared" si="8"/>
        <v>-</v>
      </c>
      <c r="P544" s="1406">
        <f>ROUND(IF(L544='S1&amp;2 Lists'!$CV$3,K544,IF(L544='S1&amp;2 Lists'!$CV$4,K544/'S1&amp;2 Lists'!$CQ$6,0)),3)</f>
        <v>0</v>
      </c>
      <c r="Q544" s="10" t="s">
        <v>12</v>
      </c>
    </row>
    <row r="545" spans="1:17" s="652" customFormat="1">
      <c r="A545" s="455"/>
      <c r="B545" s="455"/>
      <c r="C545" s="653"/>
      <c r="D545" s="455"/>
      <c r="E545" s="654"/>
      <c r="F545" s="455"/>
      <c r="G545" s="648"/>
      <c r="H545" s="455"/>
      <c r="I545" s="654"/>
      <c r="J545" s="455"/>
      <c r="K545" s="455"/>
      <c r="L545" s="455"/>
      <c r="M545" s="1405" t="str">
        <f>+IFERROR(VLOOKUP(G545,'S1&amp;2 Lists'!$C$4:$G$200,3,FALSE),"-")</f>
        <v>-</v>
      </c>
      <c r="N545" s="1405" t="str">
        <f t="shared" si="8"/>
        <v>-</v>
      </c>
      <c r="P545" s="1406">
        <f>ROUND(IF(L545='S1&amp;2 Lists'!$CV$3,K545,IF(L545='S1&amp;2 Lists'!$CV$4,K545/'S1&amp;2 Lists'!$CQ$6,0)),3)</f>
        <v>0</v>
      </c>
      <c r="Q545" s="10" t="s">
        <v>12</v>
      </c>
    </row>
    <row r="546" spans="1:17" s="652" customFormat="1">
      <c r="A546" s="455"/>
      <c r="B546" s="455"/>
      <c r="C546" s="653"/>
      <c r="D546" s="455"/>
      <c r="E546" s="654"/>
      <c r="F546" s="455"/>
      <c r="G546" s="648"/>
      <c r="H546" s="455"/>
      <c r="I546" s="654"/>
      <c r="J546" s="455"/>
      <c r="K546" s="455"/>
      <c r="L546" s="455"/>
      <c r="M546" s="1405" t="str">
        <f>+IFERROR(VLOOKUP(G546,'S1&amp;2 Lists'!$C$4:$G$200,3,FALSE),"-")</f>
        <v>-</v>
      </c>
      <c r="N546" s="1405" t="str">
        <f t="shared" si="8"/>
        <v>-</v>
      </c>
      <c r="P546" s="1406">
        <f>ROUND(IF(L546='S1&amp;2 Lists'!$CV$3,K546,IF(L546='S1&amp;2 Lists'!$CV$4,K546/'S1&amp;2 Lists'!$CQ$6,0)),3)</f>
        <v>0</v>
      </c>
      <c r="Q546" s="10" t="s">
        <v>12</v>
      </c>
    </row>
    <row r="547" spans="1:17" s="652" customFormat="1">
      <c r="A547" s="455"/>
      <c r="B547" s="455"/>
      <c r="C547" s="653"/>
      <c r="D547" s="455"/>
      <c r="E547" s="654"/>
      <c r="F547" s="455"/>
      <c r="G547" s="648"/>
      <c r="H547" s="455"/>
      <c r="I547" s="654"/>
      <c r="J547" s="455"/>
      <c r="K547" s="455"/>
      <c r="L547" s="455"/>
      <c r="M547" s="1405" t="str">
        <f>+IFERROR(VLOOKUP(G547,'S1&amp;2 Lists'!$C$4:$G$200,3,FALSE),"-")</f>
        <v>-</v>
      </c>
      <c r="N547" s="1405" t="str">
        <f t="shared" si="8"/>
        <v>-</v>
      </c>
      <c r="P547" s="1406">
        <f>ROUND(IF(L547='S1&amp;2 Lists'!$CV$3,K547,IF(L547='S1&amp;2 Lists'!$CV$4,K547/'S1&amp;2 Lists'!$CQ$6,0)),3)</f>
        <v>0</v>
      </c>
      <c r="Q547" s="10" t="s">
        <v>12</v>
      </c>
    </row>
    <row r="548" spans="1:17" s="652" customFormat="1">
      <c r="A548" s="455"/>
      <c r="B548" s="455"/>
      <c r="C548" s="653"/>
      <c r="D548" s="455"/>
      <c r="E548" s="654"/>
      <c r="F548" s="455"/>
      <c r="G548" s="648"/>
      <c r="H548" s="455"/>
      <c r="I548" s="654"/>
      <c r="J548" s="455"/>
      <c r="K548" s="455"/>
      <c r="L548" s="455"/>
      <c r="M548" s="1405" t="str">
        <f>+IFERROR(VLOOKUP(G548,'S1&amp;2 Lists'!$C$4:$G$200,3,FALSE),"-")</f>
        <v>-</v>
      </c>
      <c r="N548" s="1405" t="str">
        <f t="shared" si="8"/>
        <v>-</v>
      </c>
      <c r="P548" s="1406">
        <f>ROUND(IF(L548='S1&amp;2 Lists'!$CV$3,K548,IF(L548='S1&amp;2 Lists'!$CV$4,K548/'S1&amp;2 Lists'!$CQ$6,0)),3)</f>
        <v>0</v>
      </c>
      <c r="Q548" s="10" t="s">
        <v>12</v>
      </c>
    </row>
    <row r="549" spans="1:17" s="652" customFormat="1">
      <c r="A549" s="455"/>
      <c r="B549" s="455"/>
      <c r="C549" s="653"/>
      <c r="D549" s="455"/>
      <c r="E549" s="654"/>
      <c r="F549" s="455"/>
      <c r="G549" s="648"/>
      <c r="H549" s="455"/>
      <c r="I549" s="654"/>
      <c r="J549" s="455"/>
      <c r="K549" s="455"/>
      <c r="L549" s="455"/>
      <c r="M549" s="1405" t="str">
        <f>+IFERROR(VLOOKUP(G549,'S1&amp;2 Lists'!$C$4:$G$200,3,FALSE),"-")</f>
        <v>-</v>
      </c>
      <c r="N549" s="1405" t="str">
        <f t="shared" si="8"/>
        <v>-</v>
      </c>
      <c r="P549" s="1406">
        <f>ROUND(IF(L549='S1&amp;2 Lists'!$CV$3,K549,IF(L549='S1&amp;2 Lists'!$CV$4,K549/'S1&amp;2 Lists'!$CQ$6,0)),3)</f>
        <v>0</v>
      </c>
      <c r="Q549" s="10" t="s">
        <v>12</v>
      </c>
    </row>
    <row r="550" spans="1:17" s="652" customFormat="1">
      <c r="A550" s="455"/>
      <c r="B550" s="455"/>
      <c r="C550" s="653"/>
      <c r="D550" s="455"/>
      <c r="E550" s="654"/>
      <c r="F550" s="455"/>
      <c r="G550" s="648"/>
      <c r="H550" s="455"/>
      <c r="I550" s="654"/>
      <c r="J550" s="455"/>
      <c r="K550" s="455"/>
      <c r="L550" s="455"/>
      <c r="M550" s="1405" t="str">
        <f>+IFERROR(VLOOKUP(G550,'S1&amp;2 Lists'!$C$4:$G$200,3,FALSE),"-")</f>
        <v>-</v>
      </c>
      <c r="N550" s="1405" t="str">
        <f t="shared" si="8"/>
        <v>-</v>
      </c>
      <c r="P550" s="1406">
        <f>ROUND(IF(L550='S1&amp;2 Lists'!$CV$3,K550,IF(L550='S1&amp;2 Lists'!$CV$4,K550/'S1&amp;2 Lists'!$CQ$6,0)),3)</f>
        <v>0</v>
      </c>
      <c r="Q550" s="10" t="s">
        <v>12</v>
      </c>
    </row>
    <row r="551" spans="1:17" s="652" customFormat="1">
      <c r="A551" s="455"/>
      <c r="B551" s="455"/>
      <c r="C551" s="653"/>
      <c r="D551" s="455"/>
      <c r="E551" s="654"/>
      <c r="F551" s="455"/>
      <c r="G551" s="648"/>
      <c r="H551" s="455"/>
      <c r="I551" s="654"/>
      <c r="J551" s="455"/>
      <c r="K551" s="455"/>
      <c r="L551" s="455"/>
      <c r="M551" s="1405" t="str">
        <f>+IFERROR(VLOOKUP(G551,'S1&amp;2 Lists'!$C$4:$G$200,3,FALSE),"-")</f>
        <v>-</v>
      </c>
      <c r="N551" s="1405" t="str">
        <f t="shared" si="8"/>
        <v>-</v>
      </c>
      <c r="P551" s="1406">
        <f>ROUND(IF(L551='S1&amp;2 Lists'!$CV$3,K551,IF(L551='S1&amp;2 Lists'!$CV$4,K551/'S1&amp;2 Lists'!$CQ$6,0)),3)</f>
        <v>0</v>
      </c>
      <c r="Q551" s="10" t="s">
        <v>12</v>
      </c>
    </row>
    <row r="552" spans="1:17" s="652" customFormat="1">
      <c r="A552" s="455"/>
      <c r="B552" s="455"/>
      <c r="C552" s="653"/>
      <c r="D552" s="455"/>
      <c r="E552" s="654"/>
      <c r="F552" s="455"/>
      <c r="G552" s="648"/>
      <c r="H552" s="455"/>
      <c r="I552" s="654"/>
      <c r="J552" s="455"/>
      <c r="K552" s="455"/>
      <c r="L552" s="455"/>
      <c r="M552" s="1405" t="str">
        <f>+IFERROR(VLOOKUP(G552,'S1&amp;2 Lists'!$C$4:$G$200,3,FALSE),"-")</f>
        <v>-</v>
      </c>
      <c r="N552" s="1405" t="str">
        <f t="shared" si="8"/>
        <v>-</v>
      </c>
      <c r="P552" s="1406">
        <f>ROUND(IF(L552='S1&amp;2 Lists'!$CV$3,K552,IF(L552='S1&amp;2 Lists'!$CV$4,K552/'S1&amp;2 Lists'!$CQ$6,0)),3)</f>
        <v>0</v>
      </c>
      <c r="Q552" s="10" t="s">
        <v>12</v>
      </c>
    </row>
    <row r="553" spans="1:17" s="652" customFormat="1">
      <c r="A553" s="455"/>
      <c r="B553" s="455"/>
      <c r="C553" s="653"/>
      <c r="D553" s="455"/>
      <c r="E553" s="654"/>
      <c r="F553" s="455"/>
      <c r="G553" s="648"/>
      <c r="H553" s="455"/>
      <c r="I553" s="654"/>
      <c r="J553" s="455"/>
      <c r="K553" s="455"/>
      <c r="L553" s="455"/>
      <c r="M553" s="1405" t="str">
        <f>+IFERROR(VLOOKUP(G553,'S1&amp;2 Lists'!$C$4:$G$200,3,FALSE),"-")</f>
        <v>-</v>
      </c>
      <c r="N553" s="1405" t="str">
        <f t="shared" si="8"/>
        <v>-</v>
      </c>
      <c r="P553" s="1406">
        <f>ROUND(IF(L553='S1&amp;2 Lists'!$CV$3,K553,IF(L553='S1&amp;2 Lists'!$CV$4,K553/'S1&amp;2 Lists'!$CQ$6,0)),3)</f>
        <v>0</v>
      </c>
      <c r="Q553" s="10" t="s">
        <v>12</v>
      </c>
    </row>
    <row r="554" spans="1:17" s="652" customFormat="1">
      <c r="A554" s="455"/>
      <c r="B554" s="455"/>
      <c r="C554" s="653"/>
      <c r="D554" s="455"/>
      <c r="E554" s="654"/>
      <c r="F554" s="455"/>
      <c r="G554" s="648"/>
      <c r="H554" s="455"/>
      <c r="I554" s="654"/>
      <c r="J554" s="455"/>
      <c r="K554" s="455"/>
      <c r="L554" s="455"/>
      <c r="M554" s="1405" t="str">
        <f>+IFERROR(VLOOKUP(G554,'S1&amp;2 Lists'!$C$4:$G$200,3,FALSE),"-")</f>
        <v>-</v>
      </c>
      <c r="N554" s="1405" t="str">
        <f t="shared" si="8"/>
        <v>-</v>
      </c>
      <c r="P554" s="1406">
        <f>ROUND(IF(L554='S1&amp;2 Lists'!$CV$3,K554,IF(L554='S1&amp;2 Lists'!$CV$4,K554/'S1&amp;2 Lists'!$CQ$6,0)),3)</f>
        <v>0</v>
      </c>
      <c r="Q554" s="10" t="s">
        <v>12</v>
      </c>
    </row>
    <row r="555" spans="1:17" s="652" customFormat="1">
      <c r="A555" s="455"/>
      <c r="B555" s="455"/>
      <c r="C555" s="653"/>
      <c r="D555" s="455"/>
      <c r="E555" s="654"/>
      <c r="F555" s="455"/>
      <c r="G555" s="648"/>
      <c r="H555" s="455"/>
      <c r="I555" s="654"/>
      <c r="J555" s="455"/>
      <c r="K555" s="455"/>
      <c r="L555" s="455"/>
      <c r="M555" s="1405" t="str">
        <f>+IFERROR(VLOOKUP(G555,'S1&amp;2 Lists'!$C$4:$G$200,3,FALSE),"-")</f>
        <v>-</v>
      </c>
      <c r="N555" s="1405" t="str">
        <f t="shared" si="8"/>
        <v>-</v>
      </c>
      <c r="P555" s="1406">
        <f>ROUND(IF(L555='S1&amp;2 Lists'!$CV$3,K555,IF(L555='S1&amp;2 Lists'!$CV$4,K555/'S1&amp;2 Lists'!$CQ$6,0)),3)</f>
        <v>0</v>
      </c>
      <c r="Q555" s="10" t="s">
        <v>12</v>
      </c>
    </row>
    <row r="556" spans="1:17" s="652" customFormat="1">
      <c r="A556" s="455"/>
      <c r="B556" s="455"/>
      <c r="C556" s="653"/>
      <c r="D556" s="455"/>
      <c r="E556" s="654"/>
      <c r="F556" s="455"/>
      <c r="G556" s="648"/>
      <c r="H556" s="455"/>
      <c r="I556" s="654"/>
      <c r="J556" s="455"/>
      <c r="K556" s="455"/>
      <c r="L556" s="455"/>
      <c r="M556" s="1405" t="str">
        <f>+IFERROR(VLOOKUP(G556,'S1&amp;2 Lists'!$C$4:$G$200,3,FALSE),"-")</f>
        <v>-</v>
      </c>
      <c r="N556" s="1405" t="str">
        <f t="shared" si="8"/>
        <v>-</v>
      </c>
      <c r="P556" s="1406">
        <f>ROUND(IF(L556='S1&amp;2 Lists'!$CV$3,K556,IF(L556='S1&amp;2 Lists'!$CV$4,K556/'S1&amp;2 Lists'!$CQ$6,0)),3)</f>
        <v>0</v>
      </c>
      <c r="Q556" s="10" t="s">
        <v>12</v>
      </c>
    </row>
    <row r="557" spans="1:17" s="652" customFormat="1">
      <c r="A557" s="455"/>
      <c r="B557" s="455"/>
      <c r="C557" s="653"/>
      <c r="D557" s="455"/>
      <c r="E557" s="654"/>
      <c r="F557" s="455"/>
      <c r="G557" s="648"/>
      <c r="H557" s="455"/>
      <c r="I557" s="654"/>
      <c r="J557" s="455"/>
      <c r="K557" s="455"/>
      <c r="L557" s="455"/>
      <c r="M557" s="1405" t="str">
        <f>+IFERROR(VLOOKUP(G557,'S1&amp;2 Lists'!$C$4:$G$200,3,FALSE),"-")</f>
        <v>-</v>
      </c>
      <c r="N557" s="1405" t="str">
        <f t="shared" si="8"/>
        <v>-</v>
      </c>
      <c r="P557" s="1406">
        <f>ROUND(IF(L557='S1&amp;2 Lists'!$CV$3,K557,IF(L557='S1&amp;2 Lists'!$CV$4,K557/'S1&amp;2 Lists'!$CQ$6,0)),3)</f>
        <v>0</v>
      </c>
      <c r="Q557" s="10" t="s">
        <v>12</v>
      </c>
    </row>
    <row r="558" spans="1:17" s="652" customFormat="1">
      <c r="A558" s="455"/>
      <c r="B558" s="455"/>
      <c r="C558" s="653"/>
      <c r="D558" s="455"/>
      <c r="E558" s="654"/>
      <c r="F558" s="455"/>
      <c r="G558" s="648"/>
      <c r="H558" s="455"/>
      <c r="I558" s="654"/>
      <c r="J558" s="455"/>
      <c r="K558" s="455"/>
      <c r="L558" s="455"/>
      <c r="M558" s="1405" t="str">
        <f>+IFERROR(VLOOKUP(G558,'S1&amp;2 Lists'!$C$4:$G$200,3,FALSE),"-")</f>
        <v>-</v>
      </c>
      <c r="N558" s="1405" t="str">
        <f t="shared" si="8"/>
        <v>-</v>
      </c>
      <c r="P558" s="1406">
        <f>ROUND(IF(L558='S1&amp;2 Lists'!$CV$3,K558,IF(L558='S1&amp;2 Lists'!$CV$4,K558/'S1&amp;2 Lists'!$CQ$6,0)),3)</f>
        <v>0</v>
      </c>
      <c r="Q558" s="10" t="s">
        <v>12</v>
      </c>
    </row>
    <row r="559" spans="1:17" s="652" customFormat="1">
      <c r="A559" s="455"/>
      <c r="B559" s="455"/>
      <c r="C559" s="653"/>
      <c r="D559" s="455"/>
      <c r="E559" s="654"/>
      <c r="F559" s="455"/>
      <c r="G559" s="648"/>
      <c r="H559" s="455"/>
      <c r="I559" s="654"/>
      <c r="J559" s="455"/>
      <c r="K559" s="455"/>
      <c r="L559" s="455"/>
      <c r="M559" s="1405" t="str">
        <f>+IFERROR(VLOOKUP(G559,'S1&amp;2 Lists'!$C$4:$G$200,3,FALSE),"-")</f>
        <v>-</v>
      </c>
      <c r="N559" s="1405" t="str">
        <f t="shared" si="8"/>
        <v>-</v>
      </c>
      <c r="P559" s="1406">
        <f>ROUND(IF(L559='S1&amp;2 Lists'!$CV$3,K559,IF(L559='S1&amp;2 Lists'!$CV$4,K559/'S1&amp;2 Lists'!$CQ$6,0)),3)</f>
        <v>0</v>
      </c>
      <c r="Q559" s="10" t="s">
        <v>12</v>
      </c>
    </row>
    <row r="560" spans="1:17" s="652" customFormat="1">
      <c r="A560" s="455"/>
      <c r="B560" s="455"/>
      <c r="C560" s="653"/>
      <c r="D560" s="455"/>
      <c r="E560" s="654"/>
      <c r="F560" s="455"/>
      <c r="G560" s="648"/>
      <c r="H560" s="455"/>
      <c r="I560" s="654"/>
      <c r="J560" s="455"/>
      <c r="K560" s="455"/>
      <c r="L560" s="455"/>
      <c r="M560" s="1405" t="str">
        <f>+IFERROR(VLOOKUP(G560,'S1&amp;2 Lists'!$C$4:$G$200,3,FALSE),"-")</f>
        <v>-</v>
      </c>
      <c r="N560" s="1405" t="str">
        <f t="shared" si="8"/>
        <v>-</v>
      </c>
      <c r="P560" s="1406">
        <f>ROUND(IF(L560='S1&amp;2 Lists'!$CV$3,K560,IF(L560='S1&amp;2 Lists'!$CV$4,K560/'S1&amp;2 Lists'!$CQ$6,0)),3)</f>
        <v>0</v>
      </c>
      <c r="Q560" s="10" t="s">
        <v>12</v>
      </c>
    </row>
    <row r="561" spans="1:17" s="652" customFormat="1">
      <c r="A561" s="455"/>
      <c r="B561" s="455"/>
      <c r="C561" s="653"/>
      <c r="D561" s="455"/>
      <c r="E561" s="654"/>
      <c r="F561" s="455"/>
      <c r="G561" s="648"/>
      <c r="H561" s="455"/>
      <c r="I561" s="654"/>
      <c r="J561" s="455"/>
      <c r="K561" s="455"/>
      <c r="L561" s="455"/>
      <c r="M561" s="1405" t="str">
        <f>+IFERROR(VLOOKUP(G561,'S1&amp;2 Lists'!$C$4:$G$200,3,FALSE),"-")</f>
        <v>-</v>
      </c>
      <c r="N561" s="1405" t="str">
        <f t="shared" si="8"/>
        <v>-</v>
      </c>
      <c r="P561" s="1406">
        <f>ROUND(IF(L561='S1&amp;2 Lists'!$CV$3,K561,IF(L561='S1&amp;2 Lists'!$CV$4,K561/'S1&amp;2 Lists'!$CQ$6,0)),3)</f>
        <v>0</v>
      </c>
      <c r="Q561" s="10" t="s">
        <v>12</v>
      </c>
    </row>
    <row r="562" spans="1:17" s="652" customFormat="1">
      <c r="A562" s="455"/>
      <c r="B562" s="455"/>
      <c r="C562" s="653"/>
      <c r="D562" s="455"/>
      <c r="E562" s="654"/>
      <c r="F562" s="455"/>
      <c r="G562" s="648"/>
      <c r="H562" s="455"/>
      <c r="I562" s="654"/>
      <c r="J562" s="455"/>
      <c r="K562" s="455"/>
      <c r="L562" s="455"/>
      <c r="M562" s="1405" t="str">
        <f>+IFERROR(VLOOKUP(G562,'S1&amp;2 Lists'!$C$4:$G$200,3,FALSE),"-")</f>
        <v>-</v>
      </c>
      <c r="N562" s="1405" t="str">
        <f t="shared" si="8"/>
        <v>-</v>
      </c>
      <c r="P562" s="1406">
        <f>ROUND(IF(L562='S1&amp;2 Lists'!$CV$3,K562,IF(L562='S1&amp;2 Lists'!$CV$4,K562/'S1&amp;2 Lists'!$CQ$6,0)),3)</f>
        <v>0</v>
      </c>
      <c r="Q562" s="10" t="s">
        <v>12</v>
      </c>
    </row>
    <row r="563" spans="1:17" s="652" customFormat="1">
      <c r="A563" s="455"/>
      <c r="B563" s="455"/>
      <c r="C563" s="653"/>
      <c r="D563" s="455"/>
      <c r="E563" s="654"/>
      <c r="F563" s="455"/>
      <c r="G563" s="648"/>
      <c r="H563" s="455"/>
      <c r="I563" s="654"/>
      <c r="J563" s="455"/>
      <c r="K563" s="455"/>
      <c r="L563" s="455"/>
      <c r="M563" s="1405" t="str">
        <f>+IFERROR(VLOOKUP(G563,'S1&amp;2 Lists'!$C$4:$G$200,3,FALSE),"-")</f>
        <v>-</v>
      </c>
      <c r="N563" s="1405" t="str">
        <f t="shared" si="8"/>
        <v>-</v>
      </c>
      <c r="P563" s="1406">
        <f>ROUND(IF(L563='S1&amp;2 Lists'!$CV$3,K563,IF(L563='S1&amp;2 Lists'!$CV$4,K563/'S1&amp;2 Lists'!$CQ$6,0)),3)</f>
        <v>0</v>
      </c>
      <c r="Q563" s="10" t="s">
        <v>12</v>
      </c>
    </row>
    <row r="564" spans="1:17" s="652" customFormat="1">
      <c r="A564" s="455"/>
      <c r="B564" s="455"/>
      <c r="C564" s="653"/>
      <c r="D564" s="455"/>
      <c r="E564" s="654"/>
      <c r="F564" s="455"/>
      <c r="G564" s="648"/>
      <c r="H564" s="455"/>
      <c r="I564" s="654"/>
      <c r="J564" s="455"/>
      <c r="K564" s="455"/>
      <c r="L564" s="455"/>
      <c r="M564" s="1405" t="str">
        <f>+IFERROR(VLOOKUP(G564,'S1&amp;2 Lists'!$C$4:$G$200,3,FALSE),"-")</f>
        <v>-</v>
      </c>
      <c r="N564" s="1405" t="str">
        <f t="shared" si="8"/>
        <v>-</v>
      </c>
      <c r="P564" s="1406">
        <f>ROUND(IF(L564='S1&amp;2 Lists'!$CV$3,K564,IF(L564='S1&amp;2 Lists'!$CV$4,K564/'S1&amp;2 Lists'!$CQ$6,0)),3)</f>
        <v>0</v>
      </c>
      <c r="Q564" s="10" t="s">
        <v>12</v>
      </c>
    </row>
    <row r="565" spans="1:17" s="652" customFormat="1">
      <c r="A565" s="455"/>
      <c r="B565" s="455"/>
      <c r="C565" s="653"/>
      <c r="D565" s="455"/>
      <c r="E565" s="654"/>
      <c r="F565" s="455"/>
      <c r="G565" s="648"/>
      <c r="H565" s="455"/>
      <c r="I565" s="654"/>
      <c r="J565" s="455"/>
      <c r="K565" s="455"/>
      <c r="L565" s="455"/>
      <c r="M565" s="1405" t="str">
        <f>+IFERROR(VLOOKUP(G565,'S1&amp;2 Lists'!$C$4:$G$200,3,FALSE),"-")</f>
        <v>-</v>
      </c>
      <c r="N565" s="1405" t="str">
        <f t="shared" si="8"/>
        <v>-</v>
      </c>
      <c r="P565" s="1406">
        <f>ROUND(IF(L565='S1&amp;2 Lists'!$CV$3,K565,IF(L565='S1&amp;2 Lists'!$CV$4,K565/'S1&amp;2 Lists'!$CQ$6,0)),3)</f>
        <v>0</v>
      </c>
      <c r="Q565" s="10" t="s">
        <v>12</v>
      </c>
    </row>
    <row r="566" spans="1:17" s="652" customFormat="1">
      <c r="A566" s="455"/>
      <c r="B566" s="455"/>
      <c r="C566" s="653"/>
      <c r="D566" s="455"/>
      <c r="E566" s="654"/>
      <c r="F566" s="455"/>
      <c r="G566" s="648"/>
      <c r="H566" s="455"/>
      <c r="I566" s="654"/>
      <c r="J566" s="455"/>
      <c r="K566" s="455"/>
      <c r="L566" s="455"/>
      <c r="M566" s="1405" t="str">
        <f>+IFERROR(VLOOKUP(G566,'S1&amp;2 Lists'!$C$4:$G$200,3,FALSE),"-")</f>
        <v>-</v>
      </c>
      <c r="N566" s="1405" t="str">
        <f t="shared" si="8"/>
        <v>-</v>
      </c>
      <c r="P566" s="1406">
        <f>ROUND(IF(L566='S1&amp;2 Lists'!$CV$3,K566,IF(L566='S1&amp;2 Lists'!$CV$4,K566/'S1&amp;2 Lists'!$CQ$6,0)),3)</f>
        <v>0</v>
      </c>
      <c r="Q566" s="10" t="s">
        <v>12</v>
      </c>
    </row>
    <row r="567" spans="1:17" s="652" customFormat="1">
      <c r="A567" s="455"/>
      <c r="B567" s="455"/>
      <c r="C567" s="653"/>
      <c r="D567" s="455"/>
      <c r="E567" s="654"/>
      <c r="F567" s="455"/>
      <c r="G567" s="648"/>
      <c r="H567" s="455"/>
      <c r="I567" s="654"/>
      <c r="J567" s="455"/>
      <c r="K567" s="455"/>
      <c r="L567" s="455"/>
      <c r="M567" s="1405" t="str">
        <f>+IFERROR(VLOOKUP(G567,'S1&amp;2 Lists'!$C$4:$G$200,3,FALSE),"-")</f>
        <v>-</v>
      </c>
      <c r="N567" s="1405" t="str">
        <f t="shared" si="8"/>
        <v>-</v>
      </c>
      <c r="P567" s="1406">
        <f>ROUND(IF(L567='S1&amp;2 Lists'!$CV$3,K567,IF(L567='S1&amp;2 Lists'!$CV$4,K567/'S1&amp;2 Lists'!$CQ$6,0)),3)</f>
        <v>0</v>
      </c>
      <c r="Q567" s="10" t="s">
        <v>12</v>
      </c>
    </row>
    <row r="568" spans="1:17" s="652" customFormat="1">
      <c r="A568" s="455"/>
      <c r="B568" s="455"/>
      <c r="C568" s="653"/>
      <c r="D568" s="455"/>
      <c r="E568" s="654"/>
      <c r="F568" s="455"/>
      <c r="G568" s="648"/>
      <c r="H568" s="455"/>
      <c r="I568" s="654"/>
      <c r="J568" s="455"/>
      <c r="K568" s="455"/>
      <c r="L568" s="455"/>
      <c r="M568" s="1405" t="str">
        <f>+IFERROR(VLOOKUP(G568,'S1&amp;2 Lists'!$C$4:$G$200,3,FALSE),"-")</f>
        <v>-</v>
      </c>
      <c r="N568" s="1405" t="str">
        <f t="shared" si="8"/>
        <v>-</v>
      </c>
      <c r="P568" s="1406">
        <f>ROUND(IF(L568='S1&amp;2 Lists'!$CV$3,K568,IF(L568='S1&amp;2 Lists'!$CV$4,K568/'S1&amp;2 Lists'!$CQ$6,0)),3)</f>
        <v>0</v>
      </c>
      <c r="Q568" s="10" t="s">
        <v>12</v>
      </c>
    </row>
    <row r="569" spans="1:17" s="652" customFormat="1">
      <c r="A569" s="455"/>
      <c r="B569" s="455"/>
      <c r="C569" s="653"/>
      <c r="D569" s="455"/>
      <c r="E569" s="654"/>
      <c r="F569" s="455"/>
      <c r="G569" s="648"/>
      <c r="H569" s="455"/>
      <c r="I569" s="654"/>
      <c r="J569" s="455"/>
      <c r="K569" s="455"/>
      <c r="L569" s="455"/>
      <c r="M569" s="1405" t="str">
        <f>+IFERROR(VLOOKUP(G569,'S1&amp;2 Lists'!$C$4:$G$200,3,FALSE),"-")</f>
        <v>-</v>
      </c>
      <c r="N569" s="1405" t="str">
        <f t="shared" si="8"/>
        <v>-</v>
      </c>
      <c r="P569" s="1406">
        <f>ROUND(IF(L569='S1&amp;2 Lists'!$CV$3,K569,IF(L569='S1&amp;2 Lists'!$CV$4,K569/'S1&amp;2 Lists'!$CQ$6,0)),3)</f>
        <v>0</v>
      </c>
      <c r="Q569" s="10" t="s">
        <v>12</v>
      </c>
    </row>
    <row r="570" spans="1:17" s="652" customFormat="1">
      <c r="A570" s="455"/>
      <c r="B570" s="455"/>
      <c r="C570" s="653"/>
      <c r="D570" s="455"/>
      <c r="E570" s="654"/>
      <c r="F570" s="455"/>
      <c r="G570" s="648"/>
      <c r="H570" s="455"/>
      <c r="I570" s="654"/>
      <c r="J570" s="455"/>
      <c r="K570" s="455"/>
      <c r="L570" s="455"/>
      <c r="M570" s="1405" t="str">
        <f>+IFERROR(VLOOKUP(G570,'S1&amp;2 Lists'!$C$4:$G$200,3,FALSE),"-")</f>
        <v>-</v>
      </c>
      <c r="N570" s="1405" t="str">
        <f t="shared" si="8"/>
        <v>-</v>
      </c>
      <c r="P570" s="1406">
        <f>ROUND(IF(L570='S1&amp;2 Lists'!$CV$3,K570,IF(L570='S1&amp;2 Lists'!$CV$4,K570/'S1&amp;2 Lists'!$CQ$6,0)),3)</f>
        <v>0</v>
      </c>
      <c r="Q570" s="10" t="s">
        <v>12</v>
      </c>
    </row>
    <row r="571" spans="1:17" s="652" customFormat="1">
      <c r="A571" s="455"/>
      <c r="B571" s="455"/>
      <c r="C571" s="653"/>
      <c r="D571" s="455"/>
      <c r="E571" s="654"/>
      <c r="F571" s="455"/>
      <c r="G571" s="648"/>
      <c r="H571" s="455"/>
      <c r="I571" s="654"/>
      <c r="J571" s="455"/>
      <c r="K571" s="455"/>
      <c r="L571" s="455"/>
      <c r="M571" s="1405" t="str">
        <f>+IFERROR(VLOOKUP(G571,'S1&amp;2 Lists'!$C$4:$G$200,3,FALSE),"-")</f>
        <v>-</v>
      </c>
      <c r="N571" s="1405" t="str">
        <f t="shared" si="8"/>
        <v>-</v>
      </c>
      <c r="P571" s="1406">
        <f>ROUND(IF(L571='S1&amp;2 Lists'!$CV$3,K571,IF(L571='S1&amp;2 Lists'!$CV$4,K571/'S1&amp;2 Lists'!$CQ$6,0)),3)</f>
        <v>0</v>
      </c>
      <c r="Q571" s="10" t="s">
        <v>12</v>
      </c>
    </row>
    <row r="572" spans="1:17" s="652" customFormat="1">
      <c r="A572" s="455"/>
      <c r="B572" s="455"/>
      <c r="C572" s="653"/>
      <c r="D572" s="455"/>
      <c r="E572" s="654"/>
      <c r="F572" s="455"/>
      <c r="G572" s="648"/>
      <c r="H572" s="455"/>
      <c r="I572" s="654"/>
      <c r="J572" s="455"/>
      <c r="K572" s="455"/>
      <c r="L572" s="455"/>
      <c r="M572" s="1405" t="str">
        <f>+IFERROR(VLOOKUP(G572,'S1&amp;2 Lists'!$C$4:$G$200,3,FALSE),"-")</f>
        <v>-</v>
      </c>
      <c r="N572" s="1405" t="str">
        <f t="shared" si="8"/>
        <v>-</v>
      </c>
      <c r="P572" s="1406">
        <f>ROUND(IF(L572='S1&amp;2 Lists'!$CV$3,K572,IF(L572='S1&amp;2 Lists'!$CV$4,K572/'S1&amp;2 Lists'!$CQ$6,0)),3)</f>
        <v>0</v>
      </c>
      <c r="Q572" s="10" t="s">
        <v>12</v>
      </c>
    </row>
    <row r="573" spans="1:17" s="652" customFormat="1">
      <c r="A573" s="455"/>
      <c r="B573" s="455"/>
      <c r="C573" s="653"/>
      <c r="D573" s="455"/>
      <c r="E573" s="654"/>
      <c r="F573" s="455"/>
      <c r="G573" s="648"/>
      <c r="H573" s="455"/>
      <c r="I573" s="654"/>
      <c r="J573" s="455"/>
      <c r="K573" s="455"/>
      <c r="L573" s="455"/>
      <c r="M573" s="1405" t="str">
        <f>+IFERROR(VLOOKUP(G573,'S1&amp;2 Lists'!$C$4:$G$200,3,FALSE),"-")</f>
        <v>-</v>
      </c>
      <c r="N573" s="1405" t="str">
        <f t="shared" si="8"/>
        <v>-</v>
      </c>
      <c r="P573" s="1406">
        <f>ROUND(IF(L573='S1&amp;2 Lists'!$CV$3,K573,IF(L573='S1&amp;2 Lists'!$CV$4,K573/'S1&amp;2 Lists'!$CQ$6,0)),3)</f>
        <v>0</v>
      </c>
      <c r="Q573" s="10" t="s">
        <v>12</v>
      </c>
    </row>
    <row r="574" spans="1:17" s="652" customFormat="1">
      <c r="A574" s="455"/>
      <c r="B574" s="455"/>
      <c r="C574" s="653"/>
      <c r="D574" s="455"/>
      <c r="E574" s="654"/>
      <c r="F574" s="455"/>
      <c r="G574" s="648"/>
      <c r="H574" s="455"/>
      <c r="I574" s="654"/>
      <c r="J574" s="455"/>
      <c r="K574" s="455"/>
      <c r="L574" s="455"/>
      <c r="M574" s="1405" t="str">
        <f>+IFERROR(VLOOKUP(G574,'S1&amp;2 Lists'!$C$4:$G$200,3,FALSE),"-")</f>
        <v>-</v>
      </c>
      <c r="N574" s="1405" t="str">
        <f t="shared" si="8"/>
        <v>-</v>
      </c>
      <c r="P574" s="1406">
        <f>ROUND(IF(L574='S1&amp;2 Lists'!$CV$3,K574,IF(L574='S1&amp;2 Lists'!$CV$4,K574/'S1&amp;2 Lists'!$CQ$6,0)),3)</f>
        <v>0</v>
      </c>
      <c r="Q574" s="10" t="s">
        <v>12</v>
      </c>
    </row>
    <row r="575" spans="1:17" s="652" customFormat="1">
      <c r="A575" s="455"/>
      <c r="B575" s="455"/>
      <c r="C575" s="653"/>
      <c r="D575" s="455"/>
      <c r="E575" s="654"/>
      <c r="F575" s="455"/>
      <c r="G575" s="648"/>
      <c r="H575" s="455"/>
      <c r="I575" s="654"/>
      <c r="J575" s="455"/>
      <c r="K575" s="455"/>
      <c r="L575" s="455"/>
      <c r="M575" s="1405" t="str">
        <f>+IFERROR(VLOOKUP(G575,'S1&amp;2 Lists'!$C$4:$G$200,3,FALSE),"-")</f>
        <v>-</v>
      </c>
      <c r="N575" s="1405" t="str">
        <f t="shared" si="8"/>
        <v>-</v>
      </c>
      <c r="P575" s="1406">
        <f>ROUND(IF(L575='S1&amp;2 Lists'!$CV$3,K575,IF(L575='S1&amp;2 Lists'!$CV$4,K575/'S1&amp;2 Lists'!$CQ$6,0)),3)</f>
        <v>0</v>
      </c>
      <c r="Q575" s="10" t="s">
        <v>12</v>
      </c>
    </row>
    <row r="576" spans="1:17" s="652" customFormat="1">
      <c r="A576" s="455"/>
      <c r="B576" s="455"/>
      <c r="C576" s="653"/>
      <c r="D576" s="455"/>
      <c r="E576" s="654"/>
      <c r="F576" s="455"/>
      <c r="G576" s="648"/>
      <c r="H576" s="455"/>
      <c r="I576" s="654"/>
      <c r="J576" s="455"/>
      <c r="K576" s="455"/>
      <c r="L576" s="455"/>
      <c r="M576" s="1405" t="str">
        <f>+IFERROR(VLOOKUP(G576,'S1&amp;2 Lists'!$C$4:$G$200,3,FALSE),"-")</f>
        <v>-</v>
      </c>
      <c r="N576" s="1405" t="str">
        <f t="shared" si="8"/>
        <v>-</v>
      </c>
      <c r="P576" s="1406">
        <f>ROUND(IF(L576='S1&amp;2 Lists'!$CV$3,K576,IF(L576='S1&amp;2 Lists'!$CV$4,K576/'S1&amp;2 Lists'!$CQ$6,0)),3)</f>
        <v>0</v>
      </c>
      <c r="Q576" s="10" t="s">
        <v>12</v>
      </c>
    </row>
    <row r="577" spans="1:17" s="652" customFormat="1">
      <c r="A577" s="455"/>
      <c r="B577" s="455"/>
      <c r="C577" s="653"/>
      <c r="D577" s="455"/>
      <c r="E577" s="654"/>
      <c r="F577" s="455"/>
      <c r="G577" s="648"/>
      <c r="H577" s="455"/>
      <c r="I577" s="654"/>
      <c r="J577" s="455"/>
      <c r="K577" s="455"/>
      <c r="L577" s="455"/>
      <c r="M577" s="1405" t="str">
        <f>+IFERROR(VLOOKUP(G577,'S1&amp;2 Lists'!$C$4:$G$200,3,FALSE),"-")</f>
        <v>-</v>
      </c>
      <c r="N577" s="1405" t="str">
        <f t="shared" si="8"/>
        <v>-</v>
      </c>
      <c r="P577" s="1406">
        <f>ROUND(IF(L577='S1&amp;2 Lists'!$CV$3,K577,IF(L577='S1&amp;2 Lists'!$CV$4,K577/'S1&amp;2 Lists'!$CQ$6,0)),3)</f>
        <v>0</v>
      </c>
      <c r="Q577" s="10" t="s">
        <v>12</v>
      </c>
    </row>
    <row r="578" spans="1:17" s="652" customFormat="1">
      <c r="A578" s="455"/>
      <c r="B578" s="455"/>
      <c r="C578" s="653"/>
      <c r="D578" s="455"/>
      <c r="E578" s="654"/>
      <c r="F578" s="455"/>
      <c r="G578" s="648"/>
      <c r="H578" s="455"/>
      <c r="I578" s="654"/>
      <c r="J578" s="455"/>
      <c r="K578" s="455"/>
      <c r="L578" s="455"/>
      <c r="M578" s="1405" t="str">
        <f>+IFERROR(VLOOKUP(G578,'S1&amp;2 Lists'!$C$4:$G$200,3,FALSE),"-")</f>
        <v>-</v>
      </c>
      <c r="N578" s="1405" t="str">
        <f t="shared" si="8"/>
        <v>-</v>
      </c>
      <c r="P578" s="1406">
        <f>ROUND(IF(L578='S1&amp;2 Lists'!$CV$3,K578,IF(L578='S1&amp;2 Lists'!$CV$4,K578/'S1&amp;2 Lists'!$CQ$6,0)),3)</f>
        <v>0</v>
      </c>
      <c r="Q578" s="10" t="s">
        <v>12</v>
      </c>
    </row>
    <row r="579" spans="1:17" s="652" customFormat="1">
      <c r="A579" s="455"/>
      <c r="B579" s="455"/>
      <c r="C579" s="653"/>
      <c r="D579" s="455"/>
      <c r="E579" s="654"/>
      <c r="F579" s="455"/>
      <c r="G579" s="648"/>
      <c r="H579" s="455"/>
      <c r="I579" s="654"/>
      <c r="J579" s="455"/>
      <c r="K579" s="455"/>
      <c r="L579" s="455"/>
      <c r="M579" s="1405" t="str">
        <f>+IFERROR(VLOOKUP(G579,'S1&amp;2 Lists'!$C$4:$G$200,3,FALSE),"-")</f>
        <v>-</v>
      </c>
      <c r="N579" s="1405" t="str">
        <f t="shared" si="8"/>
        <v>-</v>
      </c>
      <c r="P579" s="1406">
        <f>ROUND(IF(L579='S1&amp;2 Lists'!$CV$3,K579,IF(L579='S1&amp;2 Lists'!$CV$4,K579/'S1&amp;2 Lists'!$CQ$6,0)),3)</f>
        <v>0</v>
      </c>
      <c r="Q579" s="10" t="s">
        <v>12</v>
      </c>
    </row>
    <row r="580" spans="1:17" s="652" customFormat="1">
      <c r="A580" s="455"/>
      <c r="B580" s="455"/>
      <c r="C580" s="653"/>
      <c r="D580" s="455"/>
      <c r="E580" s="654"/>
      <c r="F580" s="455"/>
      <c r="G580" s="648"/>
      <c r="H580" s="455"/>
      <c r="I580" s="654"/>
      <c r="J580" s="455"/>
      <c r="K580" s="455"/>
      <c r="L580" s="455"/>
      <c r="M580" s="1405" t="str">
        <f>+IFERROR(VLOOKUP(G580,'S1&amp;2 Lists'!$C$4:$G$200,3,FALSE),"-")</f>
        <v>-</v>
      </c>
      <c r="N580" s="1405" t="str">
        <f t="shared" si="8"/>
        <v>-</v>
      </c>
      <c r="P580" s="1406">
        <f>ROUND(IF(L580='S1&amp;2 Lists'!$CV$3,K580,IF(L580='S1&amp;2 Lists'!$CV$4,K580/'S1&amp;2 Lists'!$CQ$6,0)),3)</f>
        <v>0</v>
      </c>
      <c r="Q580" s="10" t="s">
        <v>12</v>
      </c>
    </row>
    <row r="581" spans="1:17" s="652" customFormat="1">
      <c r="A581" s="455"/>
      <c r="B581" s="455"/>
      <c r="C581" s="653"/>
      <c r="D581" s="455"/>
      <c r="E581" s="654"/>
      <c r="F581" s="455"/>
      <c r="G581" s="648"/>
      <c r="H581" s="455"/>
      <c r="I581" s="654"/>
      <c r="J581" s="455"/>
      <c r="K581" s="455"/>
      <c r="L581" s="455"/>
      <c r="M581" s="1405" t="str">
        <f>+IFERROR(VLOOKUP(G581,'S1&amp;2 Lists'!$C$4:$G$200,3,FALSE),"-")</f>
        <v>-</v>
      </c>
      <c r="N581" s="1405" t="str">
        <f t="shared" si="8"/>
        <v>-</v>
      </c>
      <c r="P581" s="1406">
        <f>ROUND(IF(L581='S1&amp;2 Lists'!$CV$3,K581,IF(L581='S1&amp;2 Lists'!$CV$4,K581/'S1&amp;2 Lists'!$CQ$6,0)),3)</f>
        <v>0</v>
      </c>
      <c r="Q581" s="10" t="s">
        <v>12</v>
      </c>
    </row>
    <row r="582" spans="1:17" s="652" customFormat="1">
      <c r="A582" s="455"/>
      <c r="B582" s="455"/>
      <c r="C582" s="653"/>
      <c r="D582" s="455"/>
      <c r="E582" s="654"/>
      <c r="F582" s="455"/>
      <c r="G582" s="648"/>
      <c r="H582" s="455"/>
      <c r="I582" s="654"/>
      <c r="J582" s="455"/>
      <c r="K582" s="455"/>
      <c r="L582" s="455"/>
      <c r="M582" s="1405" t="str">
        <f>+IFERROR(VLOOKUP(G582,'S1&amp;2 Lists'!$C$4:$G$200,3,FALSE),"-")</f>
        <v>-</v>
      </c>
      <c r="N582" s="1405" t="str">
        <f t="shared" si="8"/>
        <v>-</v>
      </c>
      <c r="P582" s="1406">
        <f>ROUND(IF(L582='S1&amp;2 Lists'!$CV$3,K582,IF(L582='S1&amp;2 Lists'!$CV$4,K582/'S1&amp;2 Lists'!$CQ$6,0)),3)</f>
        <v>0</v>
      </c>
      <c r="Q582" s="10" t="s">
        <v>12</v>
      </c>
    </row>
    <row r="583" spans="1:17" s="652" customFormat="1">
      <c r="A583" s="455"/>
      <c r="B583" s="455"/>
      <c r="C583" s="653"/>
      <c r="D583" s="455"/>
      <c r="E583" s="654"/>
      <c r="F583" s="455"/>
      <c r="G583" s="648"/>
      <c r="H583" s="455"/>
      <c r="I583" s="654"/>
      <c r="J583" s="455"/>
      <c r="K583" s="455"/>
      <c r="L583" s="455"/>
      <c r="M583" s="1405" t="str">
        <f>+IFERROR(VLOOKUP(G583,'S1&amp;2 Lists'!$C$4:$G$200,3,FALSE),"-")</f>
        <v>-</v>
      </c>
      <c r="N583" s="1405" t="str">
        <f t="shared" si="8"/>
        <v>-</v>
      </c>
      <c r="P583" s="1406">
        <f>ROUND(IF(L583='S1&amp;2 Lists'!$CV$3,K583,IF(L583='S1&amp;2 Lists'!$CV$4,K583/'S1&amp;2 Lists'!$CQ$6,0)),3)</f>
        <v>0</v>
      </c>
      <c r="Q583" s="10" t="s">
        <v>12</v>
      </c>
    </row>
    <row r="584" spans="1:17" s="652" customFormat="1">
      <c r="A584" s="455"/>
      <c r="B584" s="455"/>
      <c r="C584" s="653"/>
      <c r="D584" s="455"/>
      <c r="E584" s="654"/>
      <c r="F584" s="455"/>
      <c r="G584" s="648"/>
      <c r="H584" s="455"/>
      <c r="I584" s="654"/>
      <c r="J584" s="455"/>
      <c r="K584" s="455"/>
      <c r="L584" s="455"/>
      <c r="M584" s="1405" t="str">
        <f>+IFERROR(VLOOKUP(G584,'S1&amp;2 Lists'!$C$4:$G$200,3,FALSE),"-")</f>
        <v>-</v>
      </c>
      <c r="N584" s="1405" t="str">
        <f t="shared" si="8"/>
        <v>-</v>
      </c>
      <c r="P584" s="1406">
        <f>ROUND(IF(L584='S1&amp;2 Lists'!$CV$3,K584,IF(L584='S1&amp;2 Lists'!$CV$4,K584/'S1&amp;2 Lists'!$CQ$6,0)),3)</f>
        <v>0</v>
      </c>
      <c r="Q584" s="10" t="s">
        <v>12</v>
      </c>
    </row>
    <row r="585" spans="1:17" s="652" customFormat="1">
      <c r="A585" s="455"/>
      <c r="B585" s="455"/>
      <c r="C585" s="653"/>
      <c r="D585" s="455"/>
      <c r="E585" s="654"/>
      <c r="F585" s="455"/>
      <c r="G585" s="648"/>
      <c r="H585" s="455"/>
      <c r="I585" s="654"/>
      <c r="J585" s="455"/>
      <c r="K585" s="455"/>
      <c r="L585" s="455"/>
      <c r="M585" s="1405" t="str">
        <f>+IFERROR(VLOOKUP(G585,'S1&amp;2 Lists'!$C$4:$G$200,3,FALSE),"-")</f>
        <v>-</v>
      </c>
      <c r="N585" s="1405" t="str">
        <f t="shared" si="8"/>
        <v>-</v>
      </c>
      <c r="P585" s="1406">
        <f>ROUND(IF(L585='S1&amp;2 Lists'!$CV$3,K585,IF(L585='S1&amp;2 Lists'!$CV$4,K585/'S1&amp;2 Lists'!$CQ$6,0)),3)</f>
        <v>0</v>
      </c>
      <c r="Q585" s="10" t="s">
        <v>12</v>
      </c>
    </row>
    <row r="586" spans="1:17" s="652" customFormat="1">
      <c r="A586" s="455"/>
      <c r="B586" s="455"/>
      <c r="C586" s="653"/>
      <c r="D586" s="455"/>
      <c r="E586" s="654"/>
      <c r="F586" s="455"/>
      <c r="G586" s="648"/>
      <c r="H586" s="455"/>
      <c r="I586" s="654"/>
      <c r="J586" s="455"/>
      <c r="K586" s="455"/>
      <c r="L586" s="455"/>
      <c r="M586" s="1405" t="str">
        <f>+IFERROR(VLOOKUP(G586,'S1&amp;2 Lists'!$C$4:$G$200,3,FALSE),"-")</f>
        <v>-</v>
      </c>
      <c r="N586" s="1405" t="str">
        <f t="shared" si="8"/>
        <v>-</v>
      </c>
      <c r="P586" s="1406">
        <f>ROUND(IF(L586='S1&amp;2 Lists'!$CV$3,K586,IF(L586='S1&amp;2 Lists'!$CV$4,K586/'S1&amp;2 Lists'!$CQ$6,0)),3)</f>
        <v>0</v>
      </c>
      <c r="Q586" s="10" t="s">
        <v>12</v>
      </c>
    </row>
    <row r="587" spans="1:17" s="652" customFormat="1">
      <c r="A587" s="455"/>
      <c r="B587" s="455"/>
      <c r="C587" s="653"/>
      <c r="D587" s="455"/>
      <c r="E587" s="654"/>
      <c r="F587" s="455"/>
      <c r="G587" s="648"/>
      <c r="H587" s="455"/>
      <c r="I587" s="654"/>
      <c r="J587" s="455"/>
      <c r="K587" s="455"/>
      <c r="L587" s="455"/>
      <c r="M587" s="1405" t="str">
        <f>+IFERROR(VLOOKUP(G587,'S1&amp;2 Lists'!$C$4:$G$200,3,FALSE),"-")</f>
        <v>-</v>
      </c>
      <c r="N587" s="1405" t="str">
        <f t="shared" ref="N587:N650" si="9">+IFERROR(P587*M587,"-")</f>
        <v>-</v>
      </c>
      <c r="P587" s="1406">
        <f>ROUND(IF(L587='S1&amp;2 Lists'!$CV$3,K587,IF(L587='S1&amp;2 Lists'!$CV$4,K587/'S1&amp;2 Lists'!$CQ$6,0)),3)</f>
        <v>0</v>
      </c>
      <c r="Q587" s="10" t="s">
        <v>12</v>
      </c>
    </row>
    <row r="588" spans="1:17" s="652" customFormat="1">
      <c r="A588" s="455"/>
      <c r="B588" s="455"/>
      <c r="C588" s="653"/>
      <c r="D588" s="455"/>
      <c r="E588" s="654"/>
      <c r="F588" s="455"/>
      <c r="G588" s="648"/>
      <c r="H588" s="455"/>
      <c r="I588" s="654"/>
      <c r="J588" s="455"/>
      <c r="K588" s="455"/>
      <c r="L588" s="455"/>
      <c r="M588" s="1405" t="str">
        <f>+IFERROR(VLOOKUP(G588,'S1&amp;2 Lists'!$C$4:$G$200,3,FALSE),"-")</f>
        <v>-</v>
      </c>
      <c r="N588" s="1405" t="str">
        <f t="shared" si="9"/>
        <v>-</v>
      </c>
      <c r="P588" s="1406">
        <f>ROUND(IF(L588='S1&amp;2 Lists'!$CV$3,K588,IF(L588='S1&amp;2 Lists'!$CV$4,K588/'S1&amp;2 Lists'!$CQ$6,0)),3)</f>
        <v>0</v>
      </c>
      <c r="Q588" s="10" t="s">
        <v>12</v>
      </c>
    </row>
    <row r="589" spans="1:17" s="652" customFormat="1">
      <c r="A589" s="455"/>
      <c r="B589" s="455"/>
      <c r="C589" s="653"/>
      <c r="D589" s="455"/>
      <c r="E589" s="654"/>
      <c r="F589" s="455"/>
      <c r="G589" s="648"/>
      <c r="H589" s="455"/>
      <c r="I589" s="654"/>
      <c r="J589" s="455"/>
      <c r="K589" s="455"/>
      <c r="L589" s="455"/>
      <c r="M589" s="1405" t="str">
        <f>+IFERROR(VLOOKUP(G589,'S1&amp;2 Lists'!$C$4:$G$200,3,FALSE),"-")</f>
        <v>-</v>
      </c>
      <c r="N589" s="1405" t="str">
        <f t="shared" si="9"/>
        <v>-</v>
      </c>
      <c r="P589" s="1406">
        <f>ROUND(IF(L589='S1&amp;2 Lists'!$CV$3,K589,IF(L589='S1&amp;2 Lists'!$CV$4,K589/'S1&amp;2 Lists'!$CQ$6,0)),3)</f>
        <v>0</v>
      </c>
      <c r="Q589" s="10" t="s">
        <v>12</v>
      </c>
    </row>
    <row r="590" spans="1:17" s="652" customFormat="1">
      <c r="A590" s="455"/>
      <c r="B590" s="455"/>
      <c r="C590" s="653"/>
      <c r="D590" s="455"/>
      <c r="E590" s="654"/>
      <c r="F590" s="455"/>
      <c r="G590" s="648"/>
      <c r="H590" s="455"/>
      <c r="I590" s="654"/>
      <c r="J590" s="455"/>
      <c r="K590" s="455"/>
      <c r="L590" s="455"/>
      <c r="M590" s="1405" t="str">
        <f>+IFERROR(VLOOKUP(G590,'S1&amp;2 Lists'!$C$4:$G$200,3,FALSE),"-")</f>
        <v>-</v>
      </c>
      <c r="N590" s="1405" t="str">
        <f t="shared" si="9"/>
        <v>-</v>
      </c>
      <c r="P590" s="1406">
        <f>ROUND(IF(L590='S1&amp;2 Lists'!$CV$3,K590,IF(L590='S1&amp;2 Lists'!$CV$4,K590/'S1&amp;2 Lists'!$CQ$6,0)),3)</f>
        <v>0</v>
      </c>
      <c r="Q590" s="10" t="s">
        <v>12</v>
      </c>
    </row>
    <row r="591" spans="1:17" s="652" customFormat="1">
      <c r="A591" s="455"/>
      <c r="B591" s="455"/>
      <c r="C591" s="653"/>
      <c r="D591" s="455"/>
      <c r="E591" s="654"/>
      <c r="F591" s="455"/>
      <c r="G591" s="648"/>
      <c r="H591" s="455"/>
      <c r="I591" s="654"/>
      <c r="J591" s="455"/>
      <c r="K591" s="455"/>
      <c r="L591" s="455"/>
      <c r="M591" s="1405" t="str">
        <f>+IFERROR(VLOOKUP(G591,'S1&amp;2 Lists'!$C$4:$G$200,3,FALSE),"-")</f>
        <v>-</v>
      </c>
      <c r="N591" s="1405" t="str">
        <f t="shared" si="9"/>
        <v>-</v>
      </c>
      <c r="P591" s="1406">
        <f>ROUND(IF(L591='S1&amp;2 Lists'!$CV$3,K591,IF(L591='S1&amp;2 Lists'!$CV$4,K591/'S1&amp;2 Lists'!$CQ$6,0)),3)</f>
        <v>0</v>
      </c>
      <c r="Q591" s="10" t="s">
        <v>12</v>
      </c>
    </row>
    <row r="592" spans="1:17" s="652" customFormat="1">
      <c r="A592" s="455"/>
      <c r="B592" s="455"/>
      <c r="C592" s="653"/>
      <c r="D592" s="455"/>
      <c r="E592" s="654"/>
      <c r="F592" s="455"/>
      <c r="G592" s="648"/>
      <c r="H592" s="455"/>
      <c r="I592" s="654"/>
      <c r="J592" s="455"/>
      <c r="K592" s="455"/>
      <c r="L592" s="455"/>
      <c r="M592" s="1405" t="str">
        <f>+IFERROR(VLOOKUP(G592,'S1&amp;2 Lists'!$C$4:$G$200,3,FALSE),"-")</f>
        <v>-</v>
      </c>
      <c r="N592" s="1405" t="str">
        <f t="shared" si="9"/>
        <v>-</v>
      </c>
      <c r="P592" s="1406">
        <f>ROUND(IF(L592='S1&amp;2 Lists'!$CV$3,K592,IF(L592='S1&amp;2 Lists'!$CV$4,K592/'S1&amp;2 Lists'!$CQ$6,0)),3)</f>
        <v>0</v>
      </c>
      <c r="Q592" s="10" t="s">
        <v>12</v>
      </c>
    </row>
    <row r="593" spans="1:17" s="652" customFormat="1">
      <c r="A593" s="455"/>
      <c r="B593" s="455"/>
      <c r="C593" s="653"/>
      <c r="D593" s="455"/>
      <c r="E593" s="654"/>
      <c r="F593" s="455"/>
      <c r="G593" s="648"/>
      <c r="H593" s="455"/>
      <c r="I593" s="654"/>
      <c r="J593" s="455"/>
      <c r="K593" s="455"/>
      <c r="L593" s="455"/>
      <c r="M593" s="1405" t="str">
        <f>+IFERROR(VLOOKUP(G593,'S1&amp;2 Lists'!$C$4:$G$200,3,FALSE),"-")</f>
        <v>-</v>
      </c>
      <c r="N593" s="1405" t="str">
        <f t="shared" si="9"/>
        <v>-</v>
      </c>
      <c r="P593" s="1406">
        <f>ROUND(IF(L593='S1&amp;2 Lists'!$CV$3,K593,IF(L593='S1&amp;2 Lists'!$CV$4,K593/'S1&amp;2 Lists'!$CQ$6,0)),3)</f>
        <v>0</v>
      </c>
      <c r="Q593" s="10" t="s">
        <v>12</v>
      </c>
    </row>
    <row r="594" spans="1:17" s="652" customFormat="1">
      <c r="A594" s="455"/>
      <c r="B594" s="455"/>
      <c r="C594" s="653"/>
      <c r="D594" s="455"/>
      <c r="E594" s="654"/>
      <c r="F594" s="455"/>
      <c r="G594" s="648"/>
      <c r="H594" s="455"/>
      <c r="I594" s="654"/>
      <c r="J594" s="455"/>
      <c r="K594" s="455"/>
      <c r="L594" s="455"/>
      <c r="M594" s="1405" t="str">
        <f>+IFERROR(VLOOKUP(G594,'S1&amp;2 Lists'!$C$4:$G$200,3,FALSE),"-")</f>
        <v>-</v>
      </c>
      <c r="N594" s="1405" t="str">
        <f t="shared" si="9"/>
        <v>-</v>
      </c>
      <c r="P594" s="1406">
        <f>ROUND(IF(L594='S1&amp;2 Lists'!$CV$3,K594,IF(L594='S1&amp;2 Lists'!$CV$4,K594/'S1&amp;2 Lists'!$CQ$6,0)),3)</f>
        <v>0</v>
      </c>
      <c r="Q594" s="10" t="s">
        <v>12</v>
      </c>
    </row>
    <row r="595" spans="1:17" s="652" customFormat="1">
      <c r="A595" s="455"/>
      <c r="B595" s="455"/>
      <c r="C595" s="653"/>
      <c r="D595" s="455"/>
      <c r="E595" s="654"/>
      <c r="F595" s="455"/>
      <c r="G595" s="648"/>
      <c r="H595" s="455"/>
      <c r="I595" s="654"/>
      <c r="J595" s="455"/>
      <c r="K595" s="455"/>
      <c r="L595" s="455"/>
      <c r="M595" s="1405" t="str">
        <f>+IFERROR(VLOOKUP(G595,'S1&amp;2 Lists'!$C$4:$G$200,3,FALSE),"-")</f>
        <v>-</v>
      </c>
      <c r="N595" s="1405" t="str">
        <f t="shared" si="9"/>
        <v>-</v>
      </c>
      <c r="P595" s="1406">
        <f>ROUND(IF(L595='S1&amp;2 Lists'!$CV$3,K595,IF(L595='S1&amp;2 Lists'!$CV$4,K595/'S1&amp;2 Lists'!$CQ$6,0)),3)</f>
        <v>0</v>
      </c>
      <c r="Q595" s="10" t="s">
        <v>12</v>
      </c>
    </row>
    <row r="596" spans="1:17" s="652" customFormat="1">
      <c r="A596" s="455"/>
      <c r="B596" s="455"/>
      <c r="C596" s="653"/>
      <c r="D596" s="455"/>
      <c r="E596" s="654"/>
      <c r="F596" s="455"/>
      <c r="G596" s="648"/>
      <c r="H596" s="455"/>
      <c r="I596" s="654"/>
      <c r="J596" s="455"/>
      <c r="K596" s="455"/>
      <c r="L596" s="455"/>
      <c r="M596" s="1405" t="str">
        <f>+IFERROR(VLOOKUP(G596,'S1&amp;2 Lists'!$C$4:$G$200,3,FALSE),"-")</f>
        <v>-</v>
      </c>
      <c r="N596" s="1405" t="str">
        <f t="shared" si="9"/>
        <v>-</v>
      </c>
      <c r="P596" s="1406">
        <f>ROUND(IF(L596='S1&amp;2 Lists'!$CV$3,K596,IF(L596='S1&amp;2 Lists'!$CV$4,K596/'S1&amp;2 Lists'!$CQ$6,0)),3)</f>
        <v>0</v>
      </c>
      <c r="Q596" s="10" t="s">
        <v>12</v>
      </c>
    </row>
    <row r="597" spans="1:17" s="652" customFormat="1">
      <c r="A597" s="455"/>
      <c r="B597" s="455"/>
      <c r="C597" s="653"/>
      <c r="D597" s="455"/>
      <c r="E597" s="654"/>
      <c r="F597" s="455"/>
      <c r="G597" s="648"/>
      <c r="H597" s="455"/>
      <c r="I597" s="654"/>
      <c r="J597" s="455"/>
      <c r="K597" s="455"/>
      <c r="L597" s="455"/>
      <c r="M597" s="1405" t="str">
        <f>+IFERROR(VLOOKUP(G597,'S1&amp;2 Lists'!$C$4:$G$200,3,FALSE),"-")</f>
        <v>-</v>
      </c>
      <c r="N597" s="1405" t="str">
        <f t="shared" si="9"/>
        <v>-</v>
      </c>
      <c r="P597" s="1406">
        <f>ROUND(IF(L597='S1&amp;2 Lists'!$CV$3,K597,IF(L597='S1&amp;2 Lists'!$CV$4,K597/'S1&amp;2 Lists'!$CQ$6,0)),3)</f>
        <v>0</v>
      </c>
      <c r="Q597" s="10" t="s">
        <v>12</v>
      </c>
    </row>
    <row r="598" spans="1:17" s="652" customFormat="1">
      <c r="A598" s="455"/>
      <c r="B598" s="455"/>
      <c r="C598" s="653"/>
      <c r="D598" s="455"/>
      <c r="E598" s="654"/>
      <c r="F598" s="455"/>
      <c r="G598" s="648"/>
      <c r="H598" s="455"/>
      <c r="I598" s="654"/>
      <c r="J598" s="455"/>
      <c r="K598" s="455"/>
      <c r="L598" s="455"/>
      <c r="M598" s="1405" t="str">
        <f>+IFERROR(VLOOKUP(G598,'S1&amp;2 Lists'!$C$4:$G$200,3,FALSE),"-")</f>
        <v>-</v>
      </c>
      <c r="N598" s="1405" t="str">
        <f t="shared" si="9"/>
        <v>-</v>
      </c>
      <c r="P598" s="1406">
        <f>ROUND(IF(L598='S1&amp;2 Lists'!$CV$3,K598,IF(L598='S1&amp;2 Lists'!$CV$4,K598/'S1&amp;2 Lists'!$CQ$6,0)),3)</f>
        <v>0</v>
      </c>
      <c r="Q598" s="10" t="s">
        <v>12</v>
      </c>
    </row>
    <row r="599" spans="1:17" s="652" customFormat="1">
      <c r="A599" s="455"/>
      <c r="B599" s="455"/>
      <c r="C599" s="653"/>
      <c r="D599" s="455"/>
      <c r="E599" s="654"/>
      <c r="F599" s="455"/>
      <c r="G599" s="648"/>
      <c r="H599" s="455"/>
      <c r="I599" s="654"/>
      <c r="J599" s="455"/>
      <c r="K599" s="455"/>
      <c r="L599" s="455"/>
      <c r="M599" s="1405" t="str">
        <f>+IFERROR(VLOOKUP(G599,'S1&amp;2 Lists'!$C$4:$G$200,3,FALSE),"-")</f>
        <v>-</v>
      </c>
      <c r="N599" s="1405" t="str">
        <f t="shared" si="9"/>
        <v>-</v>
      </c>
      <c r="P599" s="1406">
        <f>ROUND(IF(L599='S1&amp;2 Lists'!$CV$3,K599,IF(L599='S1&amp;2 Lists'!$CV$4,K599/'S1&amp;2 Lists'!$CQ$6,0)),3)</f>
        <v>0</v>
      </c>
      <c r="Q599" s="10" t="s">
        <v>12</v>
      </c>
    </row>
    <row r="600" spans="1:17" s="652" customFormat="1">
      <c r="A600" s="455"/>
      <c r="B600" s="455"/>
      <c r="C600" s="653"/>
      <c r="D600" s="455"/>
      <c r="E600" s="654"/>
      <c r="F600" s="455"/>
      <c r="G600" s="648"/>
      <c r="H600" s="455"/>
      <c r="I600" s="654"/>
      <c r="J600" s="455"/>
      <c r="K600" s="455"/>
      <c r="L600" s="455"/>
      <c r="M600" s="1405" t="str">
        <f>+IFERROR(VLOOKUP(G600,'S1&amp;2 Lists'!$C$4:$G$200,3,FALSE),"-")</f>
        <v>-</v>
      </c>
      <c r="N600" s="1405" t="str">
        <f t="shared" si="9"/>
        <v>-</v>
      </c>
      <c r="P600" s="1406">
        <f>ROUND(IF(L600='S1&amp;2 Lists'!$CV$3,K600,IF(L600='S1&amp;2 Lists'!$CV$4,K600/'S1&amp;2 Lists'!$CQ$6,0)),3)</f>
        <v>0</v>
      </c>
      <c r="Q600" s="10" t="s">
        <v>12</v>
      </c>
    </row>
    <row r="601" spans="1:17" s="652" customFormat="1">
      <c r="A601" s="455"/>
      <c r="B601" s="455"/>
      <c r="C601" s="653"/>
      <c r="D601" s="455"/>
      <c r="E601" s="654"/>
      <c r="F601" s="455"/>
      <c r="G601" s="648"/>
      <c r="H601" s="455"/>
      <c r="I601" s="654"/>
      <c r="J601" s="455"/>
      <c r="K601" s="455"/>
      <c r="L601" s="455"/>
      <c r="M601" s="1405" t="str">
        <f>+IFERROR(VLOOKUP(G601,'S1&amp;2 Lists'!$C$4:$G$200,3,FALSE),"-")</f>
        <v>-</v>
      </c>
      <c r="N601" s="1405" t="str">
        <f t="shared" si="9"/>
        <v>-</v>
      </c>
      <c r="P601" s="1406">
        <f>ROUND(IF(L601='S1&amp;2 Lists'!$CV$3,K601,IF(L601='S1&amp;2 Lists'!$CV$4,K601/'S1&amp;2 Lists'!$CQ$6,0)),3)</f>
        <v>0</v>
      </c>
      <c r="Q601" s="10" t="s">
        <v>12</v>
      </c>
    </row>
    <row r="602" spans="1:17" s="652" customFormat="1">
      <c r="A602" s="455"/>
      <c r="B602" s="455"/>
      <c r="C602" s="653"/>
      <c r="D602" s="455"/>
      <c r="E602" s="654"/>
      <c r="F602" s="455"/>
      <c r="G602" s="648"/>
      <c r="H602" s="455"/>
      <c r="I602" s="654"/>
      <c r="J602" s="455"/>
      <c r="K602" s="455"/>
      <c r="L602" s="455"/>
      <c r="M602" s="1405" t="str">
        <f>+IFERROR(VLOOKUP(G602,'S1&amp;2 Lists'!$C$4:$G$200,3,FALSE),"-")</f>
        <v>-</v>
      </c>
      <c r="N602" s="1405" t="str">
        <f t="shared" si="9"/>
        <v>-</v>
      </c>
      <c r="P602" s="1406">
        <f>ROUND(IF(L602='S1&amp;2 Lists'!$CV$3,K602,IF(L602='S1&amp;2 Lists'!$CV$4,K602/'S1&amp;2 Lists'!$CQ$6,0)),3)</f>
        <v>0</v>
      </c>
      <c r="Q602" s="10" t="s">
        <v>12</v>
      </c>
    </row>
    <row r="603" spans="1:17" s="652" customFormat="1">
      <c r="A603" s="455"/>
      <c r="B603" s="455"/>
      <c r="C603" s="653"/>
      <c r="D603" s="455"/>
      <c r="E603" s="654"/>
      <c r="F603" s="455"/>
      <c r="G603" s="648"/>
      <c r="H603" s="455"/>
      <c r="I603" s="654"/>
      <c r="J603" s="455"/>
      <c r="K603" s="455"/>
      <c r="L603" s="455"/>
      <c r="M603" s="1405" t="str">
        <f>+IFERROR(VLOOKUP(G603,'S1&amp;2 Lists'!$C$4:$G$200,3,FALSE),"-")</f>
        <v>-</v>
      </c>
      <c r="N603" s="1405" t="str">
        <f t="shared" si="9"/>
        <v>-</v>
      </c>
      <c r="P603" s="1406">
        <f>ROUND(IF(L603='S1&amp;2 Lists'!$CV$3,K603,IF(L603='S1&amp;2 Lists'!$CV$4,K603/'S1&amp;2 Lists'!$CQ$6,0)),3)</f>
        <v>0</v>
      </c>
      <c r="Q603" s="10" t="s">
        <v>12</v>
      </c>
    </row>
    <row r="604" spans="1:17" s="652" customFormat="1">
      <c r="A604" s="455"/>
      <c r="B604" s="455"/>
      <c r="C604" s="653"/>
      <c r="D604" s="455"/>
      <c r="E604" s="654"/>
      <c r="F604" s="455"/>
      <c r="G604" s="648"/>
      <c r="H604" s="455"/>
      <c r="I604" s="654"/>
      <c r="J604" s="455"/>
      <c r="K604" s="455"/>
      <c r="L604" s="455"/>
      <c r="M604" s="1405" t="str">
        <f>+IFERROR(VLOOKUP(G604,'S1&amp;2 Lists'!$C$4:$G$200,3,FALSE),"-")</f>
        <v>-</v>
      </c>
      <c r="N604" s="1405" t="str">
        <f t="shared" si="9"/>
        <v>-</v>
      </c>
      <c r="P604" s="1406">
        <f>ROUND(IF(L604='S1&amp;2 Lists'!$CV$3,K604,IF(L604='S1&amp;2 Lists'!$CV$4,K604/'S1&amp;2 Lists'!$CQ$6,0)),3)</f>
        <v>0</v>
      </c>
      <c r="Q604" s="10" t="s">
        <v>12</v>
      </c>
    </row>
    <row r="605" spans="1:17" s="652" customFormat="1">
      <c r="A605" s="455"/>
      <c r="B605" s="455"/>
      <c r="C605" s="653"/>
      <c r="D605" s="455"/>
      <c r="E605" s="654"/>
      <c r="F605" s="455"/>
      <c r="G605" s="648"/>
      <c r="H605" s="455"/>
      <c r="I605" s="654"/>
      <c r="J605" s="455"/>
      <c r="K605" s="455"/>
      <c r="L605" s="455"/>
      <c r="M605" s="1405" t="str">
        <f>+IFERROR(VLOOKUP(G605,'S1&amp;2 Lists'!$C$4:$G$200,3,FALSE),"-")</f>
        <v>-</v>
      </c>
      <c r="N605" s="1405" t="str">
        <f t="shared" si="9"/>
        <v>-</v>
      </c>
      <c r="P605" s="1406">
        <f>ROUND(IF(L605='S1&amp;2 Lists'!$CV$3,K605,IF(L605='S1&amp;2 Lists'!$CV$4,K605/'S1&amp;2 Lists'!$CQ$6,0)),3)</f>
        <v>0</v>
      </c>
      <c r="Q605" s="10" t="s">
        <v>12</v>
      </c>
    </row>
    <row r="606" spans="1:17" s="652" customFormat="1">
      <c r="A606" s="455"/>
      <c r="B606" s="455"/>
      <c r="C606" s="653"/>
      <c r="D606" s="455"/>
      <c r="E606" s="654"/>
      <c r="F606" s="455"/>
      <c r="G606" s="648"/>
      <c r="H606" s="455"/>
      <c r="I606" s="654"/>
      <c r="J606" s="455"/>
      <c r="K606" s="455"/>
      <c r="L606" s="455"/>
      <c r="M606" s="1405" t="str">
        <f>+IFERROR(VLOOKUP(G606,'S1&amp;2 Lists'!$C$4:$G$200,3,FALSE),"-")</f>
        <v>-</v>
      </c>
      <c r="N606" s="1405" t="str">
        <f t="shared" si="9"/>
        <v>-</v>
      </c>
      <c r="P606" s="1406">
        <f>ROUND(IF(L606='S1&amp;2 Lists'!$CV$3,K606,IF(L606='S1&amp;2 Lists'!$CV$4,K606/'S1&amp;2 Lists'!$CQ$6,0)),3)</f>
        <v>0</v>
      </c>
      <c r="Q606" s="10" t="s">
        <v>12</v>
      </c>
    </row>
    <row r="607" spans="1:17" s="652" customFormat="1">
      <c r="A607" s="455"/>
      <c r="B607" s="455"/>
      <c r="C607" s="653"/>
      <c r="D607" s="455"/>
      <c r="E607" s="654"/>
      <c r="F607" s="455"/>
      <c r="G607" s="648"/>
      <c r="H607" s="455"/>
      <c r="I607" s="654"/>
      <c r="J607" s="455"/>
      <c r="K607" s="455"/>
      <c r="L607" s="455"/>
      <c r="M607" s="1405" t="str">
        <f>+IFERROR(VLOOKUP(G607,'S1&amp;2 Lists'!$C$4:$G$200,3,FALSE),"-")</f>
        <v>-</v>
      </c>
      <c r="N607" s="1405" t="str">
        <f t="shared" si="9"/>
        <v>-</v>
      </c>
      <c r="P607" s="1406">
        <f>ROUND(IF(L607='S1&amp;2 Lists'!$CV$3,K607,IF(L607='S1&amp;2 Lists'!$CV$4,K607/'S1&amp;2 Lists'!$CQ$6,0)),3)</f>
        <v>0</v>
      </c>
      <c r="Q607" s="10" t="s">
        <v>12</v>
      </c>
    </row>
    <row r="608" spans="1:17" s="652" customFormat="1">
      <c r="A608" s="455"/>
      <c r="B608" s="455"/>
      <c r="C608" s="653"/>
      <c r="D608" s="455"/>
      <c r="E608" s="654"/>
      <c r="F608" s="455"/>
      <c r="G608" s="648"/>
      <c r="H608" s="455"/>
      <c r="I608" s="654"/>
      <c r="J608" s="455"/>
      <c r="K608" s="455"/>
      <c r="L608" s="455"/>
      <c r="M608" s="1405" t="str">
        <f>+IFERROR(VLOOKUP(G608,'S1&amp;2 Lists'!$C$4:$G$200,3,FALSE),"-")</f>
        <v>-</v>
      </c>
      <c r="N608" s="1405" t="str">
        <f t="shared" si="9"/>
        <v>-</v>
      </c>
      <c r="P608" s="1406">
        <f>ROUND(IF(L608='S1&amp;2 Lists'!$CV$3,K608,IF(L608='S1&amp;2 Lists'!$CV$4,K608/'S1&amp;2 Lists'!$CQ$6,0)),3)</f>
        <v>0</v>
      </c>
      <c r="Q608" s="10" t="s">
        <v>12</v>
      </c>
    </row>
    <row r="609" spans="1:17" s="652" customFormat="1">
      <c r="A609" s="455"/>
      <c r="B609" s="455"/>
      <c r="C609" s="653"/>
      <c r="D609" s="455"/>
      <c r="E609" s="654"/>
      <c r="F609" s="455"/>
      <c r="G609" s="648"/>
      <c r="H609" s="455"/>
      <c r="I609" s="654"/>
      <c r="J609" s="455"/>
      <c r="K609" s="455"/>
      <c r="L609" s="455"/>
      <c r="M609" s="1405" t="str">
        <f>+IFERROR(VLOOKUP(G609,'S1&amp;2 Lists'!$C$4:$G$200,3,FALSE),"-")</f>
        <v>-</v>
      </c>
      <c r="N609" s="1405" t="str">
        <f t="shared" si="9"/>
        <v>-</v>
      </c>
      <c r="P609" s="1406">
        <f>ROUND(IF(L609='S1&amp;2 Lists'!$CV$3,K609,IF(L609='S1&amp;2 Lists'!$CV$4,K609/'S1&amp;2 Lists'!$CQ$6,0)),3)</f>
        <v>0</v>
      </c>
      <c r="Q609" s="10" t="s">
        <v>12</v>
      </c>
    </row>
    <row r="610" spans="1:17" s="652" customFormat="1">
      <c r="A610" s="455"/>
      <c r="B610" s="455"/>
      <c r="C610" s="653"/>
      <c r="D610" s="455"/>
      <c r="E610" s="654"/>
      <c r="F610" s="455"/>
      <c r="G610" s="648"/>
      <c r="H610" s="455"/>
      <c r="I610" s="654"/>
      <c r="J610" s="455"/>
      <c r="K610" s="455"/>
      <c r="L610" s="455"/>
      <c r="M610" s="1405" t="str">
        <f>+IFERROR(VLOOKUP(G610,'S1&amp;2 Lists'!$C$4:$G$200,3,FALSE),"-")</f>
        <v>-</v>
      </c>
      <c r="N610" s="1405" t="str">
        <f t="shared" si="9"/>
        <v>-</v>
      </c>
      <c r="P610" s="1406">
        <f>ROUND(IF(L610='S1&amp;2 Lists'!$CV$3,K610,IF(L610='S1&amp;2 Lists'!$CV$4,K610/'S1&amp;2 Lists'!$CQ$6,0)),3)</f>
        <v>0</v>
      </c>
      <c r="Q610" s="10" t="s">
        <v>12</v>
      </c>
    </row>
    <row r="611" spans="1:17" s="652" customFormat="1">
      <c r="A611" s="455"/>
      <c r="B611" s="455"/>
      <c r="C611" s="653"/>
      <c r="D611" s="455"/>
      <c r="E611" s="654"/>
      <c r="F611" s="455"/>
      <c r="G611" s="648"/>
      <c r="H611" s="455"/>
      <c r="I611" s="654"/>
      <c r="J611" s="455"/>
      <c r="K611" s="455"/>
      <c r="L611" s="455"/>
      <c r="M611" s="1405" t="str">
        <f>+IFERROR(VLOOKUP(G611,'S1&amp;2 Lists'!$C$4:$G$200,3,FALSE),"-")</f>
        <v>-</v>
      </c>
      <c r="N611" s="1405" t="str">
        <f t="shared" si="9"/>
        <v>-</v>
      </c>
      <c r="P611" s="1406">
        <f>ROUND(IF(L611='S1&amp;2 Lists'!$CV$3,K611,IF(L611='S1&amp;2 Lists'!$CV$4,K611/'S1&amp;2 Lists'!$CQ$6,0)),3)</f>
        <v>0</v>
      </c>
      <c r="Q611" s="10" t="s">
        <v>12</v>
      </c>
    </row>
    <row r="612" spans="1:17" s="652" customFormat="1">
      <c r="A612" s="455"/>
      <c r="B612" s="455"/>
      <c r="C612" s="653"/>
      <c r="D612" s="455"/>
      <c r="E612" s="654"/>
      <c r="F612" s="455"/>
      <c r="G612" s="648"/>
      <c r="H612" s="455"/>
      <c r="I612" s="654"/>
      <c r="J612" s="455"/>
      <c r="K612" s="455"/>
      <c r="L612" s="455"/>
      <c r="M612" s="1405" t="str">
        <f>+IFERROR(VLOOKUP(G612,'S1&amp;2 Lists'!$C$4:$G$200,3,FALSE),"-")</f>
        <v>-</v>
      </c>
      <c r="N612" s="1405" t="str">
        <f t="shared" si="9"/>
        <v>-</v>
      </c>
      <c r="P612" s="1406">
        <f>ROUND(IF(L612='S1&amp;2 Lists'!$CV$3,K612,IF(L612='S1&amp;2 Lists'!$CV$4,K612/'S1&amp;2 Lists'!$CQ$6,0)),3)</f>
        <v>0</v>
      </c>
      <c r="Q612" s="10" t="s">
        <v>12</v>
      </c>
    </row>
    <row r="613" spans="1:17" s="652" customFormat="1">
      <c r="A613" s="455"/>
      <c r="B613" s="455"/>
      <c r="C613" s="653"/>
      <c r="D613" s="455"/>
      <c r="E613" s="654"/>
      <c r="F613" s="455"/>
      <c r="G613" s="648"/>
      <c r="H613" s="455"/>
      <c r="I613" s="654"/>
      <c r="J613" s="455"/>
      <c r="K613" s="455"/>
      <c r="L613" s="455"/>
      <c r="M613" s="1405" t="str">
        <f>+IFERROR(VLOOKUP(G613,'S1&amp;2 Lists'!$C$4:$G$200,3,FALSE),"-")</f>
        <v>-</v>
      </c>
      <c r="N613" s="1405" t="str">
        <f t="shared" si="9"/>
        <v>-</v>
      </c>
      <c r="P613" s="1406">
        <f>ROUND(IF(L613='S1&amp;2 Lists'!$CV$3,K613,IF(L613='S1&amp;2 Lists'!$CV$4,K613/'S1&amp;2 Lists'!$CQ$6,0)),3)</f>
        <v>0</v>
      </c>
      <c r="Q613" s="10" t="s">
        <v>12</v>
      </c>
    </row>
    <row r="614" spans="1:17" s="652" customFormat="1">
      <c r="A614" s="455"/>
      <c r="B614" s="455"/>
      <c r="C614" s="653"/>
      <c r="D614" s="455"/>
      <c r="E614" s="654"/>
      <c r="F614" s="455"/>
      <c r="G614" s="648"/>
      <c r="H614" s="455"/>
      <c r="I614" s="654"/>
      <c r="J614" s="455"/>
      <c r="K614" s="455"/>
      <c r="L614" s="455"/>
      <c r="M614" s="1405" t="str">
        <f>+IFERROR(VLOOKUP(G614,'S1&amp;2 Lists'!$C$4:$G$200,3,FALSE),"-")</f>
        <v>-</v>
      </c>
      <c r="N614" s="1405" t="str">
        <f t="shared" si="9"/>
        <v>-</v>
      </c>
      <c r="P614" s="1406">
        <f>ROUND(IF(L614='S1&amp;2 Lists'!$CV$3,K614,IF(L614='S1&amp;2 Lists'!$CV$4,K614/'S1&amp;2 Lists'!$CQ$6,0)),3)</f>
        <v>0</v>
      </c>
      <c r="Q614" s="10" t="s">
        <v>12</v>
      </c>
    </row>
    <row r="615" spans="1:17" s="652" customFormat="1">
      <c r="A615" s="455"/>
      <c r="B615" s="455"/>
      <c r="C615" s="653"/>
      <c r="D615" s="455"/>
      <c r="E615" s="654"/>
      <c r="F615" s="455"/>
      <c r="G615" s="648"/>
      <c r="H615" s="455"/>
      <c r="I615" s="654"/>
      <c r="J615" s="455"/>
      <c r="K615" s="455"/>
      <c r="L615" s="455"/>
      <c r="M615" s="1405" t="str">
        <f>+IFERROR(VLOOKUP(G615,'S1&amp;2 Lists'!$C$4:$G$200,3,FALSE),"-")</f>
        <v>-</v>
      </c>
      <c r="N615" s="1405" t="str">
        <f t="shared" si="9"/>
        <v>-</v>
      </c>
      <c r="P615" s="1406">
        <f>ROUND(IF(L615='S1&amp;2 Lists'!$CV$3,K615,IF(L615='S1&amp;2 Lists'!$CV$4,K615/'S1&amp;2 Lists'!$CQ$6,0)),3)</f>
        <v>0</v>
      </c>
      <c r="Q615" s="10" t="s">
        <v>12</v>
      </c>
    </row>
    <row r="616" spans="1:17" s="652" customFormat="1">
      <c r="A616" s="455"/>
      <c r="B616" s="455"/>
      <c r="C616" s="653"/>
      <c r="D616" s="455"/>
      <c r="E616" s="654"/>
      <c r="F616" s="455"/>
      <c r="G616" s="648"/>
      <c r="H616" s="455"/>
      <c r="I616" s="654"/>
      <c r="J616" s="455"/>
      <c r="K616" s="455"/>
      <c r="L616" s="455"/>
      <c r="M616" s="1405" t="str">
        <f>+IFERROR(VLOOKUP(G616,'S1&amp;2 Lists'!$C$4:$G$200,3,FALSE),"-")</f>
        <v>-</v>
      </c>
      <c r="N616" s="1405" t="str">
        <f t="shared" si="9"/>
        <v>-</v>
      </c>
      <c r="P616" s="1406">
        <f>ROUND(IF(L616='S1&amp;2 Lists'!$CV$3,K616,IF(L616='S1&amp;2 Lists'!$CV$4,K616/'S1&amp;2 Lists'!$CQ$6,0)),3)</f>
        <v>0</v>
      </c>
      <c r="Q616" s="10" t="s">
        <v>12</v>
      </c>
    </row>
    <row r="617" spans="1:17" s="652" customFormat="1">
      <c r="A617" s="455"/>
      <c r="B617" s="455"/>
      <c r="C617" s="653"/>
      <c r="D617" s="455"/>
      <c r="E617" s="654"/>
      <c r="F617" s="455"/>
      <c r="G617" s="648"/>
      <c r="H617" s="455"/>
      <c r="I617" s="654"/>
      <c r="J617" s="455"/>
      <c r="K617" s="455"/>
      <c r="L617" s="455"/>
      <c r="M617" s="1405" t="str">
        <f>+IFERROR(VLOOKUP(G617,'S1&amp;2 Lists'!$C$4:$G$200,3,FALSE),"-")</f>
        <v>-</v>
      </c>
      <c r="N617" s="1405" t="str">
        <f t="shared" si="9"/>
        <v>-</v>
      </c>
      <c r="P617" s="1406">
        <f>ROUND(IF(L617='S1&amp;2 Lists'!$CV$3,K617,IF(L617='S1&amp;2 Lists'!$CV$4,K617/'S1&amp;2 Lists'!$CQ$6,0)),3)</f>
        <v>0</v>
      </c>
      <c r="Q617" s="10" t="s">
        <v>12</v>
      </c>
    </row>
    <row r="618" spans="1:17" s="652" customFormat="1">
      <c r="A618" s="455"/>
      <c r="B618" s="455"/>
      <c r="C618" s="653"/>
      <c r="D618" s="455"/>
      <c r="E618" s="654"/>
      <c r="F618" s="455"/>
      <c r="G618" s="648"/>
      <c r="H618" s="455"/>
      <c r="I618" s="654"/>
      <c r="J618" s="455"/>
      <c r="K618" s="455"/>
      <c r="L618" s="455"/>
      <c r="M618" s="1405" t="str">
        <f>+IFERROR(VLOOKUP(G618,'S1&amp;2 Lists'!$C$4:$G$200,3,FALSE),"-")</f>
        <v>-</v>
      </c>
      <c r="N618" s="1405" t="str">
        <f t="shared" si="9"/>
        <v>-</v>
      </c>
      <c r="P618" s="1406">
        <f>ROUND(IF(L618='S1&amp;2 Lists'!$CV$3,K618,IF(L618='S1&amp;2 Lists'!$CV$4,K618/'S1&amp;2 Lists'!$CQ$6,0)),3)</f>
        <v>0</v>
      </c>
      <c r="Q618" s="10" t="s">
        <v>12</v>
      </c>
    </row>
    <row r="619" spans="1:17" s="652" customFormat="1">
      <c r="A619" s="455"/>
      <c r="B619" s="455"/>
      <c r="C619" s="653"/>
      <c r="D619" s="455"/>
      <c r="E619" s="654"/>
      <c r="F619" s="455"/>
      <c r="G619" s="648"/>
      <c r="H619" s="455"/>
      <c r="I619" s="654"/>
      <c r="J619" s="455"/>
      <c r="K619" s="455"/>
      <c r="L619" s="455"/>
      <c r="M619" s="1405" t="str">
        <f>+IFERROR(VLOOKUP(G619,'S1&amp;2 Lists'!$C$4:$G$200,3,FALSE),"-")</f>
        <v>-</v>
      </c>
      <c r="N619" s="1405" t="str">
        <f t="shared" si="9"/>
        <v>-</v>
      </c>
      <c r="P619" s="1406">
        <f>ROUND(IF(L619='S1&amp;2 Lists'!$CV$3,K619,IF(L619='S1&amp;2 Lists'!$CV$4,K619/'S1&amp;2 Lists'!$CQ$6,0)),3)</f>
        <v>0</v>
      </c>
      <c r="Q619" s="10" t="s">
        <v>12</v>
      </c>
    </row>
    <row r="620" spans="1:17" s="652" customFormat="1">
      <c r="A620" s="455"/>
      <c r="B620" s="455"/>
      <c r="C620" s="653"/>
      <c r="D620" s="455"/>
      <c r="E620" s="654"/>
      <c r="F620" s="455"/>
      <c r="G620" s="648"/>
      <c r="H620" s="455"/>
      <c r="I620" s="654"/>
      <c r="J620" s="455"/>
      <c r="K620" s="455"/>
      <c r="L620" s="455"/>
      <c r="M620" s="1405" t="str">
        <f>+IFERROR(VLOOKUP(G620,'S1&amp;2 Lists'!$C$4:$G$200,3,FALSE),"-")</f>
        <v>-</v>
      </c>
      <c r="N620" s="1405" t="str">
        <f t="shared" si="9"/>
        <v>-</v>
      </c>
      <c r="P620" s="1406">
        <f>ROUND(IF(L620='S1&amp;2 Lists'!$CV$3,K620,IF(L620='S1&amp;2 Lists'!$CV$4,K620/'S1&amp;2 Lists'!$CQ$6,0)),3)</f>
        <v>0</v>
      </c>
      <c r="Q620" s="10" t="s">
        <v>12</v>
      </c>
    </row>
    <row r="621" spans="1:17" s="652" customFormat="1">
      <c r="A621" s="455"/>
      <c r="B621" s="455"/>
      <c r="C621" s="653"/>
      <c r="D621" s="455"/>
      <c r="E621" s="654"/>
      <c r="F621" s="455"/>
      <c r="G621" s="648"/>
      <c r="H621" s="455"/>
      <c r="I621" s="654"/>
      <c r="J621" s="455"/>
      <c r="K621" s="455"/>
      <c r="L621" s="455"/>
      <c r="M621" s="1405" t="str">
        <f>+IFERROR(VLOOKUP(G621,'S1&amp;2 Lists'!$C$4:$G$200,3,FALSE),"-")</f>
        <v>-</v>
      </c>
      <c r="N621" s="1405" t="str">
        <f t="shared" si="9"/>
        <v>-</v>
      </c>
      <c r="P621" s="1406">
        <f>ROUND(IF(L621='S1&amp;2 Lists'!$CV$3,K621,IF(L621='S1&amp;2 Lists'!$CV$4,K621/'S1&amp;2 Lists'!$CQ$6,0)),3)</f>
        <v>0</v>
      </c>
      <c r="Q621" s="10" t="s">
        <v>12</v>
      </c>
    </row>
    <row r="622" spans="1:17" s="652" customFormat="1">
      <c r="A622" s="455"/>
      <c r="B622" s="455"/>
      <c r="C622" s="653"/>
      <c r="D622" s="455"/>
      <c r="E622" s="654"/>
      <c r="F622" s="455"/>
      <c r="G622" s="648"/>
      <c r="H622" s="455"/>
      <c r="I622" s="654"/>
      <c r="J622" s="455"/>
      <c r="K622" s="455"/>
      <c r="L622" s="455"/>
      <c r="M622" s="1405" t="str">
        <f>+IFERROR(VLOOKUP(G622,'S1&amp;2 Lists'!$C$4:$G$200,3,FALSE),"-")</f>
        <v>-</v>
      </c>
      <c r="N622" s="1405" t="str">
        <f t="shared" si="9"/>
        <v>-</v>
      </c>
      <c r="P622" s="1406">
        <f>ROUND(IF(L622='S1&amp;2 Lists'!$CV$3,K622,IF(L622='S1&amp;2 Lists'!$CV$4,K622/'S1&amp;2 Lists'!$CQ$6,0)),3)</f>
        <v>0</v>
      </c>
      <c r="Q622" s="10" t="s">
        <v>12</v>
      </c>
    </row>
    <row r="623" spans="1:17" s="652" customFormat="1">
      <c r="A623" s="455"/>
      <c r="B623" s="455"/>
      <c r="C623" s="653"/>
      <c r="D623" s="455"/>
      <c r="E623" s="654"/>
      <c r="F623" s="455"/>
      <c r="G623" s="648"/>
      <c r="H623" s="455"/>
      <c r="I623" s="654"/>
      <c r="J623" s="455"/>
      <c r="K623" s="455"/>
      <c r="L623" s="455"/>
      <c r="M623" s="1405" t="str">
        <f>+IFERROR(VLOOKUP(G623,'S1&amp;2 Lists'!$C$4:$G$200,3,FALSE),"-")</f>
        <v>-</v>
      </c>
      <c r="N623" s="1405" t="str">
        <f t="shared" si="9"/>
        <v>-</v>
      </c>
      <c r="P623" s="1406">
        <f>ROUND(IF(L623='S1&amp;2 Lists'!$CV$3,K623,IF(L623='S1&amp;2 Lists'!$CV$4,K623/'S1&amp;2 Lists'!$CQ$6,0)),3)</f>
        <v>0</v>
      </c>
      <c r="Q623" s="10" t="s">
        <v>12</v>
      </c>
    </row>
    <row r="624" spans="1:17" s="652" customFormat="1">
      <c r="A624" s="455"/>
      <c r="B624" s="455"/>
      <c r="C624" s="653"/>
      <c r="D624" s="455"/>
      <c r="E624" s="654"/>
      <c r="F624" s="455"/>
      <c r="G624" s="648"/>
      <c r="H624" s="455"/>
      <c r="I624" s="654"/>
      <c r="J624" s="455"/>
      <c r="K624" s="455"/>
      <c r="L624" s="455"/>
      <c r="M624" s="1405" t="str">
        <f>+IFERROR(VLOOKUP(G624,'S1&amp;2 Lists'!$C$4:$G$200,3,FALSE),"-")</f>
        <v>-</v>
      </c>
      <c r="N624" s="1405" t="str">
        <f t="shared" si="9"/>
        <v>-</v>
      </c>
      <c r="P624" s="1406">
        <f>ROUND(IF(L624='S1&amp;2 Lists'!$CV$3,K624,IF(L624='S1&amp;2 Lists'!$CV$4,K624/'S1&amp;2 Lists'!$CQ$6,0)),3)</f>
        <v>0</v>
      </c>
      <c r="Q624" s="10" t="s">
        <v>12</v>
      </c>
    </row>
    <row r="625" spans="1:17" s="652" customFormat="1">
      <c r="A625" s="455"/>
      <c r="B625" s="455"/>
      <c r="C625" s="653"/>
      <c r="D625" s="455"/>
      <c r="E625" s="654"/>
      <c r="F625" s="455"/>
      <c r="G625" s="648"/>
      <c r="H625" s="455"/>
      <c r="I625" s="654"/>
      <c r="J625" s="455"/>
      <c r="K625" s="455"/>
      <c r="L625" s="455"/>
      <c r="M625" s="1405" t="str">
        <f>+IFERROR(VLOOKUP(G625,'S1&amp;2 Lists'!$C$4:$G$200,3,FALSE),"-")</f>
        <v>-</v>
      </c>
      <c r="N625" s="1405" t="str">
        <f t="shared" si="9"/>
        <v>-</v>
      </c>
      <c r="P625" s="1406">
        <f>ROUND(IF(L625='S1&amp;2 Lists'!$CV$3,K625,IF(L625='S1&amp;2 Lists'!$CV$4,K625/'S1&amp;2 Lists'!$CQ$6,0)),3)</f>
        <v>0</v>
      </c>
      <c r="Q625" s="10" t="s">
        <v>12</v>
      </c>
    </row>
    <row r="626" spans="1:17" s="652" customFormat="1">
      <c r="A626" s="455"/>
      <c r="B626" s="455"/>
      <c r="C626" s="653"/>
      <c r="D626" s="455"/>
      <c r="E626" s="654"/>
      <c r="F626" s="455"/>
      <c r="G626" s="648"/>
      <c r="H626" s="455"/>
      <c r="I626" s="654"/>
      <c r="J626" s="455"/>
      <c r="K626" s="455"/>
      <c r="L626" s="455"/>
      <c r="M626" s="1405" t="str">
        <f>+IFERROR(VLOOKUP(G626,'S1&amp;2 Lists'!$C$4:$G$200,3,FALSE),"-")</f>
        <v>-</v>
      </c>
      <c r="N626" s="1405" t="str">
        <f t="shared" si="9"/>
        <v>-</v>
      </c>
      <c r="P626" s="1406">
        <f>ROUND(IF(L626='S1&amp;2 Lists'!$CV$3,K626,IF(L626='S1&amp;2 Lists'!$CV$4,K626/'S1&amp;2 Lists'!$CQ$6,0)),3)</f>
        <v>0</v>
      </c>
      <c r="Q626" s="10" t="s">
        <v>12</v>
      </c>
    </row>
    <row r="627" spans="1:17" s="652" customFormat="1">
      <c r="A627" s="455"/>
      <c r="B627" s="455"/>
      <c r="C627" s="653"/>
      <c r="D627" s="455"/>
      <c r="E627" s="654"/>
      <c r="F627" s="455"/>
      <c r="G627" s="648"/>
      <c r="H627" s="455"/>
      <c r="I627" s="654"/>
      <c r="J627" s="455"/>
      <c r="K627" s="455"/>
      <c r="L627" s="455"/>
      <c r="M627" s="1405" t="str">
        <f>+IFERROR(VLOOKUP(G627,'S1&amp;2 Lists'!$C$4:$G$200,3,FALSE),"-")</f>
        <v>-</v>
      </c>
      <c r="N627" s="1405" t="str">
        <f t="shared" si="9"/>
        <v>-</v>
      </c>
      <c r="P627" s="1406">
        <f>ROUND(IF(L627='S1&amp;2 Lists'!$CV$3,K627,IF(L627='S1&amp;2 Lists'!$CV$4,K627/'S1&amp;2 Lists'!$CQ$6,0)),3)</f>
        <v>0</v>
      </c>
      <c r="Q627" s="10" t="s">
        <v>12</v>
      </c>
    </row>
    <row r="628" spans="1:17" s="652" customFormat="1">
      <c r="A628" s="455"/>
      <c r="B628" s="455"/>
      <c r="C628" s="653"/>
      <c r="D628" s="455"/>
      <c r="E628" s="654"/>
      <c r="F628" s="455"/>
      <c r="G628" s="648"/>
      <c r="H628" s="455"/>
      <c r="I628" s="654"/>
      <c r="J628" s="455"/>
      <c r="K628" s="455"/>
      <c r="L628" s="455"/>
      <c r="M628" s="1405" t="str">
        <f>+IFERROR(VLOOKUP(G628,'S1&amp;2 Lists'!$C$4:$G$200,3,FALSE),"-")</f>
        <v>-</v>
      </c>
      <c r="N628" s="1405" t="str">
        <f t="shared" si="9"/>
        <v>-</v>
      </c>
      <c r="P628" s="1406">
        <f>ROUND(IF(L628='S1&amp;2 Lists'!$CV$3,K628,IF(L628='S1&amp;2 Lists'!$CV$4,K628/'S1&amp;2 Lists'!$CQ$6,0)),3)</f>
        <v>0</v>
      </c>
      <c r="Q628" s="10" t="s">
        <v>12</v>
      </c>
    </row>
    <row r="629" spans="1:17" s="652" customFormat="1">
      <c r="A629" s="455"/>
      <c r="B629" s="455"/>
      <c r="C629" s="653"/>
      <c r="D629" s="455"/>
      <c r="E629" s="654"/>
      <c r="F629" s="455"/>
      <c r="G629" s="648"/>
      <c r="H629" s="455"/>
      <c r="I629" s="654"/>
      <c r="J629" s="455"/>
      <c r="K629" s="455"/>
      <c r="L629" s="455"/>
      <c r="M629" s="1405" t="str">
        <f>+IFERROR(VLOOKUP(G629,'S1&amp;2 Lists'!$C$4:$G$200,3,FALSE),"-")</f>
        <v>-</v>
      </c>
      <c r="N629" s="1405" t="str">
        <f t="shared" si="9"/>
        <v>-</v>
      </c>
      <c r="P629" s="1406">
        <f>ROUND(IF(L629='S1&amp;2 Lists'!$CV$3,K629,IF(L629='S1&amp;2 Lists'!$CV$4,K629/'S1&amp;2 Lists'!$CQ$6,0)),3)</f>
        <v>0</v>
      </c>
      <c r="Q629" s="10" t="s">
        <v>12</v>
      </c>
    </row>
    <row r="630" spans="1:17" s="652" customFormat="1">
      <c r="A630" s="455"/>
      <c r="B630" s="455"/>
      <c r="C630" s="653"/>
      <c r="D630" s="455"/>
      <c r="E630" s="654"/>
      <c r="F630" s="455"/>
      <c r="G630" s="648"/>
      <c r="H630" s="455"/>
      <c r="I630" s="654"/>
      <c r="J630" s="455"/>
      <c r="K630" s="455"/>
      <c r="L630" s="455"/>
      <c r="M630" s="1405" t="str">
        <f>+IFERROR(VLOOKUP(G630,'S1&amp;2 Lists'!$C$4:$G$200,3,FALSE),"-")</f>
        <v>-</v>
      </c>
      <c r="N630" s="1405" t="str">
        <f t="shared" si="9"/>
        <v>-</v>
      </c>
      <c r="P630" s="1406">
        <f>ROUND(IF(L630='S1&amp;2 Lists'!$CV$3,K630,IF(L630='S1&amp;2 Lists'!$CV$4,K630/'S1&amp;2 Lists'!$CQ$6,0)),3)</f>
        <v>0</v>
      </c>
      <c r="Q630" s="10" t="s">
        <v>12</v>
      </c>
    </row>
    <row r="631" spans="1:17" s="652" customFormat="1">
      <c r="A631" s="455"/>
      <c r="B631" s="455"/>
      <c r="C631" s="653"/>
      <c r="D631" s="455"/>
      <c r="E631" s="654"/>
      <c r="F631" s="455"/>
      <c r="G631" s="648"/>
      <c r="H631" s="455"/>
      <c r="I631" s="654"/>
      <c r="J631" s="455"/>
      <c r="K631" s="455"/>
      <c r="L631" s="455"/>
      <c r="M631" s="1405" t="str">
        <f>+IFERROR(VLOOKUP(G631,'S1&amp;2 Lists'!$C$4:$G$200,3,FALSE),"-")</f>
        <v>-</v>
      </c>
      <c r="N631" s="1405" t="str">
        <f t="shared" si="9"/>
        <v>-</v>
      </c>
      <c r="P631" s="1406">
        <f>ROUND(IF(L631='S1&amp;2 Lists'!$CV$3,K631,IF(L631='S1&amp;2 Lists'!$CV$4,K631/'S1&amp;2 Lists'!$CQ$6,0)),3)</f>
        <v>0</v>
      </c>
      <c r="Q631" s="10" t="s">
        <v>12</v>
      </c>
    </row>
    <row r="632" spans="1:17" s="652" customFormat="1">
      <c r="A632" s="455"/>
      <c r="B632" s="455"/>
      <c r="C632" s="653"/>
      <c r="D632" s="455"/>
      <c r="E632" s="654"/>
      <c r="F632" s="455"/>
      <c r="G632" s="648"/>
      <c r="H632" s="455"/>
      <c r="I632" s="654"/>
      <c r="J632" s="455"/>
      <c r="K632" s="455"/>
      <c r="L632" s="455"/>
      <c r="M632" s="1405" t="str">
        <f>+IFERROR(VLOOKUP(G632,'S1&amp;2 Lists'!$C$4:$G$200,3,FALSE),"-")</f>
        <v>-</v>
      </c>
      <c r="N632" s="1405" t="str">
        <f t="shared" si="9"/>
        <v>-</v>
      </c>
      <c r="P632" s="1406">
        <f>ROUND(IF(L632='S1&amp;2 Lists'!$CV$3,K632,IF(L632='S1&amp;2 Lists'!$CV$4,K632/'S1&amp;2 Lists'!$CQ$6,0)),3)</f>
        <v>0</v>
      </c>
      <c r="Q632" s="10" t="s">
        <v>12</v>
      </c>
    </row>
    <row r="633" spans="1:17" s="652" customFormat="1">
      <c r="A633" s="455"/>
      <c r="B633" s="455"/>
      <c r="C633" s="653"/>
      <c r="D633" s="455"/>
      <c r="E633" s="654"/>
      <c r="F633" s="455"/>
      <c r="G633" s="648"/>
      <c r="H633" s="455"/>
      <c r="I633" s="654"/>
      <c r="J633" s="455"/>
      <c r="K633" s="455"/>
      <c r="L633" s="455"/>
      <c r="M633" s="1405" t="str">
        <f>+IFERROR(VLOOKUP(G633,'S1&amp;2 Lists'!$C$4:$G$200,3,FALSE),"-")</f>
        <v>-</v>
      </c>
      <c r="N633" s="1405" t="str">
        <f t="shared" si="9"/>
        <v>-</v>
      </c>
      <c r="P633" s="1406">
        <f>ROUND(IF(L633='S1&amp;2 Lists'!$CV$3,K633,IF(L633='S1&amp;2 Lists'!$CV$4,K633/'S1&amp;2 Lists'!$CQ$6,0)),3)</f>
        <v>0</v>
      </c>
      <c r="Q633" s="10" t="s">
        <v>12</v>
      </c>
    </row>
    <row r="634" spans="1:17" s="652" customFormat="1">
      <c r="A634" s="455"/>
      <c r="B634" s="455"/>
      <c r="C634" s="653"/>
      <c r="D634" s="455"/>
      <c r="E634" s="654"/>
      <c r="F634" s="455"/>
      <c r="G634" s="648"/>
      <c r="H634" s="455"/>
      <c r="I634" s="654"/>
      <c r="J634" s="455"/>
      <c r="K634" s="455"/>
      <c r="L634" s="455"/>
      <c r="M634" s="1405" t="str">
        <f>+IFERROR(VLOOKUP(G634,'S1&amp;2 Lists'!$C$4:$G$200,3,FALSE),"-")</f>
        <v>-</v>
      </c>
      <c r="N634" s="1405" t="str">
        <f t="shared" si="9"/>
        <v>-</v>
      </c>
      <c r="P634" s="1406">
        <f>ROUND(IF(L634='S1&amp;2 Lists'!$CV$3,K634,IF(L634='S1&amp;2 Lists'!$CV$4,K634/'S1&amp;2 Lists'!$CQ$6,0)),3)</f>
        <v>0</v>
      </c>
      <c r="Q634" s="10" t="s">
        <v>12</v>
      </c>
    </row>
    <row r="635" spans="1:17" s="652" customFormat="1">
      <c r="A635" s="455"/>
      <c r="B635" s="455"/>
      <c r="C635" s="653"/>
      <c r="D635" s="455"/>
      <c r="E635" s="654"/>
      <c r="F635" s="455"/>
      <c r="G635" s="648"/>
      <c r="H635" s="455"/>
      <c r="I635" s="654"/>
      <c r="J635" s="455"/>
      <c r="K635" s="455"/>
      <c r="L635" s="455"/>
      <c r="M635" s="1405" t="str">
        <f>+IFERROR(VLOOKUP(G635,'S1&amp;2 Lists'!$C$4:$G$200,3,FALSE),"-")</f>
        <v>-</v>
      </c>
      <c r="N635" s="1405" t="str">
        <f t="shared" si="9"/>
        <v>-</v>
      </c>
      <c r="P635" s="1406">
        <f>ROUND(IF(L635='S1&amp;2 Lists'!$CV$3,K635,IF(L635='S1&amp;2 Lists'!$CV$4,K635/'S1&amp;2 Lists'!$CQ$6,0)),3)</f>
        <v>0</v>
      </c>
      <c r="Q635" s="10" t="s">
        <v>12</v>
      </c>
    </row>
    <row r="636" spans="1:17" s="652" customFormat="1">
      <c r="A636" s="455"/>
      <c r="B636" s="455"/>
      <c r="C636" s="653"/>
      <c r="D636" s="455"/>
      <c r="E636" s="654"/>
      <c r="F636" s="455"/>
      <c r="G636" s="648"/>
      <c r="H636" s="455"/>
      <c r="I636" s="654"/>
      <c r="J636" s="455"/>
      <c r="K636" s="455"/>
      <c r="L636" s="455"/>
      <c r="M636" s="1405" t="str">
        <f>+IFERROR(VLOOKUP(G636,'S1&amp;2 Lists'!$C$4:$G$200,3,FALSE),"-")</f>
        <v>-</v>
      </c>
      <c r="N636" s="1405" t="str">
        <f t="shared" si="9"/>
        <v>-</v>
      </c>
      <c r="P636" s="1406">
        <f>ROUND(IF(L636='S1&amp;2 Lists'!$CV$3,K636,IF(L636='S1&amp;2 Lists'!$CV$4,K636/'S1&amp;2 Lists'!$CQ$6,0)),3)</f>
        <v>0</v>
      </c>
      <c r="Q636" s="10" t="s">
        <v>12</v>
      </c>
    </row>
    <row r="637" spans="1:17" s="652" customFormat="1">
      <c r="A637" s="455"/>
      <c r="B637" s="455"/>
      <c r="C637" s="653"/>
      <c r="D637" s="455"/>
      <c r="E637" s="654"/>
      <c r="F637" s="455"/>
      <c r="G637" s="648"/>
      <c r="H637" s="455"/>
      <c r="I637" s="654"/>
      <c r="J637" s="455"/>
      <c r="K637" s="455"/>
      <c r="L637" s="455"/>
      <c r="M637" s="1405" t="str">
        <f>+IFERROR(VLOOKUP(G637,'S1&amp;2 Lists'!$C$4:$G$200,3,FALSE),"-")</f>
        <v>-</v>
      </c>
      <c r="N637" s="1405" t="str">
        <f t="shared" si="9"/>
        <v>-</v>
      </c>
      <c r="P637" s="1406">
        <f>ROUND(IF(L637='S1&amp;2 Lists'!$CV$3,K637,IF(L637='S1&amp;2 Lists'!$CV$4,K637/'S1&amp;2 Lists'!$CQ$6,0)),3)</f>
        <v>0</v>
      </c>
      <c r="Q637" s="10" t="s">
        <v>12</v>
      </c>
    </row>
    <row r="638" spans="1:17" s="652" customFormat="1">
      <c r="A638" s="455"/>
      <c r="B638" s="455"/>
      <c r="C638" s="653"/>
      <c r="D638" s="455"/>
      <c r="E638" s="654"/>
      <c r="F638" s="455"/>
      <c r="G638" s="648"/>
      <c r="H638" s="455"/>
      <c r="I638" s="654"/>
      <c r="J638" s="455"/>
      <c r="K638" s="455"/>
      <c r="L638" s="455"/>
      <c r="M638" s="1405" t="str">
        <f>+IFERROR(VLOOKUP(G638,'S1&amp;2 Lists'!$C$4:$G$200,3,FALSE),"-")</f>
        <v>-</v>
      </c>
      <c r="N638" s="1405" t="str">
        <f t="shared" si="9"/>
        <v>-</v>
      </c>
      <c r="P638" s="1406">
        <f>ROUND(IF(L638='S1&amp;2 Lists'!$CV$3,K638,IF(L638='S1&amp;2 Lists'!$CV$4,K638/'S1&amp;2 Lists'!$CQ$6,0)),3)</f>
        <v>0</v>
      </c>
      <c r="Q638" s="10" t="s">
        <v>12</v>
      </c>
    </row>
    <row r="639" spans="1:17" s="652" customFormat="1">
      <c r="A639" s="455"/>
      <c r="B639" s="455"/>
      <c r="C639" s="653"/>
      <c r="D639" s="455"/>
      <c r="E639" s="654"/>
      <c r="F639" s="455"/>
      <c r="G639" s="648"/>
      <c r="H639" s="455"/>
      <c r="I639" s="654"/>
      <c r="J639" s="455"/>
      <c r="K639" s="455"/>
      <c r="L639" s="455"/>
      <c r="M639" s="1405" t="str">
        <f>+IFERROR(VLOOKUP(G639,'S1&amp;2 Lists'!$C$4:$G$200,3,FALSE),"-")</f>
        <v>-</v>
      </c>
      <c r="N639" s="1405" t="str">
        <f t="shared" si="9"/>
        <v>-</v>
      </c>
      <c r="P639" s="1406">
        <f>ROUND(IF(L639='S1&amp;2 Lists'!$CV$3,K639,IF(L639='S1&amp;2 Lists'!$CV$4,K639/'S1&amp;2 Lists'!$CQ$6,0)),3)</f>
        <v>0</v>
      </c>
      <c r="Q639" s="10" t="s">
        <v>12</v>
      </c>
    </row>
    <row r="640" spans="1:17" s="652" customFormat="1">
      <c r="A640" s="455"/>
      <c r="B640" s="455"/>
      <c r="C640" s="653"/>
      <c r="D640" s="455"/>
      <c r="E640" s="654"/>
      <c r="F640" s="455"/>
      <c r="G640" s="648"/>
      <c r="H640" s="455"/>
      <c r="I640" s="654"/>
      <c r="J640" s="455"/>
      <c r="K640" s="455"/>
      <c r="L640" s="455"/>
      <c r="M640" s="1405" t="str">
        <f>+IFERROR(VLOOKUP(G640,'S1&amp;2 Lists'!$C$4:$G$200,3,FALSE),"-")</f>
        <v>-</v>
      </c>
      <c r="N640" s="1405" t="str">
        <f t="shared" si="9"/>
        <v>-</v>
      </c>
      <c r="P640" s="1406">
        <f>ROUND(IF(L640='S1&amp;2 Lists'!$CV$3,K640,IF(L640='S1&amp;2 Lists'!$CV$4,K640/'S1&amp;2 Lists'!$CQ$6,0)),3)</f>
        <v>0</v>
      </c>
      <c r="Q640" s="10" t="s">
        <v>12</v>
      </c>
    </row>
    <row r="641" spans="1:17" s="652" customFormat="1">
      <c r="A641" s="455"/>
      <c r="B641" s="455"/>
      <c r="C641" s="653"/>
      <c r="D641" s="455"/>
      <c r="E641" s="654"/>
      <c r="F641" s="455"/>
      <c r="G641" s="648"/>
      <c r="H641" s="455"/>
      <c r="I641" s="654"/>
      <c r="J641" s="455"/>
      <c r="K641" s="455"/>
      <c r="L641" s="455"/>
      <c r="M641" s="1405" t="str">
        <f>+IFERROR(VLOOKUP(G641,'S1&amp;2 Lists'!$C$4:$G$200,3,FALSE),"-")</f>
        <v>-</v>
      </c>
      <c r="N641" s="1405" t="str">
        <f t="shared" si="9"/>
        <v>-</v>
      </c>
      <c r="P641" s="1406">
        <f>ROUND(IF(L641='S1&amp;2 Lists'!$CV$3,K641,IF(L641='S1&amp;2 Lists'!$CV$4,K641/'S1&amp;2 Lists'!$CQ$6,0)),3)</f>
        <v>0</v>
      </c>
      <c r="Q641" s="10" t="s">
        <v>12</v>
      </c>
    </row>
    <row r="642" spans="1:17" s="652" customFormat="1">
      <c r="A642" s="455"/>
      <c r="B642" s="455"/>
      <c r="C642" s="653"/>
      <c r="D642" s="455"/>
      <c r="E642" s="654"/>
      <c r="F642" s="455"/>
      <c r="G642" s="648"/>
      <c r="H642" s="455"/>
      <c r="I642" s="654"/>
      <c r="J642" s="455"/>
      <c r="K642" s="455"/>
      <c r="L642" s="455"/>
      <c r="M642" s="1405" t="str">
        <f>+IFERROR(VLOOKUP(G642,'S1&amp;2 Lists'!$C$4:$G$200,3,FALSE),"-")</f>
        <v>-</v>
      </c>
      <c r="N642" s="1405" t="str">
        <f t="shared" si="9"/>
        <v>-</v>
      </c>
      <c r="P642" s="1406">
        <f>ROUND(IF(L642='S1&amp;2 Lists'!$CV$3,K642,IF(L642='S1&amp;2 Lists'!$CV$4,K642/'S1&amp;2 Lists'!$CQ$6,0)),3)</f>
        <v>0</v>
      </c>
      <c r="Q642" s="10" t="s">
        <v>12</v>
      </c>
    </row>
    <row r="643" spans="1:17" s="652" customFormat="1">
      <c r="A643" s="455"/>
      <c r="B643" s="455"/>
      <c r="C643" s="656"/>
      <c r="D643" s="455"/>
      <c r="E643" s="654"/>
      <c r="F643" s="455"/>
      <c r="G643" s="648"/>
      <c r="H643" s="455"/>
      <c r="I643" s="654"/>
      <c r="J643" s="455"/>
      <c r="K643" s="455"/>
      <c r="L643" s="455"/>
      <c r="M643" s="1405" t="str">
        <f>+IFERROR(VLOOKUP(G643,'S1&amp;2 Lists'!$C$4:$G$200,3,FALSE),"-")</f>
        <v>-</v>
      </c>
      <c r="N643" s="1405" t="str">
        <f t="shared" si="9"/>
        <v>-</v>
      </c>
      <c r="P643" s="1406">
        <f>ROUND(IF(L643='S1&amp;2 Lists'!$CV$3,K643,IF(L643='S1&amp;2 Lists'!$CV$4,K643/'S1&amp;2 Lists'!$CQ$6,0)),3)</f>
        <v>0</v>
      </c>
      <c r="Q643" s="10" t="s">
        <v>12</v>
      </c>
    </row>
    <row r="644" spans="1:17" s="652" customFormat="1">
      <c r="A644" s="455"/>
      <c r="B644" s="455"/>
      <c r="C644" s="656"/>
      <c r="D644" s="455"/>
      <c r="E644" s="654"/>
      <c r="F644" s="455"/>
      <c r="G644" s="648"/>
      <c r="H644" s="455"/>
      <c r="I644" s="654"/>
      <c r="J644" s="455"/>
      <c r="K644" s="455"/>
      <c r="L644" s="455"/>
      <c r="M644" s="1405" t="str">
        <f>+IFERROR(VLOOKUP(G644,'S1&amp;2 Lists'!$C$4:$G$200,3,FALSE),"-")</f>
        <v>-</v>
      </c>
      <c r="N644" s="1405" t="str">
        <f t="shared" si="9"/>
        <v>-</v>
      </c>
      <c r="P644" s="1406">
        <f>ROUND(IF(L644='S1&amp;2 Lists'!$CV$3,K644,IF(L644='S1&amp;2 Lists'!$CV$4,K644/'S1&amp;2 Lists'!$CQ$6,0)),3)</f>
        <v>0</v>
      </c>
      <c r="Q644" s="10" t="s">
        <v>12</v>
      </c>
    </row>
    <row r="645" spans="1:17" s="652" customFormat="1">
      <c r="A645" s="455"/>
      <c r="B645" s="455"/>
      <c r="C645" s="656"/>
      <c r="D645" s="455"/>
      <c r="E645" s="654"/>
      <c r="F645" s="455"/>
      <c r="G645" s="648"/>
      <c r="H645" s="455"/>
      <c r="I645" s="654"/>
      <c r="J645" s="455"/>
      <c r="K645" s="455"/>
      <c r="L645" s="455"/>
      <c r="M645" s="1405" t="str">
        <f>+IFERROR(VLOOKUP(G645,'S1&amp;2 Lists'!$C$4:$G$200,3,FALSE),"-")</f>
        <v>-</v>
      </c>
      <c r="N645" s="1405" t="str">
        <f t="shared" si="9"/>
        <v>-</v>
      </c>
      <c r="P645" s="1406">
        <f>ROUND(IF(L645='S1&amp;2 Lists'!$CV$3,K645,IF(L645='S1&amp;2 Lists'!$CV$4,K645/'S1&amp;2 Lists'!$CQ$6,0)),3)</f>
        <v>0</v>
      </c>
      <c r="Q645" s="10" t="s">
        <v>12</v>
      </c>
    </row>
    <row r="646" spans="1:17" s="652" customFormat="1">
      <c r="A646" s="455"/>
      <c r="B646" s="455"/>
      <c r="C646" s="656"/>
      <c r="D646" s="455"/>
      <c r="E646" s="654"/>
      <c r="F646" s="455"/>
      <c r="G646" s="648"/>
      <c r="H646" s="455"/>
      <c r="I646" s="654"/>
      <c r="J646" s="455"/>
      <c r="K646" s="455"/>
      <c r="L646" s="455"/>
      <c r="M646" s="1405" t="str">
        <f>+IFERROR(VLOOKUP(G646,'S1&amp;2 Lists'!$C$4:$G$200,3,FALSE),"-")</f>
        <v>-</v>
      </c>
      <c r="N646" s="1405" t="str">
        <f t="shared" si="9"/>
        <v>-</v>
      </c>
      <c r="P646" s="1406">
        <f>ROUND(IF(L646='S1&amp;2 Lists'!$CV$3,K646,IF(L646='S1&amp;2 Lists'!$CV$4,K646/'S1&amp;2 Lists'!$CQ$6,0)),3)</f>
        <v>0</v>
      </c>
      <c r="Q646" s="10" t="s">
        <v>12</v>
      </c>
    </row>
    <row r="647" spans="1:17" s="652" customFormat="1">
      <c r="A647" s="455"/>
      <c r="B647" s="455"/>
      <c r="C647" s="656"/>
      <c r="D647" s="455"/>
      <c r="E647" s="654"/>
      <c r="F647" s="455"/>
      <c r="G647" s="648"/>
      <c r="H647" s="455"/>
      <c r="I647" s="654"/>
      <c r="J647" s="455"/>
      <c r="K647" s="455"/>
      <c r="L647" s="455"/>
      <c r="M647" s="1405" t="str">
        <f>+IFERROR(VLOOKUP(G647,'S1&amp;2 Lists'!$C$4:$G$200,3,FALSE),"-")</f>
        <v>-</v>
      </c>
      <c r="N647" s="1405" t="str">
        <f t="shared" si="9"/>
        <v>-</v>
      </c>
      <c r="P647" s="1406">
        <f>ROUND(IF(L647='S1&amp;2 Lists'!$CV$3,K647,IF(L647='S1&amp;2 Lists'!$CV$4,K647/'S1&amp;2 Lists'!$CQ$6,0)),3)</f>
        <v>0</v>
      </c>
      <c r="Q647" s="10" t="s">
        <v>12</v>
      </c>
    </row>
    <row r="648" spans="1:17" s="652" customFormat="1">
      <c r="A648" s="455"/>
      <c r="B648" s="455"/>
      <c r="C648" s="656"/>
      <c r="D648" s="455"/>
      <c r="E648" s="654"/>
      <c r="F648" s="455"/>
      <c r="G648" s="648"/>
      <c r="H648" s="455"/>
      <c r="I648" s="654"/>
      <c r="J648" s="455"/>
      <c r="K648" s="455"/>
      <c r="L648" s="455"/>
      <c r="M648" s="1405" t="str">
        <f>+IFERROR(VLOOKUP(G648,'S1&amp;2 Lists'!$C$4:$G$200,3,FALSE),"-")</f>
        <v>-</v>
      </c>
      <c r="N648" s="1405" t="str">
        <f t="shared" si="9"/>
        <v>-</v>
      </c>
      <c r="P648" s="1406">
        <f>ROUND(IF(L648='S1&amp;2 Lists'!$CV$3,K648,IF(L648='S1&amp;2 Lists'!$CV$4,K648/'S1&amp;2 Lists'!$CQ$6,0)),3)</f>
        <v>0</v>
      </c>
      <c r="Q648" s="10" t="s">
        <v>12</v>
      </c>
    </row>
    <row r="649" spans="1:17" s="652" customFormat="1">
      <c r="A649" s="455"/>
      <c r="B649" s="455"/>
      <c r="C649" s="656"/>
      <c r="D649" s="455"/>
      <c r="E649" s="654"/>
      <c r="F649" s="455"/>
      <c r="G649" s="648"/>
      <c r="H649" s="455"/>
      <c r="I649" s="654"/>
      <c r="J649" s="455"/>
      <c r="K649" s="455"/>
      <c r="L649" s="455"/>
      <c r="M649" s="1405" t="str">
        <f>+IFERROR(VLOOKUP(G649,'S1&amp;2 Lists'!$C$4:$G$200,3,FALSE),"-")</f>
        <v>-</v>
      </c>
      <c r="N649" s="1405" t="str">
        <f t="shared" si="9"/>
        <v>-</v>
      </c>
      <c r="P649" s="1406">
        <f>ROUND(IF(L649='S1&amp;2 Lists'!$CV$3,K649,IF(L649='S1&amp;2 Lists'!$CV$4,K649/'S1&amp;2 Lists'!$CQ$6,0)),3)</f>
        <v>0</v>
      </c>
      <c r="Q649" s="10" t="s">
        <v>12</v>
      </c>
    </row>
    <row r="650" spans="1:17" s="652" customFormat="1">
      <c r="A650" s="455"/>
      <c r="B650" s="455"/>
      <c r="C650" s="656"/>
      <c r="D650" s="455"/>
      <c r="E650" s="654"/>
      <c r="F650" s="455"/>
      <c r="G650" s="648"/>
      <c r="H650" s="455"/>
      <c r="I650" s="654"/>
      <c r="J650" s="455"/>
      <c r="K650" s="455"/>
      <c r="L650" s="455"/>
      <c r="M650" s="1405" t="str">
        <f>+IFERROR(VLOOKUP(G650,'S1&amp;2 Lists'!$C$4:$G$200,3,FALSE),"-")</f>
        <v>-</v>
      </c>
      <c r="N650" s="1405" t="str">
        <f t="shared" si="9"/>
        <v>-</v>
      </c>
      <c r="P650" s="1406">
        <f>ROUND(IF(L650='S1&amp;2 Lists'!$CV$3,K650,IF(L650='S1&amp;2 Lists'!$CV$4,K650/'S1&amp;2 Lists'!$CQ$6,0)),3)</f>
        <v>0</v>
      </c>
      <c r="Q650" s="10" t="s">
        <v>12</v>
      </c>
    </row>
    <row r="651" spans="1:17" s="652" customFormat="1">
      <c r="A651" s="455"/>
      <c r="B651" s="455"/>
      <c r="C651" s="656"/>
      <c r="D651" s="455"/>
      <c r="E651" s="654"/>
      <c r="F651" s="455"/>
      <c r="G651" s="648"/>
      <c r="H651" s="455"/>
      <c r="I651" s="654"/>
      <c r="J651" s="455"/>
      <c r="K651" s="455"/>
      <c r="L651" s="455"/>
      <c r="M651" s="1405" t="str">
        <f>+IFERROR(VLOOKUP(G651,'S1&amp;2 Lists'!$C$4:$G$200,3,FALSE),"-")</f>
        <v>-</v>
      </c>
      <c r="N651" s="1405" t="str">
        <f t="shared" ref="N651:N654" si="10">+IFERROR(P651*M651,"-")</f>
        <v>-</v>
      </c>
      <c r="P651" s="1406">
        <f>ROUND(IF(L651='S1&amp;2 Lists'!$CV$3,K651,IF(L651='S1&amp;2 Lists'!$CV$4,K651/'S1&amp;2 Lists'!$CQ$6,0)),3)</f>
        <v>0</v>
      </c>
      <c r="Q651" s="10" t="s">
        <v>12</v>
      </c>
    </row>
    <row r="652" spans="1:17" s="652" customFormat="1">
      <c r="A652" s="455"/>
      <c r="B652" s="455"/>
      <c r="C652" s="656"/>
      <c r="D652" s="455"/>
      <c r="E652" s="654"/>
      <c r="F652" s="455"/>
      <c r="G652" s="648"/>
      <c r="H652" s="455"/>
      <c r="I652" s="654"/>
      <c r="J652" s="455"/>
      <c r="K652" s="455"/>
      <c r="L652" s="455"/>
      <c r="M652" s="1405" t="str">
        <f>+IFERROR(VLOOKUP(G652,'S1&amp;2 Lists'!$C$4:$G$200,3,FALSE),"-")</f>
        <v>-</v>
      </c>
      <c r="N652" s="1405" t="str">
        <f t="shared" si="10"/>
        <v>-</v>
      </c>
      <c r="P652" s="1406">
        <f>ROUND(IF(L652='S1&amp;2 Lists'!$CV$3,K652,IF(L652='S1&amp;2 Lists'!$CV$4,K652/'S1&amp;2 Lists'!$CQ$6,0)),3)</f>
        <v>0</v>
      </c>
      <c r="Q652" s="10" t="s">
        <v>12</v>
      </c>
    </row>
    <row r="653" spans="1:17" s="652" customFormat="1">
      <c r="A653" s="455"/>
      <c r="B653" s="455"/>
      <c r="C653" s="653"/>
      <c r="D653" s="455"/>
      <c r="E653" s="654"/>
      <c r="F653" s="455"/>
      <c r="G653" s="648"/>
      <c r="H653" s="455"/>
      <c r="I653" s="654"/>
      <c r="J653" s="455"/>
      <c r="K653" s="455"/>
      <c r="L653" s="455"/>
      <c r="M653" s="1405" t="str">
        <f>+IFERROR(VLOOKUP(G653,'S1&amp;2 Lists'!$C$4:$G$200,3,FALSE),"-")</f>
        <v>-</v>
      </c>
      <c r="N653" s="1405" t="str">
        <f t="shared" si="10"/>
        <v>-</v>
      </c>
      <c r="P653" s="1406">
        <f>ROUND(IF(L653='S1&amp;2 Lists'!$CV$3,K653,IF(L653='S1&amp;2 Lists'!$CV$4,K653/'S1&amp;2 Lists'!$CQ$6,0)),3)</f>
        <v>0</v>
      </c>
      <c r="Q653" s="10" t="s">
        <v>12</v>
      </c>
    </row>
    <row r="654" spans="1:17" s="652" customFormat="1">
      <c r="A654" s="455"/>
      <c r="B654" s="455"/>
      <c r="C654" s="653"/>
      <c r="D654" s="455"/>
      <c r="E654" s="654"/>
      <c r="F654" s="455"/>
      <c r="G654" s="648"/>
      <c r="H654" s="455"/>
      <c r="I654" s="654"/>
      <c r="J654" s="455"/>
      <c r="K654" s="455"/>
      <c r="L654" s="455"/>
      <c r="M654" s="1405" t="str">
        <f>+IFERROR(VLOOKUP(G654,'S1&amp;2 Lists'!$C$4:$G$200,3,FALSE),"-")</f>
        <v>-</v>
      </c>
      <c r="N654" s="1405" t="str">
        <f t="shared" si="10"/>
        <v>-</v>
      </c>
      <c r="P654" s="1406">
        <f>ROUND(IF(L654='S1&amp;2 Lists'!$CV$3,K654,IF(L654='S1&amp;2 Lists'!$CV$4,K654/'S1&amp;2 Lists'!$CQ$6,0)),3)</f>
        <v>0</v>
      </c>
      <c r="Q654" s="10" t="s">
        <v>12</v>
      </c>
    </row>
  </sheetData>
  <sheetProtection algorithmName="SHA-512" hashValue="amrNkUxfhTDHP0WKyJtYpEsdUtfzBk1clymWTbhi9qJqq/4NXAtpaetUxZNHxgeO7JX5aHWsTj6w8kHuYT2nwA==" saltValue="TL69bS+4sLq4Qhgg6NHHQA==" spinCount="100000" sheet="1" objects="1" scenarios="1"/>
  <mergeCells count="14">
    <mergeCell ref="N8:N9"/>
    <mergeCell ref="A5:G5"/>
    <mergeCell ref="A6:G6"/>
    <mergeCell ref="A8:A9"/>
    <mergeCell ref="B8:B9"/>
    <mergeCell ref="C8:C9"/>
    <mergeCell ref="D8:E8"/>
    <mergeCell ref="F8:F9"/>
    <mergeCell ref="G8:G9"/>
    <mergeCell ref="H8:H9"/>
    <mergeCell ref="I8:I9"/>
    <mergeCell ref="J8:J9"/>
    <mergeCell ref="K8:L8"/>
    <mergeCell ref="M8:M9"/>
  </mergeCells>
  <conditionalFormatting sqref="P10:Q654">
    <cfRule type="expression" dxfId="6" priority="1">
      <formula>$C$21&lt;&gt;$B$6</formula>
    </cfRule>
  </conditionalFormatting>
  <dataValidations count="4">
    <dataValidation type="list" operator="greaterThan" allowBlank="1" showInputMessage="1" showErrorMessage="1" sqref="F53:F55" xr:uid="{79895FC2-D551-4102-9FA6-762E91D6E0B8}">
      <formula1>$CW$3:$CW$4</formula1>
    </dataValidation>
    <dataValidation operator="greaterThan" allowBlank="1" showInputMessage="1" showErrorMessage="1" sqref="E10:E654" xr:uid="{48820F61-E141-4A25-A51D-0C5D9AE835B4}"/>
    <dataValidation type="decimal" operator="greaterThan" allowBlank="1" showInputMessage="1" showErrorMessage="1" sqref="K10:K654" xr:uid="{FB05A903-9D2B-4C0C-B643-C7070E368C12}">
      <formula1>0</formula1>
    </dataValidation>
    <dataValidation type="list" allowBlank="1" showInputMessage="1" showErrorMessage="1" sqref="I10:I654 J47:J654" xr:uid="{F01625E1-3402-45B2-B4C0-53F66FC1826B}">
      <formula1>"Yes,No"</formula1>
    </dataValidation>
  </dataValidations>
  <hyperlinks>
    <hyperlink ref="K1" location="'Scope 1 and 2 Data'!C187" display="Go back to Scope 1 and 2 Data" xr:uid="{04024574-3AC6-4C7E-8DBB-CBE1FFAC0C44}"/>
  </hyperlinks>
  <pageMargins left="0.7" right="0.7" top="0.79166666666666663" bottom="0.75" header="0.3" footer="0.3"/>
  <pageSetup paperSize="9" scale="25" orientation="landscape" horizontalDpi="1200" verticalDpi="1200" r:id="rId1"/>
  <headerFooter>
    <oddHeader xml:space="preserve">&amp;L&amp;G&amp;R&amp;"-,Negrita"&amp;8
Herramienta para el cálculo de la huella de carbono en hospitales&amp;"-,Normal"
</oddHeader>
  </headerFooter>
  <colBreaks count="1" manualBreakCount="1">
    <brk id="17"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DF045453-BE49-43DD-BDB7-8230FE3866E0}">
          <x14:formula1>
            <xm:f>'S1&amp;2 Lists'!$CM$3:$CM$4</xm:f>
          </x14:formula1>
          <xm:sqref>J10:J46</xm:sqref>
        </x14:dataValidation>
        <x14:dataValidation type="list" operator="greaterThan" allowBlank="1" showInputMessage="1" showErrorMessage="1" xr:uid="{5CCA0E11-A141-4497-B3C0-D9496550AB30}">
          <x14:formula1>
            <xm:f>'S1&amp;2 Lists'!$CV$3:$CV$4</xm:f>
          </x14:formula1>
          <xm:sqref>C53:D55 L10:L654</xm:sqref>
        </x14:dataValidation>
        <x14:dataValidation type="list" allowBlank="1" showInputMessage="1" showErrorMessage="1" xr:uid="{0D682529-775F-46D2-BE17-1B04DF74043E}">
          <x14:formula1>
            <xm:f>'S1&amp;2 Lists'!$C$7:$C$128</xm:f>
          </x14:formula1>
          <xm:sqref>G10:G654</xm:sqref>
        </x14:dataValidation>
        <x14:dataValidation type="list" allowBlank="1" showInputMessage="1" showErrorMessage="1" xr:uid="{BF32A051-B94F-472E-9812-592C5750D822}">
          <x14:formula1>
            <xm:f>'S1&amp;2 Lists'!$AU$3:$AU$13</xm:f>
          </x14:formula1>
          <xm:sqref>B10:B654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781A-706F-4F26-814E-67B6758DDDDA}">
  <sheetPr codeName="Sheet10">
    <tabColor rgb="FF94E494"/>
  </sheetPr>
  <dimension ref="A1:O41"/>
  <sheetViews>
    <sheetView showGridLines="0" topLeftCell="A7" zoomScaleNormal="100" workbookViewId="0">
      <selection activeCell="L20" sqref="L20"/>
    </sheetView>
  </sheetViews>
  <sheetFormatPr defaultColWidth="10.5" defaultRowHeight="15"/>
  <cols>
    <col min="1" max="1" width="26.625" style="694" customWidth="1"/>
    <col min="2" max="2" width="17.125" style="694" customWidth="1"/>
    <col min="3" max="3" width="16.625" style="694" customWidth="1"/>
    <col min="4" max="4" width="15.125" style="694" customWidth="1"/>
    <col min="5" max="5" width="10.5" style="694"/>
    <col min="6" max="6" width="21.625" style="694" customWidth="1"/>
    <col min="7" max="7" width="26.375" style="694" bestFit="1" customWidth="1"/>
    <col min="8" max="8" width="16.125" style="694" customWidth="1"/>
    <col min="9" max="9" width="10.5" style="694"/>
    <col min="10" max="10" width="14.875" style="694" bestFit="1" customWidth="1"/>
    <col min="11" max="11" width="17.875" style="694" bestFit="1" customWidth="1"/>
    <col min="12" max="12" width="10.5" style="694"/>
    <col min="13" max="13" width="19.625" style="694" customWidth="1"/>
    <col min="14" max="16384" width="10.5" style="694"/>
  </cols>
  <sheetData>
    <row r="1" spans="1:15" ht="107.25" customHeight="1" thickTop="1" thickBot="1">
      <c r="D1" s="695" t="str">
        <f>+Instructions!B2</f>
        <v>Health Care Emissions Impact Calculator-Facility</v>
      </c>
      <c r="H1" s="782" t="s">
        <v>2772</v>
      </c>
    </row>
    <row r="2" spans="1:15" s="698" customFormat="1" ht="18.75" thickTop="1">
      <c r="A2" s="696" t="str">
        <f>+'Scope 1 and 2 Data'!A215</f>
        <v>1.3.2</v>
      </c>
      <c r="B2" s="697" t="str">
        <f>+'Scope 1 and 2 Data'!B215</f>
        <v>Inhaled Anesthetic Gases</v>
      </c>
      <c r="C2" s="697"/>
      <c r="D2" s="697"/>
      <c r="E2" s="697"/>
      <c r="F2" s="697"/>
      <c r="G2" s="697"/>
      <c r="H2" s="697"/>
      <c r="I2" s="697"/>
      <c r="J2" s="697"/>
      <c r="K2" s="697"/>
      <c r="L2" s="697"/>
      <c r="M2" s="697"/>
    </row>
    <row r="4" spans="1:15" ht="15.75">
      <c r="A4" s="370" t="s">
        <v>1844</v>
      </c>
      <c r="B4" s="699"/>
      <c r="C4" s="699"/>
      <c r="D4" s="699"/>
    </row>
    <row r="5" spans="1:15" ht="54" customHeight="1">
      <c r="A5" s="1518" t="s">
        <v>2892</v>
      </c>
      <c r="B5" s="1518"/>
      <c r="C5" s="1518"/>
      <c r="D5" s="1518"/>
    </row>
    <row r="6" spans="1:15" ht="45" customHeight="1">
      <c r="A6" s="1519" t="s">
        <v>2893</v>
      </c>
      <c r="B6" s="1519"/>
      <c r="C6" s="1519"/>
      <c r="D6" s="1519"/>
    </row>
    <row r="7" spans="1:15" ht="36.75" customHeight="1">
      <c r="A7" s="1520" t="s">
        <v>3282</v>
      </c>
      <c r="B7" s="1520"/>
      <c r="C7" s="1520"/>
      <c r="G7" s="701"/>
      <c r="H7" s="701"/>
      <c r="I7" s="701"/>
      <c r="J7" s="701"/>
      <c r="K7" s="701"/>
      <c r="L7" s="701"/>
      <c r="M7" s="701"/>
    </row>
    <row r="8" spans="1:15" ht="15.75">
      <c r="F8" s="701" t="s">
        <v>2894</v>
      </c>
      <c r="G8" s="701"/>
      <c r="H8" s="701"/>
      <c r="I8" s="701"/>
      <c r="J8" s="701"/>
      <c r="K8" s="701"/>
      <c r="L8" s="701"/>
      <c r="M8" s="701"/>
    </row>
    <row r="9" spans="1:15" ht="15.75">
      <c r="A9" s="701" t="s">
        <v>2895</v>
      </c>
      <c r="B9" s="773" t="s">
        <v>2896</v>
      </c>
      <c r="C9" s="773" t="s">
        <v>2897</v>
      </c>
      <c r="F9" s="700" t="s">
        <v>2898</v>
      </c>
      <c r="G9" s="700" t="s">
        <v>2899</v>
      </c>
      <c r="H9" s="700" t="s">
        <v>2900</v>
      </c>
      <c r="I9" s="700" t="s">
        <v>1997</v>
      </c>
      <c r="J9" s="702"/>
      <c r="K9" s="700" t="s">
        <v>2901</v>
      </c>
      <c r="L9" s="700" t="s">
        <v>24</v>
      </c>
      <c r="M9" s="700" t="s">
        <v>2902</v>
      </c>
      <c r="N9" s="699"/>
    </row>
    <row r="10" spans="1:15" ht="18">
      <c r="A10" s="703" t="str">
        <f>+'Scope 1 and 2 Data'!B229</f>
        <v>Isoflurane</v>
      </c>
      <c r="B10" s="774"/>
      <c r="C10" s="774"/>
      <c r="F10" s="702" t="str">
        <f>+A10</f>
        <v>Isoflurane</v>
      </c>
      <c r="G10" s="700"/>
      <c r="H10" s="702"/>
      <c r="I10" s="702"/>
      <c r="J10" s="702"/>
      <c r="K10" s="702"/>
      <c r="L10" s="702"/>
      <c r="M10" s="702"/>
      <c r="N10" s="699"/>
    </row>
    <row r="11" spans="1:15">
      <c r="A11" s="704" t="s">
        <v>2903</v>
      </c>
      <c r="B11" s="482"/>
      <c r="C11" s="482"/>
      <c r="F11" s="702"/>
      <c r="G11" s="702" t="s">
        <v>2903</v>
      </c>
      <c r="H11" s="702">
        <f>B11*C11</f>
        <v>0</v>
      </c>
      <c r="I11" s="702">
        <f>H11/1000</f>
        <v>0</v>
      </c>
      <c r="J11" s="702"/>
      <c r="K11" s="702"/>
      <c r="L11" s="702"/>
      <c r="M11" s="702"/>
      <c r="N11" s="699"/>
    </row>
    <row r="12" spans="1:15">
      <c r="A12" s="704" t="s">
        <v>2904</v>
      </c>
      <c r="B12" s="482"/>
      <c r="C12" s="482"/>
      <c r="F12" s="702"/>
      <c r="G12" s="702" t="s">
        <v>2904</v>
      </c>
      <c r="H12" s="702">
        <f>B12*C12</f>
        <v>0</v>
      </c>
      <c r="I12" s="702">
        <f>H12/1000</f>
        <v>0</v>
      </c>
      <c r="J12" s="702"/>
      <c r="K12" s="702"/>
      <c r="L12" s="702"/>
      <c r="M12" s="702"/>
      <c r="N12" s="699"/>
    </row>
    <row r="13" spans="1:15">
      <c r="A13" s="704" t="s">
        <v>2905</v>
      </c>
      <c r="B13" s="482"/>
      <c r="C13" s="482"/>
      <c r="F13" s="702"/>
      <c r="G13" s="702" t="s">
        <v>2905</v>
      </c>
      <c r="H13" s="702">
        <f>B13*C13</f>
        <v>0</v>
      </c>
      <c r="I13" s="702">
        <f>H13/1000</f>
        <v>0</v>
      </c>
      <c r="J13" s="702"/>
      <c r="K13" s="702" t="s">
        <v>2906</v>
      </c>
      <c r="L13" s="702" t="s">
        <v>24</v>
      </c>
      <c r="M13" s="702" t="s">
        <v>2907</v>
      </c>
      <c r="N13" s="699"/>
    </row>
    <row r="14" spans="1:15">
      <c r="B14" s="775"/>
      <c r="C14" s="775"/>
      <c r="F14" s="702"/>
      <c r="G14" s="702" t="s">
        <v>8</v>
      </c>
      <c r="H14" s="702">
        <f>SUM(H11:H13)</f>
        <v>0</v>
      </c>
      <c r="I14" s="702">
        <f>SUM(I11:I13)</f>
        <v>0</v>
      </c>
      <c r="J14" s="702"/>
      <c r="K14" s="772">
        <f>+'S1&amp;2 Lists'!H5</f>
        <v>1.496</v>
      </c>
      <c r="L14" s="702">
        <f>VLOOKUP(F10,'S1&amp;2 Lists'!$C:$E,3,FALSE)</f>
        <v>539</v>
      </c>
      <c r="M14" s="702">
        <f>I14*K14*L14</f>
        <v>0</v>
      </c>
      <c r="N14" s="699"/>
    </row>
    <row r="15" spans="1:15">
      <c r="B15" s="775"/>
      <c r="C15" s="775"/>
      <c r="F15" s="702"/>
      <c r="G15" s="702"/>
      <c r="H15" s="702"/>
      <c r="I15" s="702"/>
      <c r="J15" s="702"/>
      <c r="K15" s="702"/>
      <c r="L15" s="702"/>
      <c r="M15" s="702"/>
      <c r="N15" s="699"/>
      <c r="O15" s="731"/>
    </row>
    <row r="16" spans="1:15">
      <c r="B16" s="773" t="s">
        <v>2896</v>
      </c>
      <c r="C16" s="773" t="s">
        <v>2897</v>
      </c>
      <c r="F16" s="702"/>
      <c r="G16" s="702"/>
      <c r="H16" s="702"/>
      <c r="I16" s="702"/>
      <c r="J16" s="702"/>
      <c r="K16" s="702"/>
      <c r="L16" s="702"/>
      <c r="M16" s="702"/>
      <c r="N16" s="699"/>
    </row>
    <row r="17" spans="1:15" ht="18">
      <c r="A17" s="703" t="str">
        <f>+'Scope 1 and 2 Data'!B230</f>
        <v>Sevoflurane</v>
      </c>
      <c r="B17" s="774"/>
      <c r="C17" s="774"/>
      <c r="F17" s="702" t="str">
        <f>+A17</f>
        <v>Sevoflurane</v>
      </c>
      <c r="G17" s="702" t="s">
        <v>2903</v>
      </c>
      <c r="H17" s="702">
        <f>B18*C18</f>
        <v>0</v>
      </c>
      <c r="I17" s="702">
        <f>H17/1000</f>
        <v>0</v>
      </c>
      <c r="J17" s="702"/>
      <c r="K17" s="702"/>
      <c r="L17" s="702"/>
      <c r="M17" s="702"/>
      <c r="N17" s="699"/>
    </row>
    <row r="18" spans="1:15">
      <c r="A18" s="704" t="s">
        <v>2903</v>
      </c>
      <c r="B18" s="482"/>
      <c r="C18" s="482"/>
      <c r="F18" s="702"/>
      <c r="G18" s="702" t="s">
        <v>2904</v>
      </c>
      <c r="H18" s="702">
        <f>B19*C19</f>
        <v>0</v>
      </c>
      <c r="I18" s="702">
        <f>H18/1000</f>
        <v>0</v>
      </c>
      <c r="J18" s="702"/>
      <c r="K18" s="702"/>
      <c r="L18" s="702"/>
      <c r="M18" s="702"/>
      <c r="N18" s="699"/>
    </row>
    <row r="19" spans="1:15">
      <c r="A19" s="704" t="s">
        <v>2904</v>
      </c>
      <c r="B19" s="482"/>
      <c r="C19" s="482"/>
      <c r="F19" s="702"/>
      <c r="G19" s="702" t="s">
        <v>2905</v>
      </c>
      <c r="H19" s="702">
        <f>B20*C20</f>
        <v>0</v>
      </c>
      <c r="I19" s="702">
        <f>H19/1000</f>
        <v>0</v>
      </c>
      <c r="J19" s="702"/>
      <c r="K19" s="702" t="s">
        <v>2906</v>
      </c>
      <c r="L19" s="702" t="s">
        <v>24</v>
      </c>
      <c r="M19" s="702" t="s">
        <v>2907</v>
      </c>
      <c r="N19" s="699"/>
    </row>
    <row r="20" spans="1:15">
      <c r="A20" s="704" t="s">
        <v>2905</v>
      </c>
      <c r="B20" s="482"/>
      <c r="C20" s="482"/>
      <c r="F20" s="702"/>
      <c r="G20" s="702" t="s">
        <v>8</v>
      </c>
      <c r="H20" s="702">
        <f>SUM(H17:H19)</f>
        <v>0</v>
      </c>
      <c r="I20" s="702">
        <f>SUM(I17:I19)</f>
        <v>0</v>
      </c>
      <c r="J20" s="702"/>
      <c r="K20" s="772">
        <f>+'S1&amp;2 Lists'!H6</f>
        <v>1.522</v>
      </c>
      <c r="L20" s="702">
        <f>VLOOKUP(F17,'S1&amp;2 Lists'!$C:$E,3,FALSE)</f>
        <v>195</v>
      </c>
      <c r="M20" s="702">
        <f>I20*K20*L20</f>
        <v>0</v>
      </c>
      <c r="N20" s="699"/>
    </row>
    <row r="21" spans="1:15" ht="18">
      <c r="A21" s="705"/>
      <c r="B21" s="776"/>
      <c r="C21" s="776"/>
      <c r="F21" s="702"/>
      <c r="G21" s="702"/>
      <c r="H21" s="702"/>
      <c r="I21" s="702"/>
      <c r="J21" s="702"/>
      <c r="K21" s="702"/>
      <c r="L21" s="702"/>
      <c r="M21" s="702"/>
      <c r="N21" s="699"/>
    </row>
    <row r="22" spans="1:15" ht="18">
      <c r="A22" s="705"/>
      <c r="B22" s="775"/>
      <c r="C22" s="775"/>
      <c r="F22" s="702"/>
      <c r="G22" s="702"/>
      <c r="H22" s="702"/>
      <c r="I22" s="702"/>
      <c r="J22" s="702"/>
      <c r="K22" s="702"/>
      <c r="L22" s="702"/>
      <c r="M22" s="702"/>
      <c r="N22" s="699"/>
      <c r="O22" s="731"/>
    </row>
    <row r="23" spans="1:15" ht="18">
      <c r="A23" s="705"/>
      <c r="B23" s="773" t="s">
        <v>2896</v>
      </c>
      <c r="C23" s="773" t="s">
        <v>2897</v>
      </c>
      <c r="F23" s="702"/>
      <c r="G23" s="702"/>
      <c r="H23" s="702"/>
      <c r="I23" s="702"/>
      <c r="J23" s="702"/>
      <c r="K23" s="702"/>
      <c r="L23" s="702"/>
      <c r="M23" s="702"/>
      <c r="N23" s="699"/>
    </row>
    <row r="24" spans="1:15" ht="18">
      <c r="A24" s="703" t="str">
        <f>+'Scope 1 and 2 Data'!B231</f>
        <v>Desflurane</v>
      </c>
      <c r="B24" s="774"/>
      <c r="C24" s="774"/>
      <c r="F24" s="702" t="str">
        <f>+A24</f>
        <v>Desflurane</v>
      </c>
      <c r="G24" s="702" t="s">
        <v>2903</v>
      </c>
      <c r="H24" s="702">
        <f>B25*C25</f>
        <v>0</v>
      </c>
      <c r="I24" s="702">
        <f>H24/1000</f>
        <v>0</v>
      </c>
      <c r="J24" s="702"/>
      <c r="K24" s="702"/>
      <c r="L24" s="702"/>
      <c r="M24" s="702"/>
      <c r="N24" s="699"/>
    </row>
    <row r="25" spans="1:15">
      <c r="A25" s="704" t="s">
        <v>2903</v>
      </c>
      <c r="B25" s="482"/>
      <c r="C25" s="482"/>
      <c r="F25" s="702"/>
      <c r="G25" s="702" t="s">
        <v>2904</v>
      </c>
      <c r="H25" s="702">
        <f>B26*C26</f>
        <v>0</v>
      </c>
      <c r="I25" s="702">
        <f>H25/1000</f>
        <v>0</v>
      </c>
      <c r="J25" s="702"/>
      <c r="K25" s="702"/>
      <c r="L25" s="702"/>
      <c r="M25" s="702"/>
      <c r="N25" s="699"/>
    </row>
    <row r="26" spans="1:15">
      <c r="A26" s="704" t="s">
        <v>2904</v>
      </c>
      <c r="B26" s="482"/>
      <c r="C26" s="482"/>
      <c r="F26" s="702"/>
      <c r="G26" s="702" t="s">
        <v>2905</v>
      </c>
      <c r="H26" s="702">
        <f>B27*C27</f>
        <v>0</v>
      </c>
      <c r="I26" s="702">
        <f>H26/1000</f>
        <v>0</v>
      </c>
      <c r="J26" s="702"/>
      <c r="K26" s="702" t="s">
        <v>2906</v>
      </c>
      <c r="L26" s="702" t="s">
        <v>24</v>
      </c>
      <c r="M26" s="702" t="s">
        <v>2907</v>
      </c>
      <c r="N26" s="699"/>
    </row>
    <row r="27" spans="1:15">
      <c r="A27" s="704" t="s">
        <v>2905</v>
      </c>
      <c r="B27" s="482"/>
      <c r="C27" s="482"/>
      <c r="F27" s="702"/>
      <c r="G27" s="702" t="s">
        <v>8</v>
      </c>
      <c r="H27" s="702">
        <f>SUM(H24:H26)</f>
        <v>0</v>
      </c>
      <c r="I27" s="702">
        <f>SUM(I24:I26)</f>
        <v>0</v>
      </c>
      <c r="J27" s="702"/>
      <c r="K27" s="772">
        <f>+'S1&amp;2 Lists'!H7</f>
        <v>1.4650000000000001</v>
      </c>
      <c r="L27" s="702">
        <f>VLOOKUP(F24,'S1&amp;2 Lists'!$C:$E,3,FALSE)</f>
        <v>2590</v>
      </c>
      <c r="M27" s="702">
        <f>I27*K27*L27</f>
        <v>0</v>
      </c>
      <c r="N27" s="699"/>
    </row>
    <row r="28" spans="1:15">
      <c r="B28" s="775"/>
      <c r="C28" s="775"/>
      <c r="F28" s="702"/>
      <c r="G28" s="702"/>
      <c r="H28" s="702"/>
      <c r="I28" s="702"/>
      <c r="J28" s="702"/>
      <c r="K28" s="702"/>
      <c r="L28" s="702"/>
      <c r="M28" s="702"/>
      <c r="N28" s="699"/>
    </row>
    <row r="29" spans="1:15">
      <c r="B29" s="773" t="s">
        <v>1832</v>
      </c>
      <c r="C29" s="773" t="s">
        <v>0</v>
      </c>
      <c r="F29" s="702"/>
      <c r="G29" s="702"/>
      <c r="H29" s="702"/>
      <c r="I29" s="702"/>
      <c r="J29" s="702"/>
      <c r="K29" s="702"/>
      <c r="L29" s="702"/>
      <c r="M29" s="702"/>
      <c r="N29" s="699"/>
      <c r="O29" s="731"/>
    </row>
    <row r="30" spans="1:15" ht="20.25" customHeight="1">
      <c r="A30" s="706" t="str">
        <f>+'Scope 1 and 2 Data'!B228</f>
        <v>N2O</v>
      </c>
      <c r="B30" s="777"/>
      <c r="C30" s="777"/>
      <c r="F30" s="702" t="str">
        <f>+A30</f>
        <v>N2O</v>
      </c>
      <c r="G30" s="702"/>
      <c r="H30" s="702"/>
      <c r="I30" s="702"/>
      <c r="J30" s="702" t="s">
        <v>3291</v>
      </c>
      <c r="K30" s="702" t="s">
        <v>2908</v>
      </c>
      <c r="L30" s="702" t="s">
        <v>24</v>
      </c>
      <c r="M30" s="702" t="s">
        <v>2907</v>
      </c>
      <c r="N30" s="699"/>
    </row>
    <row r="31" spans="1:15">
      <c r="A31" s="704" t="s">
        <v>3286</v>
      </c>
      <c r="B31" s="482"/>
      <c r="C31" s="482"/>
      <c r="F31" s="702"/>
      <c r="G31" s="702" t="str">
        <f>A31</f>
        <v>Quantity delivered</v>
      </c>
      <c r="H31" s="702"/>
      <c r="I31" s="702">
        <f>+B31</f>
        <v>0</v>
      </c>
      <c r="J31" s="702">
        <f>1.22/1000</f>
        <v>1.2199999999999999E-3</v>
      </c>
      <c r="K31" s="707">
        <v>0.4536</v>
      </c>
      <c r="L31" s="702">
        <f>VLOOKUP(F30,'S1&amp;2 Lists'!$C:$E,3,FALSE)</f>
        <v>273</v>
      </c>
      <c r="M31" s="709">
        <f>IF(C31="lbs", I31*K31*L31, I31*J31*L31)</f>
        <v>0</v>
      </c>
      <c r="N31" s="699"/>
    </row>
    <row r="32" spans="1:15">
      <c r="B32" s="775"/>
      <c r="C32" s="775"/>
      <c r="F32" s="702"/>
      <c r="G32" s="702"/>
      <c r="H32" s="702"/>
      <c r="I32" s="702"/>
      <c r="J32" s="702"/>
      <c r="K32" s="702"/>
      <c r="L32" s="702"/>
      <c r="M32" s="702"/>
      <c r="N32" s="699"/>
      <c r="O32" s="731"/>
    </row>
    <row r="33" spans="1:15" ht="15.75" customHeight="1">
      <c r="B33" s="773" t="s">
        <v>1832</v>
      </c>
      <c r="C33" s="773" t="s">
        <v>0</v>
      </c>
      <c r="F33" s="702"/>
      <c r="G33" s="702"/>
      <c r="H33" s="702"/>
      <c r="I33" s="702"/>
      <c r="J33" s="702"/>
      <c r="K33" s="702"/>
      <c r="L33" s="702"/>
      <c r="M33" s="702"/>
      <c r="N33" s="699"/>
    </row>
    <row r="34" spans="1:15" ht="18">
      <c r="A34" s="703" t="s">
        <v>1872</v>
      </c>
      <c r="B34" s="777"/>
      <c r="C34" s="777"/>
      <c r="F34" s="702" t="str">
        <f>+A34</f>
        <v>N2O/O2 - 50/50 vol</v>
      </c>
      <c r="G34" s="702"/>
      <c r="H34" s="702"/>
      <c r="I34" s="702"/>
      <c r="J34" s="702" t="s">
        <v>3291</v>
      </c>
      <c r="K34" s="702" t="s">
        <v>2908</v>
      </c>
      <c r="L34" s="702" t="s">
        <v>24</v>
      </c>
      <c r="M34" s="702" t="s">
        <v>2907</v>
      </c>
      <c r="N34" s="699"/>
    </row>
    <row r="35" spans="1:15">
      <c r="A35" s="704" t="s">
        <v>3286</v>
      </c>
      <c r="B35" s="482"/>
      <c r="C35" s="482"/>
      <c r="F35" s="702"/>
      <c r="G35" s="702" t="str">
        <f>A35</f>
        <v>Quantity delivered</v>
      </c>
      <c r="H35" s="702"/>
      <c r="I35" s="702">
        <f>+B35</f>
        <v>0</v>
      </c>
      <c r="J35" s="702">
        <f>1.22/1000</f>
        <v>1.2199999999999999E-3</v>
      </c>
      <c r="K35" s="707">
        <v>0.4536</v>
      </c>
      <c r="L35" s="708">
        <f>+'Scope 1 and 2 Data'!C228</f>
        <v>273</v>
      </c>
      <c r="M35" s="709">
        <f>IF(C35="lbs", I35*K35*L35, I35*J35*L35)</f>
        <v>0</v>
      </c>
      <c r="N35" s="699"/>
    </row>
    <row r="36" spans="1:15">
      <c r="B36" s="775"/>
      <c r="C36" s="775"/>
      <c r="F36" s="702"/>
      <c r="G36" s="702"/>
      <c r="H36" s="702"/>
      <c r="I36" s="702"/>
      <c r="J36" s="702"/>
      <c r="K36" s="702"/>
      <c r="L36" s="702"/>
      <c r="M36" s="702"/>
      <c r="N36" s="699"/>
    </row>
    <row r="37" spans="1:15">
      <c r="B37" s="773" t="s">
        <v>1832</v>
      </c>
      <c r="C37" s="773" t="s">
        <v>0</v>
      </c>
      <c r="F37" s="702"/>
      <c r="G37" s="702"/>
      <c r="H37" s="702"/>
      <c r="I37" s="702"/>
      <c r="J37" s="702" t="s">
        <v>3291</v>
      </c>
      <c r="K37" s="702" t="s">
        <v>2908</v>
      </c>
      <c r="L37" s="702" t="s">
        <v>24</v>
      </c>
      <c r="M37" s="702" t="s">
        <v>2907</v>
      </c>
      <c r="N37" s="699"/>
    </row>
    <row r="38" spans="1:15" ht="18">
      <c r="A38" s="703" t="str">
        <f>+'Scope 1 and 2 Data'!B232</f>
        <v>Carbon Dioxide (CO2​)</v>
      </c>
      <c r="B38" s="777"/>
      <c r="C38" s="777"/>
      <c r="F38" s="702" t="str">
        <f>+A38</f>
        <v>Carbon Dioxide (CO2​)</v>
      </c>
      <c r="G38" s="702" t="str">
        <f>A39</f>
        <v>Quantity delivered</v>
      </c>
      <c r="H38" s="702"/>
      <c r="I38" s="702">
        <f>+B39</f>
        <v>0</v>
      </c>
      <c r="J38" s="702">
        <f>1.101/1000</f>
        <v>1.101E-3</v>
      </c>
      <c r="K38" s="707">
        <v>0.4536</v>
      </c>
      <c r="L38" s="702">
        <f>VLOOKUP(F38,'S1&amp;2 Lists'!$C:$E,3,FALSE)</f>
        <v>1</v>
      </c>
      <c r="M38" s="709">
        <f>IF(C39="lbs", I38*K38*L38, I38*J38*L38)</f>
        <v>0</v>
      </c>
      <c r="N38" s="699"/>
    </row>
    <row r="39" spans="1:15">
      <c r="A39" s="704" t="s">
        <v>3286</v>
      </c>
      <c r="B39" s="482"/>
      <c r="C39" s="482"/>
      <c r="M39" s="694" t="s">
        <v>1737</v>
      </c>
      <c r="N39" s="699"/>
    </row>
    <row r="40" spans="1:15">
      <c r="N40" s="699"/>
      <c r="O40" s="731"/>
    </row>
    <row r="41" spans="1:15">
      <c r="N41" s="699"/>
    </row>
  </sheetData>
  <sheetProtection algorithmName="SHA-512" hashValue="d9byCh2iW1WZv9feKluSICNSS4t/pOSW9tsBu7aBatxVUxgv+TqA5uBGEv0xSnwPXcI8W5+GTwrJtWUiLYpSfw==" saltValue="H9xdmXKvMqG+EgbmoXj0Uw==" spinCount="100000" sheet="1" objects="1" scenarios="1"/>
  <mergeCells count="3">
    <mergeCell ref="A5:D5"/>
    <mergeCell ref="A6:D6"/>
    <mergeCell ref="A7:C7"/>
  </mergeCells>
  <hyperlinks>
    <hyperlink ref="H1" location="'Scope 1 and 2 Data'!C210" display="Go back to Scope 1 and 2 Data" xr:uid="{D7BD63B1-1BF6-4F1F-B6F7-467AF012955F}"/>
  </hyperlinks>
  <pageMargins left="0.75" right="0.75" top="1.0416666666666667" bottom="1" header="0.5" footer="0.5"/>
  <pageSetup orientation="portrait" horizontalDpi="4294967292" verticalDpi="4294967292"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29764F1E-F556-4D45-BC44-5E507209E460}">
          <x14:formula1>
            <xm:f>'S1&amp;2 Lists'!$DU$3:$DU$4</xm:f>
          </x14:formula1>
          <xm:sqref>C31 C35 C39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ccc2635-740d-44a0-9af6-db4b7245622b">
      <UserInfo>
        <DisplayName>BROOKS Jessica (ENGIE Impact)</DisplayName>
        <AccountId>11</AccountId>
        <AccountType/>
      </UserInfo>
    </SharedWithUsers>
    <lcf76f155ced4ddcb4097134ff3c332f xmlns="0a2d0cae-8a41-4761-b650-bfdba13c5436">
      <Terms xmlns="http://schemas.microsoft.com/office/infopath/2007/PartnerControls"/>
    </lcf76f155ced4ddcb4097134ff3c332f>
  </documentManagement>
</p:properties>
</file>

<file path=customXml/item2.xml><?xml version="1.0" encoding="utf-8"?>
<?mso-contentType ?>
<SharedContentType xmlns="Microsoft.SharePoint.Taxonomy.ContentTypeSync" SourceId="902b3144-05cb-4777-86b3-e84c4a6b5b61" ContentTypeId="0x0101"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E692C27715FE749A7C729010F0122B3" ma:contentTypeVersion="22" ma:contentTypeDescription="Create a new document." ma:contentTypeScope="" ma:versionID="9b3658457d975638f2fbf115bbde4ecd">
  <xsd:schema xmlns:xsd="http://www.w3.org/2001/XMLSchema" xmlns:xs="http://www.w3.org/2001/XMLSchema" xmlns:p="http://schemas.microsoft.com/office/2006/metadata/properties" xmlns:ns2="87037488-ec5d-4aba-84c2-9b1d22638e8e" xmlns:ns3="0a2d0cae-8a41-4761-b650-bfdba13c5436" xmlns:ns4="2ccc2635-740d-44a0-9af6-db4b7245622b" targetNamespace="http://schemas.microsoft.com/office/2006/metadata/properties" ma:root="true" ma:fieldsID="276d3ba7a0faca8517a0de0c0eca8b6b" ns2:_="" ns3:_="" ns4:_="">
    <xsd:import namespace="87037488-ec5d-4aba-84c2-9b1d22638e8e"/>
    <xsd:import namespace="0a2d0cae-8a41-4761-b650-bfdba13c5436"/>
    <xsd:import namespace="2ccc2635-740d-44a0-9af6-db4b7245622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4:SharedWithUsers" minOccurs="0"/>
                <xsd:element ref="ns4:SharedWithDetails"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lcf76f155ced4ddcb4097134ff3c332f" minOccurs="0"/>
                <xsd:element ref="ns3:MediaServiceLocation"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a0ea45a-e2de-4f9b-845d-1515b9c9e6e4}" ma:internalName="TaxCatchAll" ma:showField="CatchAllData" ma:web="2ccc2635-740d-44a0-9af6-db4b72456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a0ea45a-e2de-4f9b-845d-1515b9c9e6e4}" ma:internalName="TaxCatchAllLabel" ma:readOnly="true" ma:showField="CatchAllDataLabel" ma:web="2ccc2635-740d-44a0-9af6-db4b72456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2d0cae-8a41-4761-b650-bfdba13c54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472f7-a010-4b5a-bb99-a26ed4c99680"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cc2635-740d-44a0-9af6-db4b7245622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BE8F6E-6391-4467-9543-21FC5C8E1BB7}">
  <ds:schemaRefs>
    <ds:schemaRef ds:uri="http://purl.org/dc/elements/1.1/"/>
    <ds:schemaRef ds:uri="2ccc2635-740d-44a0-9af6-db4b7245622b"/>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0a2d0cae-8a41-4761-b650-bfdba13c5436"/>
    <ds:schemaRef ds:uri="http://schemas.microsoft.com/office/infopath/2007/PartnerControls"/>
    <ds:schemaRef ds:uri="87037488-ec5d-4aba-84c2-9b1d22638e8e"/>
    <ds:schemaRef ds:uri="http://purl.org/dc/dcmitype/"/>
  </ds:schemaRefs>
</ds:datastoreItem>
</file>

<file path=customXml/itemProps2.xml><?xml version="1.0" encoding="utf-8"?>
<ds:datastoreItem xmlns:ds="http://schemas.openxmlformats.org/officeDocument/2006/customXml" ds:itemID="{02E74DC2-8E9C-4038-925C-10818B12C423}">
  <ds:schemaRefs>
    <ds:schemaRef ds:uri="Microsoft.SharePoint.Taxonomy.ContentTypeSync"/>
  </ds:schemaRefs>
</ds:datastoreItem>
</file>

<file path=customXml/itemProps3.xml><?xml version="1.0" encoding="utf-8"?>
<ds:datastoreItem xmlns:ds="http://schemas.openxmlformats.org/officeDocument/2006/customXml" ds:itemID="{171218B7-A875-4CC5-A01E-14C3154D787F}">
  <ds:schemaRefs>
    <ds:schemaRef ds:uri="http://schemas.microsoft.com/sharepoint/v3/contenttype/forms"/>
  </ds:schemaRefs>
</ds:datastoreItem>
</file>

<file path=customXml/itemProps4.xml><?xml version="1.0" encoding="utf-8"?>
<ds:datastoreItem xmlns:ds="http://schemas.openxmlformats.org/officeDocument/2006/customXml" ds:itemID="{9FF3B049-ECA9-4660-974A-B8105DD6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0a2d0cae-8a41-4761-b650-bfdba13c5436"/>
    <ds:schemaRef ds:uri="2ccc2635-740d-44a0-9af6-db4b72456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43</vt:i4>
      </vt:variant>
      <vt:variant>
        <vt:lpstr>Named Ranges</vt:lpstr>
      </vt:variant>
      <vt:variant>
        <vt:i4>3</vt:i4>
      </vt:variant>
    </vt:vector>
  </HeadingPairs>
  <TitlesOfParts>
    <vt:vector size="46" baseType="lpstr">
      <vt:lpstr>Mapping</vt:lpstr>
      <vt:lpstr>Scope 1 and 2 changelog</vt:lpstr>
      <vt:lpstr>Instructions</vt:lpstr>
      <vt:lpstr>EEA Data Upload</vt:lpstr>
      <vt:lpstr>Facility or System Data</vt:lpstr>
      <vt:lpstr>Scope 1 and 2 Data</vt:lpstr>
      <vt:lpstr>S1&amp;2 Lists</vt:lpstr>
      <vt:lpstr>Refrigerants</vt:lpstr>
      <vt:lpstr>Anesthetic Gases</vt:lpstr>
      <vt:lpstr>Results &amp; Summary</vt:lpstr>
      <vt:lpstr>S1&amp;2 References</vt:lpstr>
      <vt:lpstr>Data sources</vt:lpstr>
      <vt:lpstr>Reporting Year &amp; Inflation Adj.</vt:lpstr>
      <vt:lpstr>Scope 3 changelog</vt:lpstr>
      <vt:lpstr>Introduction</vt:lpstr>
      <vt:lpstr>Scope 3 Summary</vt:lpstr>
      <vt:lpstr>Cat 1 (Goods &amp; Services)</vt:lpstr>
      <vt:lpstr>Cat 2 (Capital Goods)</vt:lpstr>
      <vt:lpstr>using slicers</vt:lpstr>
      <vt:lpstr>Category 1 and 2 (custom input)</vt:lpstr>
      <vt:lpstr>Custom Emissions Inputs - other</vt:lpstr>
      <vt:lpstr>Cat 3 Fuel &amp; Energy</vt:lpstr>
      <vt:lpstr>Cat 4 Upstream Trans &amp; Dist</vt:lpstr>
      <vt:lpstr>Cat 5 Waste</vt:lpstr>
      <vt:lpstr>Cat 6 Business Trav. (spend)</vt:lpstr>
      <vt:lpstr>Cat 6 Business Trav. (distance)</vt:lpstr>
      <vt:lpstr>Cat 7 Employee Commuting</vt:lpstr>
      <vt:lpstr>Cat 8 &amp; Cat 13 Leased Assets</vt:lpstr>
      <vt:lpstr>Cat 9 (Patient Visits)</vt:lpstr>
      <vt:lpstr>Cat 11 Use of Sold Products</vt:lpstr>
      <vt:lpstr>Cat 15 Investments</vt:lpstr>
      <vt:lpstr>Cat 15 descriptions</vt:lpstr>
      <vt:lpstr>References</vt:lpstr>
      <vt:lpstr>EF</vt:lpstr>
      <vt:lpstr>Commute Calcs</vt:lpstr>
      <vt:lpstr>State eGrid factors</vt:lpstr>
      <vt:lpstr>CBECS IFs</vt:lpstr>
      <vt:lpstr>DESNZ Cat 6-9</vt:lpstr>
      <vt:lpstr>Conversions</vt:lpstr>
      <vt:lpstr>Fuel properties</vt:lpstr>
      <vt:lpstr>DESNZ fuels &amp; biofuels</vt:lpstr>
      <vt:lpstr>GWPs</vt:lpstr>
      <vt:lpstr>IndustryFactors_v1.4</vt:lpstr>
      <vt:lpstr>Refrigerants!Print_Area</vt:lpstr>
      <vt:lpstr>'Results &amp; Summary'!Print_Area</vt:lpstr>
      <vt:lpstr>'Scope 1 and 2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 Sutherland</dc:creator>
  <cp:lastModifiedBy>Chelsea Tomek</cp:lastModifiedBy>
  <dcterms:created xsi:type="dcterms:W3CDTF">2015-06-05T18:17:20Z</dcterms:created>
  <dcterms:modified xsi:type="dcterms:W3CDTF">2026-06-12T21:48:53Z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0x0101005E692C27715FE749A7C729010F0122B3</vt:lpwstr>
  </property>
  <property fmtid="{D5CDD505-2E9C-101B-9397-08002B2CF9AE}" pid="3" name="Security Classification">
    <vt:lpwstr/>
  </property>
  <property fmtid="{D5CDD505-2E9C-101B-9397-08002B2CF9AE}" pid="4" name="MediaServiceImageTags">
    <vt:lpwstr/>
  </property>
  <property fmtid="{D5CDD505-2E9C-101B-9397-08002B2CF9AE}" pid="5" name="MSIP_Label_c135c4ba-2280-41f8-be7d-6f21d368baa3_Enabled">
    <vt:lpwstr>true</vt:lpwstr>
  </property>
  <property fmtid="{D5CDD505-2E9C-101B-9397-08002B2CF9AE}" pid="6" name="MSIP_Label_c135c4ba-2280-41f8-be7d-6f21d368baa3_SetDate">
    <vt:lpwstr>2022-08-10T15:52:28Z</vt:lpwstr>
  </property>
  <property fmtid="{D5CDD505-2E9C-101B-9397-08002B2CF9AE}" pid="7" name="MSIP_Label_c135c4ba-2280-41f8-be7d-6f21d368baa3_Method">
    <vt:lpwstr>Standard</vt:lpwstr>
  </property>
  <property fmtid="{D5CDD505-2E9C-101B-9397-08002B2CF9AE}" pid="8" name="MSIP_Label_c135c4ba-2280-41f8-be7d-6f21d368baa3_Name">
    <vt:lpwstr>c135c4ba-2280-41f8-be7d-6f21d368baa3</vt:lpwstr>
  </property>
  <property fmtid="{D5CDD505-2E9C-101B-9397-08002B2CF9AE}" pid="9" name="MSIP_Label_c135c4ba-2280-41f8-be7d-6f21d368baa3_SiteId">
    <vt:lpwstr>24139d14-c62c-4c47-8bdd-ce71ea1d50cf</vt:lpwstr>
  </property>
  <property fmtid="{D5CDD505-2E9C-101B-9397-08002B2CF9AE}" pid="10" name="MSIP_Label_c135c4ba-2280-41f8-be7d-6f21d368baa3_ActionId">
    <vt:lpwstr>22554338-9a10-41c4-9c4e-8ef64dc2589c</vt:lpwstr>
  </property>
  <property fmtid="{D5CDD505-2E9C-101B-9397-08002B2CF9AE}" pid="11" name="MSIP_Label_c135c4ba-2280-41f8-be7d-6f21d368baa3_ContentBits">
    <vt:lpwstr>0</vt:lpwstr>
  </property>
  <property fmtid="{D5CDD505-2E9C-101B-9397-08002B2CF9AE}" pid="12" name="Security_x0020_Classification">
    <vt:lpwstr/>
  </property>
</Properties>
</file>