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1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hidePivotFieldList="1"/>
  <mc:AlternateContent xmlns:mc="http://schemas.openxmlformats.org/markup-compatibility/2006">
    <mc:Choice Requires="x15">
      <x15ac:absPath xmlns:x15ac="http://schemas.microsoft.com/office/spreadsheetml/2010/11/ac" url="C:\Users\keith\Desktop\"/>
    </mc:Choice>
  </mc:AlternateContent>
  <xr:revisionPtr revIDLastSave="0" documentId="13_ncr:1_{D6B895F3-B8EB-404A-90DB-F956EC5EA2D8}" xr6:coauthVersionLast="47" xr6:coauthVersionMax="47" xr10:uidLastSave="{00000000-0000-0000-0000-000000000000}"/>
  <workbookProtection workbookAlgorithmName="SHA-512" workbookHashValue="ahlEFhvhIgUY82fg6kIUvN3Sba/inxuC3h96ba06MBlobInsbMDcGfoUStgysUyTzBz/rCzKXoyYcamCcgyTmw==" workbookSaltValue="VSo3p+bM4NeUxwZlFyDj4w==" workbookSpinCount="100000" lockStructure="1"/>
  <bookViews>
    <workbookView xWindow="-110" yWindow="-110" windowWidth="19420" windowHeight="10300" tabRatio="869" xr2:uid="{00000000-000D-0000-FFFF-FFFF00000000}"/>
  </bookViews>
  <sheets>
    <sheet name="Scope 1 and 2 changelog" sheetId="99" r:id="rId1"/>
    <sheet name="Instructions" sheetId="100" r:id="rId2"/>
    <sheet name="Facility or System Data" sheetId="101" r:id="rId3"/>
    <sheet name="Scope 1 and 2 Data" sheetId="102" r:id="rId4"/>
    <sheet name="S1&amp;2 Lists" sheetId="103" state="hidden" r:id="rId5"/>
    <sheet name="Results &amp; Summary" sheetId="104" r:id="rId6"/>
    <sheet name="Refrigerants" sheetId="105" r:id="rId7"/>
    <sheet name="S1&amp;2 References" sheetId="106" r:id="rId8"/>
    <sheet name="Anesthetic Gases" sheetId="107" r:id="rId9"/>
    <sheet name="Data sources" sheetId="108" r:id="rId10"/>
    <sheet name="Scope 3 changelog" sheetId="72" r:id="rId11"/>
    <sheet name="Introduction" sheetId="73" r:id="rId12"/>
    <sheet name="Inventory Settings" sheetId="74" r:id="rId13"/>
    <sheet name="Scope 3 Summary" sheetId="75" r:id="rId14"/>
    <sheet name="Cat 1 (Goods &amp; Services)" sheetId="70" r:id="rId15"/>
    <sheet name="Cat 2 (Capital Goods)" sheetId="71" r:id="rId16"/>
    <sheet name="Category 1 and 2 (custom input)" sheetId="76" r:id="rId17"/>
    <sheet name="Custom Emissions Inputs - other" sheetId="77" r:id="rId18"/>
    <sheet name="using slicers" sheetId="78" r:id="rId19"/>
    <sheet name="Cat 3 Fuel &amp; Energy" sheetId="79" r:id="rId20"/>
    <sheet name="Cat 4 Upstream Trans &amp; Dist" sheetId="80" r:id="rId21"/>
    <sheet name="Cat 5 Waste" sheetId="81" r:id="rId22"/>
    <sheet name="EF" sheetId="69" state="hidden" r:id="rId23"/>
    <sheet name="Cat 6 Business Trav. (spend)" sheetId="82" r:id="rId24"/>
    <sheet name="Cat 6 Business Trav. (distance)" sheetId="83" r:id="rId25"/>
    <sheet name="Cat 7 Employee Commuting" sheetId="84" r:id="rId26"/>
    <sheet name="CBECS IFs" sheetId="91" state="hidden" r:id="rId27"/>
    <sheet name="April updates" sheetId="98" state="hidden" r:id="rId28"/>
    <sheet name="Cat 8 &amp; Cat 13 Leased Assets" sheetId="85" r:id="rId29"/>
    <sheet name="Cat 9 (Patient Visits)" sheetId="86" r:id="rId30"/>
    <sheet name="Cat 11 Use of Sold Products" sheetId="92" r:id="rId31"/>
    <sheet name="Commute Calcs" sheetId="87" state="hidden" r:id="rId32"/>
    <sheet name="State eGrid factors" sheetId="88" state="hidden" r:id="rId33"/>
    <sheet name="GWPs" sheetId="89" state="hidden" r:id="rId34"/>
    <sheet name="2023_IndustryFactors_v1.2.3" sheetId="93" state="hidden" r:id="rId35"/>
    <sheet name="Cat 15 Investments" sheetId="94" r:id="rId36"/>
    <sheet name="Cat 15 descriptions" sheetId="95" r:id="rId37"/>
    <sheet name="References" sheetId="96" r:id="rId38"/>
    <sheet name="Conversions" sheetId="97" state="hidden" r:id="rId39"/>
    <sheet name="Mapping" sheetId="67" state="hidden" r:id="rId40"/>
  </sheets>
  <definedNames>
    <definedName name="_xlnm._FilterDatabase" localSheetId="34" hidden="1">'2023_IndustryFactors_v1.2.3'!$A$1:$D$210</definedName>
    <definedName name="_xlnm._FilterDatabase" localSheetId="36" hidden="1">'Cat 15 descriptions'!$C$3:$D$212</definedName>
    <definedName name="_xlnm._FilterDatabase" localSheetId="31" hidden="1">'Commute Calcs'!$K$5:$Z$18</definedName>
    <definedName name="_xlnm._FilterDatabase" localSheetId="17" hidden="1">'Custom Emissions Inputs - other'!$C$105:$C$114</definedName>
    <definedName name="_xlnm._FilterDatabase" localSheetId="22" hidden="1">EF!$T$119:$AC$177</definedName>
    <definedName name="_xlnm._FilterDatabase" localSheetId="4" hidden="1">'S1&amp;2 Lists'!$BB$2:$BB$280</definedName>
    <definedName name="_xlnm._FilterDatabase" localSheetId="7" hidden="1">'S1&amp;2 References'!$A$3:$F$3</definedName>
    <definedName name="_xlnm._FilterDatabase" localSheetId="0" hidden="1">'Scope 1 and 2 changelog'!$A$3:$F$3</definedName>
    <definedName name="_Regression_Int" hidden="1">1</definedName>
    <definedName name="Business_trips" localSheetId="14">#REF!</definedName>
    <definedName name="Business_trips" localSheetId="15">#REF!</definedName>
    <definedName name="Business_trips" localSheetId="22">#REF!</definedName>
    <definedName name="Business_trips">#REF!</definedName>
    <definedName name="BusinessTravel_Commodity_Detail" localSheetId="15">#REF!</definedName>
    <definedName name="BusinessTravel_Commodity_Detail" localSheetId="24">#REF!</definedName>
    <definedName name="BusinessTravel_Commodity_Detail" localSheetId="29">#REF!</definedName>
    <definedName name="BusinessTravel_Commodity_Detail" localSheetId="16">#REF!</definedName>
    <definedName name="BusinessTravel_Commodity_Detail" localSheetId="17">#REF!</definedName>
    <definedName name="BusinessTravel_Commodity_Detail">#REF!</definedName>
    <definedName name="Commodity_detail" localSheetId="15">#REF!</definedName>
    <definedName name="Commodity_detail" localSheetId="24">#REF!</definedName>
    <definedName name="Commodity_detail" localSheetId="29">#REF!</definedName>
    <definedName name="Commodity_detail" localSheetId="16">#REF!</definedName>
    <definedName name="Commodity_detail" localSheetId="17">#REF!</definedName>
    <definedName name="Commodity_detail">#REF!</definedName>
    <definedName name="Cooling_fire_suppression" localSheetId="14">#REF!</definedName>
    <definedName name="Cooling_fire_suppression" localSheetId="15">#REF!</definedName>
    <definedName name="Cooling_fire_suppression" localSheetId="22">#REF!</definedName>
    <definedName name="Cooling_fire_suppression">#REF!</definedName>
    <definedName name="Country_region" localSheetId="14">#REF!</definedName>
    <definedName name="Country_region" localSheetId="15">#REF!</definedName>
    <definedName name="Country_region" localSheetId="22">#REF!</definedName>
    <definedName name="Country_region">#REF!</definedName>
    <definedName name="Employee_commuting" localSheetId="14">#REF!</definedName>
    <definedName name="Employee_commuting" localSheetId="15">#REF!</definedName>
    <definedName name="Employee_commuting" localSheetId="22">#REF!</definedName>
    <definedName name="Employee_commuting">#REF!</definedName>
    <definedName name="get_gasgperkm">#REF!</definedName>
    <definedName name="Heat_total_emissions" localSheetId="14">#REF!</definedName>
    <definedName name="Heat_total_emissions" localSheetId="15">#REF!</definedName>
    <definedName name="Heat_total_emissions" localSheetId="22">#REF!</definedName>
    <definedName name="Heat_total_emissions">#REF!</definedName>
    <definedName name="Medicinal_Anesthetic_gases" localSheetId="14">#REF!</definedName>
    <definedName name="Medicinal_Anesthetic_gases" localSheetId="15">#REF!</definedName>
    <definedName name="Medicinal_Anesthetic_gases" localSheetId="22">#REF!</definedName>
    <definedName name="Medicinal_Anesthetic_gases">#REF!</definedName>
    <definedName name="Mixed_Electronics" localSheetId="29">#REF!</definedName>
    <definedName name="NK_estimated" localSheetId="14">#REF!</definedName>
    <definedName name="NK_estimated" localSheetId="15">#REF!</definedName>
    <definedName name="NK_estimated" localSheetId="22">#REF!</definedName>
    <definedName name="NK_estimated">#REF!</definedName>
    <definedName name="Patient_commuting" localSheetId="14">#REF!</definedName>
    <definedName name="Patient_commuting" localSheetId="15">#REF!</definedName>
    <definedName name="Patient_commuting" localSheetId="22">#REF!</definedName>
    <definedName name="Patient_commuting">#REF!</definedName>
    <definedName name="_xlnm.Print_Area" localSheetId="6">Refrigerants!$A$2:$Q$654</definedName>
    <definedName name="_xlnm.Print_Area" localSheetId="5">'Results &amp; Summary'!$A$1:$F$128</definedName>
    <definedName name="_xlnm.Print_Area" localSheetId="3">'Scope 1 and 2 Data'!$A$1:$L$250</definedName>
    <definedName name="SAR" localSheetId="14">#REF!</definedName>
    <definedName name="SAR" localSheetId="15">#REF!</definedName>
    <definedName name="SAR">#REF!</definedName>
    <definedName name="Slicer_Category">#N/A</definedName>
    <definedName name="Slicer_Sub_category">#N/A</definedName>
    <definedName name="Slicer_Sub_category1">#N/A</definedName>
    <definedName name="Supply_Chain" localSheetId="14">#REF!</definedName>
    <definedName name="Supply_Chain" localSheetId="15">#REF!</definedName>
    <definedName name="Supply_Chain" localSheetId="22">#REF!</definedName>
    <definedName name="Supply_Chain">#REF!</definedName>
    <definedName name="year" localSheetId="14">#REF!</definedName>
    <definedName name="year" localSheetId="15">#REF!</definedName>
    <definedName name="year" localSheetId="22">#REF!</definedName>
    <definedName name="year">#REF!</definedName>
  </definedNames>
  <calcPr calcId="191029" iterate="1" iterateCount="1" calcOnSave="0"/>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1"/>
        <x14:slicerCache r:id="rId42"/>
        <x14:slicerCache r:id="rId43"/>
      </x15:slicerCache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0" i="70" l="1"/>
  <c r="G21" i="70"/>
  <c r="G22" i="70"/>
  <c r="G23" i="70"/>
  <c r="G24" i="70"/>
  <c r="G25" i="70"/>
  <c r="G26" i="70"/>
  <c r="G27" i="70"/>
  <c r="G28" i="70"/>
  <c r="G29" i="70"/>
  <c r="G30" i="70"/>
  <c r="G31" i="70"/>
  <c r="G32" i="70"/>
  <c r="G33" i="70"/>
  <c r="G34" i="70"/>
  <c r="G35" i="70"/>
  <c r="G36" i="70"/>
  <c r="G37" i="70"/>
  <c r="G38" i="70"/>
  <c r="G39" i="70"/>
  <c r="G40" i="70"/>
  <c r="G41" i="70"/>
  <c r="G42" i="70"/>
  <c r="G43" i="70"/>
  <c r="G44" i="70"/>
  <c r="G45" i="70"/>
  <c r="G46" i="70"/>
  <c r="G47" i="70"/>
  <c r="G48" i="70"/>
  <c r="G49" i="70"/>
  <c r="G50" i="70"/>
  <c r="G51" i="70"/>
  <c r="G52" i="70"/>
  <c r="G53" i="70"/>
  <c r="G54" i="70"/>
  <c r="G55" i="70"/>
  <c r="G56" i="70"/>
  <c r="G57" i="70"/>
  <c r="G58" i="70"/>
  <c r="G59" i="70"/>
  <c r="G60" i="70"/>
  <c r="G61" i="70"/>
  <c r="G62" i="70"/>
  <c r="G63" i="70"/>
  <c r="G64" i="70"/>
  <c r="G65" i="70"/>
  <c r="G66" i="70"/>
  <c r="G67" i="70"/>
  <c r="G68" i="70"/>
  <c r="G69" i="70"/>
  <c r="G70" i="70"/>
  <c r="G71" i="70"/>
  <c r="G72" i="70"/>
  <c r="G73" i="70"/>
  <c r="G74" i="70"/>
  <c r="G75" i="70"/>
  <c r="G76" i="70"/>
  <c r="G77" i="70"/>
  <c r="G78" i="70"/>
  <c r="G79" i="70"/>
  <c r="G80" i="70"/>
  <c r="G81" i="70"/>
  <c r="G82" i="70"/>
  <c r="G83" i="70"/>
  <c r="G84" i="70"/>
  <c r="G85" i="70"/>
  <c r="G86" i="70"/>
  <c r="G87" i="70"/>
  <c r="G88" i="70"/>
  <c r="G89" i="70"/>
  <c r="G90" i="70"/>
  <c r="G91" i="70"/>
  <c r="G92" i="70"/>
  <c r="G93" i="70"/>
  <c r="G94" i="70"/>
  <c r="G95" i="70"/>
  <c r="G96" i="70"/>
  <c r="G97" i="70"/>
  <c r="G98" i="70"/>
  <c r="G99" i="70"/>
  <c r="G100" i="70"/>
  <c r="G101" i="70"/>
  <c r="G102" i="70"/>
  <c r="G103" i="70"/>
  <c r="G104" i="70"/>
  <c r="G105" i="70"/>
  <c r="G106" i="70"/>
  <c r="G107" i="70"/>
  <c r="G108" i="70"/>
  <c r="G109" i="70"/>
  <c r="G110" i="70"/>
  <c r="G111" i="70"/>
  <c r="G112" i="70"/>
  <c r="G113" i="70"/>
  <c r="G114" i="70"/>
  <c r="G115" i="70"/>
  <c r="G116" i="70"/>
  <c r="G117" i="70"/>
  <c r="G118" i="70"/>
  <c r="G119" i="70"/>
  <c r="G120" i="70"/>
  <c r="G121" i="70"/>
  <c r="G122" i="70"/>
  <c r="G123" i="70"/>
  <c r="G124" i="70"/>
  <c r="G125" i="70"/>
  <c r="G126" i="70"/>
  <c r="G127" i="70"/>
  <c r="G128" i="70"/>
  <c r="G129" i="70"/>
  <c r="G130" i="70"/>
  <c r="G131" i="70"/>
  <c r="G132" i="70"/>
  <c r="G133" i="70"/>
  <c r="G134" i="70"/>
  <c r="G135" i="70"/>
  <c r="G136" i="70"/>
  <c r="G137" i="70"/>
  <c r="G138" i="70"/>
  <c r="G139" i="70"/>
  <c r="G140" i="70"/>
  <c r="G141" i="70"/>
  <c r="G142" i="70"/>
  <c r="G143" i="70"/>
  <c r="G144" i="70"/>
  <c r="G145" i="70"/>
  <c r="G146" i="70"/>
  <c r="G147" i="70"/>
  <c r="G148" i="70"/>
  <c r="G149" i="70"/>
  <c r="G150" i="70"/>
  <c r="G151" i="70"/>
  <c r="G152" i="70"/>
  <c r="G153" i="70"/>
  <c r="G154" i="70"/>
  <c r="G155" i="70"/>
  <c r="G156" i="70"/>
  <c r="G157" i="70"/>
  <c r="G158" i="70"/>
  <c r="G159" i="70"/>
  <c r="G160" i="70"/>
  <c r="G161" i="70"/>
  <c r="G162" i="70"/>
  <c r="G163" i="70"/>
  <c r="G164" i="70"/>
  <c r="G165" i="70"/>
  <c r="G166" i="70"/>
  <c r="G167" i="70"/>
  <c r="G168" i="70"/>
  <c r="G169" i="70"/>
  <c r="G170" i="70"/>
  <c r="G171" i="70"/>
  <c r="G172" i="70"/>
  <c r="G173" i="70"/>
  <c r="G174" i="70"/>
  <c r="G175" i="70"/>
  <c r="G176" i="70"/>
  <c r="G177" i="70"/>
  <c r="G178" i="70"/>
  <c r="G179" i="70"/>
  <c r="G180" i="70"/>
  <c r="G181" i="70"/>
  <c r="G182" i="70"/>
  <c r="G183" i="70"/>
  <c r="G184" i="70"/>
  <c r="G185" i="70"/>
  <c r="G186" i="70"/>
  <c r="G187" i="70"/>
  <c r="G188" i="70"/>
  <c r="G189" i="70"/>
  <c r="G190" i="70"/>
  <c r="G191" i="70"/>
  <c r="G192" i="70"/>
  <c r="G193" i="70"/>
  <c r="G194" i="70"/>
  <c r="G195" i="70"/>
  <c r="G196" i="70"/>
  <c r="G197" i="70"/>
  <c r="G198" i="70"/>
  <c r="G199" i="70"/>
  <c r="G200" i="70"/>
  <c r="G201" i="70"/>
  <c r="G202" i="70"/>
  <c r="G203" i="70"/>
  <c r="G204" i="70"/>
  <c r="G205" i="70"/>
  <c r="G206" i="70"/>
  <c r="G207" i="70"/>
  <c r="G208" i="70"/>
  <c r="G209" i="70"/>
  <c r="G210" i="70"/>
  <c r="G211" i="70"/>
  <c r="G212" i="70"/>
  <c r="G213" i="70"/>
  <c r="G214" i="70"/>
  <c r="G215" i="70"/>
  <c r="G216" i="70"/>
  <c r="G217" i="70"/>
  <c r="G218" i="70"/>
  <c r="G219" i="70"/>
  <c r="G220" i="70"/>
  <c r="G221" i="70"/>
  <c r="G222" i="70"/>
  <c r="G223" i="70"/>
  <c r="G224" i="70"/>
  <c r="G225" i="70"/>
  <c r="G226" i="70"/>
  <c r="G227" i="70"/>
  <c r="G228" i="70"/>
  <c r="G229" i="70"/>
  <c r="G230" i="70"/>
  <c r="G231" i="70"/>
  <c r="G232" i="70"/>
  <c r="G233" i="70"/>
  <c r="G234" i="70"/>
  <c r="G235" i="70"/>
  <c r="G236" i="70"/>
  <c r="G237" i="70"/>
  <c r="G238" i="70"/>
  <c r="G239" i="70"/>
  <c r="G240" i="70"/>
  <c r="G241" i="70"/>
  <c r="G242" i="70"/>
  <c r="G243" i="70"/>
  <c r="G244" i="70"/>
  <c r="G245" i="70"/>
  <c r="G246" i="70"/>
  <c r="G247" i="70"/>
  <c r="G248" i="70"/>
  <c r="G249" i="70"/>
  <c r="G250" i="70"/>
  <c r="G251" i="70"/>
  <c r="G252" i="70"/>
  <c r="G253" i="70"/>
  <c r="G254" i="70"/>
  <c r="G255" i="70"/>
  <c r="G256" i="70"/>
  <c r="G257" i="70"/>
  <c r="G258" i="70"/>
  <c r="G259" i="70"/>
  <c r="G260" i="70"/>
  <c r="G261" i="70"/>
  <c r="G262" i="70"/>
  <c r="G263" i="70"/>
  <c r="G264" i="70"/>
  <c r="G265" i="70"/>
  <c r="G266" i="70"/>
  <c r="G267" i="70"/>
  <c r="G268" i="70"/>
  <c r="G269" i="70"/>
  <c r="G270" i="70"/>
  <c r="G271" i="70"/>
  <c r="G272" i="70"/>
  <c r="G273" i="70"/>
  <c r="G274" i="70"/>
  <c r="G275" i="70"/>
  <c r="G276" i="70"/>
  <c r="G277" i="70"/>
  <c r="G278" i="70"/>
  <c r="G279" i="70"/>
  <c r="G280" i="70"/>
  <c r="G281" i="70"/>
  <c r="G282" i="70"/>
  <c r="G283" i="70"/>
  <c r="G284" i="70"/>
  <c r="G285" i="70"/>
  <c r="G286" i="70"/>
  <c r="G287" i="70"/>
  <c r="G288" i="70"/>
  <c r="G289" i="70"/>
  <c r="G290" i="70"/>
  <c r="G291" i="70"/>
  <c r="G292" i="70"/>
  <c r="G293" i="70"/>
  <c r="G294" i="70"/>
  <c r="G295" i="70"/>
  <c r="G296" i="70"/>
  <c r="G297" i="70"/>
  <c r="G298" i="70"/>
  <c r="G299" i="70"/>
  <c r="G300" i="70"/>
  <c r="G301" i="70"/>
  <c r="G302" i="70"/>
  <c r="G303" i="70"/>
  <c r="G304" i="70"/>
  <c r="G305" i="70"/>
  <c r="G306" i="70"/>
  <c r="G307" i="70"/>
  <c r="G308" i="70"/>
  <c r="G309" i="70"/>
  <c r="G310" i="70"/>
  <c r="G311" i="70"/>
  <c r="G312" i="70"/>
  <c r="G313" i="70"/>
  <c r="G314" i="70"/>
  <c r="G315" i="70"/>
  <c r="G316" i="70"/>
  <c r="G317" i="70"/>
  <c r="G318" i="70"/>
  <c r="G319" i="70"/>
  <c r="G320" i="70"/>
  <c r="G321" i="70"/>
  <c r="G322" i="70"/>
  <c r="G323" i="70"/>
  <c r="G324" i="70"/>
  <c r="G325" i="70"/>
  <c r="G326" i="70"/>
  <c r="G327" i="70"/>
  <c r="G328" i="70"/>
  <c r="G329" i="70"/>
  <c r="G330" i="70"/>
  <c r="G331" i="70"/>
  <c r="G332" i="70"/>
  <c r="G333" i="70"/>
  <c r="G334" i="70"/>
  <c r="G335" i="70"/>
  <c r="G336" i="70"/>
  <c r="G337" i="70"/>
  <c r="G338" i="70"/>
  <c r="G339" i="70"/>
  <c r="G340" i="70"/>
  <c r="G341" i="70"/>
  <c r="G342" i="70"/>
  <c r="G343" i="70"/>
  <c r="G344" i="70"/>
  <c r="G345" i="70"/>
  <c r="G346" i="70"/>
  <c r="G347" i="70"/>
  <c r="G348" i="70"/>
  <c r="G349" i="70"/>
  <c r="G350" i="70"/>
  <c r="G351" i="70"/>
  <c r="G352" i="70"/>
  <c r="G353" i="70"/>
  <c r="G354" i="70"/>
  <c r="G355" i="70"/>
  <c r="G356" i="70"/>
  <c r="G357" i="70"/>
  <c r="G358" i="70"/>
  <c r="G359" i="70"/>
  <c r="G360" i="70"/>
  <c r="G361" i="70"/>
  <c r="G362" i="70"/>
  <c r="G363" i="70"/>
  <c r="G364" i="70"/>
  <c r="G365" i="70"/>
  <c r="G366" i="70"/>
  <c r="G367" i="70"/>
  <c r="G368" i="70"/>
  <c r="G369" i="70"/>
  <c r="G370" i="70"/>
  <c r="G371" i="70"/>
  <c r="G372" i="70"/>
  <c r="G373" i="70"/>
  <c r="G374" i="70"/>
  <c r="G375" i="70"/>
  <c r="G376" i="70"/>
  <c r="G377" i="70"/>
  <c r="G378" i="70"/>
  <c r="G379" i="70"/>
  <c r="G380" i="70"/>
  <c r="G381" i="70"/>
  <c r="G382" i="70"/>
  <c r="G383" i="70"/>
  <c r="G384" i="70"/>
  <c r="G385" i="70"/>
  <c r="G386" i="70"/>
  <c r="G387" i="70"/>
  <c r="G388" i="70"/>
  <c r="G389" i="70"/>
  <c r="G390" i="70"/>
  <c r="G391" i="70"/>
  <c r="G392" i="70"/>
  <c r="G393" i="70"/>
  <c r="G394" i="70"/>
  <c r="G395" i="70"/>
  <c r="G396" i="70"/>
  <c r="G397" i="70"/>
  <c r="G398" i="70"/>
  <c r="G399" i="70"/>
  <c r="G400" i="70"/>
  <c r="G401" i="70"/>
  <c r="G402" i="70"/>
  <c r="G403" i="70"/>
  <c r="G404" i="70"/>
  <c r="G405" i="70"/>
  <c r="G406" i="70"/>
  <c r="G407" i="70"/>
  <c r="G408" i="70"/>
  <c r="G409" i="70"/>
  <c r="G410" i="70"/>
  <c r="G411" i="70"/>
  <c r="G412" i="70"/>
  <c r="G413" i="70"/>
  <c r="G414" i="70"/>
  <c r="G415" i="70"/>
  <c r="G416" i="70"/>
  <c r="G417" i="70"/>
  <c r="G418" i="70"/>
  <c r="G419" i="70"/>
  <c r="G19" i="70"/>
  <c r="E33" i="104" l="1"/>
  <c r="E35" i="104"/>
  <c r="E37" i="104"/>
  <c r="B25" i="104"/>
  <c r="B26" i="104"/>
  <c r="B27" i="104"/>
  <c r="B28" i="104"/>
  <c r="B29" i="104"/>
  <c r="B30" i="104"/>
  <c r="B31" i="104"/>
  <c r="B32" i="104"/>
  <c r="B33" i="104"/>
  <c r="B34" i="104"/>
  <c r="B35" i="104"/>
  <c r="B36" i="104"/>
  <c r="B37" i="104"/>
  <c r="B38" i="104"/>
  <c r="B24" i="104"/>
  <c r="G109" i="85"/>
  <c r="G110" i="85"/>
  <c r="G111" i="85"/>
  <c r="G112" i="85"/>
  <c r="G113" i="85"/>
  <c r="G114" i="85"/>
  <c r="G115" i="85"/>
  <c r="G116" i="85"/>
  <c r="G117" i="85"/>
  <c r="G118" i="85"/>
  <c r="G119" i="85"/>
  <c r="G120" i="85"/>
  <c r="G121" i="85"/>
  <c r="G122" i="85"/>
  <c r="G123" i="85"/>
  <c r="G124" i="85"/>
  <c r="G125" i="85"/>
  <c r="G126" i="85"/>
  <c r="G55" i="85"/>
  <c r="G57" i="85"/>
  <c r="G59" i="85"/>
  <c r="G60" i="85"/>
  <c r="G61" i="85"/>
  <c r="G62" i="85"/>
  <c r="G63" i="85"/>
  <c r="G64" i="85"/>
  <c r="G65" i="85"/>
  <c r="G66" i="85"/>
  <c r="G67" i="85"/>
  <c r="G68" i="85"/>
  <c r="G69" i="85"/>
  <c r="G70" i="85"/>
  <c r="G71" i="85"/>
  <c r="G72" i="85"/>
  <c r="G73" i="85"/>
  <c r="D1" i="108" l="1"/>
  <c r="L40" i="107"/>
  <c r="I40" i="107"/>
  <c r="G40" i="107"/>
  <c r="F40" i="107"/>
  <c r="A38" i="107"/>
  <c r="L37" i="107"/>
  <c r="I37" i="107"/>
  <c r="G37" i="107"/>
  <c r="F37" i="107"/>
  <c r="L32" i="107"/>
  <c r="I32" i="107"/>
  <c r="G32" i="107"/>
  <c r="F32" i="107"/>
  <c r="A30" i="107"/>
  <c r="H27" i="107"/>
  <c r="I27" i="107" s="1"/>
  <c r="H26" i="107"/>
  <c r="H25" i="107"/>
  <c r="I25" i="107" s="1"/>
  <c r="F25" i="107"/>
  <c r="A24" i="107"/>
  <c r="H20" i="107"/>
  <c r="I20" i="107" s="1"/>
  <c r="H19" i="107"/>
  <c r="I19" i="107" s="1"/>
  <c r="H18" i="107"/>
  <c r="F18" i="107"/>
  <c r="A17" i="107"/>
  <c r="H13" i="107"/>
  <c r="I13" i="107" s="1"/>
  <c r="H12" i="107"/>
  <c r="I12" i="107" s="1"/>
  <c r="H11" i="107"/>
  <c r="F10" i="107"/>
  <c r="A10" i="107"/>
  <c r="B2" i="107"/>
  <c r="A2" i="107"/>
  <c r="D1" i="107"/>
  <c r="D1" i="106"/>
  <c r="P654" i="105"/>
  <c r="M654" i="105"/>
  <c r="P653" i="105"/>
  <c r="M653" i="105"/>
  <c r="P652" i="105"/>
  <c r="M652" i="105"/>
  <c r="P651" i="105"/>
  <c r="M651" i="105"/>
  <c r="N651" i="105" s="1"/>
  <c r="P650" i="105"/>
  <c r="M650" i="105"/>
  <c r="N650" i="105" s="1"/>
  <c r="P649" i="105"/>
  <c r="M649" i="105"/>
  <c r="P648" i="105"/>
  <c r="M648" i="105"/>
  <c r="P647" i="105"/>
  <c r="M647" i="105"/>
  <c r="N647" i="105" s="1"/>
  <c r="P646" i="105"/>
  <c r="M646" i="105"/>
  <c r="P645" i="105"/>
  <c r="M645" i="105"/>
  <c r="P644" i="105"/>
  <c r="M644" i="105"/>
  <c r="P643" i="105"/>
  <c r="M643" i="105"/>
  <c r="P642" i="105"/>
  <c r="M642" i="105"/>
  <c r="N642" i="105" s="1"/>
  <c r="P641" i="105"/>
  <c r="M641" i="105"/>
  <c r="N641" i="105" s="1"/>
  <c r="P640" i="105"/>
  <c r="M640" i="105"/>
  <c r="P639" i="105"/>
  <c r="M639" i="105"/>
  <c r="P638" i="105"/>
  <c r="M638" i="105"/>
  <c r="P637" i="105"/>
  <c r="M637" i="105"/>
  <c r="N637" i="105" s="1"/>
  <c r="P636" i="105"/>
  <c r="M636" i="105"/>
  <c r="P635" i="105"/>
  <c r="M635" i="105"/>
  <c r="N635" i="105" s="1"/>
  <c r="P634" i="105"/>
  <c r="M634" i="105"/>
  <c r="P633" i="105"/>
  <c r="M633" i="105"/>
  <c r="P632" i="105"/>
  <c r="M632" i="105"/>
  <c r="P631" i="105"/>
  <c r="M631" i="105"/>
  <c r="N631" i="105" s="1"/>
  <c r="P630" i="105"/>
  <c r="M630" i="105"/>
  <c r="P629" i="105"/>
  <c r="M629" i="105"/>
  <c r="P628" i="105"/>
  <c r="M628" i="105"/>
  <c r="P627" i="105"/>
  <c r="M627" i="105"/>
  <c r="N627" i="105" s="1"/>
  <c r="P626" i="105"/>
  <c r="M626" i="105"/>
  <c r="P625" i="105"/>
  <c r="M625" i="105"/>
  <c r="N625" i="105" s="1"/>
  <c r="P624" i="105"/>
  <c r="M624" i="105"/>
  <c r="P623" i="105"/>
  <c r="M623" i="105"/>
  <c r="P622" i="105"/>
  <c r="M622" i="105"/>
  <c r="P621" i="105"/>
  <c r="M621" i="105"/>
  <c r="N621" i="105" s="1"/>
  <c r="P620" i="105"/>
  <c r="M620" i="105"/>
  <c r="P619" i="105"/>
  <c r="M619" i="105"/>
  <c r="P618" i="105"/>
  <c r="M618" i="105"/>
  <c r="P617" i="105"/>
  <c r="M617" i="105"/>
  <c r="N617" i="105" s="1"/>
  <c r="P616" i="105"/>
  <c r="M616" i="105"/>
  <c r="P615" i="105"/>
  <c r="M615" i="105"/>
  <c r="N615" i="105" s="1"/>
  <c r="P614" i="105"/>
  <c r="M614" i="105"/>
  <c r="P613" i="105"/>
  <c r="M613" i="105"/>
  <c r="P612" i="105"/>
  <c r="M612" i="105"/>
  <c r="P611" i="105"/>
  <c r="M611" i="105"/>
  <c r="N611" i="105" s="1"/>
  <c r="P610" i="105"/>
  <c r="M610" i="105"/>
  <c r="P609" i="105"/>
  <c r="M609" i="105"/>
  <c r="P608" i="105"/>
  <c r="M608" i="105"/>
  <c r="P607" i="105"/>
  <c r="M607" i="105"/>
  <c r="N607" i="105" s="1"/>
  <c r="P606" i="105"/>
  <c r="M606" i="105"/>
  <c r="P605" i="105"/>
  <c r="M605" i="105"/>
  <c r="N605" i="105" s="1"/>
  <c r="P604" i="105"/>
  <c r="M604" i="105"/>
  <c r="P603" i="105"/>
  <c r="M603" i="105"/>
  <c r="N603" i="105" s="1"/>
  <c r="P602" i="105"/>
  <c r="M602" i="105"/>
  <c r="P601" i="105"/>
  <c r="M601" i="105"/>
  <c r="P600" i="105"/>
  <c r="M600" i="105"/>
  <c r="P599" i="105"/>
  <c r="M599" i="105"/>
  <c r="P598" i="105"/>
  <c r="M598" i="105"/>
  <c r="P597" i="105"/>
  <c r="M597" i="105"/>
  <c r="N597" i="105" s="1"/>
  <c r="P596" i="105"/>
  <c r="M596" i="105"/>
  <c r="P595" i="105"/>
  <c r="M595" i="105"/>
  <c r="P594" i="105"/>
  <c r="M594" i="105"/>
  <c r="P593" i="105"/>
  <c r="M593" i="105"/>
  <c r="N593" i="105" s="1"/>
  <c r="P592" i="105"/>
  <c r="M592" i="105"/>
  <c r="P591" i="105"/>
  <c r="M591" i="105"/>
  <c r="P590" i="105"/>
  <c r="M590" i="105"/>
  <c r="P589" i="105"/>
  <c r="M589" i="105"/>
  <c r="P588" i="105"/>
  <c r="M588" i="105"/>
  <c r="P587" i="105"/>
  <c r="M587" i="105"/>
  <c r="N587" i="105" s="1"/>
  <c r="P586" i="105"/>
  <c r="M586" i="105"/>
  <c r="P585" i="105"/>
  <c r="M585" i="105"/>
  <c r="P584" i="105"/>
  <c r="M584" i="105"/>
  <c r="P583" i="105"/>
  <c r="M583" i="105"/>
  <c r="N583" i="105" s="1"/>
  <c r="P582" i="105"/>
  <c r="M582" i="105"/>
  <c r="P581" i="105"/>
  <c r="M581" i="105"/>
  <c r="P580" i="105"/>
  <c r="M580" i="105"/>
  <c r="P579" i="105"/>
  <c r="M579" i="105"/>
  <c r="P578" i="105"/>
  <c r="M578" i="105"/>
  <c r="P577" i="105"/>
  <c r="M577" i="105"/>
  <c r="N577" i="105" s="1"/>
  <c r="P576" i="105"/>
  <c r="M576" i="105"/>
  <c r="P575" i="105"/>
  <c r="M575" i="105"/>
  <c r="P574" i="105"/>
  <c r="M574" i="105"/>
  <c r="P573" i="105"/>
  <c r="M573" i="105"/>
  <c r="N573" i="105" s="1"/>
  <c r="P572" i="105"/>
  <c r="M572" i="105"/>
  <c r="P571" i="105"/>
  <c r="M571" i="105"/>
  <c r="P570" i="105"/>
  <c r="M570" i="105"/>
  <c r="P569" i="105"/>
  <c r="M569" i="105"/>
  <c r="P568" i="105"/>
  <c r="M568" i="105"/>
  <c r="P567" i="105"/>
  <c r="M567" i="105"/>
  <c r="N567" i="105" s="1"/>
  <c r="P566" i="105"/>
  <c r="M566" i="105"/>
  <c r="P565" i="105"/>
  <c r="M565" i="105"/>
  <c r="P564" i="105"/>
  <c r="M564" i="105"/>
  <c r="P563" i="105"/>
  <c r="M563" i="105"/>
  <c r="N563" i="105" s="1"/>
  <c r="P562" i="105"/>
  <c r="M562" i="105"/>
  <c r="P561" i="105"/>
  <c r="M561" i="105"/>
  <c r="P560" i="105"/>
  <c r="M560" i="105"/>
  <c r="P559" i="105"/>
  <c r="M559" i="105"/>
  <c r="P558" i="105"/>
  <c r="M558" i="105"/>
  <c r="P557" i="105"/>
  <c r="M557" i="105"/>
  <c r="N557" i="105" s="1"/>
  <c r="P556" i="105"/>
  <c r="M556" i="105"/>
  <c r="P555" i="105"/>
  <c r="M555" i="105"/>
  <c r="P554" i="105"/>
  <c r="M554" i="105"/>
  <c r="P553" i="105"/>
  <c r="M553" i="105"/>
  <c r="N553" i="105" s="1"/>
  <c r="P552" i="105"/>
  <c r="M552" i="105"/>
  <c r="P551" i="105"/>
  <c r="M551" i="105"/>
  <c r="P550" i="105"/>
  <c r="M550" i="105"/>
  <c r="P549" i="105"/>
  <c r="M549" i="105"/>
  <c r="P548" i="105"/>
  <c r="M548" i="105"/>
  <c r="P547" i="105"/>
  <c r="M547" i="105"/>
  <c r="N547" i="105" s="1"/>
  <c r="P546" i="105"/>
  <c r="M546" i="105"/>
  <c r="P545" i="105"/>
  <c r="M545" i="105"/>
  <c r="P544" i="105"/>
  <c r="M544" i="105"/>
  <c r="P543" i="105"/>
  <c r="M543" i="105"/>
  <c r="N543" i="105" s="1"/>
  <c r="P542" i="105"/>
  <c r="M542" i="105"/>
  <c r="P541" i="105"/>
  <c r="M541" i="105"/>
  <c r="P540" i="105"/>
  <c r="M540" i="105"/>
  <c r="P539" i="105"/>
  <c r="M539" i="105"/>
  <c r="P538" i="105"/>
  <c r="M538" i="105"/>
  <c r="P537" i="105"/>
  <c r="M537" i="105"/>
  <c r="N537" i="105" s="1"/>
  <c r="P536" i="105"/>
  <c r="M536" i="105"/>
  <c r="P535" i="105"/>
  <c r="M535" i="105"/>
  <c r="P534" i="105"/>
  <c r="M534" i="105"/>
  <c r="P533" i="105"/>
  <c r="M533" i="105"/>
  <c r="N533" i="105" s="1"/>
  <c r="P532" i="105"/>
  <c r="M532" i="105"/>
  <c r="P531" i="105"/>
  <c r="M531" i="105"/>
  <c r="P530" i="105"/>
  <c r="M530" i="105"/>
  <c r="P529" i="105"/>
  <c r="M529" i="105"/>
  <c r="P528" i="105"/>
  <c r="M528" i="105"/>
  <c r="P527" i="105"/>
  <c r="M527" i="105"/>
  <c r="N527" i="105" s="1"/>
  <c r="P526" i="105"/>
  <c r="M526" i="105"/>
  <c r="P525" i="105"/>
  <c r="M525" i="105"/>
  <c r="P524" i="105"/>
  <c r="M524" i="105"/>
  <c r="P523" i="105"/>
  <c r="M523" i="105"/>
  <c r="N523" i="105" s="1"/>
  <c r="P522" i="105"/>
  <c r="M522" i="105"/>
  <c r="P521" i="105"/>
  <c r="M521" i="105"/>
  <c r="P520" i="105"/>
  <c r="M520" i="105"/>
  <c r="P519" i="105"/>
  <c r="M519" i="105"/>
  <c r="P518" i="105"/>
  <c r="M518" i="105"/>
  <c r="P517" i="105"/>
  <c r="M517" i="105"/>
  <c r="N517" i="105" s="1"/>
  <c r="P516" i="105"/>
  <c r="M516" i="105"/>
  <c r="P515" i="105"/>
  <c r="M515" i="105"/>
  <c r="P514" i="105"/>
  <c r="M514" i="105"/>
  <c r="P513" i="105"/>
  <c r="M513" i="105"/>
  <c r="N513" i="105" s="1"/>
  <c r="P512" i="105"/>
  <c r="M512" i="105"/>
  <c r="P511" i="105"/>
  <c r="M511" i="105"/>
  <c r="P510" i="105"/>
  <c r="M510" i="105"/>
  <c r="P509" i="105"/>
  <c r="M509" i="105"/>
  <c r="P508" i="105"/>
  <c r="M508" i="105"/>
  <c r="P507" i="105"/>
  <c r="M507" i="105"/>
  <c r="N507" i="105" s="1"/>
  <c r="P506" i="105"/>
  <c r="M506" i="105"/>
  <c r="P505" i="105"/>
  <c r="M505" i="105"/>
  <c r="P504" i="105"/>
  <c r="M504" i="105"/>
  <c r="P503" i="105"/>
  <c r="M503" i="105"/>
  <c r="N503" i="105" s="1"/>
  <c r="P502" i="105"/>
  <c r="M502" i="105"/>
  <c r="P501" i="105"/>
  <c r="M501" i="105"/>
  <c r="P500" i="105"/>
  <c r="M500" i="105"/>
  <c r="P499" i="105"/>
  <c r="M499" i="105"/>
  <c r="P498" i="105"/>
  <c r="M498" i="105"/>
  <c r="P497" i="105"/>
  <c r="M497" i="105"/>
  <c r="N497" i="105" s="1"/>
  <c r="P496" i="105"/>
  <c r="M496" i="105"/>
  <c r="P495" i="105"/>
  <c r="M495" i="105"/>
  <c r="P494" i="105"/>
  <c r="M494" i="105"/>
  <c r="P493" i="105"/>
  <c r="M493" i="105"/>
  <c r="N493" i="105" s="1"/>
  <c r="P492" i="105"/>
  <c r="M492" i="105"/>
  <c r="P491" i="105"/>
  <c r="M491" i="105"/>
  <c r="P490" i="105"/>
  <c r="M490" i="105"/>
  <c r="P489" i="105"/>
  <c r="M489" i="105"/>
  <c r="P488" i="105"/>
  <c r="M488" i="105"/>
  <c r="P487" i="105"/>
  <c r="M487" i="105"/>
  <c r="N487" i="105" s="1"/>
  <c r="P486" i="105"/>
  <c r="M486" i="105"/>
  <c r="P485" i="105"/>
  <c r="M485" i="105"/>
  <c r="P484" i="105"/>
  <c r="M484" i="105"/>
  <c r="P483" i="105"/>
  <c r="M483" i="105"/>
  <c r="N483" i="105" s="1"/>
  <c r="P482" i="105"/>
  <c r="M482" i="105"/>
  <c r="P481" i="105"/>
  <c r="M481" i="105"/>
  <c r="P480" i="105"/>
  <c r="M480" i="105"/>
  <c r="P479" i="105"/>
  <c r="M479" i="105"/>
  <c r="P478" i="105"/>
  <c r="M478" i="105"/>
  <c r="P477" i="105"/>
  <c r="M477" i="105"/>
  <c r="N477" i="105" s="1"/>
  <c r="P476" i="105"/>
  <c r="M476" i="105"/>
  <c r="P475" i="105"/>
  <c r="M475" i="105"/>
  <c r="P474" i="105"/>
  <c r="M474" i="105"/>
  <c r="P473" i="105"/>
  <c r="M473" i="105"/>
  <c r="N473" i="105" s="1"/>
  <c r="P472" i="105"/>
  <c r="M472" i="105"/>
  <c r="P471" i="105"/>
  <c r="M471" i="105"/>
  <c r="P470" i="105"/>
  <c r="M470" i="105"/>
  <c r="P469" i="105"/>
  <c r="M469" i="105"/>
  <c r="P468" i="105"/>
  <c r="M468" i="105"/>
  <c r="P467" i="105"/>
  <c r="M467" i="105"/>
  <c r="N467" i="105" s="1"/>
  <c r="P466" i="105"/>
  <c r="M466" i="105"/>
  <c r="P465" i="105"/>
  <c r="M465" i="105"/>
  <c r="P464" i="105"/>
  <c r="M464" i="105"/>
  <c r="P463" i="105"/>
  <c r="M463" i="105"/>
  <c r="N463" i="105" s="1"/>
  <c r="P462" i="105"/>
  <c r="M462" i="105"/>
  <c r="P461" i="105"/>
  <c r="M461" i="105"/>
  <c r="P460" i="105"/>
  <c r="M460" i="105"/>
  <c r="P459" i="105"/>
  <c r="M459" i="105"/>
  <c r="P458" i="105"/>
  <c r="M458" i="105"/>
  <c r="P457" i="105"/>
  <c r="M457" i="105"/>
  <c r="N457" i="105" s="1"/>
  <c r="P456" i="105"/>
  <c r="M456" i="105"/>
  <c r="P455" i="105"/>
  <c r="M455" i="105"/>
  <c r="P454" i="105"/>
  <c r="M454" i="105"/>
  <c r="P453" i="105"/>
  <c r="M453" i="105"/>
  <c r="N453" i="105" s="1"/>
  <c r="P452" i="105"/>
  <c r="M452" i="105"/>
  <c r="P451" i="105"/>
  <c r="M451" i="105"/>
  <c r="P450" i="105"/>
  <c r="M450" i="105"/>
  <c r="P449" i="105"/>
  <c r="M449" i="105"/>
  <c r="P448" i="105"/>
  <c r="M448" i="105"/>
  <c r="P447" i="105"/>
  <c r="M447" i="105"/>
  <c r="N447" i="105" s="1"/>
  <c r="P446" i="105"/>
  <c r="M446" i="105"/>
  <c r="P445" i="105"/>
  <c r="M445" i="105"/>
  <c r="P444" i="105"/>
  <c r="M444" i="105"/>
  <c r="P443" i="105"/>
  <c r="M443" i="105"/>
  <c r="N443" i="105" s="1"/>
  <c r="P442" i="105"/>
  <c r="M442" i="105"/>
  <c r="P441" i="105"/>
  <c r="M441" i="105"/>
  <c r="P440" i="105"/>
  <c r="M440" i="105"/>
  <c r="P439" i="105"/>
  <c r="M439" i="105"/>
  <c r="P438" i="105"/>
  <c r="M438" i="105"/>
  <c r="P437" i="105"/>
  <c r="M437" i="105"/>
  <c r="N437" i="105" s="1"/>
  <c r="P436" i="105"/>
  <c r="M436" i="105"/>
  <c r="P435" i="105"/>
  <c r="M435" i="105"/>
  <c r="P434" i="105"/>
  <c r="M434" i="105"/>
  <c r="P433" i="105"/>
  <c r="M433" i="105"/>
  <c r="N433" i="105" s="1"/>
  <c r="P432" i="105"/>
  <c r="M432" i="105"/>
  <c r="P431" i="105"/>
  <c r="M431" i="105"/>
  <c r="P430" i="105"/>
  <c r="M430" i="105"/>
  <c r="P429" i="105"/>
  <c r="M429" i="105"/>
  <c r="P428" i="105"/>
  <c r="M428" i="105"/>
  <c r="P427" i="105"/>
  <c r="M427" i="105"/>
  <c r="N427" i="105" s="1"/>
  <c r="P426" i="105"/>
  <c r="M426" i="105"/>
  <c r="P425" i="105"/>
  <c r="M425" i="105"/>
  <c r="P424" i="105"/>
  <c r="M424" i="105"/>
  <c r="P423" i="105"/>
  <c r="M423" i="105"/>
  <c r="N423" i="105" s="1"/>
  <c r="P422" i="105"/>
  <c r="M422" i="105"/>
  <c r="P421" i="105"/>
  <c r="M421" i="105"/>
  <c r="P420" i="105"/>
  <c r="M420" i="105"/>
  <c r="P419" i="105"/>
  <c r="M419" i="105"/>
  <c r="P418" i="105"/>
  <c r="M418" i="105"/>
  <c r="P417" i="105"/>
  <c r="M417" i="105"/>
  <c r="N417" i="105" s="1"/>
  <c r="P416" i="105"/>
  <c r="M416" i="105"/>
  <c r="P415" i="105"/>
  <c r="M415" i="105"/>
  <c r="P414" i="105"/>
  <c r="M414" i="105"/>
  <c r="P413" i="105"/>
  <c r="M413" i="105"/>
  <c r="N413" i="105" s="1"/>
  <c r="P412" i="105"/>
  <c r="M412" i="105"/>
  <c r="P411" i="105"/>
  <c r="M411" i="105"/>
  <c r="P410" i="105"/>
  <c r="M410" i="105"/>
  <c r="P409" i="105"/>
  <c r="M409" i="105"/>
  <c r="P408" i="105"/>
  <c r="M408" i="105"/>
  <c r="P407" i="105"/>
  <c r="M407" i="105"/>
  <c r="N407" i="105" s="1"/>
  <c r="P406" i="105"/>
  <c r="M406" i="105"/>
  <c r="P405" i="105"/>
  <c r="M405" i="105"/>
  <c r="P404" i="105"/>
  <c r="M404" i="105"/>
  <c r="P403" i="105"/>
  <c r="M403" i="105"/>
  <c r="N403" i="105" s="1"/>
  <c r="P402" i="105"/>
  <c r="M402" i="105"/>
  <c r="P401" i="105"/>
  <c r="M401" i="105"/>
  <c r="P400" i="105"/>
  <c r="M400" i="105"/>
  <c r="P399" i="105"/>
  <c r="M399" i="105"/>
  <c r="P398" i="105"/>
  <c r="M398" i="105"/>
  <c r="P397" i="105"/>
  <c r="M397" i="105"/>
  <c r="N397" i="105" s="1"/>
  <c r="P396" i="105"/>
  <c r="M396" i="105"/>
  <c r="P395" i="105"/>
  <c r="M395" i="105"/>
  <c r="P394" i="105"/>
  <c r="M394" i="105"/>
  <c r="P393" i="105"/>
  <c r="M393" i="105"/>
  <c r="N393" i="105" s="1"/>
  <c r="P392" i="105"/>
  <c r="M392" i="105"/>
  <c r="P391" i="105"/>
  <c r="M391" i="105"/>
  <c r="P390" i="105"/>
  <c r="M390" i="105"/>
  <c r="P389" i="105"/>
  <c r="M389" i="105"/>
  <c r="P388" i="105"/>
  <c r="M388" i="105"/>
  <c r="P387" i="105"/>
  <c r="M387" i="105"/>
  <c r="N387" i="105" s="1"/>
  <c r="P386" i="105"/>
  <c r="M386" i="105"/>
  <c r="P385" i="105"/>
  <c r="M385" i="105"/>
  <c r="P384" i="105"/>
  <c r="M384" i="105"/>
  <c r="P383" i="105"/>
  <c r="M383" i="105"/>
  <c r="N383" i="105" s="1"/>
  <c r="P382" i="105"/>
  <c r="M382" i="105"/>
  <c r="P381" i="105"/>
  <c r="M381" i="105"/>
  <c r="P380" i="105"/>
  <c r="M380" i="105"/>
  <c r="P379" i="105"/>
  <c r="M379" i="105"/>
  <c r="P378" i="105"/>
  <c r="M378" i="105"/>
  <c r="P377" i="105"/>
  <c r="M377" i="105"/>
  <c r="N377" i="105" s="1"/>
  <c r="P376" i="105"/>
  <c r="M376" i="105"/>
  <c r="P375" i="105"/>
  <c r="M375" i="105"/>
  <c r="P374" i="105"/>
  <c r="M374" i="105"/>
  <c r="P373" i="105"/>
  <c r="M373" i="105"/>
  <c r="N373" i="105" s="1"/>
  <c r="P372" i="105"/>
  <c r="M372" i="105"/>
  <c r="P371" i="105"/>
  <c r="M371" i="105"/>
  <c r="P370" i="105"/>
  <c r="M370" i="105"/>
  <c r="P369" i="105"/>
  <c r="M369" i="105"/>
  <c r="P368" i="105"/>
  <c r="M368" i="105"/>
  <c r="P367" i="105"/>
  <c r="M367" i="105"/>
  <c r="N367" i="105" s="1"/>
  <c r="P366" i="105"/>
  <c r="M366" i="105"/>
  <c r="P365" i="105"/>
  <c r="M365" i="105"/>
  <c r="P364" i="105"/>
  <c r="M364" i="105"/>
  <c r="P363" i="105"/>
  <c r="M363" i="105"/>
  <c r="N363" i="105" s="1"/>
  <c r="P362" i="105"/>
  <c r="M362" i="105"/>
  <c r="P361" i="105"/>
  <c r="M361" i="105"/>
  <c r="P360" i="105"/>
  <c r="M360" i="105"/>
  <c r="P359" i="105"/>
  <c r="M359" i="105"/>
  <c r="P358" i="105"/>
  <c r="M358" i="105"/>
  <c r="P357" i="105"/>
  <c r="M357" i="105"/>
  <c r="N357" i="105" s="1"/>
  <c r="P356" i="105"/>
  <c r="M356" i="105"/>
  <c r="P355" i="105"/>
  <c r="M355" i="105"/>
  <c r="P354" i="105"/>
  <c r="M354" i="105"/>
  <c r="P353" i="105"/>
  <c r="M353" i="105"/>
  <c r="N353" i="105" s="1"/>
  <c r="P352" i="105"/>
  <c r="M352" i="105"/>
  <c r="P351" i="105"/>
  <c r="M351" i="105"/>
  <c r="P350" i="105"/>
  <c r="M350" i="105"/>
  <c r="P349" i="105"/>
  <c r="M349" i="105"/>
  <c r="P348" i="105"/>
  <c r="M348" i="105"/>
  <c r="P347" i="105"/>
  <c r="M347" i="105"/>
  <c r="N347" i="105" s="1"/>
  <c r="P346" i="105"/>
  <c r="M346" i="105"/>
  <c r="P345" i="105"/>
  <c r="M345" i="105"/>
  <c r="P344" i="105"/>
  <c r="M344" i="105"/>
  <c r="P343" i="105"/>
  <c r="M343" i="105"/>
  <c r="N343" i="105" s="1"/>
  <c r="P342" i="105"/>
  <c r="M342" i="105"/>
  <c r="P341" i="105"/>
  <c r="M341" i="105"/>
  <c r="P340" i="105"/>
  <c r="M340" i="105"/>
  <c r="P339" i="105"/>
  <c r="M339" i="105"/>
  <c r="P338" i="105"/>
  <c r="M338" i="105"/>
  <c r="P337" i="105"/>
  <c r="M337" i="105"/>
  <c r="N337" i="105" s="1"/>
  <c r="P336" i="105"/>
  <c r="M336" i="105"/>
  <c r="P335" i="105"/>
  <c r="M335" i="105"/>
  <c r="P334" i="105"/>
  <c r="M334" i="105"/>
  <c r="P333" i="105"/>
  <c r="M333" i="105"/>
  <c r="N333" i="105" s="1"/>
  <c r="P332" i="105"/>
  <c r="M332" i="105"/>
  <c r="P331" i="105"/>
  <c r="M331" i="105"/>
  <c r="P330" i="105"/>
  <c r="M330" i="105"/>
  <c r="P329" i="105"/>
  <c r="M329" i="105"/>
  <c r="P328" i="105"/>
  <c r="M328" i="105"/>
  <c r="P327" i="105"/>
  <c r="M327" i="105"/>
  <c r="N327" i="105" s="1"/>
  <c r="P326" i="105"/>
  <c r="M326" i="105"/>
  <c r="P325" i="105"/>
  <c r="M325" i="105"/>
  <c r="P324" i="105"/>
  <c r="M324" i="105"/>
  <c r="P323" i="105"/>
  <c r="M323" i="105"/>
  <c r="N323" i="105" s="1"/>
  <c r="P322" i="105"/>
  <c r="M322" i="105"/>
  <c r="P321" i="105"/>
  <c r="M321" i="105"/>
  <c r="P320" i="105"/>
  <c r="M320" i="105"/>
  <c r="P319" i="105"/>
  <c r="M319" i="105"/>
  <c r="P318" i="105"/>
  <c r="M318" i="105"/>
  <c r="P317" i="105"/>
  <c r="M317" i="105"/>
  <c r="N317" i="105" s="1"/>
  <c r="P316" i="105"/>
  <c r="M316" i="105"/>
  <c r="P315" i="105"/>
  <c r="M315" i="105"/>
  <c r="P314" i="105"/>
  <c r="M314" i="105"/>
  <c r="P313" i="105"/>
  <c r="M313" i="105"/>
  <c r="N313" i="105" s="1"/>
  <c r="P312" i="105"/>
  <c r="M312" i="105"/>
  <c r="P311" i="105"/>
  <c r="M311" i="105"/>
  <c r="P310" i="105"/>
  <c r="M310" i="105"/>
  <c r="P309" i="105"/>
  <c r="M309" i="105"/>
  <c r="P308" i="105"/>
  <c r="M308" i="105"/>
  <c r="P307" i="105"/>
  <c r="M307" i="105"/>
  <c r="N307" i="105" s="1"/>
  <c r="P306" i="105"/>
  <c r="M306" i="105"/>
  <c r="P305" i="105"/>
  <c r="M305" i="105"/>
  <c r="P304" i="105"/>
  <c r="M304" i="105"/>
  <c r="P303" i="105"/>
  <c r="M303" i="105"/>
  <c r="N303" i="105" s="1"/>
  <c r="P302" i="105"/>
  <c r="M302" i="105"/>
  <c r="P301" i="105"/>
  <c r="M301" i="105"/>
  <c r="P300" i="105"/>
  <c r="M300" i="105"/>
  <c r="P299" i="105"/>
  <c r="M299" i="105"/>
  <c r="P298" i="105"/>
  <c r="M298" i="105"/>
  <c r="P297" i="105"/>
  <c r="M297" i="105"/>
  <c r="N297" i="105" s="1"/>
  <c r="P296" i="105"/>
  <c r="M296" i="105"/>
  <c r="P295" i="105"/>
  <c r="M295" i="105"/>
  <c r="P294" i="105"/>
  <c r="M294" i="105"/>
  <c r="P293" i="105"/>
  <c r="M293" i="105"/>
  <c r="N293" i="105" s="1"/>
  <c r="P292" i="105"/>
  <c r="M292" i="105"/>
  <c r="P291" i="105"/>
  <c r="M291" i="105"/>
  <c r="P290" i="105"/>
  <c r="M290" i="105"/>
  <c r="P289" i="105"/>
  <c r="M289" i="105"/>
  <c r="P288" i="105"/>
  <c r="M288" i="105"/>
  <c r="P287" i="105"/>
  <c r="M287" i="105"/>
  <c r="N287" i="105" s="1"/>
  <c r="P286" i="105"/>
  <c r="M286" i="105"/>
  <c r="P285" i="105"/>
  <c r="M285" i="105"/>
  <c r="P284" i="105"/>
  <c r="M284" i="105"/>
  <c r="P283" i="105"/>
  <c r="M283" i="105"/>
  <c r="N283" i="105" s="1"/>
  <c r="P282" i="105"/>
  <c r="M282" i="105"/>
  <c r="P281" i="105"/>
  <c r="M281" i="105"/>
  <c r="P280" i="105"/>
  <c r="M280" i="105"/>
  <c r="P279" i="105"/>
  <c r="M279" i="105"/>
  <c r="P278" i="105"/>
  <c r="M278" i="105"/>
  <c r="P277" i="105"/>
  <c r="M277" i="105"/>
  <c r="N277" i="105" s="1"/>
  <c r="P276" i="105"/>
  <c r="M276" i="105"/>
  <c r="P275" i="105"/>
  <c r="M275" i="105"/>
  <c r="P274" i="105"/>
  <c r="M274" i="105"/>
  <c r="P273" i="105"/>
  <c r="M273" i="105"/>
  <c r="N273" i="105" s="1"/>
  <c r="P272" i="105"/>
  <c r="M272" i="105"/>
  <c r="P271" i="105"/>
  <c r="M271" i="105"/>
  <c r="P270" i="105"/>
  <c r="M270" i="105"/>
  <c r="P269" i="105"/>
  <c r="M269" i="105"/>
  <c r="P268" i="105"/>
  <c r="M268" i="105"/>
  <c r="P267" i="105"/>
  <c r="M267" i="105"/>
  <c r="N267" i="105" s="1"/>
  <c r="P266" i="105"/>
  <c r="M266" i="105"/>
  <c r="P265" i="105"/>
  <c r="M265" i="105"/>
  <c r="P264" i="105"/>
  <c r="M264" i="105"/>
  <c r="P263" i="105"/>
  <c r="M263" i="105"/>
  <c r="N263" i="105" s="1"/>
  <c r="P262" i="105"/>
  <c r="M262" i="105"/>
  <c r="P261" i="105"/>
  <c r="M261" i="105"/>
  <c r="P260" i="105"/>
  <c r="M260" i="105"/>
  <c r="P259" i="105"/>
  <c r="M259" i="105"/>
  <c r="P258" i="105"/>
  <c r="M258" i="105"/>
  <c r="P257" i="105"/>
  <c r="M257" i="105"/>
  <c r="N257" i="105" s="1"/>
  <c r="P256" i="105"/>
  <c r="M256" i="105"/>
  <c r="P255" i="105"/>
  <c r="M255" i="105"/>
  <c r="P254" i="105"/>
  <c r="M254" i="105"/>
  <c r="P253" i="105"/>
  <c r="M253" i="105"/>
  <c r="N253" i="105" s="1"/>
  <c r="P252" i="105"/>
  <c r="M252" i="105"/>
  <c r="P251" i="105"/>
  <c r="M251" i="105"/>
  <c r="P250" i="105"/>
  <c r="M250" i="105"/>
  <c r="P249" i="105"/>
  <c r="M249" i="105"/>
  <c r="P248" i="105"/>
  <c r="M248" i="105"/>
  <c r="P247" i="105"/>
  <c r="M247" i="105"/>
  <c r="N247" i="105" s="1"/>
  <c r="P246" i="105"/>
  <c r="M246" i="105"/>
  <c r="P245" i="105"/>
  <c r="M245" i="105"/>
  <c r="P244" i="105"/>
  <c r="M244" i="105"/>
  <c r="P243" i="105"/>
  <c r="M243" i="105"/>
  <c r="N243" i="105" s="1"/>
  <c r="P242" i="105"/>
  <c r="M242" i="105"/>
  <c r="P241" i="105"/>
  <c r="M241" i="105"/>
  <c r="P240" i="105"/>
  <c r="M240" i="105"/>
  <c r="P239" i="105"/>
  <c r="M239" i="105"/>
  <c r="P238" i="105"/>
  <c r="M238" i="105"/>
  <c r="P237" i="105"/>
  <c r="M237" i="105"/>
  <c r="N237" i="105" s="1"/>
  <c r="P236" i="105"/>
  <c r="M236" i="105"/>
  <c r="P235" i="105"/>
  <c r="M235" i="105"/>
  <c r="P234" i="105"/>
  <c r="M234" i="105"/>
  <c r="P233" i="105"/>
  <c r="M233" i="105"/>
  <c r="N233" i="105" s="1"/>
  <c r="P232" i="105"/>
  <c r="M232" i="105"/>
  <c r="P231" i="105"/>
  <c r="M231" i="105"/>
  <c r="P230" i="105"/>
  <c r="M230" i="105"/>
  <c r="P229" i="105"/>
  <c r="M229" i="105"/>
  <c r="P228" i="105"/>
  <c r="M228" i="105"/>
  <c r="P227" i="105"/>
  <c r="M227" i="105"/>
  <c r="N227" i="105" s="1"/>
  <c r="P226" i="105"/>
  <c r="M226" i="105"/>
  <c r="P225" i="105"/>
  <c r="M225" i="105"/>
  <c r="P224" i="105"/>
  <c r="M224" i="105"/>
  <c r="P223" i="105"/>
  <c r="M223" i="105"/>
  <c r="N223" i="105" s="1"/>
  <c r="P222" i="105"/>
  <c r="M222" i="105"/>
  <c r="P221" i="105"/>
  <c r="M221" i="105"/>
  <c r="P220" i="105"/>
  <c r="M220" i="105"/>
  <c r="P219" i="105"/>
  <c r="M219" i="105"/>
  <c r="P218" i="105"/>
  <c r="M218" i="105"/>
  <c r="P217" i="105"/>
  <c r="M217" i="105"/>
  <c r="N217" i="105" s="1"/>
  <c r="P216" i="105"/>
  <c r="M216" i="105"/>
  <c r="P215" i="105"/>
  <c r="M215" i="105"/>
  <c r="P214" i="105"/>
  <c r="M214" i="105"/>
  <c r="P213" i="105"/>
  <c r="M213" i="105"/>
  <c r="N213" i="105" s="1"/>
  <c r="P212" i="105"/>
  <c r="M212" i="105"/>
  <c r="P211" i="105"/>
  <c r="M211" i="105"/>
  <c r="P210" i="105"/>
  <c r="M210" i="105"/>
  <c r="P209" i="105"/>
  <c r="M209" i="105"/>
  <c r="P208" i="105"/>
  <c r="M208" i="105"/>
  <c r="P207" i="105"/>
  <c r="M207" i="105"/>
  <c r="N207" i="105" s="1"/>
  <c r="P206" i="105"/>
  <c r="M206" i="105"/>
  <c r="P205" i="105"/>
  <c r="M205" i="105"/>
  <c r="P204" i="105"/>
  <c r="M204" i="105"/>
  <c r="P203" i="105"/>
  <c r="M203" i="105"/>
  <c r="N203" i="105" s="1"/>
  <c r="P202" i="105"/>
  <c r="M202" i="105"/>
  <c r="P201" i="105"/>
  <c r="M201" i="105"/>
  <c r="P200" i="105"/>
  <c r="M200" i="105"/>
  <c r="P199" i="105"/>
  <c r="M199" i="105"/>
  <c r="P198" i="105"/>
  <c r="M198" i="105"/>
  <c r="P197" i="105"/>
  <c r="M197" i="105"/>
  <c r="N197" i="105" s="1"/>
  <c r="P196" i="105"/>
  <c r="M196" i="105"/>
  <c r="P195" i="105"/>
  <c r="M195" i="105"/>
  <c r="P194" i="105"/>
  <c r="M194" i="105"/>
  <c r="P193" i="105"/>
  <c r="M193" i="105"/>
  <c r="N193" i="105" s="1"/>
  <c r="P192" i="105"/>
  <c r="M192" i="105"/>
  <c r="P191" i="105"/>
  <c r="M191" i="105"/>
  <c r="P190" i="105"/>
  <c r="M190" i="105"/>
  <c r="P189" i="105"/>
  <c r="M189" i="105"/>
  <c r="P188" i="105"/>
  <c r="M188" i="105"/>
  <c r="P187" i="105"/>
  <c r="M187" i="105"/>
  <c r="N187" i="105" s="1"/>
  <c r="P186" i="105"/>
  <c r="M186" i="105"/>
  <c r="P185" i="105"/>
  <c r="M185" i="105"/>
  <c r="P184" i="105"/>
  <c r="M184" i="105"/>
  <c r="P183" i="105"/>
  <c r="M183" i="105"/>
  <c r="N183" i="105" s="1"/>
  <c r="P182" i="105"/>
  <c r="M182" i="105"/>
  <c r="P181" i="105"/>
  <c r="M181" i="105"/>
  <c r="P180" i="105"/>
  <c r="M180" i="105"/>
  <c r="P179" i="105"/>
  <c r="M179" i="105"/>
  <c r="P178" i="105"/>
  <c r="M178" i="105"/>
  <c r="P177" i="105"/>
  <c r="M177" i="105"/>
  <c r="N177" i="105" s="1"/>
  <c r="P176" i="105"/>
  <c r="M176" i="105"/>
  <c r="P175" i="105"/>
  <c r="M175" i="105"/>
  <c r="P174" i="105"/>
  <c r="M174" i="105"/>
  <c r="P173" i="105"/>
  <c r="M173" i="105"/>
  <c r="N173" i="105" s="1"/>
  <c r="P172" i="105"/>
  <c r="M172" i="105"/>
  <c r="P171" i="105"/>
  <c r="M171" i="105"/>
  <c r="P170" i="105"/>
  <c r="M170" i="105"/>
  <c r="P169" i="105"/>
  <c r="M169" i="105"/>
  <c r="P168" i="105"/>
  <c r="M168" i="105"/>
  <c r="P167" i="105"/>
  <c r="M167" i="105"/>
  <c r="N167" i="105" s="1"/>
  <c r="P166" i="105"/>
  <c r="M166" i="105"/>
  <c r="P165" i="105"/>
  <c r="M165" i="105"/>
  <c r="P164" i="105"/>
  <c r="M164" i="105"/>
  <c r="P163" i="105"/>
  <c r="M163" i="105"/>
  <c r="N163" i="105" s="1"/>
  <c r="P162" i="105"/>
  <c r="M162" i="105"/>
  <c r="P161" i="105"/>
  <c r="M161" i="105"/>
  <c r="P160" i="105"/>
  <c r="M160" i="105"/>
  <c r="P159" i="105"/>
  <c r="M159" i="105"/>
  <c r="P158" i="105"/>
  <c r="M158" i="105"/>
  <c r="P157" i="105"/>
  <c r="M157" i="105"/>
  <c r="N157" i="105" s="1"/>
  <c r="P156" i="105"/>
  <c r="M156" i="105"/>
  <c r="P155" i="105"/>
  <c r="M155" i="105"/>
  <c r="P154" i="105"/>
  <c r="M154" i="105"/>
  <c r="P153" i="105"/>
  <c r="M153" i="105"/>
  <c r="N153" i="105" s="1"/>
  <c r="P152" i="105"/>
  <c r="M152" i="105"/>
  <c r="P151" i="105"/>
  <c r="M151" i="105"/>
  <c r="P150" i="105"/>
  <c r="M150" i="105"/>
  <c r="P149" i="105"/>
  <c r="M149" i="105"/>
  <c r="P148" i="105"/>
  <c r="M148" i="105"/>
  <c r="P147" i="105"/>
  <c r="M147" i="105"/>
  <c r="N147" i="105" s="1"/>
  <c r="P146" i="105"/>
  <c r="M146" i="105"/>
  <c r="P145" i="105"/>
  <c r="M145" i="105"/>
  <c r="P144" i="105"/>
  <c r="M144" i="105"/>
  <c r="P143" i="105"/>
  <c r="M143" i="105"/>
  <c r="N143" i="105" s="1"/>
  <c r="P142" i="105"/>
  <c r="M142" i="105"/>
  <c r="P141" i="105"/>
  <c r="M141" i="105"/>
  <c r="P140" i="105"/>
  <c r="M140" i="105"/>
  <c r="P139" i="105"/>
  <c r="M139" i="105"/>
  <c r="P138" i="105"/>
  <c r="M138" i="105"/>
  <c r="P137" i="105"/>
  <c r="M137" i="105"/>
  <c r="N137" i="105" s="1"/>
  <c r="P136" i="105"/>
  <c r="M136" i="105"/>
  <c r="P135" i="105"/>
  <c r="M135" i="105"/>
  <c r="P134" i="105"/>
  <c r="M134" i="105"/>
  <c r="P133" i="105"/>
  <c r="M133" i="105"/>
  <c r="N133" i="105" s="1"/>
  <c r="P132" i="105"/>
  <c r="M132" i="105"/>
  <c r="P131" i="105"/>
  <c r="M131" i="105"/>
  <c r="N131" i="105" s="1"/>
  <c r="P130" i="105"/>
  <c r="M130" i="105"/>
  <c r="P129" i="105"/>
  <c r="M129" i="105"/>
  <c r="P128" i="105"/>
  <c r="M128" i="105"/>
  <c r="P127" i="105"/>
  <c r="M127" i="105"/>
  <c r="N127" i="105" s="1"/>
  <c r="P126" i="105"/>
  <c r="M126" i="105"/>
  <c r="P125" i="105"/>
  <c r="M125" i="105"/>
  <c r="P124" i="105"/>
  <c r="M124" i="105"/>
  <c r="P123" i="105"/>
  <c r="M123" i="105"/>
  <c r="N123" i="105" s="1"/>
  <c r="P122" i="105"/>
  <c r="M122" i="105"/>
  <c r="P121" i="105"/>
  <c r="M121" i="105"/>
  <c r="N121" i="105" s="1"/>
  <c r="P120" i="105"/>
  <c r="M120" i="105"/>
  <c r="P119" i="105"/>
  <c r="M119" i="105"/>
  <c r="P118" i="105"/>
  <c r="M118" i="105"/>
  <c r="P117" i="105"/>
  <c r="M117" i="105"/>
  <c r="N117" i="105" s="1"/>
  <c r="P116" i="105"/>
  <c r="M116" i="105"/>
  <c r="P115" i="105"/>
  <c r="M115" i="105"/>
  <c r="P114" i="105"/>
  <c r="M114" i="105"/>
  <c r="P113" i="105"/>
  <c r="M113" i="105"/>
  <c r="N113" i="105" s="1"/>
  <c r="P112" i="105"/>
  <c r="M112" i="105"/>
  <c r="P111" i="105"/>
  <c r="M111" i="105"/>
  <c r="N111" i="105" s="1"/>
  <c r="P110" i="105"/>
  <c r="M110" i="105"/>
  <c r="P109" i="105"/>
  <c r="M109" i="105"/>
  <c r="P108" i="105"/>
  <c r="M108" i="105"/>
  <c r="P107" i="105"/>
  <c r="M107" i="105"/>
  <c r="N107" i="105" s="1"/>
  <c r="P106" i="105"/>
  <c r="M106" i="105"/>
  <c r="P105" i="105"/>
  <c r="M105" i="105"/>
  <c r="P104" i="105"/>
  <c r="M104" i="105"/>
  <c r="P103" i="105"/>
  <c r="M103" i="105"/>
  <c r="N103" i="105" s="1"/>
  <c r="P102" i="105"/>
  <c r="M102" i="105"/>
  <c r="P101" i="105"/>
  <c r="M101" i="105"/>
  <c r="N101" i="105" s="1"/>
  <c r="P100" i="105"/>
  <c r="M100" i="105"/>
  <c r="P99" i="105"/>
  <c r="M99" i="105"/>
  <c r="P98" i="105"/>
  <c r="M98" i="105"/>
  <c r="P97" i="105"/>
  <c r="M97" i="105"/>
  <c r="N97" i="105" s="1"/>
  <c r="P96" i="105"/>
  <c r="M96" i="105"/>
  <c r="P95" i="105"/>
  <c r="M95" i="105"/>
  <c r="P94" i="105"/>
  <c r="M94" i="105"/>
  <c r="P93" i="105"/>
  <c r="M93" i="105"/>
  <c r="N93" i="105" s="1"/>
  <c r="P92" i="105"/>
  <c r="M92" i="105"/>
  <c r="P91" i="105"/>
  <c r="M91" i="105"/>
  <c r="N91" i="105" s="1"/>
  <c r="P90" i="105"/>
  <c r="M90" i="105"/>
  <c r="P89" i="105"/>
  <c r="M89" i="105"/>
  <c r="P88" i="105"/>
  <c r="M88" i="105"/>
  <c r="P87" i="105"/>
  <c r="M87" i="105"/>
  <c r="N87" i="105" s="1"/>
  <c r="P86" i="105"/>
  <c r="M86" i="105"/>
  <c r="P85" i="105"/>
  <c r="M85" i="105"/>
  <c r="P84" i="105"/>
  <c r="M84" i="105"/>
  <c r="P83" i="105"/>
  <c r="M83" i="105"/>
  <c r="N83" i="105" s="1"/>
  <c r="P82" i="105"/>
  <c r="M82" i="105"/>
  <c r="P81" i="105"/>
  <c r="M81" i="105"/>
  <c r="N81" i="105" s="1"/>
  <c r="P80" i="105"/>
  <c r="M80" i="105"/>
  <c r="P79" i="105"/>
  <c r="M79" i="105"/>
  <c r="P78" i="105"/>
  <c r="M78" i="105"/>
  <c r="P77" i="105"/>
  <c r="M77" i="105"/>
  <c r="N77" i="105" s="1"/>
  <c r="P76" i="105"/>
  <c r="M76" i="105"/>
  <c r="P75" i="105"/>
  <c r="M75" i="105"/>
  <c r="P74" i="105"/>
  <c r="M74" i="105"/>
  <c r="P73" i="105"/>
  <c r="M73" i="105"/>
  <c r="N73" i="105" s="1"/>
  <c r="P72" i="105"/>
  <c r="M72" i="105"/>
  <c r="P71" i="105"/>
  <c r="M71" i="105"/>
  <c r="N71" i="105" s="1"/>
  <c r="P70" i="105"/>
  <c r="M70" i="105"/>
  <c r="P69" i="105"/>
  <c r="M69" i="105"/>
  <c r="P68" i="105"/>
  <c r="M68" i="105"/>
  <c r="P67" i="105"/>
  <c r="M67" i="105"/>
  <c r="N67" i="105" s="1"/>
  <c r="P66" i="105"/>
  <c r="M66" i="105"/>
  <c r="P65" i="105"/>
  <c r="M65" i="105"/>
  <c r="P64" i="105"/>
  <c r="M64" i="105"/>
  <c r="P63" i="105"/>
  <c r="M63" i="105"/>
  <c r="N63" i="105" s="1"/>
  <c r="P62" i="105"/>
  <c r="M62" i="105"/>
  <c r="P61" i="105"/>
  <c r="M61" i="105"/>
  <c r="N61" i="105" s="1"/>
  <c r="P60" i="105"/>
  <c r="M60" i="105"/>
  <c r="P59" i="105"/>
  <c r="M59" i="105"/>
  <c r="P58" i="105"/>
  <c r="M58" i="105"/>
  <c r="P57" i="105"/>
  <c r="M57" i="105"/>
  <c r="N57" i="105" s="1"/>
  <c r="P56" i="105"/>
  <c r="M56" i="105"/>
  <c r="P55" i="105"/>
  <c r="M55" i="105"/>
  <c r="P54" i="105"/>
  <c r="M54" i="105"/>
  <c r="P53" i="105"/>
  <c r="M53" i="105"/>
  <c r="N53" i="105" s="1"/>
  <c r="P52" i="105"/>
  <c r="M52" i="105"/>
  <c r="P51" i="105"/>
  <c r="M51" i="105"/>
  <c r="N51" i="105" s="1"/>
  <c r="P50" i="105"/>
  <c r="M50" i="105"/>
  <c r="P49" i="105"/>
  <c r="M49" i="105"/>
  <c r="P48" i="105"/>
  <c r="M48" i="105"/>
  <c r="P47" i="105"/>
  <c r="M47" i="105"/>
  <c r="N47" i="105" s="1"/>
  <c r="P46" i="105"/>
  <c r="M46" i="105"/>
  <c r="P45" i="105"/>
  <c r="M45" i="105"/>
  <c r="P44" i="105"/>
  <c r="M44" i="105"/>
  <c r="P43" i="105"/>
  <c r="M43" i="105"/>
  <c r="N43" i="105" s="1"/>
  <c r="P42" i="105"/>
  <c r="M42" i="105"/>
  <c r="P41" i="105"/>
  <c r="M41" i="105"/>
  <c r="N41" i="105" s="1"/>
  <c r="P40" i="105"/>
  <c r="M40" i="105"/>
  <c r="P39" i="105"/>
  <c r="M39" i="105"/>
  <c r="P38" i="105"/>
  <c r="M38" i="105"/>
  <c r="P37" i="105"/>
  <c r="M37" i="105"/>
  <c r="N37" i="105" s="1"/>
  <c r="P36" i="105"/>
  <c r="M36" i="105"/>
  <c r="P35" i="105"/>
  <c r="M35" i="105"/>
  <c r="P34" i="105"/>
  <c r="M34" i="105"/>
  <c r="P33" i="105"/>
  <c r="M33" i="105"/>
  <c r="N33" i="105" s="1"/>
  <c r="P32" i="105"/>
  <c r="M32" i="105"/>
  <c r="P31" i="105"/>
  <c r="M31" i="105"/>
  <c r="N31" i="105" s="1"/>
  <c r="P30" i="105"/>
  <c r="M30" i="105"/>
  <c r="P29" i="105"/>
  <c r="M29" i="105"/>
  <c r="P28" i="105"/>
  <c r="M28" i="105"/>
  <c r="P27" i="105"/>
  <c r="M27" i="105"/>
  <c r="N27" i="105" s="1"/>
  <c r="P26" i="105"/>
  <c r="M26" i="105"/>
  <c r="P25" i="105"/>
  <c r="M25" i="105"/>
  <c r="P24" i="105"/>
  <c r="M24" i="105"/>
  <c r="P23" i="105"/>
  <c r="M23" i="105"/>
  <c r="N23" i="105" s="1"/>
  <c r="P22" i="105"/>
  <c r="M22" i="105"/>
  <c r="P21" i="105"/>
  <c r="M21" i="105"/>
  <c r="N21" i="105" s="1"/>
  <c r="P20" i="105"/>
  <c r="M20" i="105"/>
  <c r="P19" i="105"/>
  <c r="M19" i="105"/>
  <c r="P18" i="105"/>
  <c r="M18" i="105"/>
  <c r="P17" i="105"/>
  <c r="M17" i="105"/>
  <c r="N17" i="105" s="1"/>
  <c r="P16" i="105"/>
  <c r="M16" i="105"/>
  <c r="P15" i="105"/>
  <c r="M15" i="105"/>
  <c r="P14" i="105"/>
  <c r="M14" i="105"/>
  <c r="P13" i="105"/>
  <c r="M13" i="105"/>
  <c r="N13" i="105" s="1"/>
  <c r="P12" i="105"/>
  <c r="M12" i="105"/>
  <c r="P11" i="105"/>
  <c r="M11" i="105"/>
  <c r="N11" i="105" s="1"/>
  <c r="P10" i="105"/>
  <c r="M10" i="105"/>
  <c r="B2" i="105"/>
  <c r="A2" i="105"/>
  <c r="G1" i="105"/>
  <c r="B99" i="104"/>
  <c r="B67" i="104"/>
  <c r="E63" i="104"/>
  <c r="E60" i="104"/>
  <c r="E58" i="104"/>
  <c r="E55" i="104"/>
  <c r="B50" i="104"/>
  <c r="M37" i="104"/>
  <c r="CK4" i="103"/>
  <c r="CK7" i="103"/>
  <c r="B22" i="104"/>
  <c r="A22" i="104"/>
  <c r="B21" i="104"/>
  <c r="CK14" i="103" s="1"/>
  <c r="A21" i="104"/>
  <c r="B20" i="104"/>
  <c r="L35" i="104" s="1"/>
  <c r="P12" i="104"/>
  <c r="B12" i="104"/>
  <c r="M11" i="104" s="1"/>
  <c r="A12" i="104"/>
  <c r="B11" i="104"/>
  <c r="CK5" i="103" s="1"/>
  <c r="A11" i="104"/>
  <c r="P10" i="104"/>
  <c r="M10" i="104"/>
  <c r="B10" i="104"/>
  <c r="A10" i="104"/>
  <c r="B9" i="104"/>
  <c r="P9" i="104" s="1"/>
  <c r="A9" i="104"/>
  <c r="B8" i="104"/>
  <c r="P8" i="104" s="1"/>
  <c r="A8" i="104"/>
  <c r="B7" i="104"/>
  <c r="L34" i="104" s="1"/>
  <c r="B3" i="104"/>
  <c r="B2" i="104"/>
  <c r="DI280" i="103"/>
  <c r="DH280" i="103"/>
  <c r="AY280" i="103"/>
  <c r="BH280" i="103" s="1"/>
  <c r="DI279" i="103"/>
  <c r="DH279" i="103"/>
  <c r="AY279" i="103"/>
  <c r="BI279" i="103" s="1"/>
  <c r="DI278" i="103"/>
  <c r="DH278" i="103"/>
  <c r="AY278" i="103"/>
  <c r="BN278" i="103" s="1"/>
  <c r="DI277" i="103"/>
  <c r="DH277" i="103"/>
  <c r="AY277" i="103"/>
  <c r="DJ277" i="103" s="1"/>
  <c r="DI276" i="103"/>
  <c r="DH276" i="103"/>
  <c r="AY276" i="103"/>
  <c r="DI275" i="103"/>
  <c r="DH275" i="103"/>
  <c r="AY275" i="103"/>
  <c r="BL275" i="103" s="1"/>
  <c r="DI274" i="103"/>
  <c r="DH274" i="103"/>
  <c r="AY274" i="103"/>
  <c r="DJ274" i="103" s="1"/>
  <c r="DI273" i="103"/>
  <c r="DH273" i="103"/>
  <c r="AY273" i="103"/>
  <c r="BJ273" i="103" s="1"/>
  <c r="DI272" i="103"/>
  <c r="DH272" i="103"/>
  <c r="AY272" i="103"/>
  <c r="BI272" i="103" s="1"/>
  <c r="DI271" i="103"/>
  <c r="DH271" i="103"/>
  <c r="AY271" i="103"/>
  <c r="BI271" i="103" s="1"/>
  <c r="DI270" i="103"/>
  <c r="DH270" i="103"/>
  <c r="DK270" i="103" s="1"/>
  <c r="DL270" i="103" s="1"/>
  <c r="AY270" i="103"/>
  <c r="DJ270" i="103" s="1"/>
  <c r="DI269" i="103"/>
  <c r="DH269" i="103"/>
  <c r="DK269" i="103" s="1"/>
  <c r="DL269" i="103" s="1"/>
  <c r="AY269" i="103"/>
  <c r="DI268" i="103"/>
  <c r="DH268" i="103"/>
  <c r="DK268" i="103" s="1"/>
  <c r="DL268" i="103" s="1"/>
  <c r="AY268" i="103"/>
  <c r="DI267" i="103"/>
  <c r="DH267" i="103"/>
  <c r="DK267" i="103" s="1"/>
  <c r="DL267" i="103" s="1"/>
  <c r="AY267" i="103"/>
  <c r="BJ267" i="103" s="1"/>
  <c r="DI266" i="103"/>
  <c r="DH266" i="103"/>
  <c r="DK266" i="103" s="1"/>
  <c r="DL266" i="103" s="1"/>
  <c r="AY266" i="103"/>
  <c r="BM266" i="103" s="1"/>
  <c r="DI265" i="103"/>
  <c r="DH265" i="103"/>
  <c r="DK265" i="103" s="1"/>
  <c r="DL265" i="103" s="1"/>
  <c r="AY265" i="103"/>
  <c r="BM265" i="103" s="1"/>
  <c r="DI264" i="103"/>
  <c r="DH264" i="103"/>
  <c r="DK264" i="103" s="1"/>
  <c r="DL264" i="103" s="1"/>
  <c r="AY264" i="103"/>
  <c r="BJ264" i="103" s="1"/>
  <c r="DI263" i="103"/>
  <c r="DH263" i="103"/>
  <c r="DK263" i="103" s="1"/>
  <c r="DL263" i="103" s="1"/>
  <c r="AY263" i="103"/>
  <c r="DI262" i="103"/>
  <c r="DH262" i="103"/>
  <c r="DK262" i="103" s="1"/>
  <c r="DL262" i="103" s="1"/>
  <c r="AY262" i="103"/>
  <c r="BH262" i="103" s="1"/>
  <c r="DI261" i="103"/>
  <c r="DH261" i="103"/>
  <c r="DK261" i="103" s="1"/>
  <c r="DL261" i="103" s="1"/>
  <c r="AY261" i="103"/>
  <c r="DI260" i="103"/>
  <c r="DH260" i="103"/>
  <c r="DK260" i="103" s="1"/>
  <c r="DL260" i="103" s="1"/>
  <c r="AY260" i="103"/>
  <c r="BK260" i="103" s="1"/>
  <c r="DI259" i="103"/>
  <c r="DH259" i="103"/>
  <c r="DK259" i="103" s="1"/>
  <c r="DL259" i="103" s="1"/>
  <c r="AY259" i="103"/>
  <c r="BJ259" i="103" s="1"/>
  <c r="DI258" i="103"/>
  <c r="DH258" i="103"/>
  <c r="DK258" i="103" s="1"/>
  <c r="DL258" i="103" s="1"/>
  <c r="AY258" i="103"/>
  <c r="BL258" i="103" s="1"/>
  <c r="DI257" i="103"/>
  <c r="DH257" i="103"/>
  <c r="DK257" i="103" s="1"/>
  <c r="DL257" i="103" s="1"/>
  <c r="AY257" i="103"/>
  <c r="BN257" i="103" s="1"/>
  <c r="DI256" i="103"/>
  <c r="DH256" i="103"/>
  <c r="DK256" i="103" s="1"/>
  <c r="DL256" i="103" s="1"/>
  <c r="AY256" i="103"/>
  <c r="BM256" i="103" s="1"/>
  <c r="DI255" i="103"/>
  <c r="DH255" i="103"/>
  <c r="DK255" i="103" s="1"/>
  <c r="DL255" i="103" s="1"/>
  <c r="AY255" i="103"/>
  <c r="BM255" i="103" s="1"/>
  <c r="DI254" i="103"/>
  <c r="DH254" i="103"/>
  <c r="DK254" i="103" s="1"/>
  <c r="DL254" i="103" s="1"/>
  <c r="AY254" i="103"/>
  <c r="BK254" i="103" s="1"/>
  <c r="DI253" i="103"/>
  <c r="DH253" i="103"/>
  <c r="DK253" i="103" s="1"/>
  <c r="DL253" i="103" s="1"/>
  <c r="AY253" i="103"/>
  <c r="BI253" i="103" s="1"/>
  <c r="DI252" i="103"/>
  <c r="DH252" i="103"/>
  <c r="DK252" i="103" s="1"/>
  <c r="DL252" i="103" s="1"/>
  <c r="AY252" i="103"/>
  <c r="BI252" i="103" s="1"/>
  <c r="DI251" i="103"/>
  <c r="DH251" i="103"/>
  <c r="DK251" i="103" s="1"/>
  <c r="DL251" i="103" s="1"/>
  <c r="AY251" i="103"/>
  <c r="BL251" i="103" s="1"/>
  <c r="DI250" i="103"/>
  <c r="DH250" i="103"/>
  <c r="DK250" i="103" s="1"/>
  <c r="DL250" i="103" s="1"/>
  <c r="AY250" i="103"/>
  <c r="DI249" i="103"/>
  <c r="DH249" i="103"/>
  <c r="DK249" i="103" s="1"/>
  <c r="DL249" i="103" s="1"/>
  <c r="AY249" i="103"/>
  <c r="BI249" i="103" s="1"/>
  <c r="DI248" i="103"/>
  <c r="DH248" i="103"/>
  <c r="DK248" i="103" s="1"/>
  <c r="DL248" i="103" s="1"/>
  <c r="AY248" i="103"/>
  <c r="BI248" i="103" s="1"/>
  <c r="DI247" i="103"/>
  <c r="DH247" i="103"/>
  <c r="DK247" i="103" s="1"/>
  <c r="DL247" i="103" s="1"/>
  <c r="AY247" i="103"/>
  <c r="DJ247" i="103" s="1"/>
  <c r="DI246" i="103"/>
  <c r="DH246" i="103"/>
  <c r="DK246" i="103" s="1"/>
  <c r="DL246" i="103" s="1"/>
  <c r="AY246" i="103"/>
  <c r="BJ246" i="103" s="1"/>
  <c r="DI245" i="103"/>
  <c r="DH245" i="103"/>
  <c r="DK245" i="103" s="1"/>
  <c r="DL245" i="103" s="1"/>
  <c r="AY245" i="103"/>
  <c r="BN245" i="103" s="1"/>
  <c r="DI244" i="103"/>
  <c r="DH244" i="103"/>
  <c r="DK244" i="103" s="1"/>
  <c r="DL244" i="103" s="1"/>
  <c r="AY244" i="103"/>
  <c r="DL243" i="103"/>
  <c r="DI243" i="103"/>
  <c r="DH243" i="103"/>
  <c r="AY243" i="103"/>
  <c r="BL243" i="103" s="1"/>
  <c r="DI242" i="103"/>
  <c r="DH242" i="103"/>
  <c r="AY242" i="103"/>
  <c r="BI242" i="103" s="1"/>
  <c r="DI241" i="103"/>
  <c r="DH241" i="103"/>
  <c r="AY241" i="103"/>
  <c r="BN241" i="103" s="1"/>
  <c r="DI240" i="103"/>
  <c r="DH240" i="103"/>
  <c r="AY240" i="103"/>
  <c r="DI239" i="103"/>
  <c r="DH239" i="103"/>
  <c r="AY239" i="103"/>
  <c r="DI238" i="103"/>
  <c r="DH238" i="103"/>
  <c r="AY238" i="103"/>
  <c r="BH238" i="103" s="1"/>
  <c r="DI237" i="103"/>
  <c r="DH237" i="103"/>
  <c r="AY237" i="103"/>
  <c r="DJ237" i="103" s="1"/>
  <c r="DI236" i="103"/>
  <c r="DH236" i="103"/>
  <c r="DK236" i="103" s="1"/>
  <c r="DL236" i="103" s="1"/>
  <c r="AY236" i="103"/>
  <c r="BN236" i="103" s="1"/>
  <c r="DI235" i="103"/>
  <c r="DH235" i="103"/>
  <c r="AY235" i="103"/>
  <c r="BL235" i="103" s="1"/>
  <c r="DI234" i="103"/>
  <c r="DH234" i="103"/>
  <c r="AY234" i="103"/>
  <c r="BI234" i="103" s="1"/>
  <c r="DI233" i="103"/>
  <c r="DH233" i="103"/>
  <c r="AY233" i="103"/>
  <c r="BJ233" i="103" s="1"/>
  <c r="DI232" i="103"/>
  <c r="DH232" i="103"/>
  <c r="AY232" i="103"/>
  <c r="BL232" i="103" s="1"/>
  <c r="DI231" i="103"/>
  <c r="DH231" i="103"/>
  <c r="AY231" i="103"/>
  <c r="BH231" i="103" s="1"/>
  <c r="DI230" i="103"/>
  <c r="DH230" i="103"/>
  <c r="AY230" i="103"/>
  <c r="BN230" i="103" s="1"/>
  <c r="DI229" i="103"/>
  <c r="DH229" i="103"/>
  <c r="AY229" i="103"/>
  <c r="DJ229" i="103" s="1"/>
  <c r="DI228" i="103"/>
  <c r="DH228" i="103"/>
  <c r="AY228" i="103"/>
  <c r="BL228" i="103" s="1"/>
  <c r="DL227" i="103"/>
  <c r="DI227" i="103"/>
  <c r="DH227" i="103"/>
  <c r="AY227" i="103"/>
  <c r="BN227" i="103" s="1"/>
  <c r="DI226" i="103"/>
  <c r="DH226" i="103"/>
  <c r="AY226" i="103"/>
  <c r="DJ226" i="103" s="1"/>
  <c r="DI225" i="103"/>
  <c r="DH225" i="103"/>
  <c r="DK225" i="103" s="1"/>
  <c r="DL225" i="103" s="1"/>
  <c r="AY225" i="103"/>
  <c r="BK225" i="103" s="1"/>
  <c r="DI224" i="103"/>
  <c r="DH224" i="103"/>
  <c r="DK224" i="103" s="1"/>
  <c r="DL224" i="103" s="1"/>
  <c r="AY224" i="103"/>
  <c r="DJ224" i="103" s="1"/>
  <c r="DI223" i="103"/>
  <c r="DH223" i="103"/>
  <c r="AY223" i="103"/>
  <c r="BJ223" i="103" s="1"/>
  <c r="DI222" i="103"/>
  <c r="DH222" i="103"/>
  <c r="AY222" i="103"/>
  <c r="BN222" i="103" s="1"/>
  <c r="DI221" i="103"/>
  <c r="DH221" i="103"/>
  <c r="AY221" i="103"/>
  <c r="DJ221" i="103" s="1"/>
  <c r="DI220" i="103"/>
  <c r="DH220" i="103"/>
  <c r="DK220" i="103" s="1"/>
  <c r="DL220" i="103" s="1"/>
  <c r="AY220" i="103"/>
  <c r="BJ220" i="103" s="1"/>
  <c r="DI219" i="103"/>
  <c r="DH219" i="103"/>
  <c r="AY219" i="103"/>
  <c r="BN219" i="103" s="1"/>
  <c r="DI218" i="103"/>
  <c r="DH218" i="103"/>
  <c r="AY218" i="103"/>
  <c r="DI217" i="103"/>
  <c r="DH217" i="103"/>
  <c r="AY217" i="103"/>
  <c r="DI216" i="103"/>
  <c r="DH216" i="103"/>
  <c r="AY216" i="103"/>
  <c r="DI215" i="103"/>
  <c r="DH215" i="103"/>
  <c r="DK215" i="103" s="1"/>
  <c r="DL215" i="103" s="1"/>
  <c r="AY215" i="103"/>
  <c r="BJ215" i="103" s="1"/>
  <c r="DI214" i="103"/>
  <c r="DH214" i="103"/>
  <c r="DK214" i="103" s="1"/>
  <c r="DL214" i="103" s="1"/>
  <c r="AY214" i="103"/>
  <c r="BM214" i="103" s="1"/>
  <c r="DI213" i="103"/>
  <c r="DH213" i="103"/>
  <c r="AY213" i="103"/>
  <c r="BN213" i="103" s="1"/>
  <c r="DI212" i="103"/>
  <c r="DH212" i="103"/>
  <c r="AY212" i="103"/>
  <c r="BL212" i="103" s="1"/>
  <c r="DI211" i="103"/>
  <c r="DH211" i="103"/>
  <c r="AY211" i="103"/>
  <c r="BI211" i="103" s="1"/>
  <c r="DI210" i="103"/>
  <c r="DH210" i="103"/>
  <c r="AY210" i="103"/>
  <c r="BM210" i="103" s="1"/>
  <c r="DI209" i="103"/>
  <c r="DH209" i="103"/>
  <c r="AY209" i="103"/>
  <c r="DI208" i="103"/>
  <c r="DH208" i="103"/>
  <c r="AY208" i="103"/>
  <c r="DJ208" i="103" s="1"/>
  <c r="DI207" i="103"/>
  <c r="DH207" i="103"/>
  <c r="AY207" i="103"/>
  <c r="DI206" i="103"/>
  <c r="DH206" i="103"/>
  <c r="AY206" i="103"/>
  <c r="DI205" i="103"/>
  <c r="DH205" i="103"/>
  <c r="AY205" i="103"/>
  <c r="DJ205" i="103" s="1"/>
  <c r="DI204" i="103"/>
  <c r="DH204" i="103"/>
  <c r="AY204" i="103"/>
  <c r="DJ204" i="103" s="1"/>
  <c r="DI203" i="103"/>
  <c r="DH203" i="103"/>
  <c r="AY203" i="103"/>
  <c r="BM203" i="103" s="1"/>
  <c r="DI202" i="103"/>
  <c r="DH202" i="103"/>
  <c r="AY202" i="103"/>
  <c r="DI201" i="103"/>
  <c r="DH201" i="103"/>
  <c r="AY201" i="103"/>
  <c r="BJ201" i="103" s="1"/>
  <c r="DI200" i="103"/>
  <c r="DH200" i="103"/>
  <c r="AY200" i="103"/>
  <c r="DI199" i="103"/>
  <c r="DH199" i="103"/>
  <c r="AY199" i="103"/>
  <c r="BJ199" i="103" s="1"/>
  <c r="DI198" i="103"/>
  <c r="DH198" i="103"/>
  <c r="AY198" i="103"/>
  <c r="BK198" i="103" s="1"/>
  <c r="DI197" i="103"/>
  <c r="DH197" i="103"/>
  <c r="AY197" i="103"/>
  <c r="BN197" i="103" s="1"/>
  <c r="DL196" i="103"/>
  <c r="DI196" i="103"/>
  <c r="DH196" i="103"/>
  <c r="AY196" i="103"/>
  <c r="BI196" i="103" s="1"/>
  <c r="DI195" i="103"/>
  <c r="DH195" i="103"/>
  <c r="DK195" i="103" s="1"/>
  <c r="DL195" i="103" s="1"/>
  <c r="AY195" i="103"/>
  <c r="DI194" i="103"/>
  <c r="DH194" i="103"/>
  <c r="AY194" i="103"/>
  <c r="BJ194" i="103" s="1"/>
  <c r="DI193" i="103"/>
  <c r="DH193" i="103"/>
  <c r="AY193" i="103"/>
  <c r="BL193" i="103" s="1"/>
  <c r="DI192" i="103"/>
  <c r="DH192" i="103"/>
  <c r="AY192" i="103"/>
  <c r="BH192" i="103" s="1"/>
  <c r="DI191" i="103"/>
  <c r="DH191" i="103"/>
  <c r="DK191" i="103" s="1"/>
  <c r="DL191" i="103" s="1"/>
  <c r="AY191" i="103"/>
  <c r="BI191" i="103" s="1"/>
  <c r="DI190" i="103"/>
  <c r="DH190" i="103"/>
  <c r="DK190" i="103" s="1"/>
  <c r="DL190" i="103" s="1"/>
  <c r="AY190" i="103"/>
  <c r="DI189" i="103"/>
  <c r="DH189" i="103"/>
  <c r="AY189" i="103"/>
  <c r="BL189" i="103" s="1"/>
  <c r="DI188" i="103"/>
  <c r="DH188" i="103"/>
  <c r="AY188" i="103"/>
  <c r="BI188" i="103" s="1"/>
  <c r="DI187" i="103"/>
  <c r="DH187" i="103"/>
  <c r="AY187" i="103"/>
  <c r="DI186" i="103"/>
  <c r="DH186" i="103"/>
  <c r="AY186" i="103"/>
  <c r="DJ186" i="103" s="1"/>
  <c r="DI185" i="103"/>
  <c r="DH185" i="103"/>
  <c r="AY185" i="103"/>
  <c r="DI184" i="103"/>
  <c r="DH184" i="103"/>
  <c r="AY184" i="103"/>
  <c r="BH184" i="103" s="1"/>
  <c r="DI183" i="103"/>
  <c r="DH183" i="103"/>
  <c r="AY183" i="103"/>
  <c r="BN183" i="103" s="1"/>
  <c r="DI182" i="103"/>
  <c r="DH182" i="103"/>
  <c r="AY182" i="103"/>
  <c r="BJ182" i="103" s="1"/>
  <c r="DI181" i="103"/>
  <c r="DH181" i="103"/>
  <c r="DK181" i="103" s="1"/>
  <c r="DL181" i="103" s="1"/>
  <c r="AY181" i="103"/>
  <c r="DI180" i="103"/>
  <c r="DH180" i="103"/>
  <c r="AY180" i="103"/>
  <c r="DI179" i="103"/>
  <c r="DH179" i="103"/>
  <c r="AY179" i="103"/>
  <c r="BN179" i="103" s="1"/>
  <c r="DI178" i="103"/>
  <c r="DH178" i="103"/>
  <c r="AY178" i="103"/>
  <c r="BN178" i="103" s="1"/>
  <c r="DI177" i="103"/>
  <c r="DH177" i="103"/>
  <c r="AY177" i="103"/>
  <c r="DI176" i="103"/>
  <c r="DH176" i="103"/>
  <c r="AY176" i="103"/>
  <c r="BH176" i="103" s="1"/>
  <c r="DI175" i="103"/>
  <c r="DH175" i="103"/>
  <c r="AY175" i="103"/>
  <c r="BM175" i="103" s="1"/>
  <c r="DI174" i="103"/>
  <c r="DH174" i="103"/>
  <c r="AY174" i="103"/>
  <c r="BH174" i="103" s="1"/>
  <c r="DI173" i="103"/>
  <c r="DH173" i="103"/>
  <c r="AY173" i="103"/>
  <c r="BI173" i="103" s="1"/>
  <c r="DL172" i="103"/>
  <c r="DI172" i="103"/>
  <c r="DH172" i="103"/>
  <c r="AY172" i="103"/>
  <c r="DI171" i="103"/>
  <c r="DH171" i="103"/>
  <c r="AY171" i="103"/>
  <c r="DI170" i="103"/>
  <c r="DH170" i="103"/>
  <c r="AY170" i="103"/>
  <c r="DI169" i="103"/>
  <c r="DH169" i="103"/>
  <c r="AY169" i="103"/>
  <c r="BJ169" i="103" s="1"/>
  <c r="DI168" i="103"/>
  <c r="DH168" i="103"/>
  <c r="AY168" i="103"/>
  <c r="DI167" i="103"/>
  <c r="DH167" i="103"/>
  <c r="AY167" i="103"/>
  <c r="DJ167" i="103" s="1"/>
  <c r="DI166" i="103"/>
  <c r="DH166" i="103"/>
  <c r="AY166" i="103"/>
  <c r="BM166" i="103" s="1"/>
  <c r="DI165" i="103"/>
  <c r="DH165" i="103"/>
  <c r="AY165" i="103"/>
  <c r="BJ165" i="103" s="1"/>
  <c r="DI164" i="103"/>
  <c r="DH164" i="103"/>
  <c r="AY164" i="103"/>
  <c r="BL164" i="103" s="1"/>
  <c r="DI163" i="103"/>
  <c r="DH163" i="103"/>
  <c r="AY163" i="103"/>
  <c r="DI162" i="103"/>
  <c r="DH162" i="103"/>
  <c r="AY162" i="103"/>
  <c r="BI162" i="103" s="1"/>
  <c r="DI161" i="103"/>
  <c r="DH161" i="103"/>
  <c r="AY161" i="103"/>
  <c r="BK161" i="103" s="1"/>
  <c r="DI160" i="103"/>
  <c r="DH160" i="103"/>
  <c r="AY160" i="103"/>
  <c r="DI159" i="103"/>
  <c r="DH159" i="103"/>
  <c r="DK159" i="103" s="1"/>
  <c r="DL159" i="103" s="1"/>
  <c r="BO159" i="103"/>
  <c r="BP159" i="103" s="1"/>
  <c r="AY159" i="103"/>
  <c r="DJ159" i="103" s="1"/>
  <c r="DI158" i="103"/>
  <c r="DH158" i="103"/>
  <c r="AY158" i="103"/>
  <c r="BM158" i="103" s="1"/>
  <c r="DI157" i="103"/>
  <c r="DH157" i="103"/>
  <c r="AY157" i="103"/>
  <c r="BH157" i="103" s="1"/>
  <c r="DI156" i="103"/>
  <c r="DH156" i="103"/>
  <c r="AY156" i="103"/>
  <c r="DI155" i="103"/>
  <c r="DH155" i="103"/>
  <c r="AY155" i="103"/>
  <c r="BM155" i="103" s="1"/>
  <c r="DI154" i="103"/>
  <c r="DH154" i="103"/>
  <c r="AY154" i="103"/>
  <c r="BJ154" i="103" s="1"/>
  <c r="DI153" i="103"/>
  <c r="DH153" i="103"/>
  <c r="DK153" i="103" s="1"/>
  <c r="DL153" i="103" s="1"/>
  <c r="AY153" i="103"/>
  <c r="BL153" i="103" s="1"/>
  <c r="DI152" i="103"/>
  <c r="DH152" i="103"/>
  <c r="AY152" i="103"/>
  <c r="BK152" i="103" s="1"/>
  <c r="DI151" i="103"/>
  <c r="DH151" i="103"/>
  <c r="AY151" i="103"/>
  <c r="DJ151" i="103" s="1"/>
  <c r="DI150" i="103"/>
  <c r="DH150" i="103"/>
  <c r="AY150" i="103"/>
  <c r="BJ150" i="103" s="1"/>
  <c r="DI149" i="103"/>
  <c r="DH149" i="103"/>
  <c r="AY149" i="103"/>
  <c r="BM149" i="103" s="1"/>
  <c r="DI148" i="103"/>
  <c r="DH148" i="103"/>
  <c r="AY148" i="103"/>
  <c r="DI147" i="103"/>
  <c r="DH147" i="103"/>
  <c r="AY147" i="103"/>
  <c r="BN147" i="103" s="1"/>
  <c r="DI146" i="103"/>
  <c r="DH146" i="103"/>
  <c r="AY146" i="103"/>
  <c r="BJ146" i="103" s="1"/>
  <c r="DI145" i="103"/>
  <c r="DH145" i="103"/>
  <c r="AY145" i="103"/>
  <c r="BK145" i="103" s="1"/>
  <c r="DI144" i="103"/>
  <c r="DH144" i="103"/>
  <c r="DK144" i="103" s="1"/>
  <c r="DL144" i="103" s="1"/>
  <c r="AY144" i="103"/>
  <c r="DI143" i="103"/>
  <c r="DH143" i="103"/>
  <c r="DK143" i="103" s="1"/>
  <c r="DL143" i="103" s="1"/>
  <c r="AY143" i="103"/>
  <c r="DI142" i="103"/>
  <c r="DH142" i="103"/>
  <c r="AY142" i="103"/>
  <c r="DI141" i="103"/>
  <c r="DH141" i="103"/>
  <c r="AY141" i="103"/>
  <c r="BH141" i="103" s="1"/>
  <c r="DI140" i="103"/>
  <c r="DH140" i="103"/>
  <c r="AY140" i="103"/>
  <c r="BN140" i="103" s="1"/>
  <c r="DI139" i="103"/>
  <c r="DH139" i="103"/>
  <c r="AY139" i="103"/>
  <c r="DJ139" i="103" s="1"/>
  <c r="DI138" i="103"/>
  <c r="DH138" i="103"/>
  <c r="AY138" i="103"/>
  <c r="BM138" i="103" s="1"/>
  <c r="DI137" i="103"/>
  <c r="DH137" i="103"/>
  <c r="DK137" i="103" s="1"/>
  <c r="DL137" i="103" s="1"/>
  <c r="AY137" i="103"/>
  <c r="BL137" i="103" s="1"/>
  <c r="DI136" i="103"/>
  <c r="DH136" i="103"/>
  <c r="AY136" i="103"/>
  <c r="BN136" i="103" s="1"/>
  <c r="DI135" i="103"/>
  <c r="DH135" i="103"/>
  <c r="AY135" i="103"/>
  <c r="BN135" i="103" s="1"/>
  <c r="DI134" i="103"/>
  <c r="DH134" i="103"/>
  <c r="AY134" i="103"/>
  <c r="DI133" i="103"/>
  <c r="DH133" i="103"/>
  <c r="AY133" i="103"/>
  <c r="DJ133" i="103" s="1"/>
  <c r="DL132" i="103"/>
  <c r="DI132" i="103"/>
  <c r="DH132" i="103"/>
  <c r="AY132" i="103"/>
  <c r="BM132" i="103" s="1"/>
  <c r="DI131" i="103"/>
  <c r="DH131" i="103"/>
  <c r="AY131" i="103"/>
  <c r="DJ131" i="103" s="1"/>
  <c r="DI130" i="103"/>
  <c r="DH130" i="103"/>
  <c r="AY130" i="103"/>
  <c r="DI129" i="103"/>
  <c r="DH129" i="103"/>
  <c r="AY129" i="103"/>
  <c r="DI128" i="103"/>
  <c r="DH128" i="103"/>
  <c r="AY128" i="103"/>
  <c r="BK128" i="103" s="1"/>
  <c r="DI127" i="103"/>
  <c r="DH127" i="103"/>
  <c r="AY127" i="103"/>
  <c r="DJ127" i="103" s="1"/>
  <c r="DI126" i="103"/>
  <c r="DH126" i="103"/>
  <c r="DK126" i="103" s="1"/>
  <c r="DL126" i="103" s="1"/>
  <c r="AY126" i="103"/>
  <c r="BH126" i="103" s="1"/>
  <c r="DI125" i="103"/>
  <c r="DH125" i="103"/>
  <c r="AY125" i="103"/>
  <c r="DI124" i="103"/>
  <c r="DH124" i="103"/>
  <c r="DK124" i="103" s="1"/>
  <c r="DL124" i="103" s="1"/>
  <c r="AY124" i="103"/>
  <c r="BJ124" i="103" s="1"/>
  <c r="DI123" i="103"/>
  <c r="DH123" i="103"/>
  <c r="AY123" i="103"/>
  <c r="BH123" i="103" s="1"/>
  <c r="DI122" i="103"/>
  <c r="DH122" i="103"/>
  <c r="AY122" i="103"/>
  <c r="DI121" i="103"/>
  <c r="DH121" i="103"/>
  <c r="DK121" i="103" s="1"/>
  <c r="DL121" i="103" s="1"/>
  <c r="AY121" i="103"/>
  <c r="DI120" i="103"/>
  <c r="DH120" i="103"/>
  <c r="AY120" i="103"/>
  <c r="BI120" i="103" s="1"/>
  <c r="DI119" i="103"/>
  <c r="DH119" i="103"/>
  <c r="AY119" i="103"/>
  <c r="DI118" i="103"/>
  <c r="DH118" i="103"/>
  <c r="DK118" i="103" s="1"/>
  <c r="DL118" i="103" s="1"/>
  <c r="AY118" i="103"/>
  <c r="DJ118" i="103" s="1"/>
  <c r="DI117" i="103"/>
  <c r="DH117" i="103"/>
  <c r="DK117" i="103" s="1"/>
  <c r="DL117" i="103" s="1"/>
  <c r="AY117" i="103"/>
  <c r="BL117" i="103" s="1"/>
  <c r="DI116" i="103"/>
  <c r="DH116" i="103"/>
  <c r="AY116" i="103"/>
  <c r="BL116" i="103" s="1"/>
  <c r="DI115" i="103"/>
  <c r="DH115" i="103"/>
  <c r="DK115" i="103" s="1"/>
  <c r="DL115" i="103" s="1"/>
  <c r="AY115" i="103"/>
  <c r="DJ115" i="103" s="1"/>
  <c r="DI114" i="103"/>
  <c r="DH114" i="103"/>
  <c r="AY114" i="103"/>
  <c r="DJ114" i="103" s="1"/>
  <c r="DI113" i="103"/>
  <c r="DH113" i="103"/>
  <c r="AY113" i="103"/>
  <c r="DI112" i="103"/>
  <c r="DH112" i="103"/>
  <c r="AY112" i="103"/>
  <c r="BM112" i="103" s="1"/>
  <c r="DI111" i="103"/>
  <c r="DH111" i="103"/>
  <c r="AY111" i="103"/>
  <c r="BL111" i="103" s="1"/>
  <c r="DI110" i="103"/>
  <c r="DH110" i="103"/>
  <c r="AY110" i="103"/>
  <c r="BI110" i="103" s="1"/>
  <c r="DI109" i="103"/>
  <c r="DH109" i="103"/>
  <c r="AY109" i="103"/>
  <c r="DI108" i="103"/>
  <c r="DH108" i="103"/>
  <c r="AY108" i="103"/>
  <c r="DJ108" i="103" s="1"/>
  <c r="DI107" i="103"/>
  <c r="DH107" i="103"/>
  <c r="AY107" i="103"/>
  <c r="BH107" i="103" s="1"/>
  <c r="DI106" i="103"/>
  <c r="DH106" i="103"/>
  <c r="AY106" i="103"/>
  <c r="BK106" i="103" s="1"/>
  <c r="DI105" i="103"/>
  <c r="DH105" i="103"/>
  <c r="AY105" i="103"/>
  <c r="BJ105" i="103" s="1"/>
  <c r="DI104" i="103"/>
  <c r="DH104" i="103"/>
  <c r="AY104" i="103"/>
  <c r="DI103" i="103"/>
  <c r="DH103" i="103"/>
  <c r="DK103" i="103" s="1"/>
  <c r="DL103" i="103" s="1"/>
  <c r="AY103" i="103"/>
  <c r="DI102" i="103"/>
  <c r="DH102" i="103"/>
  <c r="AY102" i="103"/>
  <c r="DI101" i="103"/>
  <c r="DH101" i="103"/>
  <c r="DK101" i="103" s="1"/>
  <c r="DL101" i="103" s="1"/>
  <c r="AY101" i="103"/>
  <c r="BJ101" i="103" s="1"/>
  <c r="DI100" i="103"/>
  <c r="DH100" i="103"/>
  <c r="AY100" i="103"/>
  <c r="DI99" i="103"/>
  <c r="DH99" i="103"/>
  <c r="AY99" i="103"/>
  <c r="DI98" i="103"/>
  <c r="DH98" i="103"/>
  <c r="AY98" i="103"/>
  <c r="BI98" i="103" s="1"/>
  <c r="DI97" i="103"/>
  <c r="DH97" i="103"/>
  <c r="AY97" i="103"/>
  <c r="DI96" i="103"/>
  <c r="DH96" i="103"/>
  <c r="AY96" i="103"/>
  <c r="DJ96" i="103" s="1"/>
  <c r="DI95" i="103"/>
  <c r="DH95" i="103"/>
  <c r="DK95" i="103" s="1"/>
  <c r="DL95" i="103" s="1"/>
  <c r="AY95" i="103"/>
  <c r="DI94" i="103"/>
  <c r="DH94" i="103"/>
  <c r="DK94" i="103" s="1"/>
  <c r="DL94" i="103" s="1"/>
  <c r="AY94" i="103"/>
  <c r="BI94" i="103" s="1"/>
  <c r="DI93" i="103"/>
  <c r="DH93" i="103"/>
  <c r="AY93" i="103"/>
  <c r="DI92" i="103"/>
  <c r="DH92" i="103"/>
  <c r="AY92" i="103"/>
  <c r="DI91" i="103"/>
  <c r="DH91" i="103"/>
  <c r="AY91" i="103"/>
  <c r="DI90" i="103"/>
  <c r="DH90" i="103"/>
  <c r="AY90" i="103"/>
  <c r="BK90" i="103" s="1"/>
  <c r="DI89" i="103"/>
  <c r="DH89" i="103"/>
  <c r="DK89" i="103" s="1"/>
  <c r="DL89" i="103" s="1"/>
  <c r="AY89" i="103"/>
  <c r="DI88" i="103"/>
  <c r="DH88" i="103"/>
  <c r="AY88" i="103"/>
  <c r="BI88" i="103" s="1"/>
  <c r="DI87" i="103"/>
  <c r="DH87" i="103"/>
  <c r="AY87" i="103"/>
  <c r="DI86" i="103"/>
  <c r="DH86" i="103"/>
  <c r="AY86" i="103"/>
  <c r="BJ86" i="103" s="1"/>
  <c r="DI85" i="103"/>
  <c r="DH85" i="103"/>
  <c r="AY85" i="103"/>
  <c r="BN85" i="103" s="1"/>
  <c r="DI84" i="103"/>
  <c r="DH84" i="103"/>
  <c r="AY84" i="103"/>
  <c r="DI83" i="103"/>
  <c r="DH83" i="103"/>
  <c r="AY83" i="103"/>
  <c r="DJ83" i="103" s="1"/>
  <c r="DI82" i="103"/>
  <c r="DH82" i="103"/>
  <c r="AY82" i="103"/>
  <c r="BN82" i="103" s="1"/>
  <c r="DI81" i="103"/>
  <c r="DH81" i="103"/>
  <c r="AY81" i="103"/>
  <c r="BL81" i="103" s="1"/>
  <c r="DI80" i="103"/>
  <c r="DH80" i="103"/>
  <c r="DK80" i="103" s="1"/>
  <c r="DL80" i="103" s="1"/>
  <c r="AY80" i="103"/>
  <c r="BN80" i="103" s="1"/>
  <c r="DI79" i="103"/>
  <c r="DH79" i="103"/>
  <c r="DK79" i="103" s="1"/>
  <c r="DL79" i="103" s="1"/>
  <c r="AY79" i="103"/>
  <c r="BK79" i="103" s="1"/>
  <c r="DI78" i="103"/>
  <c r="DH78" i="103"/>
  <c r="DK78" i="103" s="1"/>
  <c r="DL78" i="103" s="1"/>
  <c r="AY78" i="103"/>
  <c r="BI78" i="103" s="1"/>
  <c r="DI77" i="103"/>
  <c r="DH77" i="103"/>
  <c r="AY77" i="103"/>
  <c r="DJ77" i="103" s="1"/>
  <c r="DI76" i="103"/>
  <c r="DH76" i="103"/>
  <c r="AY76" i="103"/>
  <c r="DJ76" i="103" s="1"/>
  <c r="DI75" i="103"/>
  <c r="DH75" i="103"/>
  <c r="DK75" i="103" s="1"/>
  <c r="DL75" i="103" s="1"/>
  <c r="AY75" i="103"/>
  <c r="DI74" i="103"/>
  <c r="DH74" i="103"/>
  <c r="AY74" i="103"/>
  <c r="BM74" i="103" s="1"/>
  <c r="DI73" i="103"/>
  <c r="DH73" i="103"/>
  <c r="BO73" i="103"/>
  <c r="BP73" i="103" s="1"/>
  <c r="AY73" i="103"/>
  <c r="DJ73" i="103" s="1"/>
  <c r="DI72" i="103"/>
  <c r="DH72" i="103"/>
  <c r="AY72" i="103"/>
  <c r="DJ72" i="103" s="1"/>
  <c r="DI71" i="103"/>
  <c r="DH71" i="103"/>
  <c r="AY71" i="103"/>
  <c r="BH71" i="103" s="1"/>
  <c r="DI70" i="103"/>
  <c r="DH70" i="103"/>
  <c r="AY70" i="103"/>
  <c r="DI69" i="103"/>
  <c r="DH69" i="103"/>
  <c r="AY69" i="103"/>
  <c r="DI68" i="103"/>
  <c r="DH68" i="103"/>
  <c r="AY68" i="103"/>
  <c r="DJ68" i="103" s="1"/>
  <c r="DI67" i="103"/>
  <c r="DH67" i="103"/>
  <c r="DK67" i="103" s="1"/>
  <c r="DL67" i="103" s="1"/>
  <c r="AY67" i="103"/>
  <c r="DI66" i="103"/>
  <c r="DH66" i="103"/>
  <c r="AY66" i="103"/>
  <c r="DI65" i="103"/>
  <c r="DH65" i="103"/>
  <c r="AY65" i="103"/>
  <c r="BN65" i="103" s="1"/>
  <c r="DI64" i="103"/>
  <c r="DH64" i="103"/>
  <c r="AY64" i="103"/>
  <c r="BI64" i="103" s="1"/>
  <c r="DI63" i="103"/>
  <c r="DH63" i="103"/>
  <c r="AY63" i="103"/>
  <c r="DI62" i="103"/>
  <c r="DH62" i="103"/>
  <c r="AY62" i="103"/>
  <c r="DI61" i="103"/>
  <c r="DH61" i="103"/>
  <c r="AY61" i="103"/>
  <c r="BH61" i="103" s="1"/>
  <c r="DI60" i="103"/>
  <c r="DH60" i="103"/>
  <c r="AY60" i="103"/>
  <c r="DI59" i="103"/>
  <c r="DH59" i="103"/>
  <c r="DK59" i="103" s="1"/>
  <c r="DL59" i="103" s="1"/>
  <c r="AY59" i="103"/>
  <c r="BL59" i="103" s="1"/>
  <c r="DI58" i="103"/>
  <c r="DH58" i="103"/>
  <c r="DK58" i="103" s="1"/>
  <c r="DL58" i="103" s="1"/>
  <c r="AY58" i="103"/>
  <c r="BL58" i="103" s="1"/>
  <c r="DI57" i="103"/>
  <c r="DH57" i="103"/>
  <c r="DK57" i="103" s="1"/>
  <c r="DL57" i="103" s="1"/>
  <c r="AY57" i="103"/>
  <c r="BN57" i="103" s="1"/>
  <c r="DI56" i="103"/>
  <c r="DH56" i="103"/>
  <c r="DK56" i="103" s="1"/>
  <c r="DL56" i="103" s="1"/>
  <c r="AY56" i="103"/>
  <c r="DI55" i="103"/>
  <c r="DH55" i="103"/>
  <c r="DK55" i="103" s="1"/>
  <c r="DL55" i="103" s="1"/>
  <c r="AY55" i="103"/>
  <c r="BK55" i="103" s="1"/>
  <c r="DI54" i="103"/>
  <c r="DH54" i="103"/>
  <c r="DK54" i="103" s="1"/>
  <c r="DL54" i="103" s="1"/>
  <c r="AY54" i="103"/>
  <c r="BH54" i="103" s="1"/>
  <c r="DI53" i="103"/>
  <c r="DH53" i="103"/>
  <c r="DK53" i="103" s="1"/>
  <c r="DL53" i="103" s="1"/>
  <c r="AY53" i="103"/>
  <c r="DI52" i="103"/>
  <c r="DH52" i="103"/>
  <c r="DK52" i="103" s="1"/>
  <c r="DL52" i="103" s="1"/>
  <c r="AY52" i="103"/>
  <c r="DI51" i="103"/>
  <c r="DH51" i="103"/>
  <c r="DK51" i="103" s="1"/>
  <c r="DL51" i="103" s="1"/>
  <c r="AY51" i="103"/>
  <c r="BJ51" i="103" s="1"/>
  <c r="DI50" i="103"/>
  <c r="DH50" i="103"/>
  <c r="DK50" i="103" s="1"/>
  <c r="DL50" i="103" s="1"/>
  <c r="AY50" i="103"/>
  <c r="BL50" i="103" s="1"/>
  <c r="DI49" i="103"/>
  <c r="DH49" i="103"/>
  <c r="DK49" i="103" s="1"/>
  <c r="DL49" i="103" s="1"/>
  <c r="AY49" i="103"/>
  <c r="DI48" i="103"/>
  <c r="DH48" i="103"/>
  <c r="DK48" i="103" s="1"/>
  <c r="DL48" i="103" s="1"/>
  <c r="AY48" i="103"/>
  <c r="DI47" i="103"/>
  <c r="DH47" i="103"/>
  <c r="DK47" i="103" s="1"/>
  <c r="DL47" i="103" s="1"/>
  <c r="AY47" i="103"/>
  <c r="BK47" i="103" s="1"/>
  <c r="DI46" i="103"/>
  <c r="DH46" i="103"/>
  <c r="AY46" i="103"/>
  <c r="BH46" i="103" s="1"/>
  <c r="DI45" i="103"/>
  <c r="DH45" i="103"/>
  <c r="AY45" i="103"/>
  <c r="DJ45" i="103" s="1"/>
  <c r="DI44" i="103"/>
  <c r="DH44" i="103"/>
  <c r="AY44" i="103"/>
  <c r="BM44" i="103" s="1"/>
  <c r="DI43" i="103"/>
  <c r="DH43" i="103"/>
  <c r="AY43" i="103"/>
  <c r="DI42" i="103"/>
  <c r="DH42" i="103"/>
  <c r="DK42" i="103" s="1"/>
  <c r="DL42" i="103" s="1"/>
  <c r="AY42" i="103"/>
  <c r="DI41" i="103"/>
  <c r="DH41" i="103"/>
  <c r="AY41" i="103"/>
  <c r="BM41" i="103" s="1"/>
  <c r="DI40" i="103"/>
  <c r="DH40" i="103"/>
  <c r="AY40" i="103"/>
  <c r="BI40" i="103" s="1"/>
  <c r="DI39" i="103"/>
  <c r="DH39" i="103"/>
  <c r="DK39" i="103" s="1"/>
  <c r="DL39" i="103" s="1"/>
  <c r="AY39" i="103"/>
  <c r="BH39" i="103" s="1"/>
  <c r="DI38" i="103"/>
  <c r="DH38" i="103"/>
  <c r="AY38" i="103"/>
  <c r="DI37" i="103"/>
  <c r="DH37" i="103"/>
  <c r="AY37" i="103"/>
  <c r="DI36" i="103"/>
  <c r="DH36" i="103"/>
  <c r="AY36" i="103"/>
  <c r="DJ36" i="103" s="1"/>
  <c r="DI35" i="103"/>
  <c r="DH35" i="103"/>
  <c r="AY35" i="103"/>
  <c r="DJ35" i="103" s="1"/>
  <c r="DI34" i="103"/>
  <c r="DH34" i="103"/>
  <c r="AY34" i="103"/>
  <c r="DI33" i="103"/>
  <c r="DH33" i="103"/>
  <c r="AY33" i="103"/>
  <c r="BN33" i="103" s="1"/>
  <c r="DI32" i="103"/>
  <c r="DH32" i="103"/>
  <c r="AY32" i="103"/>
  <c r="DI31" i="103"/>
  <c r="DH31" i="103"/>
  <c r="DK31" i="103" s="1"/>
  <c r="DL31" i="103" s="1"/>
  <c r="AY31" i="103"/>
  <c r="BK31" i="103" s="1"/>
  <c r="DI30" i="103"/>
  <c r="DH30" i="103"/>
  <c r="AY30" i="103"/>
  <c r="BJ30" i="103" s="1"/>
  <c r="DI29" i="103"/>
  <c r="DH29" i="103"/>
  <c r="AY29" i="103"/>
  <c r="BL29" i="103" s="1"/>
  <c r="DI28" i="103"/>
  <c r="DH28" i="103"/>
  <c r="AY28" i="103"/>
  <c r="BL28" i="103" s="1"/>
  <c r="DI27" i="103"/>
  <c r="DH27" i="103"/>
  <c r="AY27" i="103"/>
  <c r="DI26" i="103"/>
  <c r="DH26" i="103"/>
  <c r="AY26" i="103"/>
  <c r="DI25" i="103"/>
  <c r="DH25" i="103"/>
  <c r="AY25" i="103"/>
  <c r="DI24" i="103"/>
  <c r="DH24" i="103"/>
  <c r="AY24" i="103"/>
  <c r="BH24" i="103" s="1"/>
  <c r="DI23" i="103"/>
  <c r="DH23" i="103"/>
  <c r="DK23" i="103" s="1"/>
  <c r="DL23" i="103" s="1"/>
  <c r="AY23" i="103"/>
  <c r="DJ23" i="103" s="1"/>
  <c r="DI22" i="103"/>
  <c r="DH22" i="103"/>
  <c r="DK22" i="103" s="1"/>
  <c r="DL22" i="103" s="1"/>
  <c r="AY22" i="103"/>
  <c r="BN22" i="103" s="1"/>
  <c r="DI21" i="103"/>
  <c r="DH21" i="103"/>
  <c r="DK21" i="103" s="1"/>
  <c r="DL21" i="103" s="1"/>
  <c r="CH21" i="103"/>
  <c r="CI21" i="103" s="1"/>
  <c r="AY21" i="103"/>
  <c r="BI21" i="103" s="1"/>
  <c r="DI20" i="103"/>
  <c r="DH20" i="103"/>
  <c r="DK20" i="103" s="1"/>
  <c r="DL20" i="103" s="1"/>
  <c r="CH20" i="103"/>
  <c r="CI20" i="103" s="1"/>
  <c r="AY20" i="103"/>
  <c r="BL20" i="103" s="1"/>
  <c r="DI19" i="103"/>
  <c r="DH19" i="103"/>
  <c r="DK19" i="103" s="1"/>
  <c r="DL19" i="103" s="1"/>
  <c r="CH19" i="103"/>
  <c r="AY19" i="103"/>
  <c r="BJ19" i="103" s="1"/>
  <c r="DI18" i="103"/>
  <c r="DH18" i="103"/>
  <c r="DK18" i="103" s="1"/>
  <c r="DL18" i="103" s="1"/>
  <c r="CH18" i="103"/>
  <c r="AY18" i="103"/>
  <c r="X18" i="103"/>
  <c r="DI17" i="103"/>
  <c r="DH17" i="103"/>
  <c r="DK17" i="103" s="1"/>
  <c r="DL17" i="103" s="1"/>
  <c r="CH17" i="103"/>
  <c r="CI17" i="103" s="1"/>
  <c r="AY17" i="103"/>
  <c r="BJ17" i="103" s="1"/>
  <c r="DI16" i="103"/>
  <c r="DH16" i="103"/>
  <c r="DK16" i="103" s="1"/>
  <c r="DL16" i="103" s="1"/>
  <c r="CK16" i="103"/>
  <c r="CH16" i="103"/>
  <c r="AY16" i="103"/>
  <c r="P16" i="103"/>
  <c r="DI15" i="103"/>
  <c r="DH15" i="103"/>
  <c r="DK15" i="103" s="1"/>
  <c r="DL15" i="103" s="1"/>
  <c r="CK15" i="103"/>
  <c r="CH15" i="103"/>
  <c r="AY15" i="103"/>
  <c r="BL15" i="103" s="1"/>
  <c r="AA15" i="103"/>
  <c r="Z15" i="103"/>
  <c r="Y15" i="103"/>
  <c r="DI14" i="103"/>
  <c r="DH14" i="103"/>
  <c r="DK14" i="103" s="1"/>
  <c r="DL14" i="103" s="1"/>
  <c r="CH14" i="103"/>
  <c r="AY14" i="103"/>
  <c r="BI14" i="103" s="1"/>
  <c r="AH14" i="103"/>
  <c r="DI13" i="103"/>
  <c r="DH13" i="103"/>
  <c r="CK13" i="103"/>
  <c r="CH13" i="103"/>
  <c r="CI13" i="103" s="1"/>
  <c r="AY13" i="103"/>
  <c r="AJ13" i="103"/>
  <c r="AH13" i="103"/>
  <c r="AA13" i="103"/>
  <c r="Z13" i="103"/>
  <c r="DI12" i="103"/>
  <c r="DH12" i="103"/>
  <c r="CH12" i="103"/>
  <c r="BO190" i="103" s="1"/>
  <c r="AY12" i="103"/>
  <c r="BM12" i="103" s="1"/>
  <c r="AJ12" i="103"/>
  <c r="AH12" i="103"/>
  <c r="AA12" i="103"/>
  <c r="Z12" i="103"/>
  <c r="Y12" i="103"/>
  <c r="DI11" i="103"/>
  <c r="DH11" i="103"/>
  <c r="CH11" i="103"/>
  <c r="BO11" i="103"/>
  <c r="BP11" i="103" s="1"/>
  <c r="AY11" i="103"/>
  <c r="DJ11" i="103" s="1"/>
  <c r="AJ11" i="103"/>
  <c r="AH11" i="103"/>
  <c r="AA11" i="103"/>
  <c r="Z11" i="103"/>
  <c r="Y11" i="103"/>
  <c r="DI10" i="103"/>
  <c r="DH10" i="103"/>
  <c r="CQ10" i="103"/>
  <c r="CK10" i="103"/>
  <c r="CH10" i="103"/>
  <c r="CG10" i="103"/>
  <c r="CB10" i="103"/>
  <c r="AY10" i="103"/>
  <c r="BJ10" i="103" s="1"/>
  <c r="AJ10" i="103"/>
  <c r="AH10" i="103"/>
  <c r="DI9" i="103"/>
  <c r="DH9" i="103"/>
  <c r="CQ9" i="103"/>
  <c r="CK9" i="103"/>
  <c r="CH9" i="103"/>
  <c r="CI9" i="103" s="1"/>
  <c r="AY9" i="103"/>
  <c r="BJ9" i="103" s="1"/>
  <c r="AJ9" i="103"/>
  <c r="AH9" i="103"/>
  <c r="DI8" i="103"/>
  <c r="DH8" i="103"/>
  <c r="CK8" i="103"/>
  <c r="CH8" i="103"/>
  <c r="CI8" i="103" s="1"/>
  <c r="AY8" i="103"/>
  <c r="BO8" i="103" s="1"/>
  <c r="AJ8" i="103"/>
  <c r="AH8" i="103"/>
  <c r="AA8" i="103"/>
  <c r="Z8" i="103"/>
  <c r="Y8" i="103"/>
  <c r="DI7" i="103"/>
  <c r="DH7" i="103"/>
  <c r="CQ7" i="103"/>
  <c r="CH7" i="103"/>
  <c r="AY7" i="103"/>
  <c r="BM7" i="103" s="1"/>
  <c r="AJ7" i="103"/>
  <c r="AA7" i="103"/>
  <c r="Z7" i="103"/>
  <c r="Y7" i="103"/>
  <c r="DI6" i="103"/>
  <c r="DH6" i="103"/>
  <c r="CK6" i="103"/>
  <c r="CH6" i="103"/>
  <c r="AY6" i="103"/>
  <c r="BI6" i="103" s="1"/>
  <c r="AJ6" i="103"/>
  <c r="AA6" i="103"/>
  <c r="Z6" i="103"/>
  <c r="Y6" i="103"/>
  <c r="DI5" i="103"/>
  <c r="DH5" i="103"/>
  <c r="CH5" i="103"/>
  <c r="AY5" i="103"/>
  <c r="AJ5" i="103"/>
  <c r="AH5" i="103"/>
  <c r="DI4" i="103"/>
  <c r="DH4" i="103"/>
  <c r="CQ4" i="103"/>
  <c r="CH4" i="103"/>
  <c r="CI4" i="103" s="1"/>
  <c r="AY4" i="103"/>
  <c r="BL4" i="103" s="1"/>
  <c r="AJ4" i="103"/>
  <c r="AH4" i="103"/>
  <c r="AA4" i="103"/>
  <c r="Z4" i="103"/>
  <c r="Y4" i="103"/>
  <c r="A4" i="103"/>
  <c r="A5" i="103" s="1"/>
  <c r="A6" i="103" s="1"/>
  <c r="A7" i="103" s="1"/>
  <c r="A8" i="103" s="1"/>
  <c r="A9" i="103" s="1"/>
  <c r="A10" i="103" s="1"/>
  <c r="A11" i="103" s="1"/>
  <c r="A12" i="103" s="1"/>
  <c r="A13" i="103" s="1"/>
  <c r="DI3" i="103"/>
  <c r="DH3" i="103"/>
  <c r="CK3" i="103"/>
  <c r="CH3" i="103"/>
  <c r="AY3" i="103"/>
  <c r="BJ3" i="103" s="1"/>
  <c r="AJ3" i="103"/>
  <c r="AH3" i="103"/>
  <c r="AA3" i="103"/>
  <c r="Z3" i="103"/>
  <c r="Y3" i="103"/>
  <c r="CH2" i="103"/>
  <c r="CG2" i="103"/>
  <c r="CF2" i="103"/>
  <c r="CE2" i="103"/>
  <c r="CD2" i="103"/>
  <c r="CC2" i="103"/>
  <c r="CB2" i="103"/>
  <c r="CA2" i="103"/>
  <c r="CV1" i="103"/>
  <c r="CU1" i="103"/>
  <c r="G250" i="102"/>
  <c r="E250" i="102" s="1"/>
  <c r="G249" i="102"/>
  <c r="E249" i="102" s="1"/>
  <c r="G248" i="102"/>
  <c r="E248" i="102" s="1"/>
  <c r="G247" i="102"/>
  <c r="E247" i="102" s="1"/>
  <c r="G246" i="102"/>
  <c r="E246" i="102" s="1"/>
  <c r="E231" i="102"/>
  <c r="E230" i="102"/>
  <c r="B215" i="102"/>
  <c r="C215" i="102" s="1"/>
  <c r="B213" i="102"/>
  <c r="C213" i="102" s="1"/>
  <c r="B212" i="102"/>
  <c r="C212" i="102" s="1"/>
  <c r="B211" i="102"/>
  <c r="C211" i="102" s="1"/>
  <c r="B210" i="102"/>
  <c r="C210" i="102" s="1"/>
  <c r="B195" i="102"/>
  <c r="C195" i="102" s="1"/>
  <c r="B194" i="102"/>
  <c r="C194" i="102" s="1"/>
  <c r="B193" i="102"/>
  <c r="B192" i="102"/>
  <c r="C192" i="102" s="1"/>
  <c r="B191" i="102"/>
  <c r="C191" i="102" s="1"/>
  <c r="B190" i="102"/>
  <c r="C190" i="102" s="1"/>
  <c r="B189" i="102"/>
  <c r="C189" i="102" s="1"/>
  <c r="B188" i="102"/>
  <c r="C188" i="102" s="1"/>
  <c r="B187" i="102"/>
  <c r="C187" i="102" s="1"/>
  <c r="B183" i="102"/>
  <c r="B182" i="102"/>
  <c r="D182" i="102" s="1"/>
  <c r="B181" i="102"/>
  <c r="B180" i="102"/>
  <c r="D180" i="102" s="1"/>
  <c r="B179" i="102"/>
  <c r="B178" i="102"/>
  <c r="D178" i="102" s="1"/>
  <c r="B177" i="102"/>
  <c r="B176" i="102"/>
  <c r="B175" i="102"/>
  <c r="B174" i="102"/>
  <c r="C174" i="102" s="1"/>
  <c r="B173" i="102"/>
  <c r="B172" i="102"/>
  <c r="C172" i="102" s="1"/>
  <c r="B171" i="102"/>
  <c r="D171" i="102" s="1"/>
  <c r="B170" i="102"/>
  <c r="D170" i="102" s="1"/>
  <c r="B169" i="102"/>
  <c r="B168" i="102"/>
  <c r="D168" i="102" s="1"/>
  <c r="B167" i="102"/>
  <c r="B166" i="102"/>
  <c r="D166" i="102" s="1"/>
  <c r="B165" i="102"/>
  <c r="B164" i="102"/>
  <c r="D164" i="102" s="1"/>
  <c r="B163" i="102"/>
  <c r="B162" i="102"/>
  <c r="C162" i="102" s="1"/>
  <c r="B161" i="102"/>
  <c r="B160" i="102"/>
  <c r="C160" i="102" s="1"/>
  <c r="B159" i="102"/>
  <c r="B158" i="102"/>
  <c r="C158" i="102" s="1"/>
  <c r="B157" i="102"/>
  <c r="B156" i="102"/>
  <c r="B155" i="102"/>
  <c r="B154" i="102"/>
  <c r="D154" i="102" s="1"/>
  <c r="B153" i="102"/>
  <c r="B152" i="102"/>
  <c r="D152" i="102" s="1"/>
  <c r="B151" i="102"/>
  <c r="B150" i="102"/>
  <c r="D150" i="102" s="1"/>
  <c r="B149" i="102"/>
  <c r="B148" i="102"/>
  <c r="C148" i="102" s="1"/>
  <c r="B147" i="102"/>
  <c r="B146" i="102"/>
  <c r="D146" i="102" s="1"/>
  <c r="B145" i="102"/>
  <c r="B144" i="102"/>
  <c r="D144" i="102" s="1"/>
  <c r="B143" i="102"/>
  <c r="B142" i="102"/>
  <c r="D142" i="102" s="1"/>
  <c r="B141" i="102"/>
  <c r="B140" i="102"/>
  <c r="C140" i="102" s="1"/>
  <c r="B139" i="102"/>
  <c r="B138" i="102"/>
  <c r="B137" i="102"/>
  <c r="D137" i="102" s="1"/>
  <c r="B136" i="102"/>
  <c r="B135" i="102"/>
  <c r="D135" i="102" s="1"/>
  <c r="B134" i="102"/>
  <c r="B133" i="102"/>
  <c r="D133" i="102" s="1"/>
  <c r="B132" i="102"/>
  <c r="B131" i="102"/>
  <c r="D131" i="102" s="1"/>
  <c r="B130" i="102"/>
  <c r="B129" i="102"/>
  <c r="D129" i="102" s="1"/>
  <c r="B128" i="102"/>
  <c r="B127" i="102"/>
  <c r="D127" i="102" s="1"/>
  <c r="B126" i="102"/>
  <c r="B125" i="102"/>
  <c r="D125" i="102" s="1"/>
  <c r="B124" i="102"/>
  <c r="B123" i="102"/>
  <c r="D123" i="102" s="1"/>
  <c r="B122" i="102"/>
  <c r="B121" i="102"/>
  <c r="C121" i="102" s="1"/>
  <c r="B120" i="102"/>
  <c r="B119" i="102"/>
  <c r="D119" i="102" s="1"/>
  <c r="B118" i="102"/>
  <c r="B117" i="102"/>
  <c r="D117" i="102" s="1"/>
  <c r="B116" i="102"/>
  <c r="B115" i="102"/>
  <c r="B114" i="102"/>
  <c r="C114" i="102" s="1"/>
  <c r="B113" i="102"/>
  <c r="B112" i="102"/>
  <c r="D112" i="102" s="1"/>
  <c r="B111" i="102"/>
  <c r="B110" i="102"/>
  <c r="D110" i="102" s="1"/>
  <c r="B109" i="102"/>
  <c r="D109" i="102" s="1"/>
  <c r="B108" i="102"/>
  <c r="B107" i="102"/>
  <c r="C107" i="102" s="1"/>
  <c r="B106" i="102"/>
  <c r="B105" i="102"/>
  <c r="C105" i="102" s="1"/>
  <c r="B104" i="102"/>
  <c r="B103" i="102"/>
  <c r="D103" i="102" s="1"/>
  <c r="B102" i="102"/>
  <c r="B101" i="102"/>
  <c r="D101" i="102" s="1"/>
  <c r="B100" i="102"/>
  <c r="B99" i="102"/>
  <c r="D99" i="102" s="1"/>
  <c r="B98" i="102"/>
  <c r="B97" i="102"/>
  <c r="D97" i="102" s="1"/>
  <c r="B96" i="102"/>
  <c r="B95" i="102"/>
  <c r="D95" i="102" s="1"/>
  <c r="B94" i="102"/>
  <c r="B93" i="102"/>
  <c r="C93" i="102" s="1"/>
  <c r="B92" i="102"/>
  <c r="B91" i="102"/>
  <c r="D91" i="102" s="1"/>
  <c r="B90" i="102"/>
  <c r="B89" i="102"/>
  <c r="D89" i="102" s="1"/>
  <c r="B88" i="102"/>
  <c r="B87" i="102"/>
  <c r="C87" i="102" s="1"/>
  <c r="B86" i="102"/>
  <c r="B85" i="102"/>
  <c r="C85" i="102" s="1"/>
  <c r="B84" i="102"/>
  <c r="B83" i="102"/>
  <c r="D83" i="102" s="1"/>
  <c r="B82" i="102"/>
  <c r="B81" i="102"/>
  <c r="D81" i="102" s="1"/>
  <c r="B80" i="102"/>
  <c r="B79" i="102"/>
  <c r="D79" i="102" s="1"/>
  <c r="D65" i="102"/>
  <c r="J65" i="102" s="1"/>
  <c r="G65" i="102" s="1"/>
  <c r="C65" i="102"/>
  <c r="A65" i="102"/>
  <c r="D64" i="102"/>
  <c r="J64" i="102" s="1"/>
  <c r="G64" i="102" s="1"/>
  <c r="C64" i="102"/>
  <c r="A64" i="102"/>
  <c r="J63" i="102"/>
  <c r="G63" i="102" s="1"/>
  <c r="A63" i="102"/>
  <c r="C62" i="102"/>
  <c r="J62" i="102" s="1"/>
  <c r="F62" i="102" s="1"/>
  <c r="A62" i="102"/>
  <c r="J61" i="102"/>
  <c r="G61" i="102" s="1"/>
  <c r="C61" i="102"/>
  <c r="A61" i="102"/>
  <c r="I38" i="102"/>
  <c r="D38" i="102" s="1"/>
  <c r="A38" i="102"/>
  <c r="I37" i="102"/>
  <c r="E37" i="102" s="1"/>
  <c r="A37" i="102"/>
  <c r="I36" i="102"/>
  <c r="F36" i="102" s="1"/>
  <c r="A36" i="102"/>
  <c r="I35" i="102"/>
  <c r="E35" i="102" s="1"/>
  <c r="A35" i="102"/>
  <c r="I34" i="102"/>
  <c r="D34" i="102" s="1"/>
  <c r="A34" i="102"/>
  <c r="I33" i="102"/>
  <c r="A33" i="102"/>
  <c r="I32" i="102"/>
  <c r="F32" i="102" s="1"/>
  <c r="A32" i="102"/>
  <c r="I31" i="102"/>
  <c r="A31" i="102"/>
  <c r="I30" i="102"/>
  <c r="F30" i="102" s="1"/>
  <c r="A30" i="102"/>
  <c r="D1" i="102"/>
  <c r="C1" i="101"/>
  <c r="H12" i="77"/>
  <c r="H58" i="77"/>
  <c r="H59" i="77"/>
  <c r="H60" i="77"/>
  <c r="H61" i="77"/>
  <c r="H62" i="77"/>
  <c r="H63" i="77"/>
  <c r="H64" i="77"/>
  <c r="H57" i="77"/>
  <c r="H56" i="77"/>
  <c r="H35" i="77"/>
  <c r="H36" i="77"/>
  <c r="H37" i="77"/>
  <c r="H38" i="77"/>
  <c r="H39" i="77"/>
  <c r="H40" i="77"/>
  <c r="H34" i="77"/>
  <c r="H14" i="77"/>
  <c r="H15" i="77"/>
  <c r="H16" i="77"/>
  <c r="H17" i="77"/>
  <c r="H18" i="77"/>
  <c r="H13" i="77"/>
  <c r="H33" i="77"/>
  <c r="H11" i="77"/>
  <c r="E56" i="85"/>
  <c r="W5" i="69"/>
  <c r="E63" i="102" l="1"/>
  <c r="F63" i="102"/>
  <c r="F34" i="102"/>
  <c r="BM249" i="103"/>
  <c r="BN249" i="103"/>
  <c r="F35" i="102"/>
  <c r="H72" i="77"/>
  <c r="D176" i="102"/>
  <c r="CK11" i="103"/>
  <c r="E21" i="104"/>
  <c r="G21" i="104" s="1"/>
  <c r="H21" i="104" s="1"/>
  <c r="Q12" i="104" s="1"/>
  <c r="E245" i="102"/>
  <c r="E22" i="104" s="1"/>
  <c r="G22" i="104" s="1"/>
  <c r="H22" i="104" s="1"/>
  <c r="N16" i="104" s="1"/>
  <c r="E38" i="102"/>
  <c r="E30" i="102"/>
  <c r="F38" i="102"/>
  <c r="BN247" i="103"/>
  <c r="CK12" i="103"/>
  <c r="M15" i="104"/>
  <c r="H48" i="77"/>
  <c r="BN6" i="103"/>
  <c r="BO162" i="103"/>
  <c r="BO176" i="103"/>
  <c r="H26" i="77"/>
  <c r="DJ140" i="103"/>
  <c r="BO50" i="103"/>
  <c r="DJ6" i="103"/>
  <c r="BL249" i="103"/>
  <c r="M32" i="107"/>
  <c r="D213" i="102" s="1"/>
  <c r="BJ114" i="103"/>
  <c r="DJ191" i="103"/>
  <c r="BJ249" i="103"/>
  <c r="H15" i="107"/>
  <c r="BK249" i="103"/>
  <c r="I11" i="107"/>
  <c r="I15" i="107" s="1"/>
  <c r="M15" i="107" s="1"/>
  <c r="D210" i="102" s="1"/>
  <c r="D87" i="102"/>
  <c r="E87" i="102" s="1"/>
  <c r="BM39" i="103"/>
  <c r="BN39" i="103"/>
  <c r="M37" i="107"/>
  <c r="D214" i="102" s="1"/>
  <c r="BH28" i="103"/>
  <c r="BM59" i="103"/>
  <c r="BN162" i="103"/>
  <c r="BJ6" i="103"/>
  <c r="BK6" i="103"/>
  <c r="M9" i="104"/>
  <c r="C101" i="102"/>
  <c r="E101" i="102" s="1"/>
  <c r="BL6" i="103"/>
  <c r="DJ105" i="103"/>
  <c r="BM131" i="103"/>
  <c r="BL247" i="103"/>
  <c r="H29" i="107"/>
  <c r="I26" i="107"/>
  <c r="I29" i="107" s="1"/>
  <c r="M29" i="107" s="1"/>
  <c r="D212" i="102" s="1"/>
  <c r="DJ262" i="103"/>
  <c r="BH6" i="103"/>
  <c r="CK17" i="103"/>
  <c r="BI28" i="103"/>
  <c r="BN59" i="103"/>
  <c r="BJ28" i="103"/>
  <c r="BL131" i="103"/>
  <c r="BK247" i="103"/>
  <c r="E61" i="102"/>
  <c r="BM6" i="103"/>
  <c r="DJ28" i="103"/>
  <c r="BM247" i="103"/>
  <c r="DJ26" i="103"/>
  <c r="BI26" i="103"/>
  <c r="BM160" i="103"/>
  <c r="BL160" i="103"/>
  <c r="C171" i="102"/>
  <c r="E171" i="102" s="1"/>
  <c r="BL121" i="103"/>
  <c r="BM121" i="103"/>
  <c r="BH26" i="103"/>
  <c r="E34" i="102"/>
  <c r="G34" i="102" s="1"/>
  <c r="BK23" i="103"/>
  <c r="BH80" i="103"/>
  <c r="BK132" i="103"/>
  <c r="BI167" i="103"/>
  <c r="BL178" i="103"/>
  <c r="BL23" i="103"/>
  <c r="BO56" i="103"/>
  <c r="BJ80" i="103"/>
  <c r="BL132" i="103"/>
  <c r="BM167" i="103"/>
  <c r="BM178" i="103"/>
  <c r="BM23" i="103"/>
  <c r="BJ39" i="103"/>
  <c r="BL80" i="103"/>
  <c r="BN132" i="103"/>
  <c r="BN167" i="103"/>
  <c r="D30" i="102"/>
  <c r="D93" i="102"/>
  <c r="E93" i="102" s="1"/>
  <c r="BL39" i="103"/>
  <c r="BM80" i="103"/>
  <c r="BJ247" i="103"/>
  <c r="N19" i="105"/>
  <c r="N29" i="105"/>
  <c r="N39" i="105"/>
  <c r="N49" i="105"/>
  <c r="N59" i="105"/>
  <c r="N69" i="105"/>
  <c r="N79" i="105"/>
  <c r="N89" i="105"/>
  <c r="N99" i="105"/>
  <c r="N109" i="105"/>
  <c r="N119" i="105"/>
  <c r="N129" i="105"/>
  <c r="N139" i="105"/>
  <c r="N149" i="105"/>
  <c r="N159" i="105"/>
  <c r="N169" i="105"/>
  <c r="N179" i="105"/>
  <c r="N189" i="105"/>
  <c r="N199" i="105"/>
  <c r="N209" i="105"/>
  <c r="N219" i="105"/>
  <c r="N229" i="105"/>
  <c r="N239" i="105"/>
  <c r="N249" i="105"/>
  <c r="N259" i="105"/>
  <c r="N269" i="105"/>
  <c r="N279" i="105"/>
  <c r="N289" i="105"/>
  <c r="N299" i="105"/>
  <c r="N309" i="105"/>
  <c r="N319" i="105"/>
  <c r="N329" i="105"/>
  <c r="N339" i="105"/>
  <c r="N349" i="105"/>
  <c r="N359" i="105"/>
  <c r="N369" i="105"/>
  <c r="N379" i="105"/>
  <c r="N389" i="105"/>
  <c r="N399" i="105"/>
  <c r="N409" i="105"/>
  <c r="N419" i="105"/>
  <c r="N429" i="105"/>
  <c r="N439" i="105"/>
  <c r="N449" i="105"/>
  <c r="N459" i="105"/>
  <c r="N469" i="105"/>
  <c r="N479" i="105"/>
  <c r="N489" i="105"/>
  <c r="N499" i="105"/>
  <c r="N509" i="105"/>
  <c r="N519" i="105"/>
  <c r="N529" i="105"/>
  <c r="N539" i="105"/>
  <c r="N549" i="105"/>
  <c r="N559" i="105"/>
  <c r="N569" i="105"/>
  <c r="N579" i="105"/>
  <c r="N589" i="105"/>
  <c r="N599" i="105"/>
  <c r="BN38" i="103"/>
  <c r="BO227" i="103"/>
  <c r="BI24" i="103"/>
  <c r="BK124" i="103"/>
  <c r="BL24" i="103"/>
  <c r="BM46" i="103"/>
  <c r="C97" i="102"/>
  <c r="E97" i="102" s="1"/>
  <c r="BM124" i="103"/>
  <c r="BM139" i="103"/>
  <c r="BK169" i="103"/>
  <c r="BO36" i="103"/>
  <c r="DJ46" i="103"/>
  <c r="BM82" i="103"/>
  <c r="BN237" i="103"/>
  <c r="BN60" i="103"/>
  <c r="BL214" i="103"/>
  <c r="BL255" i="103"/>
  <c r="BJ23" i="103"/>
  <c r="BN51" i="103"/>
  <c r="BO24" i="103"/>
  <c r="BK58" i="103"/>
  <c r="BL199" i="103"/>
  <c r="BN124" i="103"/>
  <c r="BN107" i="103"/>
  <c r="BL169" i="103"/>
  <c r="DJ124" i="103"/>
  <c r="BJ131" i="103"/>
  <c r="D160" i="102"/>
  <c r="E160" i="102" s="1"/>
  <c r="CI18" i="103"/>
  <c r="BI132" i="103"/>
  <c r="BN255" i="103"/>
  <c r="BM51" i="103"/>
  <c r="DJ132" i="103"/>
  <c r="BJ139" i="103"/>
  <c r="BK257" i="103"/>
  <c r="BL124" i="103"/>
  <c r="BK139" i="103"/>
  <c r="BL257" i="103"/>
  <c r="BO208" i="103"/>
  <c r="BN46" i="103"/>
  <c r="BN199" i="103"/>
  <c r="DJ20" i="103"/>
  <c r="BN277" i="103"/>
  <c r="DJ107" i="103"/>
  <c r="BK131" i="103"/>
  <c r="DJ146" i="103"/>
  <c r="DJ169" i="103"/>
  <c r="BI280" i="103"/>
  <c r="BI13" i="103"/>
  <c r="DJ13" i="103"/>
  <c r="BM236" i="103"/>
  <c r="BM280" i="103"/>
  <c r="BM13" i="103"/>
  <c r="BK158" i="103"/>
  <c r="BN13" i="103"/>
  <c r="BI16" i="103"/>
  <c r="BL16" i="103"/>
  <c r="BJ16" i="103"/>
  <c r="BN56" i="103"/>
  <c r="C154" i="102"/>
  <c r="E154" i="102" s="1"/>
  <c r="BH91" i="103"/>
  <c r="BM91" i="103"/>
  <c r="DJ91" i="103"/>
  <c r="BN91" i="103"/>
  <c r="BH214" i="103"/>
  <c r="BN214" i="103"/>
  <c r="BI91" i="103"/>
  <c r="BI192" i="103"/>
  <c r="BI214" i="103"/>
  <c r="BL219" i="103"/>
  <c r="D156" i="102"/>
  <c r="C156" i="102"/>
  <c r="BL86" i="103"/>
  <c r="BN86" i="103"/>
  <c r="BK91" i="103"/>
  <c r="BH104" i="103"/>
  <c r="BN104" i="103"/>
  <c r="BJ192" i="103"/>
  <c r="BJ214" i="103"/>
  <c r="BM219" i="103"/>
  <c r="BI86" i="103"/>
  <c r="BL192" i="103"/>
  <c r="BK214" i="103"/>
  <c r="BM122" i="103"/>
  <c r="BK122" i="103"/>
  <c r="DJ122" i="103"/>
  <c r="BN122" i="103"/>
  <c r="BL244" i="103"/>
  <c r="BM244" i="103"/>
  <c r="BN244" i="103"/>
  <c r="BI244" i="103"/>
  <c r="BJ122" i="103"/>
  <c r="DJ41" i="103"/>
  <c r="BN100" i="103"/>
  <c r="BH100" i="103"/>
  <c r="BM100" i="103"/>
  <c r="BL100" i="103"/>
  <c r="BJ100" i="103"/>
  <c r="BI100" i="103"/>
  <c r="BK178" i="103"/>
  <c r="DJ178" i="103"/>
  <c r="BK183" i="103"/>
  <c r="BL211" i="103"/>
  <c r="C81" i="102"/>
  <c r="E81" i="102" s="1"/>
  <c r="BN229" i="103"/>
  <c r="BO33" i="103"/>
  <c r="BL280" i="103"/>
  <c r="BL25" i="103"/>
  <c r="BM25" i="103"/>
  <c r="BN25" i="103"/>
  <c r="BH244" i="103"/>
  <c r="BN41" i="103"/>
  <c r="BI111" i="103"/>
  <c r="BM183" i="103"/>
  <c r="BI240" i="103"/>
  <c r="BK240" i="103"/>
  <c r="BN240" i="103"/>
  <c r="BM240" i="103"/>
  <c r="BL240" i="103"/>
  <c r="BM211" i="103"/>
  <c r="DJ211" i="103"/>
  <c r="BH122" i="103"/>
  <c r="BH211" i="103"/>
  <c r="CQ5" i="103"/>
  <c r="CQ3" i="103"/>
  <c r="BI117" i="103"/>
  <c r="BJ211" i="103"/>
  <c r="C110" i="102"/>
  <c r="E110" i="102" s="1"/>
  <c r="BM117" i="103"/>
  <c r="BJ183" i="103"/>
  <c r="BK211" i="103"/>
  <c r="BJ240" i="103"/>
  <c r="BI10" i="103"/>
  <c r="BI19" i="103"/>
  <c r="BI81" i="103"/>
  <c r="BH96" i="103"/>
  <c r="BI108" i="103"/>
  <c r="BJ164" i="103"/>
  <c r="BH203" i="103"/>
  <c r="BJ234" i="103"/>
  <c r="BM260" i="103"/>
  <c r="D114" i="102"/>
  <c r="E114" i="102" s="1"/>
  <c r="BO175" i="103"/>
  <c r="BK19" i="103"/>
  <c r="BM29" i="103"/>
  <c r="BO34" i="103"/>
  <c r="BI61" i="103"/>
  <c r="BK77" i="103"/>
  <c r="BL96" i="103"/>
  <c r="BJ108" i="103"/>
  <c r="BJ133" i="103"/>
  <c r="BM164" i="103"/>
  <c r="BJ203" i="103"/>
  <c r="BK234" i="103"/>
  <c r="BK237" i="103"/>
  <c r="BN260" i="103"/>
  <c r="BM3" i="103"/>
  <c r="BL19" i="103"/>
  <c r="BN29" i="103"/>
  <c r="BJ61" i="103"/>
  <c r="BM96" i="103"/>
  <c r="BL108" i="103"/>
  <c r="BL184" i="103"/>
  <c r="BK203" i="103"/>
  <c r="BI220" i="103"/>
  <c r="BL234" i="103"/>
  <c r="BL237" i="103"/>
  <c r="BH257" i="103"/>
  <c r="BH277" i="103"/>
  <c r="D35" i="102"/>
  <c r="G35" i="102" s="1"/>
  <c r="BN3" i="103"/>
  <c r="BM19" i="103"/>
  <c r="BH23" i="103"/>
  <c r="BI39" i="103"/>
  <c r="BO49" i="103"/>
  <c r="BK61" i="103"/>
  <c r="BN96" i="103"/>
  <c r="BK105" i="103"/>
  <c r="BM108" i="103"/>
  <c r="BI131" i="103"/>
  <c r="BM184" i="103"/>
  <c r="BK199" i="103"/>
  <c r="BL203" i="103"/>
  <c r="BN215" i="103"/>
  <c r="BK220" i="103"/>
  <c r="BM234" i="103"/>
  <c r="BM237" i="103"/>
  <c r="BJ257" i="103"/>
  <c r="BK277" i="103"/>
  <c r="BM61" i="103"/>
  <c r="BI231" i="103"/>
  <c r="BH191" i="103"/>
  <c r="DJ203" i="103"/>
  <c r="DJ220" i="103"/>
  <c r="BM272" i="103"/>
  <c r="BK30" i="103"/>
  <c r="BM17" i="103"/>
  <c r="BN23" i="103"/>
  <c r="BI36" i="103"/>
  <c r="BH106" i="103"/>
  <c r="BJ120" i="103"/>
  <c r="BI127" i="103"/>
  <c r="BN131" i="103"/>
  <c r="BK166" i="103"/>
  <c r="BK191" i="103"/>
  <c r="DJ199" i="103"/>
  <c r="BH213" i="103"/>
  <c r="N582" i="105"/>
  <c r="D148" i="102"/>
  <c r="E148" i="102" s="1"/>
  <c r="BH59" i="103"/>
  <c r="BJ106" i="103"/>
  <c r="BH235" i="103"/>
  <c r="BN7" i="103"/>
  <c r="BL36" i="103"/>
  <c r="BM55" i="103"/>
  <c r="BJ98" i="103"/>
  <c r="BJ157" i="103"/>
  <c r="BN166" i="103"/>
  <c r="BM191" i="103"/>
  <c r="BN210" i="103"/>
  <c r="BJ213" i="103"/>
  <c r="BI235" i="103"/>
  <c r="BL238" i="103"/>
  <c r="DJ257" i="103"/>
  <c r="BI262" i="103"/>
  <c r="BN19" i="103"/>
  <c r="C146" i="102"/>
  <c r="E146" i="102" s="1"/>
  <c r="BL272" i="103"/>
  <c r="C117" i="102"/>
  <c r="E117" i="102" s="1"/>
  <c r="BK231" i="103"/>
  <c r="BM257" i="103"/>
  <c r="C135" i="102"/>
  <c r="E135" i="102" s="1"/>
  <c r="BN123" i="103"/>
  <c r="BL231" i="103"/>
  <c r="C119" i="102"/>
  <c r="E119" i="102" s="1"/>
  <c r="BH7" i="103"/>
  <c r="BL55" i="103"/>
  <c r="BN127" i="103"/>
  <c r="BL191" i="103"/>
  <c r="BI213" i="103"/>
  <c r="C182" i="102"/>
  <c r="E182" i="102" s="1"/>
  <c r="BN9" i="103"/>
  <c r="BM36" i="103"/>
  <c r="DJ50" i="103"/>
  <c r="BN55" i="103"/>
  <c r="BJ59" i="103"/>
  <c r="BJ94" i="103"/>
  <c r="BL98" i="103"/>
  <c r="DJ101" i="103"/>
  <c r="BN106" i="103"/>
  <c r="BI146" i="103"/>
  <c r="BK157" i="103"/>
  <c r="BN191" i="103"/>
  <c r="BM235" i="103"/>
  <c r="BM238" i="103"/>
  <c r="BH247" i="103"/>
  <c r="DJ249" i="103"/>
  <c r="BJ255" i="103"/>
  <c r="C129" i="102"/>
  <c r="E129" i="102" s="1"/>
  <c r="BL61" i="103"/>
  <c r="BN108" i="103"/>
  <c r="BN234" i="103"/>
  <c r="BO148" i="103"/>
  <c r="BI123" i="103"/>
  <c r="BH194" i="103"/>
  <c r="BH17" i="103"/>
  <c r="BH30" i="103"/>
  <c r="BN61" i="103"/>
  <c r="BM123" i="103"/>
  <c r="BK50" i="103"/>
  <c r="BJ55" i="103"/>
  <c r="DJ234" i="103"/>
  <c r="BK9" i="103"/>
  <c r="DJ19" i="103"/>
  <c r="BK101" i="103"/>
  <c r="BH210" i="103"/>
  <c r="BM231" i="103"/>
  <c r="C91" i="102"/>
  <c r="E91" i="102" s="1"/>
  <c r="BL9" i="103"/>
  <c r="BK36" i="103"/>
  <c r="DJ61" i="103"/>
  <c r="BN231" i="103"/>
  <c r="BM9" i="103"/>
  <c r="DJ30" i="103"/>
  <c r="BI59" i="103"/>
  <c r="DJ123" i="103"/>
  <c r="BN94" i="103"/>
  <c r="BN98" i="103"/>
  <c r="BI121" i="103"/>
  <c r="BI124" i="103"/>
  <c r="BN146" i="103"/>
  <c r="DJ231" i="103"/>
  <c r="BN235" i="103"/>
  <c r="BI247" i="103"/>
  <c r="BK255" i="103"/>
  <c r="BN258" i="103"/>
  <c r="BN43" i="103"/>
  <c r="BM43" i="103"/>
  <c r="BL43" i="103"/>
  <c r="BI43" i="103"/>
  <c r="BJ43" i="103"/>
  <c r="BM67" i="103"/>
  <c r="BJ67" i="103"/>
  <c r="BN67" i="103"/>
  <c r="BK67" i="103"/>
  <c r="BI177" i="103"/>
  <c r="BM177" i="103"/>
  <c r="BK177" i="103"/>
  <c r="BH177" i="103"/>
  <c r="DJ177" i="103"/>
  <c r="BL185" i="103"/>
  <c r="BK185" i="103"/>
  <c r="C150" i="102"/>
  <c r="E150" i="102" s="1"/>
  <c r="BH145" i="103"/>
  <c r="BI168" i="103"/>
  <c r="BL168" i="103"/>
  <c r="BK168" i="103"/>
  <c r="BL14" i="103"/>
  <c r="BI185" i="103"/>
  <c r="BI209" i="103"/>
  <c r="BN209" i="103"/>
  <c r="BM209" i="103"/>
  <c r="DJ209" i="103"/>
  <c r="BN223" i="103"/>
  <c r="CI16" i="103"/>
  <c r="BK57" i="103"/>
  <c r="BJ197" i="103"/>
  <c r="D121" i="102"/>
  <c r="E121" i="102" s="1"/>
  <c r="D162" i="102"/>
  <c r="E162" i="102" s="1"/>
  <c r="DJ5" i="103"/>
  <c r="BL5" i="103"/>
  <c r="BJ60" i="103"/>
  <c r="BK76" i="103"/>
  <c r="BH118" i="103"/>
  <c r="BL141" i="103"/>
  <c r="BM145" i="103"/>
  <c r="BK153" i="103"/>
  <c r="BN168" i="103"/>
  <c r="BN185" i="103"/>
  <c r="BK197" i="103"/>
  <c r="DJ243" i="103"/>
  <c r="BJ250" i="103"/>
  <c r="DJ250" i="103"/>
  <c r="BN250" i="103"/>
  <c r="C79" i="102"/>
  <c r="E79" i="102" s="1"/>
  <c r="C112" i="102"/>
  <c r="E112" i="102" s="1"/>
  <c r="C133" i="102"/>
  <c r="E133" i="102" s="1"/>
  <c r="C152" i="102"/>
  <c r="E152" i="102" s="1"/>
  <c r="C170" i="102"/>
  <c r="E170" i="102" s="1"/>
  <c r="BH5" i="103"/>
  <c r="BJ21" i="103"/>
  <c r="BI27" i="103"/>
  <c r="BN27" i="103"/>
  <c r="BO27" i="103"/>
  <c r="BI34" i="103"/>
  <c r="BH44" i="103"/>
  <c r="BL47" i="103"/>
  <c r="BK60" i="103"/>
  <c r="BL76" i="103"/>
  <c r="BJ95" i="103"/>
  <c r="DJ95" i="103"/>
  <c r="DJ102" i="103"/>
  <c r="BL102" i="103"/>
  <c r="BJ102" i="103"/>
  <c r="BH102" i="103"/>
  <c r="BM102" i="103"/>
  <c r="BI102" i="103"/>
  <c r="BJ118" i="103"/>
  <c r="BH128" i="103"/>
  <c r="BI135" i="103"/>
  <c r="BH135" i="103"/>
  <c r="DJ135" i="103"/>
  <c r="BJ138" i="103"/>
  <c r="BM141" i="103"/>
  <c r="BN158" i="103"/>
  <c r="BL158" i="103"/>
  <c r="DJ158" i="103"/>
  <c r="BI161" i="103"/>
  <c r="BL197" i="103"/>
  <c r="BL209" i="103"/>
  <c r="BH224" i="103"/>
  <c r="BN224" i="103"/>
  <c r="BL224" i="103"/>
  <c r="BJ224" i="103"/>
  <c r="BM224" i="103"/>
  <c r="BK224" i="103"/>
  <c r="BK250" i="103"/>
  <c r="BI5" i="103"/>
  <c r="BO226" i="103"/>
  <c r="CI6" i="103"/>
  <c r="BL21" i="103"/>
  <c r="BL27" i="103"/>
  <c r="BJ34" i="103"/>
  <c r="BI44" i="103"/>
  <c r="BM47" i="103"/>
  <c r="DJ54" i="103"/>
  <c r="BM60" i="103"/>
  <c r="BM76" i="103"/>
  <c r="BK95" i="103"/>
  <c r="BL99" i="103"/>
  <c r="BM99" i="103"/>
  <c r="BI99" i="103"/>
  <c r="BN102" i="103"/>
  <c r="BH115" i="103"/>
  <c r="BN115" i="103"/>
  <c r="BM115" i="103"/>
  <c r="BK115" i="103"/>
  <c r="BI128" i="103"/>
  <c r="BK135" i="103"/>
  <c r="BK138" i="103"/>
  <c r="BH158" i="103"/>
  <c r="BM197" i="103"/>
  <c r="BN205" i="103"/>
  <c r="BI205" i="103"/>
  <c r="BI224" i="103"/>
  <c r="BL250" i="103"/>
  <c r="DJ265" i="103"/>
  <c r="BN265" i="103"/>
  <c r="BJ265" i="103"/>
  <c r="BH265" i="103"/>
  <c r="C103" i="102"/>
  <c r="E103" i="102" s="1"/>
  <c r="C123" i="102"/>
  <c r="E123" i="102" s="1"/>
  <c r="C142" i="102"/>
  <c r="E142" i="102" s="1"/>
  <c r="C164" i="102"/>
  <c r="E164" i="102" s="1"/>
  <c r="BJ5" i="103"/>
  <c r="BO10" i="103"/>
  <c r="BM10" i="103"/>
  <c r="BM27" i="103"/>
  <c r="BK34" i="103"/>
  <c r="DJ40" i="103"/>
  <c r="BK44" i="103"/>
  <c r="BN47" i="103"/>
  <c r="BO58" i="103"/>
  <c r="DJ58" i="103"/>
  <c r="BM84" i="103"/>
  <c r="BN84" i="103"/>
  <c r="BJ84" i="103"/>
  <c r="DJ84" i="103"/>
  <c r="BK84" i="103"/>
  <c r="BH84" i="103"/>
  <c r="BI115" i="103"/>
  <c r="BJ128" i="103"/>
  <c r="BL135" i="103"/>
  <c r="DJ145" i="103"/>
  <c r="BI158" i="103"/>
  <c r="BI166" i="103"/>
  <c r="BJ166" i="103"/>
  <c r="DJ166" i="103"/>
  <c r="DJ168" i="103"/>
  <c r="BN173" i="103"/>
  <c r="DJ185" i="103"/>
  <c r="BH201" i="103"/>
  <c r="BL201" i="103"/>
  <c r="BK205" i="103"/>
  <c r="BH255" i="103"/>
  <c r="BK265" i="103"/>
  <c r="BK5" i="103"/>
  <c r="BH10" i="103"/>
  <c r="BL41" i="103"/>
  <c r="BK41" i="103"/>
  <c r="BH41" i="103"/>
  <c r="BI41" i="103"/>
  <c r="BJ41" i="103"/>
  <c r="BL44" i="103"/>
  <c r="DJ55" i="103"/>
  <c r="BI55" i="103"/>
  <c r="BH55" i="103"/>
  <c r="BI58" i="103"/>
  <c r="BJ115" i="103"/>
  <c r="BL125" i="103"/>
  <c r="BM125" i="103"/>
  <c r="BI125" i="103"/>
  <c r="BM135" i="103"/>
  <c r="DJ141" i="103"/>
  <c r="BJ158" i="103"/>
  <c r="BH166" i="103"/>
  <c r="BJ186" i="103"/>
  <c r="BI186" i="103"/>
  <c r="BN186" i="103"/>
  <c r="BL186" i="103"/>
  <c r="BK186" i="103"/>
  <c r="BI201" i="103"/>
  <c r="BI255" i="103"/>
  <c r="BL265" i="103"/>
  <c r="BK274" i="103"/>
  <c r="BL134" i="103"/>
  <c r="DJ134" i="103"/>
  <c r="BH134" i="103"/>
  <c r="BN134" i="103"/>
  <c r="BM134" i="103"/>
  <c r="BJ134" i="103"/>
  <c r="BK134" i="103"/>
  <c r="D105" i="102"/>
  <c r="E105" i="102" s="1"/>
  <c r="BJ22" i="103"/>
  <c r="C131" i="102"/>
  <c r="E131" i="102" s="1"/>
  <c r="DJ67" i="103"/>
  <c r="BJ116" i="103"/>
  <c r="BI136" i="103"/>
  <c r="BJ155" i="103"/>
  <c r="BJ228" i="103"/>
  <c r="BH271" i="103"/>
  <c r="BM275" i="103"/>
  <c r="DJ278" i="103"/>
  <c r="BK209" i="103"/>
  <c r="C144" i="102"/>
  <c r="E144" i="102" s="1"/>
  <c r="BI228" i="103"/>
  <c r="C168" i="102"/>
  <c r="E168" i="102" s="1"/>
  <c r="BJ14" i="103"/>
  <c r="BH168" i="103"/>
  <c r="C89" i="102"/>
  <c r="E89" i="102" s="1"/>
  <c r="BI141" i="103"/>
  <c r="D140" i="102"/>
  <c r="E140" i="102" s="1"/>
  <c r="BM5" i="103"/>
  <c r="BH65" i="103"/>
  <c r="BN198" i="103"/>
  <c r="BL198" i="103"/>
  <c r="DJ198" i="103"/>
  <c r="C83" i="102"/>
  <c r="E83" i="102" s="1"/>
  <c r="BM31" i="103"/>
  <c r="BO31" i="103"/>
  <c r="BN31" i="103"/>
  <c r="BI74" i="103"/>
  <c r="DJ92" i="103"/>
  <c r="BN92" i="103"/>
  <c r="BI92" i="103"/>
  <c r="BH92" i="103"/>
  <c r="BH228" i="103"/>
  <c r="BM38" i="103"/>
  <c r="BJ85" i="103"/>
  <c r="BH112" i="103"/>
  <c r="BL179" i="103"/>
  <c r="BK179" i="103"/>
  <c r="BH179" i="103"/>
  <c r="BM179" i="103"/>
  <c r="BI179" i="103"/>
  <c r="C178" i="102"/>
  <c r="E178" i="102" s="1"/>
  <c r="BL22" i="103"/>
  <c r="BJ271" i="103"/>
  <c r="D85" i="102"/>
  <c r="E85" i="102" s="1"/>
  <c r="D107" i="102"/>
  <c r="E107" i="102" s="1"/>
  <c r="D158" i="102"/>
  <c r="E158" i="102" s="1"/>
  <c r="D174" i="102"/>
  <c r="E174" i="102" s="1"/>
  <c r="BM4" i="103"/>
  <c r="BO12" i="103"/>
  <c r="BJ20" i="103"/>
  <c r="DJ22" i="103"/>
  <c r="BN71" i="103"/>
  <c r="BM71" i="103"/>
  <c r="BL71" i="103"/>
  <c r="BJ71" i="103"/>
  <c r="BH82" i="103"/>
  <c r="BH127" i="103"/>
  <c r="BM127" i="103"/>
  <c r="BI152" i="103"/>
  <c r="DJ179" i="103"/>
  <c r="BK222" i="103"/>
  <c r="BL276" i="103"/>
  <c r="BK276" i="103"/>
  <c r="DJ276" i="103"/>
  <c r="E31" i="102"/>
  <c r="F31" i="102"/>
  <c r="C99" i="102"/>
  <c r="E99" i="102" s="1"/>
  <c r="BH197" i="103"/>
  <c r="BO76" i="103"/>
  <c r="BI76" i="103"/>
  <c r="BH76" i="103"/>
  <c r="BN76" i="103"/>
  <c r="BM185" i="103"/>
  <c r="BO128" i="103"/>
  <c r="BN128" i="103"/>
  <c r="DJ128" i="103"/>
  <c r="BL128" i="103"/>
  <c r="BM128" i="103"/>
  <c r="BI151" i="103"/>
  <c r="BJ151" i="103"/>
  <c r="BN151" i="103"/>
  <c r="BM151" i="103"/>
  <c r="BK151" i="103"/>
  <c r="DJ34" i="103"/>
  <c r="BH74" i="103"/>
  <c r="BK278" i="103"/>
  <c r="BH52" i="103"/>
  <c r="BM52" i="103"/>
  <c r="BK52" i="103"/>
  <c r="BI85" i="103"/>
  <c r="BH206" i="103"/>
  <c r="BN206" i="103"/>
  <c r="BM206" i="103"/>
  <c r="BI206" i="103"/>
  <c r="BL206" i="103"/>
  <c r="BK206" i="103"/>
  <c r="BJ206" i="103"/>
  <c r="BI225" i="103"/>
  <c r="BN225" i="103"/>
  <c r="BJ65" i="103"/>
  <c r="BI116" i="103"/>
  <c r="BN116" i="103"/>
  <c r="BL31" i="103"/>
  <c r="BO42" i="103"/>
  <c r="BK42" i="103"/>
  <c r="BI42" i="103"/>
  <c r="BN49" i="103"/>
  <c r="BM65" i="103"/>
  <c r="BM85" i="103"/>
  <c r="BM92" i="103"/>
  <c r="BI130" i="103"/>
  <c r="BJ130" i="103"/>
  <c r="BM279" i="103"/>
  <c r="BL279" i="103"/>
  <c r="BN279" i="103"/>
  <c r="BJ279" i="103"/>
  <c r="BI267" i="103"/>
  <c r="BH267" i="103"/>
  <c r="BH12" i="103"/>
  <c r="BL18" i="103"/>
  <c r="DJ18" i="103"/>
  <c r="BK20" i="103"/>
  <c r="DJ29" i="103"/>
  <c r="BI29" i="103"/>
  <c r="BH29" i="103"/>
  <c r="DJ52" i="103"/>
  <c r="BI82" i="103"/>
  <c r="BJ152" i="103"/>
  <c r="BH171" i="103"/>
  <c r="BL171" i="103"/>
  <c r="BJ180" i="103"/>
  <c r="BL180" i="103"/>
  <c r="DJ180" i="103"/>
  <c r="BK180" i="103"/>
  <c r="BN180" i="103"/>
  <c r="DJ218" i="103"/>
  <c r="BM218" i="103"/>
  <c r="BH218" i="103"/>
  <c r="BL218" i="103"/>
  <c r="BK218" i="103"/>
  <c r="BJ218" i="103"/>
  <c r="BL222" i="103"/>
  <c r="BK236" i="103"/>
  <c r="BJ236" i="103"/>
  <c r="BH236" i="103"/>
  <c r="DJ236" i="103"/>
  <c r="BM263" i="103"/>
  <c r="BL263" i="103"/>
  <c r="BK263" i="103"/>
  <c r="BI263" i="103"/>
  <c r="DJ263" i="103"/>
  <c r="BJ263" i="103"/>
  <c r="BN263" i="103"/>
  <c r="BH263" i="103"/>
  <c r="BL267" i="103"/>
  <c r="BH276" i="103"/>
  <c r="BH67" i="103"/>
  <c r="CI12" i="103"/>
  <c r="DJ47" i="103"/>
  <c r="BJ47" i="103"/>
  <c r="BI47" i="103"/>
  <c r="BJ149" i="103"/>
  <c r="BN177" i="103"/>
  <c r="BN226" i="103"/>
  <c r="BL149" i="103"/>
  <c r="CI14" i="103"/>
  <c r="BN216" i="103"/>
  <c r="BM216" i="103"/>
  <c r="BH85" i="103"/>
  <c r="DJ85" i="103"/>
  <c r="C125" i="102"/>
  <c r="E125" i="102" s="1"/>
  <c r="BI65" i="103"/>
  <c r="BL88" i="103"/>
  <c r="D172" i="102"/>
  <c r="E172" i="102" s="1"/>
  <c r="BN88" i="103"/>
  <c r="BI198" i="103"/>
  <c r="BJ225" i="103"/>
  <c r="C166" i="102"/>
  <c r="E166" i="102" s="1"/>
  <c r="BL65" i="103"/>
  <c r="BL92" i="103"/>
  <c r="BN52" i="103"/>
  <c r="BM198" i="103"/>
  <c r="BK228" i="103"/>
  <c r="BL252" i="103"/>
  <c r="BN252" i="103"/>
  <c r="BM252" i="103"/>
  <c r="C127" i="102"/>
  <c r="E127" i="102" s="1"/>
  <c r="DJ10" i="103"/>
  <c r="BI12" i="103"/>
  <c r="BM18" i="103"/>
  <c r="BJ29" i="103"/>
  <c r="DJ42" i="103"/>
  <c r="BO53" i="103"/>
  <c r="BK53" i="103"/>
  <c r="BL53" i="103"/>
  <c r="BI71" i="103"/>
  <c r="BJ82" i="103"/>
  <c r="DJ86" i="103"/>
  <c r="BM86" i="103"/>
  <c r="BM90" i="103"/>
  <c r="BJ90" i="103"/>
  <c r="DJ90" i="103"/>
  <c r="BJ113" i="103"/>
  <c r="BK113" i="103"/>
  <c r="DJ113" i="103"/>
  <c r="BJ127" i="103"/>
  <c r="BI171" i="103"/>
  <c r="BI180" i="103"/>
  <c r="BK208" i="103"/>
  <c r="BJ208" i="103"/>
  <c r="BH208" i="103"/>
  <c r="BI208" i="103"/>
  <c r="DJ225" i="103"/>
  <c r="DJ228" i="103"/>
  <c r="BI236" i="103"/>
  <c r="BJ239" i="103"/>
  <c r="BK239" i="103"/>
  <c r="BL256" i="103"/>
  <c r="BM267" i="103"/>
  <c r="BI276" i="103"/>
  <c r="BI145" i="103"/>
  <c r="BN145" i="103"/>
  <c r="BJ243" i="103"/>
  <c r="BN243" i="103"/>
  <c r="BK243" i="103"/>
  <c r="C180" i="102"/>
  <c r="E180" i="102" s="1"/>
  <c r="BH43" i="103"/>
  <c r="BK141" i="103"/>
  <c r="BN141" i="103"/>
  <c r="DJ153" i="103"/>
  <c r="BN153" i="103"/>
  <c r="BM153" i="103"/>
  <c r="BJ177" i="103"/>
  <c r="BH185" i="103"/>
  <c r="BH57" i="103"/>
  <c r="BI134" i="103"/>
  <c r="BH153" i="103"/>
  <c r="BH190" i="103"/>
  <c r="BJ190" i="103"/>
  <c r="BI197" i="103"/>
  <c r="C176" i="102"/>
  <c r="E176" i="102" s="1"/>
  <c r="BH47" i="103"/>
  <c r="BH60" i="103"/>
  <c r="DJ60" i="103"/>
  <c r="BJ76" i="103"/>
  <c r="BM118" i="103"/>
  <c r="BN118" i="103"/>
  <c r="BK118" i="103"/>
  <c r="BL145" i="103"/>
  <c r="BI153" i="103"/>
  <c r="BM168" i="103"/>
  <c r="BJ209" i="103"/>
  <c r="BJ161" i="103"/>
  <c r="BN161" i="103"/>
  <c r="BL161" i="103"/>
  <c r="DJ161" i="103"/>
  <c r="BI195" i="103"/>
  <c r="BN195" i="103"/>
  <c r="BK195" i="103"/>
  <c r="BJ195" i="103"/>
  <c r="DJ197" i="103"/>
  <c r="BN5" i="103"/>
  <c r="BJ88" i="103"/>
  <c r="BH151" i="103"/>
  <c r="BH195" i="103"/>
  <c r="BK216" i="103"/>
  <c r="BH248" i="103"/>
  <c r="DJ248" i="103"/>
  <c r="BN248" i="103"/>
  <c r="BJ248" i="103"/>
  <c r="BM248" i="103"/>
  <c r="BL248" i="103"/>
  <c r="BK248" i="103"/>
  <c r="BL35" i="103"/>
  <c r="BN35" i="103"/>
  <c r="BM35" i="103"/>
  <c r="DJ44" i="103"/>
  <c r="BJ112" i="103"/>
  <c r="BI112" i="103"/>
  <c r="BN126" i="103"/>
  <c r="BM126" i="103"/>
  <c r="BL126" i="103"/>
  <c r="BJ126" i="103"/>
  <c r="BI126" i="103"/>
  <c r="BM195" i="103"/>
  <c r="BH198" i="103"/>
  <c r="BL216" i="103"/>
  <c r="BL221" i="103"/>
  <c r="BM221" i="103"/>
  <c r="BH221" i="103"/>
  <c r="BK221" i="103"/>
  <c r="BJ221" i="103"/>
  <c r="BI221" i="103"/>
  <c r="BI275" i="103"/>
  <c r="BJ275" i="103"/>
  <c r="BH275" i="103"/>
  <c r="BN275" i="103"/>
  <c r="BM15" i="103"/>
  <c r="BH35" i="103"/>
  <c r="BI52" i="103"/>
  <c r="BJ74" i="103"/>
  <c r="BJ92" i="103"/>
  <c r="BH136" i="103"/>
  <c r="DJ136" i="103"/>
  <c r="BM271" i="103"/>
  <c r="BN271" i="103"/>
  <c r="BK271" i="103"/>
  <c r="BL271" i="103"/>
  <c r="C95" i="102"/>
  <c r="E95" i="102" s="1"/>
  <c r="C137" i="102"/>
  <c r="E137" i="102" s="1"/>
  <c r="BI35" i="103"/>
  <c r="BH45" i="103"/>
  <c r="BJ52" i="103"/>
  <c r="BL74" i="103"/>
  <c r="BK85" i="103"/>
  <c r="BL112" i="103"/>
  <c r="CI15" i="103"/>
  <c r="BI20" i="103"/>
  <c r="BM20" i="103"/>
  <c r="BN20" i="103"/>
  <c r="BJ35" i="103"/>
  <c r="BN74" i="103"/>
  <c r="BK136" i="103"/>
  <c r="BL152" i="103"/>
  <c r="DJ152" i="103"/>
  <c r="BN152" i="103"/>
  <c r="BM152" i="103"/>
  <c r="BL175" i="103"/>
  <c r="DJ195" i="103"/>
  <c r="DJ206" i="103"/>
  <c r="BL225" i="103"/>
  <c r="BK242" i="103"/>
  <c r="BN242" i="103"/>
  <c r="BM242" i="103"/>
  <c r="BJ242" i="103"/>
  <c r="BL242" i="103"/>
  <c r="BH20" i="103"/>
  <c r="BK35" i="103"/>
  <c r="BH42" i="103"/>
  <c r="BL89" i="103"/>
  <c r="BM89" i="103"/>
  <c r="BI89" i="103"/>
  <c r="BN112" i="103"/>
  <c r="BN130" i="103"/>
  <c r="BL136" i="103"/>
  <c r="BH152" i="103"/>
  <c r="BH188" i="103"/>
  <c r="BL188" i="103"/>
  <c r="BJ188" i="103"/>
  <c r="BJ196" i="103"/>
  <c r="DJ196" i="103"/>
  <c r="BN196" i="103"/>
  <c r="BK196" i="103"/>
  <c r="BL196" i="103"/>
  <c r="BM225" i="103"/>
  <c r="BM228" i="103"/>
  <c r="BH242" i="103"/>
  <c r="BH252" i="103"/>
  <c r="DJ255" i="103"/>
  <c r="BH279" i="103"/>
  <c r="D31" i="102"/>
  <c r="C109" i="102"/>
  <c r="E109" i="102" s="1"/>
  <c r="BJ12" i="103"/>
  <c r="BN26" i="103"/>
  <c r="BM26" i="103"/>
  <c r="BJ26" i="103"/>
  <c r="BK29" i="103"/>
  <c r="BI50" i="103"/>
  <c r="BH50" i="103"/>
  <c r="BJ53" i="103"/>
  <c r="BL82" i="103"/>
  <c r="BH86" i="103"/>
  <c r="BH90" i="103"/>
  <c r="BH124" i="103"/>
  <c r="BK127" i="103"/>
  <c r="BI157" i="103"/>
  <c r="DJ157" i="103"/>
  <c r="BM157" i="103"/>
  <c r="BN157" i="103"/>
  <c r="BJ171" i="103"/>
  <c r="BL236" i="103"/>
  <c r="BH239" i="103"/>
  <c r="DJ242" i="103"/>
  <c r="BN267" i="103"/>
  <c r="BM276" i="103"/>
  <c r="BI183" i="103"/>
  <c r="DJ183" i="103"/>
  <c r="BL241" i="103"/>
  <c r="BI241" i="103"/>
  <c r="BH241" i="103"/>
  <c r="DJ80" i="103"/>
  <c r="BI80" i="103"/>
  <c r="BM106" i="103"/>
  <c r="DJ106" i="103"/>
  <c r="BH131" i="103"/>
  <c r="BI139" i="103"/>
  <c r="BH139" i="103"/>
  <c r="BH183" i="103"/>
  <c r="BH220" i="103"/>
  <c r="BM241" i="103"/>
  <c r="BM258" i="103"/>
  <c r="N141" i="105"/>
  <c r="N151" i="105"/>
  <c r="N161" i="105"/>
  <c r="N171" i="105"/>
  <c r="N181" i="105"/>
  <c r="N191" i="105"/>
  <c r="N201" i="105"/>
  <c r="N211" i="105"/>
  <c r="N221" i="105"/>
  <c r="N231" i="105"/>
  <c r="N241" i="105"/>
  <c r="N251" i="105"/>
  <c r="N261" i="105"/>
  <c r="N271" i="105"/>
  <c r="N281" i="105"/>
  <c r="N291" i="105"/>
  <c r="N301" i="105"/>
  <c r="N311" i="105"/>
  <c r="N321" i="105"/>
  <c r="N331" i="105"/>
  <c r="N341" i="105"/>
  <c r="N351" i="105"/>
  <c r="N361" i="105"/>
  <c r="N371" i="105"/>
  <c r="N381" i="105"/>
  <c r="N391" i="105"/>
  <c r="N401" i="105"/>
  <c r="N411" i="105"/>
  <c r="N421" i="105"/>
  <c r="N431" i="105"/>
  <c r="N441" i="105"/>
  <c r="N451" i="105"/>
  <c r="N461" i="105"/>
  <c r="N471" i="105"/>
  <c r="N481" i="105"/>
  <c r="N491" i="105"/>
  <c r="N501" i="105"/>
  <c r="N511" i="105"/>
  <c r="N521" i="105"/>
  <c r="N531" i="105"/>
  <c r="N541" i="105"/>
  <c r="N551" i="105"/>
  <c r="N561" i="105"/>
  <c r="N571" i="105"/>
  <c r="N581" i="105"/>
  <c r="N591" i="105"/>
  <c r="N601" i="105"/>
  <c r="BH13" i="103"/>
  <c r="BH33" i="103"/>
  <c r="BH51" i="103"/>
  <c r="BI104" i="103"/>
  <c r="BI107" i="103"/>
  <c r="BJ110" i="103"/>
  <c r="BI140" i="103"/>
  <c r="DJ160" i="103"/>
  <c r="BN160" i="103"/>
  <c r="BI266" i="103"/>
  <c r="BL270" i="103"/>
  <c r="BM270" i="103"/>
  <c r="BO64" i="103"/>
  <c r="DJ184" i="103"/>
  <c r="BN184" i="103"/>
  <c r="BI215" i="103"/>
  <c r="DJ215" i="103"/>
  <c r="BI3" i="103"/>
  <c r="BJ13" i="103"/>
  <c r="BO17" i="103"/>
  <c r="BO273" i="103"/>
  <c r="BO23" i="103"/>
  <c r="BH25" i="103"/>
  <c r="BK33" i="103"/>
  <c r="BI46" i="103"/>
  <c r="BI51" i="103"/>
  <c r="BJ64" i="103"/>
  <c r="BJ78" i="103"/>
  <c r="BJ104" i="103"/>
  <c r="BJ107" i="103"/>
  <c r="BL110" i="103"/>
  <c r="BM140" i="103"/>
  <c r="BH160" i="103"/>
  <c r="BK167" i="103"/>
  <c r="BJ167" i="103"/>
  <c r="BH167" i="103"/>
  <c r="BI174" i="103"/>
  <c r="BH178" i="103"/>
  <c r="BI184" i="103"/>
  <c r="BK215" i="103"/>
  <c r="BM254" i="103"/>
  <c r="BL266" i="103"/>
  <c r="BH270" i="103"/>
  <c r="BL273" i="103"/>
  <c r="BM277" i="103"/>
  <c r="BL277" i="103"/>
  <c r="BJ277" i="103"/>
  <c r="BK3" i="103"/>
  <c r="BO38" i="103"/>
  <c r="BL33" i="103"/>
  <c r="BL104" i="103"/>
  <c r="BN110" i="103"/>
  <c r="BI160" i="103"/>
  <c r="BJ174" i="103"/>
  <c r="BI178" i="103"/>
  <c r="BJ184" i="103"/>
  <c r="BL215" i="103"/>
  <c r="BH237" i="103"/>
  <c r="BJ237" i="103"/>
  <c r="BI270" i="103"/>
  <c r="BO51" i="103"/>
  <c r="BL140" i="103"/>
  <c r="BK140" i="103"/>
  <c r="BJ140" i="103"/>
  <c r="BH140" i="103"/>
  <c r="BK13" i="103"/>
  <c r="BJ25" i="103"/>
  <c r="BJ46" i="103"/>
  <c r="BM64" i="103"/>
  <c r="BL78" i="103"/>
  <c r="BK107" i="103"/>
  <c r="BL3" i="103"/>
  <c r="BK7" i="103"/>
  <c r="BI9" i="103"/>
  <c r="BL13" i="103"/>
  <c r="BI17" i="103"/>
  <c r="BI23" i="103"/>
  <c r="BI30" i="103"/>
  <c r="BK46" i="103"/>
  <c r="BL51" i="103"/>
  <c r="BN78" i="103"/>
  <c r="BJ91" i="103"/>
  <c r="BL94" i="103"/>
  <c r="BM104" i="103"/>
  <c r="BM107" i="103"/>
  <c r="BM114" i="103"/>
  <c r="BN114" i="103"/>
  <c r="BK114" i="103"/>
  <c r="BH114" i="103"/>
  <c r="BH132" i="103"/>
  <c r="BK160" i="103"/>
  <c r="BL167" i="103"/>
  <c r="BL174" i="103"/>
  <c r="BJ178" i="103"/>
  <c r="BK184" i="103"/>
  <c r="BI199" i="103"/>
  <c r="BI203" i="103"/>
  <c r="BM215" i="103"/>
  <c r="BJ231" i="103"/>
  <c r="BI237" i="103"/>
  <c r="BK270" i="103"/>
  <c r="BI277" i="103"/>
  <c r="DJ214" i="103"/>
  <c r="N609" i="105"/>
  <c r="N619" i="105"/>
  <c r="N629" i="105"/>
  <c r="N639" i="105"/>
  <c r="N649" i="105"/>
  <c r="DJ240" i="103"/>
  <c r="N613" i="105"/>
  <c r="N623" i="105"/>
  <c r="N633" i="105"/>
  <c r="N643" i="105"/>
  <c r="BM81" i="103"/>
  <c r="BI96" i="103"/>
  <c r="BM111" i="103"/>
  <c r="BL120" i="103"/>
  <c r="BJ123" i="103"/>
  <c r="BK146" i="103"/>
  <c r="BJ96" i="103"/>
  <c r="BH108" i="103"/>
  <c r="BN120" i="103"/>
  <c r="BK123" i="103"/>
  <c r="BL146" i="103"/>
  <c r="N15" i="105"/>
  <c r="N25" i="105"/>
  <c r="N35" i="105"/>
  <c r="N45" i="105"/>
  <c r="N55" i="105"/>
  <c r="N65" i="105"/>
  <c r="N75" i="105"/>
  <c r="N85" i="105"/>
  <c r="N95" i="105"/>
  <c r="N105" i="105"/>
  <c r="N115" i="105"/>
  <c r="N125" i="105"/>
  <c r="N135" i="105"/>
  <c r="N145" i="105"/>
  <c r="N155" i="105"/>
  <c r="N165" i="105"/>
  <c r="N175" i="105"/>
  <c r="N185" i="105"/>
  <c r="N195" i="105"/>
  <c r="N205" i="105"/>
  <c r="N215" i="105"/>
  <c r="N225" i="105"/>
  <c r="N235" i="105"/>
  <c r="N245" i="105"/>
  <c r="N255" i="105"/>
  <c r="N265" i="105"/>
  <c r="N275" i="105"/>
  <c r="N285" i="105"/>
  <c r="N295" i="105"/>
  <c r="N305" i="105"/>
  <c r="N315" i="105"/>
  <c r="N325" i="105"/>
  <c r="N335" i="105"/>
  <c r="N345" i="105"/>
  <c r="N355" i="105"/>
  <c r="N365" i="105"/>
  <c r="N375" i="105"/>
  <c r="N385" i="105"/>
  <c r="N395" i="105"/>
  <c r="N405" i="105"/>
  <c r="N415" i="105"/>
  <c r="N425" i="105"/>
  <c r="N435" i="105"/>
  <c r="N445" i="105"/>
  <c r="N455" i="105"/>
  <c r="N465" i="105"/>
  <c r="N475" i="105"/>
  <c r="N485" i="105"/>
  <c r="N495" i="105"/>
  <c r="N505" i="105"/>
  <c r="N515" i="105"/>
  <c r="N525" i="105"/>
  <c r="N535" i="105"/>
  <c r="N545" i="105"/>
  <c r="N555" i="105"/>
  <c r="N565" i="105"/>
  <c r="N575" i="105"/>
  <c r="N585" i="105"/>
  <c r="N595" i="105"/>
  <c r="N398" i="105"/>
  <c r="N324" i="105"/>
  <c r="N180" i="105"/>
  <c r="N404" i="105"/>
  <c r="N388" i="105"/>
  <c r="N28" i="105"/>
  <c r="N308" i="105"/>
  <c r="N172" i="105"/>
  <c r="N412" i="105"/>
  <c r="N228" i="105"/>
  <c r="N140" i="105"/>
  <c r="N84" i="105"/>
  <c r="N300" i="105"/>
  <c r="N196" i="105"/>
  <c r="N236" i="105"/>
  <c r="N524" i="105"/>
  <c r="N428" i="105"/>
  <c r="N516" i="105"/>
  <c r="N604" i="105"/>
  <c r="N252" i="105"/>
  <c r="N332" i="105"/>
  <c r="N420" i="105"/>
  <c r="N446" i="105"/>
  <c r="N508" i="105"/>
  <c r="N596" i="105"/>
  <c r="N500" i="105"/>
  <c r="N588" i="105"/>
  <c r="N580" i="105"/>
  <c r="N652" i="105"/>
  <c r="N372" i="105"/>
  <c r="N460" i="105"/>
  <c r="N636" i="105"/>
  <c r="N174" i="105"/>
  <c r="N100" i="105"/>
  <c r="N268" i="105"/>
  <c r="N444" i="105"/>
  <c r="N260" i="105"/>
  <c r="N76" i="105"/>
  <c r="N254" i="105"/>
  <c r="N422" i="105"/>
  <c r="N572" i="105"/>
  <c r="N60" i="105"/>
  <c r="N468" i="105"/>
  <c r="N548" i="105"/>
  <c r="N390" i="105"/>
  <c r="N14" i="105"/>
  <c r="N220" i="105"/>
  <c r="N156" i="105"/>
  <c r="N348" i="105"/>
  <c r="N436" i="105"/>
  <c r="N244" i="105"/>
  <c r="N132" i="105"/>
  <c r="N188" i="105"/>
  <c r="N484" i="105"/>
  <c r="N564" i="105"/>
  <c r="N164" i="105"/>
  <c r="N452" i="105"/>
  <c r="N532" i="105"/>
  <c r="N550" i="105"/>
  <c r="N620" i="105"/>
  <c r="N44" i="105"/>
  <c r="N92" i="105"/>
  <c r="N148" i="105"/>
  <c r="N316" i="105"/>
  <c r="N12" i="105"/>
  <c r="N68" i="105"/>
  <c r="N124" i="105"/>
  <c r="N116" i="105"/>
  <c r="N292" i="105"/>
  <c r="N284" i="105"/>
  <c r="N364" i="105"/>
  <c r="N540" i="105"/>
  <c r="N108" i="105"/>
  <c r="N276" i="105"/>
  <c r="N558" i="105"/>
  <c r="N628" i="105"/>
  <c r="N356" i="105"/>
  <c r="N212" i="105"/>
  <c r="N612" i="105"/>
  <c r="N204" i="105"/>
  <c r="N340" i="105"/>
  <c r="N94" i="105"/>
  <c r="N396" i="105"/>
  <c r="N492" i="105"/>
  <c r="N380" i="105"/>
  <c r="N476" i="105"/>
  <c r="N556" i="105"/>
  <c r="N638" i="105"/>
  <c r="N86" i="105"/>
  <c r="N150" i="105"/>
  <c r="N294" i="105"/>
  <c r="N454" i="105"/>
  <c r="N614" i="105"/>
  <c r="N166" i="105"/>
  <c r="N382" i="105"/>
  <c r="N542" i="105"/>
  <c r="N534" i="105"/>
  <c r="N238" i="105"/>
  <c r="N518" i="105"/>
  <c r="N230" i="105"/>
  <c r="N62" i="105"/>
  <c r="N222" i="105"/>
  <c r="N334" i="105"/>
  <c r="N486" i="105"/>
  <c r="N630" i="105"/>
  <c r="N214" i="105"/>
  <c r="N478" i="105"/>
  <c r="N470" i="105"/>
  <c r="N622" i="105"/>
  <c r="N206" i="105"/>
  <c r="N462" i="105"/>
  <c r="N38" i="105"/>
  <c r="N118" i="105"/>
  <c r="N198" i="105"/>
  <c r="N286" i="105"/>
  <c r="N606" i="105"/>
  <c r="N246" i="105"/>
  <c r="N374" i="105"/>
  <c r="N646" i="105"/>
  <c r="N78" i="105"/>
  <c r="N158" i="105"/>
  <c r="N366" i="105"/>
  <c r="N526" i="105"/>
  <c r="N70" i="105"/>
  <c r="N350" i="105"/>
  <c r="N510" i="105"/>
  <c r="N342" i="105"/>
  <c r="N502" i="105"/>
  <c r="N142" i="105"/>
  <c r="N494" i="105"/>
  <c r="N326" i="105"/>
  <c r="N54" i="105"/>
  <c r="N134" i="105"/>
  <c r="N318" i="105"/>
  <c r="N310" i="105"/>
  <c r="N46" i="105"/>
  <c r="N126" i="105"/>
  <c r="N278" i="105"/>
  <c r="N438" i="105"/>
  <c r="N598" i="105"/>
  <c r="N30" i="105"/>
  <c r="N110" i="105"/>
  <c r="N190" i="105"/>
  <c r="N270" i="105"/>
  <c r="N430" i="105"/>
  <c r="N590" i="105"/>
  <c r="N358" i="105"/>
  <c r="N302" i="105"/>
  <c r="N102" i="105"/>
  <c r="N182" i="105"/>
  <c r="N262" i="105"/>
  <c r="N414" i="105"/>
  <c r="N574" i="105"/>
  <c r="N406" i="105"/>
  <c r="N566" i="105"/>
  <c r="N648" i="105"/>
  <c r="N16" i="105"/>
  <c r="N24" i="105"/>
  <c r="N32" i="105"/>
  <c r="N40" i="105"/>
  <c r="N48" i="105"/>
  <c r="N56" i="105"/>
  <c r="N64" i="105"/>
  <c r="N72" i="105"/>
  <c r="N80" i="105"/>
  <c r="N88" i="105"/>
  <c r="N96" i="105"/>
  <c r="N104" i="105"/>
  <c r="N112" i="105"/>
  <c r="N120" i="105"/>
  <c r="N128" i="105"/>
  <c r="N136" i="105"/>
  <c r="N144" i="105"/>
  <c r="N152" i="105"/>
  <c r="N160" i="105"/>
  <c r="N168" i="105"/>
  <c r="N176" i="105"/>
  <c r="N184" i="105"/>
  <c r="N192" i="105"/>
  <c r="N200" i="105"/>
  <c r="N208" i="105"/>
  <c r="N216" i="105"/>
  <c r="N224" i="105"/>
  <c r="N232" i="105"/>
  <c r="N240" i="105"/>
  <c r="N248" i="105"/>
  <c r="N256" i="105"/>
  <c r="N264" i="105"/>
  <c r="N272" i="105"/>
  <c r="N280" i="105"/>
  <c r="N288" i="105"/>
  <c r="N296" i="105"/>
  <c r="N304" i="105"/>
  <c r="N312" i="105"/>
  <c r="N320" i="105"/>
  <c r="N328" i="105"/>
  <c r="N336" i="105"/>
  <c r="N344" i="105"/>
  <c r="N352" i="105"/>
  <c r="N360" i="105"/>
  <c r="N368" i="105"/>
  <c r="N376" i="105"/>
  <c r="N384" i="105"/>
  <c r="N392" i="105"/>
  <c r="N400" i="105"/>
  <c r="N408" i="105"/>
  <c r="N416" i="105"/>
  <c r="N424" i="105"/>
  <c r="N432" i="105"/>
  <c r="N440" i="105"/>
  <c r="N448" i="105"/>
  <c r="N456" i="105"/>
  <c r="N464" i="105"/>
  <c r="N472" i="105"/>
  <c r="N480" i="105"/>
  <c r="N488" i="105"/>
  <c r="N496" i="105"/>
  <c r="N504" i="105"/>
  <c r="N512" i="105"/>
  <c r="N520" i="105"/>
  <c r="N528" i="105"/>
  <c r="N536" i="105"/>
  <c r="N544" i="105"/>
  <c r="N552" i="105"/>
  <c r="N560" i="105"/>
  <c r="N568" i="105"/>
  <c r="N576" i="105"/>
  <c r="N584" i="105"/>
  <c r="N592" i="105"/>
  <c r="N600" i="105"/>
  <c r="N608" i="105"/>
  <c r="N616" i="105"/>
  <c r="N624" i="105"/>
  <c r="N632" i="105"/>
  <c r="N640" i="105"/>
  <c r="N644" i="105"/>
  <c r="N653" i="105"/>
  <c r="M40" i="107"/>
  <c r="D215" i="102" s="1"/>
  <c r="N645" i="105"/>
  <c r="N654" i="105"/>
  <c r="BI63" i="103"/>
  <c r="BH63" i="103"/>
  <c r="BM63" i="103"/>
  <c r="DJ63" i="103"/>
  <c r="BK63" i="103"/>
  <c r="BO63" i="103"/>
  <c r="BN63" i="103"/>
  <c r="BL63" i="103"/>
  <c r="BJ63" i="103"/>
  <c r="D80" i="102"/>
  <c r="C80" i="102"/>
  <c r="D96" i="102"/>
  <c r="C96" i="102"/>
  <c r="D111" i="102"/>
  <c r="C111" i="102"/>
  <c r="D177" i="102"/>
  <c r="C177" i="102"/>
  <c r="D86" i="102"/>
  <c r="C86" i="102"/>
  <c r="D161" i="102"/>
  <c r="C161" i="102"/>
  <c r="D126" i="102"/>
  <c r="C126" i="102"/>
  <c r="D139" i="102"/>
  <c r="C139" i="102"/>
  <c r="D155" i="102"/>
  <c r="C155" i="102"/>
  <c r="D167" i="102"/>
  <c r="C167" i="102"/>
  <c r="G62" i="102"/>
  <c r="G60" i="102" s="1"/>
  <c r="E62" i="102"/>
  <c r="E65" i="102"/>
  <c r="D90" i="102"/>
  <c r="C90" i="102"/>
  <c r="D106" i="102"/>
  <c r="C106" i="102"/>
  <c r="D120" i="102"/>
  <c r="C120" i="102"/>
  <c r="D136" i="102"/>
  <c r="C136" i="102"/>
  <c r="D149" i="102"/>
  <c r="C149" i="102"/>
  <c r="D183" i="102"/>
  <c r="C183" i="102"/>
  <c r="BJ66" i="103"/>
  <c r="BI66" i="103"/>
  <c r="BN66" i="103"/>
  <c r="BL66" i="103"/>
  <c r="BO66" i="103"/>
  <c r="BM66" i="103"/>
  <c r="BK66" i="103"/>
  <c r="BH66" i="103"/>
  <c r="D159" i="102"/>
  <c r="C159" i="102"/>
  <c r="D143" i="102"/>
  <c r="C143" i="102"/>
  <c r="E64" i="102"/>
  <c r="D94" i="102"/>
  <c r="C94" i="102"/>
  <c r="D124" i="102"/>
  <c r="C124" i="102"/>
  <c r="D153" i="102"/>
  <c r="C153" i="102"/>
  <c r="BJ75" i="103"/>
  <c r="BI75" i="103"/>
  <c r="BH75" i="103"/>
  <c r="BN75" i="103"/>
  <c r="BM75" i="103"/>
  <c r="BL75" i="103"/>
  <c r="DJ75" i="103"/>
  <c r="BO75" i="103"/>
  <c r="BK75" i="103"/>
  <c r="BH163" i="103"/>
  <c r="BN163" i="103"/>
  <c r="BM163" i="103"/>
  <c r="DJ163" i="103"/>
  <c r="BK163" i="103"/>
  <c r="BO163" i="103"/>
  <c r="BL163" i="103"/>
  <c r="BJ163" i="103"/>
  <c r="BI163" i="103"/>
  <c r="F33" i="102"/>
  <c r="D33" i="102"/>
  <c r="D116" i="102"/>
  <c r="C116" i="102"/>
  <c r="BN97" i="103"/>
  <c r="BM97" i="103"/>
  <c r="BL97" i="103"/>
  <c r="DJ97" i="103"/>
  <c r="BK97" i="103"/>
  <c r="BJ97" i="103"/>
  <c r="BI97" i="103"/>
  <c r="BH97" i="103"/>
  <c r="BO97" i="103"/>
  <c r="D130" i="102"/>
  <c r="C130" i="102"/>
  <c r="E32" i="102"/>
  <c r="D32" i="102"/>
  <c r="F64" i="102"/>
  <c r="D88" i="102"/>
  <c r="C88" i="102"/>
  <c r="D104" i="102"/>
  <c r="C104" i="102"/>
  <c r="D118" i="102"/>
  <c r="C118" i="102"/>
  <c r="D134" i="102"/>
  <c r="C134" i="102"/>
  <c r="D147" i="102"/>
  <c r="C147" i="102"/>
  <c r="D163" i="102"/>
  <c r="C163" i="102"/>
  <c r="D173" i="102"/>
  <c r="C173" i="102"/>
  <c r="D181" i="102"/>
  <c r="C181" i="102"/>
  <c r="BI37" i="103"/>
  <c r="BM37" i="103"/>
  <c r="BO37" i="103"/>
  <c r="BN37" i="103"/>
  <c r="BL37" i="103"/>
  <c r="BJ37" i="103"/>
  <c r="BK37" i="103"/>
  <c r="DJ37" i="103"/>
  <c r="BH37" i="103"/>
  <c r="BN62" i="103"/>
  <c r="BM62" i="103"/>
  <c r="BJ62" i="103"/>
  <c r="BH62" i="103"/>
  <c r="DJ62" i="103"/>
  <c r="BO62" i="103"/>
  <c r="BL62" i="103"/>
  <c r="BK62" i="103"/>
  <c r="BI62" i="103"/>
  <c r="DJ66" i="103"/>
  <c r="D132" i="102"/>
  <c r="C132" i="102"/>
  <c r="F37" i="102"/>
  <c r="D37" i="102"/>
  <c r="F65" i="102"/>
  <c r="E36" i="102"/>
  <c r="D36" i="102"/>
  <c r="D98" i="102"/>
  <c r="C98" i="102"/>
  <c r="D157" i="102"/>
  <c r="C157" i="102"/>
  <c r="D169" i="102"/>
  <c r="C169" i="102"/>
  <c r="BN32" i="103"/>
  <c r="BO32" i="103"/>
  <c r="BM32" i="103"/>
  <c r="BL32" i="103"/>
  <c r="BK32" i="103"/>
  <c r="DJ32" i="103"/>
  <c r="BJ32" i="103"/>
  <c r="BI32" i="103"/>
  <c r="BH32" i="103"/>
  <c r="D102" i="102"/>
  <c r="C102" i="102"/>
  <c r="D145" i="102"/>
  <c r="C145" i="102"/>
  <c r="D179" i="102"/>
  <c r="C179" i="102"/>
  <c r="D84" i="102"/>
  <c r="C84" i="102"/>
  <c r="D100" i="102"/>
  <c r="C100" i="102"/>
  <c r="D115" i="102"/>
  <c r="C115" i="102"/>
  <c r="D82" i="102"/>
  <c r="C82" i="102"/>
  <c r="D113" i="102"/>
  <c r="C113" i="102"/>
  <c r="D128" i="102"/>
  <c r="C128" i="102"/>
  <c r="D141" i="102"/>
  <c r="C141" i="102"/>
  <c r="E33" i="102"/>
  <c r="D92" i="102"/>
  <c r="C92" i="102"/>
  <c r="D108" i="102"/>
  <c r="C108" i="102"/>
  <c r="D122" i="102"/>
  <c r="C122" i="102"/>
  <c r="D138" i="102"/>
  <c r="C138" i="102"/>
  <c r="D151" i="102"/>
  <c r="C151" i="102"/>
  <c r="D165" i="102"/>
  <c r="C165" i="102"/>
  <c r="D175" i="102"/>
  <c r="C175" i="102"/>
  <c r="BO274" i="103"/>
  <c r="BO193" i="103"/>
  <c r="BO189" i="103"/>
  <c r="BO182" i="103"/>
  <c r="BO136" i="103"/>
  <c r="CI5" i="103"/>
  <c r="DJ8" i="103"/>
  <c r="BN8" i="103"/>
  <c r="BM8" i="103"/>
  <c r="BL8" i="103"/>
  <c r="BK8" i="103"/>
  <c r="BJ8" i="103"/>
  <c r="BI8" i="103"/>
  <c r="BH8" i="103"/>
  <c r="BN4" i="103"/>
  <c r="BO7" i="103"/>
  <c r="DJ7" i="103"/>
  <c r="BI218" i="103"/>
  <c r="BI169" i="103"/>
  <c r="BK14" i="103"/>
  <c r="BN15" i="103"/>
  <c r="DJ15" i="103"/>
  <c r="BK16" i="103"/>
  <c r="BO272" i="103"/>
  <c r="BO239" i="103"/>
  <c r="BN18" i="103"/>
  <c r="BK21" i="103"/>
  <c r="BK22" i="103"/>
  <c r="BO35" i="103"/>
  <c r="BH40" i="103"/>
  <c r="BL40" i="103"/>
  <c r="BM45" i="103"/>
  <c r="BL45" i="103"/>
  <c r="BI45" i="103"/>
  <c r="BJ54" i="103"/>
  <c r="BI54" i="103"/>
  <c r="BN54" i="103"/>
  <c r="BO71" i="103"/>
  <c r="BJ79" i="103"/>
  <c r="BI79" i="103"/>
  <c r="BH79" i="103"/>
  <c r="BN79" i="103"/>
  <c r="BM79" i="103"/>
  <c r="BL79" i="103"/>
  <c r="BO82" i="103"/>
  <c r="BN103" i="103"/>
  <c r="BM103" i="103"/>
  <c r="BL103" i="103"/>
  <c r="DJ103" i="103"/>
  <c r="BK103" i="103"/>
  <c r="BJ103" i="103"/>
  <c r="BI103" i="103"/>
  <c r="BH103" i="103"/>
  <c r="BO147" i="103"/>
  <c r="BO165" i="103"/>
  <c r="BM181" i="103"/>
  <c r="BL181" i="103"/>
  <c r="DJ181" i="103"/>
  <c r="BK181" i="103"/>
  <c r="BJ181" i="103"/>
  <c r="BH181" i="103"/>
  <c r="BO181" i="103"/>
  <c r="BN181" i="103"/>
  <c r="BI181" i="103"/>
  <c r="BO15" i="103"/>
  <c r="BO18" i="103"/>
  <c r="BL48" i="103"/>
  <c r="DJ48" i="103"/>
  <c r="BK48" i="103"/>
  <c r="BH48" i="103"/>
  <c r="BL70" i="103"/>
  <c r="DJ70" i="103"/>
  <c r="BK70" i="103"/>
  <c r="BH70" i="103"/>
  <c r="BN70" i="103"/>
  <c r="BO103" i="103"/>
  <c r="BN119" i="103"/>
  <c r="BM119" i="103"/>
  <c r="BL119" i="103"/>
  <c r="DJ119" i="103"/>
  <c r="BK119" i="103"/>
  <c r="BJ119" i="103"/>
  <c r="BI119" i="103"/>
  <c r="BH119" i="103"/>
  <c r="BO135" i="103"/>
  <c r="BO138" i="103"/>
  <c r="BN144" i="103"/>
  <c r="BL144" i="103"/>
  <c r="DJ144" i="103"/>
  <c r="BK144" i="103"/>
  <c r="BI144" i="103"/>
  <c r="BO144" i="103"/>
  <c r="BM144" i="103"/>
  <c r="BJ144" i="103"/>
  <c r="BH144" i="103"/>
  <c r="BN156" i="103"/>
  <c r="BL156" i="103"/>
  <c r="DJ156" i="103"/>
  <c r="BK156" i="103"/>
  <c r="BI156" i="103"/>
  <c r="BO156" i="103"/>
  <c r="BM156" i="103"/>
  <c r="BJ156" i="103"/>
  <c r="BH156" i="103"/>
  <c r="BO4" i="103"/>
  <c r="F61" i="102"/>
  <c r="BO3" i="103"/>
  <c r="DJ3" i="103"/>
  <c r="BH4" i="103"/>
  <c r="BI7" i="103"/>
  <c r="BO222" i="103"/>
  <c r="BO149" i="103"/>
  <c r="BO219" i="103"/>
  <c r="BO194" i="103"/>
  <c r="BO9" i="103"/>
  <c r="DJ9" i="103"/>
  <c r="BK10" i="103"/>
  <c r="BK12" i="103"/>
  <c r="BM14" i="103"/>
  <c r="BH15" i="103"/>
  <c r="BM16" i="103"/>
  <c r="BK17" i="103"/>
  <c r="BH18" i="103"/>
  <c r="BO19" i="103"/>
  <c r="BM21" i="103"/>
  <c r="DJ21" i="103"/>
  <c r="BM22" i="103"/>
  <c r="BJ24" i="103"/>
  <c r="DJ24" i="103"/>
  <c r="BO25" i="103"/>
  <c r="BK26" i="103"/>
  <c r="BK28" i="103"/>
  <c r="BO29" i="103"/>
  <c r="BL30" i="103"/>
  <c r="BM34" i="103"/>
  <c r="BL38" i="103"/>
  <c r="BH38" i="103"/>
  <c r="BJ40" i="103"/>
  <c r="BO41" i="103"/>
  <c r="BL42" i="103"/>
  <c r="BJ45" i="103"/>
  <c r="BI48" i="103"/>
  <c r="BM49" i="103"/>
  <c r="BL49" i="103"/>
  <c r="BI49" i="103"/>
  <c r="BN53" i="103"/>
  <c r="BK54" i="103"/>
  <c r="BL56" i="103"/>
  <c r="DJ56" i="103"/>
  <c r="BK56" i="103"/>
  <c r="BH56" i="103"/>
  <c r="BN68" i="103"/>
  <c r="BM68" i="103"/>
  <c r="BJ68" i="103"/>
  <c r="BH68" i="103"/>
  <c r="BI69" i="103"/>
  <c r="BH69" i="103"/>
  <c r="BM69" i="103"/>
  <c r="DJ69" i="103"/>
  <c r="BK69" i="103"/>
  <c r="BI70" i="103"/>
  <c r="BJ72" i="103"/>
  <c r="BI72" i="103"/>
  <c r="BH72" i="103"/>
  <c r="BN72" i="103"/>
  <c r="BL72" i="103"/>
  <c r="BO79" i="103"/>
  <c r="BJ83" i="103"/>
  <c r="BI83" i="103"/>
  <c r="BH83" i="103"/>
  <c r="BN83" i="103"/>
  <c r="BM83" i="103"/>
  <c r="BL83" i="103"/>
  <c r="BN87" i="103"/>
  <c r="BM87" i="103"/>
  <c r="BL87" i="103"/>
  <c r="DJ87" i="103"/>
  <c r="BK87" i="103"/>
  <c r="BJ87" i="103"/>
  <c r="BI87" i="103"/>
  <c r="BH87" i="103"/>
  <c r="BO119" i="103"/>
  <c r="BO124" i="103"/>
  <c r="BN129" i="103"/>
  <c r="BM129" i="103"/>
  <c r="BL129" i="103"/>
  <c r="DJ129" i="103"/>
  <c r="BK129" i="103"/>
  <c r="BJ129" i="103"/>
  <c r="BI129" i="103"/>
  <c r="BH129" i="103"/>
  <c r="DJ172" i="103"/>
  <c r="BK172" i="103"/>
  <c r="BJ172" i="103"/>
  <c r="BI172" i="103"/>
  <c r="BH172" i="103"/>
  <c r="BN172" i="103"/>
  <c r="BO172" i="103"/>
  <c r="BM172" i="103"/>
  <c r="BL172" i="103"/>
  <c r="BO191" i="103"/>
  <c r="BM200" i="103"/>
  <c r="BL200" i="103"/>
  <c r="DJ200" i="103"/>
  <c r="BK200" i="103"/>
  <c r="BJ200" i="103"/>
  <c r="BH200" i="103"/>
  <c r="BO200" i="103"/>
  <c r="BN200" i="103"/>
  <c r="BI200" i="103"/>
  <c r="BO230" i="103"/>
  <c r="DJ4" i="103"/>
  <c r="BN218" i="103"/>
  <c r="BN139" i="103"/>
  <c r="BH3" i="103"/>
  <c r="BI4" i="103"/>
  <c r="BO6" i="103"/>
  <c r="BJ7" i="103"/>
  <c r="CI7" i="103"/>
  <c r="BH9" i="103"/>
  <c r="BL10" i="103"/>
  <c r="CI10" i="103"/>
  <c r="CI11" i="103"/>
  <c r="BL12" i="103"/>
  <c r="BO13" i="103"/>
  <c r="BN14" i="103"/>
  <c r="DJ14" i="103"/>
  <c r="BI15" i="103"/>
  <c r="BN16" i="103"/>
  <c r="DJ16" i="103"/>
  <c r="BL17" i="103"/>
  <c r="BI18" i="103"/>
  <c r="BO260" i="103"/>
  <c r="BO266" i="103"/>
  <c r="BO258" i="103"/>
  <c r="BO251" i="103"/>
  <c r="BO246" i="103"/>
  <c r="BH19" i="103"/>
  <c r="BO20" i="103"/>
  <c r="BN21" i="103"/>
  <c r="BO22" i="103"/>
  <c r="BK24" i="103"/>
  <c r="DJ25" i="103"/>
  <c r="BK25" i="103"/>
  <c r="BL26" i="103"/>
  <c r="BH27" i="103"/>
  <c r="BM28" i="103"/>
  <c r="BM30" i="103"/>
  <c r="BH31" i="103"/>
  <c r="BM33" i="103"/>
  <c r="BI33" i="103"/>
  <c r="BN34" i="103"/>
  <c r="BI38" i="103"/>
  <c r="DJ38" i="103"/>
  <c r="BK40" i="103"/>
  <c r="BM42" i="103"/>
  <c r="BO43" i="103"/>
  <c r="BO44" i="103"/>
  <c r="BK45" i="103"/>
  <c r="BO47" i="103"/>
  <c r="BJ48" i="103"/>
  <c r="BH49" i="103"/>
  <c r="DJ49" i="103"/>
  <c r="BL54" i="103"/>
  <c r="BI56" i="103"/>
  <c r="BM57" i="103"/>
  <c r="BL57" i="103"/>
  <c r="BI57" i="103"/>
  <c r="BO57" i="103"/>
  <c r="DJ57" i="103"/>
  <c r="BI60" i="103"/>
  <c r="BO61" i="103"/>
  <c r="BI68" i="103"/>
  <c r="BJ69" i="103"/>
  <c r="BJ70" i="103"/>
  <c r="BK72" i="103"/>
  <c r="BN77" i="103"/>
  <c r="BM77" i="103"/>
  <c r="BL77" i="103"/>
  <c r="BJ77" i="103"/>
  <c r="BI77" i="103"/>
  <c r="BH77" i="103"/>
  <c r="BK83" i="103"/>
  <c r="BO87" i="103"/>
  <c r="BO126" i="103"/>
  <c r="BO129" i="103"/>
  <c r="BO133" i="103"/>
  <c r="BJ142" i="103"/>
  <c r="BH142" i="103"/>
  <c r="BO142" i="103"/>
  <c r="BM142" i="103"/>
  <c r="DJ142" i="103"/>
  <c r="BN142" i="103"/>
  <c r="BL142" i="103"/>
  <c r="BK142" i="103"/>
  <c r="BI142" i="103"/>
  <c r="BJ4" i="103"/>
  <c r="BO14" i="103"/>
  <c r="BJ15" i="103"/>
  <c r="BO16" i="103"/>
  <c r="BJ18" i="103"/>
  <c r="BO21" i="103"/>
  <c r="BJ27" i="103"/>
  <c r="BN28" i="103"/>
  <c r="BN30" i="103"/>
  <c r="BI31" i="103"/>
  <c r="BN36" i="103"/>
  <c r="BJ36" i="103"/>
  <c r="BJ38" i="103"/>
  <c r="BO39" i="103"/>
  <c r="BM40" i="103"/>
  <c r="BN45" i="103"/>
  <c r="BM48" i="103"/>
  <c r="BJ49" i="103"/>
  <c r="BM54" i="103"/>
  <c r="BO55" i="103"/>
  <c r="BJ56" i="103"/>
  <c r="BK68" i="103"/>
  <c r="BL69" i="103"/>
  <c r="BM70" i="103"/>
  <c r="BM72" i="103"/>
  <c r="BO83" i="103"/>
  <c r="BN93" i="103"/>
  <c r="BM93" i="103"/>
  <c r="BL93" i="103"/>
  <c r="DJ93" i="103"/>
  <c r="BK93" i="103"/>
  <c r="BJ93" i="103"/>
  <c r="BI93" i="103"/>
  <c r="BH93" i="103"/>
  <c r="BO104" i="103"/>
  <c r="BO112" i="103"/>
  <c r="BO137" i="103"/>
  <c r="CI3" i="103"/>
  <c r="BK4" i="103"/>
  <c r="BO5" i="103"/>
  <c r="BL7" i="103"/>
  <c r="BN10" i="103"/>
  <c r="BN12" i="103"/>
  <c r="DJ12" i="103"/>
  <c r="BH14" i="103"/>
  <c r="BK15" i="103"/>
  <c r="BH16" i="103"/>
  <c r="BN17" i="103"/>
  <c r="DJ17" i="103"/>
  <c r="BK18" i="103"/>
  <c r="CI19" i="103"/>
  <c r="BH21" i="103"/>
  <c r="BH22" i="103"/>
  <c r="BM24" i="103"/>
  <c r="BI25" i="103"/>
  <c r="BO26" i="103"/>
  <c r="BK27" i="103"/>
  <c r="DJ27" i="103"/>
  <c r="BO28" i="103"/>
  <c r="BO30" i="103"/>
  <c r="BJ31" i="103"/>
  <c r="DJ31" i="103"/>
  <c r="BJ33" i="103"/>
  <c r="DJ33" i="103"/>
  <c r="BH36" i="103"/>
  <c r="BK38" i="103"/>
  <c r="BN40" i="103"/>
  <c r="BJ44" i="103"/>
  <c r="BN44" i="103"/>
  <c r="BO45" i="103"/>
  <c r="BN48" i="103"/>
  <c r="BK49" i="103"/>
  <c r="BN50" i="103"/>
  <c r="BM50" i="103"/>
  <c r="BJ50" i="103"/>
  <c r="BO54" i="103"/>
  <c r="BM56" i="103"/>
  <c r="BJ57" i="103"/>
  <c r="BN58" i="103"/>
  <c r="BM58" i="103"/>
  <c r="BJ58" i="103"/>
  <c r="BH58" i="103"/>
  <c r="BO65" i="103"/>
  <c r="BL68" i="103"/>
  <c r="BN69" i="103"/>
  <c r="BO70" i="103"/>
  <c r="BO72" i="103"/>
  <c r="BO74" i="103"/>
  <c r="BO77" i="103"/>
  <c r="DJ79" i="103"/>
  <c r="BO93" i="103"/>
  <c r="BN109" i="103"/>
  <c r="BM109" i="103"/>
  <c r="BL109" i="103"/>
  <c r="DJ109" i="103"/>
  <c r="BK109" i="103"/>
  <c r="BJ109" i="103"/>
  <c r="BI109" i="103"/>
  <c r="BH109" i="103"/>
  <c r="BN169" i="103"/>
  <c r="BO220" i="103"/>
  <c r="BO164" i="103"/>
  <c r="BO238" i="103"/>
  <c r="BO155" i="103"/>
  <c r="BO173" i="103"/>
  <c r="BI22" i="103"/>
  <c r="BN24" i="103"/>
  <c r="BH34" i="103"/>
  <c r="BL34" i="103"/>
  <c r="BO40" i="103"/>
  <c r="BN42" i="103"/>
  <c r="BJ42" i="103"/>
  <c r="BO48" i="103"/>
  <c r="BI53" i="103"/>
  <c r="BH53" i="103"/>
  <c r="BM53" i="103"/>
  <c r="DJ53" i="103"/>
  <c r="BO59" i="103"/>
  <c r="BL64" i="103"/>
  <c r="DJ64" i="103"/>
  <c r="BK64" i="103"/>
  <c r="BH64" i="103"/>
  <c r="BN64" i="103"/>
  <c r="BO68" i="103"/>
  <c r="BO69" i="103"/>
  <c r="BN90" i="103"/>
  <c r="BO100" i="103"/>
  <c r="BO109" i="103"/>
  <c r="BM143" i="103"/>
  <c r="DJ143" i="103"/>
  <c r="BK143" i="103"/>
  <c r="BJ143" i="103"/>
  <c r="BH143" i="103"/>
  <c r="BO143" i="103"/>
  <c r="BN143" i="103"/>
  <c r="BL143" i="103"/>
  <c r="BI143" i="103"/>
  <c r="BO187" i="103"/>
  <c r="BO67" i="103"/>
  <c r="BK78" i="103"/>
  <c r="DJ78" i="103"/>
  <c r="BN81" i="103"/>
  <c r="BO84" i="103"/>
  <c r="BK88" i="103"/>
  <c r="DJ88" i="103"/>
  <c r="BN89" i="103"/>
  <c r="BO90" i="103"/>
  <c r="BK94" i="103"/>
  <c r="DJ94" i="103"/>
  <c r="BL95" i="103"/>
  <c r="BK98" i="103"/>
  <c r="DJ98" i="103"/>
  <c r="BN99" i="103"/>
  <c r="BL101" i="103"/>
  <c r="BL105" i="103"/>
  <c r="BO106" i="103"/>
  <c r="BK110" i="103"/>
  <c r="DJ110" i="103"/>
  <c r="BN111" i="103"/>
  <c r="BL113" i="103"/>
  <c r="BO114" i="103"/>
  <c r="BK116" i="103"/>
  <c r="DJ116" i="103"/>
  <c r="BN117" i="103"/>
  <c r="BO118" i="103"/>
  <c r="BK120" i="103"/>
  <c r="DJ120" i="103"/>
  <c r="BN121" i="103"/>
  <c r="BO122" i="103"/>
  <c r="BN125" i="103"/>
  <c r="BK130" i="103"/>
  <c r="DJ130" i="103"/>
  <c r="BN137" i="103"/>
  <c r="DJ155" i="103"/>
  <c r="BK155" i="103"/>
  <c r="BI155" i="103"/>
  <c r="BH155" i="103"/>
  <c r="BN155" i="103"/>
  <c r="BM162" i="103"/>
  <c r="DJ162" i="103"/>
  <c r="BK162" i="103"/>
  <c r="BJ162" i="103"/>
  <c r="BH162" i="103"/>
  <c r="BN176" i="103"/>
  <c r="BM176" i="103"/>
  <c r="BL176" i="103"/>
  <c r="DJ176" i="103"/>
  <c r="BK176" i="103"/>
  <c r="BI176" i="103"/>
  <c r="BO178" i="103"/>
  <c r="DJ189" i="103"/>
  <c r="BK189" i="103"/>
  <c r="BJ189" i="103"/>
  <c r="BI189" i="103"/>
  <c r="BH189" i="103"/>
  <c r="BN189" i="103"/>
  <c r="DJ193" i="103"/>
  <c r="BK193" i="103"/>
  <c r="BJ193" i="103"/>
  <c r="BI193" i="103"/>
  <c r="BH193" i="103"/>
  <c r="BN193" i="103"/>
  <c r="BO197" i="103"/>
  <c r="BO81" i="103"/>
  <c r="BO89" i="103"/>
  <c r="BM95" i="103"/>
  <c r="BO99" i="103"/>
  <c r="BM101" i="103"/>
  <c r="BM105" i="103"/>
  <c r="BO111" i="103"/>
  <c r="BM113" i="103"/>
  <c r="BO117" i="103"/>
  <c r="BO121" i="103"/>
  <c r="BO125" i="103"/>
  <c r="BL130" i="103"/>
  <c r="BO131" i="103"/>
  <c r="BI133" i="103"/>
  <c r="BL133" i="103"/>
  <c r="BO145" i="103"/>
  <c r="BN150" i="103"/>
  <c r="BL150" i="103"/>
  <c r="DJ150" i="103"/>
  <c r="BK150" i="103"/>
  <c r="BI150" i="103"/>
  <c r="BH154" i="103"/>
  <c r="BN154" i="103"/>
  <c r="BM154" i="103"/>
  <c r="DJ154" i="103"/>
  <c r="BK154" i="103"/>
  <c r="BO158" i="103"/>
  <c r="BO168" i="103"/>
  <c r="BO185" i="103"/>
  <c r="BO205" i="103"/>
  <c r="BO210" i="103"/>
  <c r="BO257" i="103"/>
  <c r="BK39" i="103"/>
  <c r="DJ39" i="103"/>
  <c r="BK43" i="103"/>
  <c r="DJ43" i="103"/>
  <c r="BL46" i="103"/>
  <c r="BK51" i="103"/>
  <c r="DJ51" i="103"/>
  <c r="BL52" i="103"/>
  <c r="BK59" i="103"/>
  <c r="DJ59" i="103"/>
  <c r="BL60" i="103"/>
  <c r="BK65" i="103"/>
  <c r="DJ65" i="103"/>
  <c r="BI67" i="103"/>
  <c r="BK71" i="103"/>
  <c r="DJ71" i="103"/>
  <c r="BK74" i="103"/>
  <c r="DJ74" i="103"/>
  <c r="BM78" i="103"/>
  <c r="BO80" i="103"/>
  <c r="BH81" i="103"/>
  <c r="BK82" i="103"/>
  <c r="DJ82" i="103"/>
  <c r="BI84" i="103"/>
  <c r="BL85" i="103"/>
  <c r="BO86" i="103"/>
  <c r="BM88" i="103"/>
  <c r="BH89" i="103"/>
  <c r="BI90" i="103"/>
  <c r="BL91" i="103"/>
  <c r="BO92" i="103"/>
  <c r="BM94" i="103"/>
  <c r="BN95" i="103"/>
  <c r="BO96" i="103"/>
  <c r="BM98" i="103"/>
  <c r="BH99" i="103"/>
  <c r="BK100" i="103"/>
  <c r="DJ100" i="103"/>
  <c r="BN101" i="103"/>
  <c r="BO102" i="103"/>
  <c r="BK104" i="103"/>
  <c r="DJ104" i="103"/>
  <c r="BN105" i="103"/>
  <c r="BI106" i="103"/>
  <c r="BL107" i="103"/>
  <c r="BO108" i="103"/>
  <c r="BM110" i="103"/>
  <c r="BH111" i="103"/>
  <c r="BK112" i="103"/>
  <c r="DJ112" i="103"/>
  <c r="BN113" i="103"/>
  <c r="BI114" i="103"/>
  <c r="BL115" i="103"/>
  <c r="BM116" i="103"/>
  <c r="BH117" i="103"/>
  <c r="BI118" i="103"/>
  <c r="BM120" i="103"/>
  <c r="BH121" i="103"/>
  <c r="BI122" i="103"/>
  <c r="BL123" i="103"/>
  <c r="BH125" i="103"/>
  <c r="BK126" i="103"/>
  <c r="DJ126" i="103"/>
  <c r="BL127" i="103"/>
  <c r="BM130" i="103"/>
  <c r="BH133" i="103"/>
  <c r="BJ136" i="103"/>
  <c r="BM136" i="103"/>
  <c r="DJ149" i="103"/>
  <c r="BK149" i="103"/>
  <c r="BI149" i="103"/>
  <c r="BH149" i="103"/>
  <c r="BN149" i="103"/>
  <c r="BH150" i="103"/>
  <c r="BI154" i="103"/>
  <c r="BL155" i="103"/>
  <c r="BL162" i="103"/>
  <c r="DJ175" i="103"/>
  <c r="BK175" i="103"/>
  <c r="BJ175" i="103"/>
  <c r="BI175" i="103"/>
  <c r="BH175" i="103"/>
  <c r="BN175" i="103"/>
  <c r="BJ176" i="103"/>
  <c r="BM189" i="103"/>
  <c r="BM193" i="103"/>
  <c r="BJ212" i="103"/>
  <c r="BI212" i="103"/>
  <c r="BH212" i="103"/>
  <c r="BO212" i="103"/>
  <c r="BN212" i="103"/>
  <c r="BM212" i="103"/>
  <c r="BK212" i="103"/>
  <c r="BO95" i="103"/>
  <c r="BO101" i="103"/>
  <c r="BO105" i="103"/>
  <c r="BO113" i="103"/>
  <c r="BH148" i="103"/>
  <c r="BN148" i="103"/>
  <c r="BM148" i="103"/>
  <c r="DJ148" i="103"/>
  <c r="BK148" i="103"/>
  <c r="BM170" i="103"/>
  <c r="BL170" i="103"/>
  <c r="DJ170" i="103"/>
  <c r="BK170" i="103"/>
  <c r="BJ170" i="103"/>
  <c r="BH170" i="103"/>
  <c r="BL202" i="103"/>
  <c r="DJ202" i="103"/>
  <c r="BK202" i="103"/>
  <c r="BJ202" i="103"/>
  <c r="BI202" i="103"/>
  <c r="BH202" i="103"/>
  <c r="BO202" i="103"/>
  <c r="BJ204" i="103"/>
  <c r="BI204" i="103"/>
  <c r="BO204" i="103"/>
  <c r="BN204" i="103"/>
  <c r="BM204" i="103"/>
  <c r="BL204" i="103"/>
  <c r="BH204" i="103"/>
  <c r="DJ207" i="103"/>
  <c r="BK207" i="103"/>
  <c r="BJ207" i="103"/>
  <c r="BI207" i="103"/>
  <c r="BO207" i="103"/>
  <c r="BN207" i="103"/>
  <c r="BM207" i="103"/>
  <c r="BH207" i="103"/>
  <c r="BM217" i="103"/>
  <c r="BL217" i="103"/>
  <c r="DJ217" i="103"/>
  <c r="BK217" i="103"/>
  <c r="BO217" i="103"/>
  <c r="BN217" i="103"/>
  <c r="BJ217" i="103"/>
  <c r="BI217" i="103"/>
  <c r="BH217" i="103"/>
  <c r="BJ268" i="103"/>
  <c r="BH268" i="103"/>
  <c r="BM268" i="103"/>
  <c r="BL268" i="103"/>
  <c r="BO268" i="103"/>
  <c r="BN268" i="103"/>
  <c r="BK268" i="103"/>
  <c r="BI268" i="103"/>
  <c r="DJ268" i="103"/>
  <c r="BO78" i="103"/>
  <c r="BJ81" i="103"/>
  <c r="BO88" i="103"/>
  <c r="BJ89" i="103"/>
  <c r="BO94" i="103"/>
  <c r="BH95" i="103"/>
  <c r="BO98" i="103"/>
  <c r="BJ99" i="103"/>
  <c r="BH101" i="103"/>
  <c r="BH105" i="103"/>
  <c r="BO110" i="103"/>
  <c r="BJ111" i="103"/>
  <c r="BH113" i="103"/>
  <c r="BO116" i="103"/>
  <c r="BJ117" i="103"/>
  <c r="BO120" i="103"/>
  <c r="BJ121" i="103"/>
  <c r="BJ125" i="103"/>
  <c r="BO130" i="103"/>
  <c r="BK133" i="103"/>
  <c r="BM137" i="103"/>
  <c r="DJ137" i="103"/>
  <c r="BK137" i="103"/>
  <c r="BH137" i="103"/>
  <c r="BO141" i="103"/>
  <c r="BM147" i="103"/>
  <c r="DJ147" i="103"/>
  <c r="BK147" i="103"/>
  <c r="BJ147" i="103"/>
  <c r="BH147" i="103"/>
  <c r="BI148" i="103"/>
  <c r="BM150" i="103"/>
  <c r="BL154" i="103"/>
  <c r="BI170" i="103"/>
  <c r="BO179" i="103"/>
  <c r="BM187" i="103"/>
  <c r="BL187" i="103"/>
  <c r="DJ187" i="103"/>
  <c r="BK187" i="103"/>
  <c r="BJ187" i="103"/>
  <c r="BH187" i="103"/>
  <c r="BO198" i="103"/>
  <c r="BM202" i="103"/>
  <c r="BK204" i="103"/>
  <c r="BL207" i="103"/>
  <c r="BO223" i="103"/>
  <c r="BO46" i="103"/>
  <c r="BO52" i="103"/>
  <c r="BO60" i="103"/>
  <c r="BL67" i="103"/>
  <c r="BH78" i="103"/>
  <c r="BK81" i="103"/>
  <c r="DJ81" i="103"/>
  <c r="BL84" i="103"/>
  <c r="BO85" i="103"/>
  <c r="BH88" i="103"/>
  <c r="BK89" i="103"/>
  <c r="DJ89" i="103"/>
  <c r="BL90" i="103"/>
  <c r="BO91" i="103"/>
  <c r="BH94" i="103"/>
  <c r="BI95" i="103"/>
  <c r="BH98" i="103"/>
  <c r="BK99" i="103"/>
  <c r="DJ99" i="103"/>
  <c r="BI101" i="103"/>
  <c r="BI105" i="103"/>
  <c r="BL106" i="103"/>
  <c r="BO107" i="103"/>
  <c r="BH110" i="103"/>
  <c r="BK111" i="103"/>
  <c r="DJ111" i="103"/>
  <c r="BI113" i="103"/>
  <c r="BL114" i="103"/>
  <c r="BO115" i="103"/>
  <c r="BH116" i="103"/>
  <c r="BK117" i="103"/>
  <c r="DJ117" i="103"/>
  <c r="BL118" i="103"/>
  <c r="BH120" i="103"/>
  <c r="BK121" i="103"/>
  <c r="DJ121" i="103"/>
  <c r="BL122" i="103"/>
  <c r="BO123" i="103"/>
  <c r="BK125" i="103"/>
  <c r="DJ125" i="103"/>
  <c r="BO127" i="103"/>
  <c r="BH130" i="103"/>
  <c r="BO132" i="103"/>
  <c r="BM133" i="103"/>
  <c r="BI137" i="103"/>
  <c r="BN138" i="103"/>
  <c r="BL138" i="103"/>
  <c r="BI138" i="103"/>
  <c r="BI147" i="103"/>
  <c r="BJ148" i="103"/>
  <c r="BO150" i="103"/>
  <c r="BO154" i="103"/>
  <c r="BO160" i="103"/>
  <c r="BN165" i="103"/>
  <c r="BM165" i="103"/>
  <c r="BL165" i="103"/>
  <c r="DJ165" i="103"/>
  <c r="BK165" i="103"/>
  <c r="BI165" i="103"/>
  <c r="BO167" i="103"/>
  <c r="BN170" i="103"/>
  <c r="BN182" i="103"/>
  <c r="BM182" i="103"/>
  <c r="BL182" i="103"/>
  <c r="DJ182" i="103"/>
  <c r="BK182" i="103"/>
  <c r="BI182" i="103"/>
  <c r="BO184" i="103"/>
  <c r="BI187" i="103"/>
  <c r="BN202" i="103"/>
  <c r="BO236" i="103"/>
  <c r="DJ261" i="103"/>
  <c r="BK261" i="103"/>
  <c r="BI261" i="103"/>
  <c r="BM261" i="103"/>
  <c r="BO261" i="103"/>
  <c r="BN261" i="103"/>
  <c r="BJ261" i="103"/>
  <c r="BH261" i="103"/>
  <c r="BL261" i="103"/>
  <c r="BK80" i="103"/>
  <c r="BK86" i="103"/>
  <c r="BK92" i="103"/>
  <c r="BK96" i="103"/>
  <c r="BK102" i="103"/>
  <c r="BK108" i="103"/>
  <c r="BN133" i="103"/>
  <c r="BJ137" i="103"/>
  <c r="BH138" i="103"/>
  <c r="DJ138" i="103"/>
  <c r="BL147" i="103"/>
  <c r="BL148" i="103"/>
  <c r="BO153" i="103"/>
  <c r="DJ164" i="103"/>
  <c r="BK164" i="103"/>
  <c r="BI164" i="103"/>
  <c r="BH164" i="103"/>
  <c r="BN164" i="103"/>
  <c r="BH165" i="103"/>
  <c r="BO170" i="103"/>
  <c r="BM173" i="103"/>
  <c r="BL173" i="103"/>
  <c r="DJ173" i="103"/>
  <c r="BK173" i="103"/>
  <c r="BJ173" i="103"/>
  <c r="BH173" i="103"/>
  <c r="BH182" i="103"/>
  <c r="BN187" i="103"/>
  <c r="BN190" i="103"/>
  <c r="BM190" i="103"/>
  <c r="BL190" i="103"/>
  <c r="DJ190" i="103"/>
  <c r="BK190" i="103"/>
  <c r="BI190" i="103"/>
  <c r="BN194" i="103"/>
  <c r="BM194" i="103"/>
  <c r="BL194" i="103"/>
  <c r="DJ194" i="103"/>
  <c r="BK194" i="103"/>
  <c r="BI194" i="103"/>
  <c r="DJ212" i="103"/>
  <c r="BO221" i="103"/>
  <c r="BK229" i="103"/>
  <c r="BI230" i="103"/>
  <c r="DJ232" i="103"/>
  <c r="BK232" i="103"/>
  <c r="BJ232" i="103"/>
  <c r="BI232" i="103"/>
  <c r="BN232" i="103"/>
  <c r="BN233" i="103"/>
  <c r="BM233" i="103"/>
  <c r="BL233" i="103"/>
  <c r="BI233" i="103"/>
  <c r="DJ233" i="103"/>
  <c r="BM245" i="103"/>
  <c r="BL245" i="103"/>
  <c r="DJ245" i="103"/>
  <c r="BK245" i="103"/>
  <c r="BJ245" i="103"/>
  <c r="BH245" i="103"/>
  <c r="BJ132" i="103"/>
  <c r="BO134" i="103"/>
  <c r="BJ135" i="103"/>
  <c r="BL139" i="103"/>
  <c r="BO140" i="103"/>
  <c r="BJ141" i="103"/>
  <c r="BJ145" i="103"/>
  <c r="BM146" i="103"/>
  <c r="BL151" i="103"/>
  <c r="BO152" i="103"/>
  <c r="BJ153" i="103"/>
  <c r="BL157" i="103"/>
  <c r="BJ160" i="103"/>
  <c r="BM161" i="103"/>
  <c r="BL166" i="103"/>
  <c r="BJ168" i="103"/>
  <c r="BM169" i="103"/>
  <c r="BK171" i="103"/>
  <c r="DJ171" i="103"/>
  <c r="BK174" i="103"/>
  <c r="DJ174" i="103"/>
  <c r="BL177" i="103"/>
  <c r="BJ179" i="103"/>
  <c r="BM180" i="103"/>
  <c r="BL183" i="103"/>
  <c r="BJ185" i="103"/>
  <c r="BM186" i="103"/>
  <c r="BK188" i="103"/>
  <c r="DJ188" i="103"/>
  <c r="BJ191" i="103"/>
  <c r="BK192" i="103"/>
  <c r="DJ192" i="103"/>
  <c r="BL195" i="103"/>
  <c r="BM196" i="103"/>
  <c r="BJ198" i="103"/>
  <c r="BM199" i="103"/>
  <c r="BK201" i="103"/>
  <c r="DJ201" i="103"/>
  <c r="BN208" i="103"/>
  <c r="BM208" i="103"/>
  <c r="BL208" i="103"/>
  <c r="BM213" i="103"/>
  <c r="BL213" i="103"/>
  <c r="DJ213" i="103"/>
  <c r="BK213" i="103"/>
  <c r="BJ216" i="103"/>
  <c r="BI216" i="103"/>
  <c r="BH216" i="103"/>
  <c r="DJ216" i="103"/>
  <c r="BL229" i="103"/>
  <c r="BJ230" i="103"/>
  <c r="BH232" i="103"/>
  <c r="BH233" i="103"/>
  <c r="DJ238" i="103"/>
  <c r="BK238" i="103"/>
  <c r="BJ238" i="103"/>
  <c r="BI238" i="103"/>
  <c r="BN238" i="103"/>
  <c r="BN239" i="103"/>
  <c r="BM239" i="103"/>
  <c r="BL239" i="103"/>
  <c r="BI239" i="103"/>
  <c r="DJ239" i="103"/>
  <c r="BI245" i="103"/>
  <c r="BO146" i="103"/>
  <c r="BO161" i="103"/>
  <c r="BO169" i="103"/>
  <c r="BM171" i="103"/>
  <c r="BM174" i="103"/>
  <c r="BO180" i="103"/>
  <c r="BO186" i="103"/>
  <c r="BM188" i="103"/>
  <c r="BM192" i="103"/>
  <c r="BO196" i="103"/>
  <c r="BO199" i="103"/>
  <c r="BM201" i="103"/>
  <c r="BM205" i="103"/>
  <c r="BL205" i="103"/>
  <c r="BO218" i="103"/>
  <c r="BJ222" i="103"/>
  <c r="BI222" i="103"/>
  <c r="BH222" i="103"/>
  <c r="DJ222" i="103"/>
  <c r="BO229" i="103"/>
  <c r="BM232" i="103"/>
  <c r="BK233" i="103"/>
  <c r="BO242" i="103"/>
  <c r="BO245" i="103"/>
  <c r="BO139" i="103"/>
  <c r="BH146" i="103"/>
  <c r="BO151" i="103"/>
  <c r="BO157" i="103"/>
  <c r="BH161" i="103"/>
  <c r="BO166" i="103"/>
  <c r="BH169" i="103"/>
  <c r="BN171" i="103"/>
  <c r="BN174" i="103"/>
  <c r="BO177" i="103"/>
  <c r="BH180" i="103"/>
  <c r="BO183" i="103"/>
  <c r="BH186" i="103"/>
  <c r="BN188" i="103"/>
  <c r="BN192" i="103"/>
  <c r="BO195" i="103"/>
  <c r="BH196" i="103"/>
  <c r="BH199" i="103"/>
  <c r="BN201" i="103"/>
  <c r="BH205" i="103"/>
  <c r="BL210" i="103"/>
  <c r="DJ210" i="103"/>
  <c r="BK210" i="103"/>
  <c r="BJ210" i="103"/>
  <c r="BM223" i="103"/>
  <c r="BL223" i="103"/>
  <c r="DJ223" i="103"/>
  <c r="BK223" i="103"/>
  <c r="BJ226" i="103"/>
  <c r="BI226" i="103"/>
  <c r="BH226" i="103"/>
  <c r="BM226" i="103"/>
  <c r="BM227" i="103"/>
  <c r="BL227" i="103"/>
  <c r="DJ227" i="103"/>
  <c r="BK227" i="103"/>
  <c r="BH227" i="103"/>
  <c r="BO228" i="103"/>
  <c r="BO232" i="103"/>
  <c r="BO233" i="103"/>
  <c r="BO254" i="103"/>
  <c r="BO171" i="103"/>
  <c r="BO174" i="103"/>
  <c r="BO188" i="103"/>
  <c r="BO192" i="103"/>
  <c r="BO201" i="103"/>
  <c r="BO203" i="103"/>
  <c r="BO211" i="103"/>
  <c r="DJ219" i="103"/>
  <c r="BK219" i="103"/>
  <c r="BJ219" i="103"/>
  <c r="BI219" i="103"/>
  <c r="BH223" i="103"/>
  <c r="BK226" i="103"/>
  <c r="BI227" i="103"/>
  <c r="BO247" i="103"/>
  <c r="BO256" i="103"/>
  <c r="BJ205" i="103"/>
  <c r="BI210" i="103"/>
  <c r="BO213" i="103"/>
  <c r="BO216" i="103"/>
  <c r="BH219" i="103"/>
  <c r="BN220" i="103"/>
  <c r="BM220" i="103"/>
  <c r="BL220" i="103"/>
  <c r="BM222" i="103"/>
  <c r="BI223" i="103"/>
  <c r="BL226" i="103"/>
  <c r="BJ227" i="103"/>
  <c r="BN246" i="103"/>
  <c r="BM246" i="103"/>
  <c r="BL246" i="103"/>
  <c r="DJ246" i="103"/>
  <c r="BK246" i="103"/>
  <c r="BI246" i="103"/>
  <c r="BO265" i="103"/>
  <c r="BJ229" i="103"/>
  <c r="BI229" i="103"/>
  <c r="BH229" i="103"/>
  <c r="BM229" i="103"/>
  <c r="BM230" i="103"/>
  <c r="BL230" i="103"/>
  <c r="DJ230" i="103"/>
  <c r="BK230" i="103"/>
  <c r="BH230" i="103"/>
  <c r="BH246" i="103"/>
  <c r="DJ251" i="103"/>
  <c r="BK251" i="103"/>
  <c r="BJ251" i="103"/>
  <c r="BI251" i="103"/>
  <c r="BH251" i="103"/>
  <c r="BN251" i="103"/>
  <c r="BM251" i="103"/>
  <c r="DJ253" i="103"/>
  <c r="BK253" i="103"/>
  <c r="BM253" i="103"/>
  <c r="BI259" i="103"/>
  <c r="DJ259" i="103"/>
  <c r="BK259" i="103"/>
  <c r="BN264" i="103"/>
  <c r="BL264" i="103"/>
  <c r="BH264" i="103"/>
  <c r="DJ264" i="103"/>
  <c r="BO235" i="103"/>
  <c r="BO241" i="103"/>
  <c r="BM243" i="103"/>
  <c r="BO244" i="103"/>
  <c r="BM250" i="103"/>
  <c r="BO252" i="103"/>
  <c r="BH253" i="103"/>
  <c r="BH259" i="103"/>
  <c r="BL262" i="103"/>
  <c r="BJ262" i="103"/>
  <c r="BN262" i="103"/>
  <c r="BI264" i="103"/>
  <c r="BJ278" i="103"/>
  <c r="BI278" i="103"/>
  <c r="BH278" i="103"/>
  <c r="BM278" i="103"/>
  <c r="BL278" i="103"/>
  <c r="P11" i="104"/>
  <c r="M16" i="104"/>
  <c r="P13" i="104"/>
  <c r="DJ269" i="103"/>
  <c r="BK269" i="103"/>
  <c r="BI269" i="103"/>
  <c r="BN269" i="103"/>
  <c r="BM269" i="103"/>
  <c r="BO243" i="103"/>
  <c r="BO250" i="103"/>
  <c r="BJ253" i="103"/>
  <c r="BL254" i="103"/>
  <c r="BN254" i="103"/>
  <c r="BN256" i="103"/>
  <c r="BH256" i="103"/>
  <c r="BL259" i="103"/>
  <c r="BK264" i="103"/>
  <c r="BH269" i="103"/>
  <c r="BO209" i="103"/>
  <c r="BO215" i="103"/>
  <c r="BO225" i="103"/>
  <c r="BO234" i="103"/>
  <c r="BJ235" i="103"/>
  <c r="BO240" i="103"/>
  <c r="BJ241" i="103"/>
  <c r="BH243" i="103"/>
  <c r="BJ244" i="103"/>
  <c r="BO249" i="103"/>
  <c r="BH250" i="103"/>
  <c r="BJ252" i="103"/>
  <c r="BL253" i="103"/>
  <c r="BH254" i="103"/>
  <c r="BI256" i="103"/>
  <c r="DJ256" i="103"/>
  <c r="BH258" i="103"/>
  <c r="BJ258" i="103"/>
  <c r="BM259" i="103"/>
  <c r="BJ260" i="103"/>
  <c r="BL260" i="103"/>
  <c r="BK262" i="103"/>
  <c r="BM264" i="103"/>
  <c r="BJ269" i="103"/>
  <c r="BO278" i="103"/>
  <c r="BN203" i="103"/>
  <c r="BO206" i="103"/>
  <c r="BH209" i="103"/>
  <c r="BN211" i="103"/>
  <c r="BO214" i="103"/>
  <c r="BH215" i="103"/>
  <c r="BN221" i="103"/>
  <c r="BO224" i="103"/>
  <c r="BH225" i="103"/>
  <c r="BN228" i="103"/>
  <c r="BO231" i="103"/>
  <c r="BH234" i="103"/>
  <c r="BK235" i="103"/>
  <c r="DJ235" i="103"/>
  <c r="BO237" i="103"/>
  <c r="BH240" i="103"/>
  <c r="BK241" i="103"/>
  <c r="DJ241" i="103"/>
  <c r="BI243" i="103"/>
  <c r="BK244" i="103"/>
  <c r="DJ244" i="103"/>
  <c r="BO248" i="103"/>
  <c r="BH249" i="103"/>
  <c r="BI250" i="103"/>
  <c r="BK252" i="103"/>
  <c r="DJ252" i="103"/>
  <c r="BN253" i="103"/>
  <c r="BI254" i="103"/>
  <c r="DJ254" i="103"/>
  <c r="BJ256" i="103"/>
  <c r="BI258" i="103"/>
  <c r="DJ258" i="103"/>
  <c r="BN259" i="103"/>
  <c r="BH260" i="103"/>
  <c r="DJ260" i="103"/>
  <c r="BM262" i="103"/>
  <c r="BO264" i="103"/>
  <c r="BL269" i="103"/>
  <c r="DJ273" i="103"/>
  <c r="BK273" i="103"/>
  <c r="BI273" i="103"/>
  <c r="BN273" i="103"/>
  <c r="BM273" i="103"/>
  <c r="BN274" i="103"/>
  <c r="BM274" i="103"/>
  <c r="BL274" i="103"/>
  <c r="BI274" i="103"/>
  <c r="BH274" i="103"/>
  <c r="BO277" i="103"/>
  <c r="M8" i="104"/>
  <c r="BO253" i="103"/>
  <c r="BJ254" i="103"/>
  <c r="BK256" i="103"/>
  <c r="BK258" i="103"/>
  <c r="BO259" i="103"/>
  <c r="BI260" i="103"/>
  <c r="BO262" i="103"/>
  <c r="BH266" i="103"/>
  <c r="BN266" i="103"/>
  <c r="DJ266" i="103"/>
  <c r="BK266" i="103"/>
  <c r="BJ266" i="103"/>
  <c r="BO269" i="103"/>
  <c r="BH272" i="103"/>
  <c r="BN272" i="103"/>
  <c r="DJ272" i="103"/>
  <c r="BK272" i="103"/>
  <c r="BJ272" i="103"/>
  <c r="BH273" i="103"/>
  <c r="BJ274" i="103"/>
  <c r="BO255" i="103"/>
  <c r="BI257" i="103"/>
  <c r="BO263" i="103"/>
  <c r="BI265" i="103"/>
  <c r="BK267" i="103"/>
  <c r="DJ267" i="103"/>
  <c r="BN270" i="103"/>
  <c r="BO271" i="103"/>
  <c r="BK275" i="103"/>
  <c r="DJ275" i="103"/>
  <c r="BN276" i="103"/>
  <c r="BO279" i="103"/>
  <c r="BJ280" i="103"/>
  <c r="N10" i="105"/>
  <c r="C193" i="102" s="1"/>
  <c r="C186" i="102" s="1"/>
  <c r="N26" i="105"/>
  <c r="N42" i="105"/>
  <c r="N58" i="105"/>
  <c r="N74" i="105"/>
  <c r="N90" i="105"/>
  <c r="N106" i="105"/>
  <c r="N122" i="105"/>
  <c r="N138" i="105"/>
  <c r="N154" i="105"/>
  <c r="N170" i="105"/>
  <c r="N186" i="105"/>
  <c r="N202" i="105"/>
  <c r="N218" i="105"/>
  <c r="N234" i="105"/>
  <c r="N250" i="105"/>
  <c r="N266" i="105"/>
  <c r="N282" i="105"/>
  <c r="N298" i="105"/>
  <c r="N314" i="105"/>
  <c r="N330" i="105"/>
  <c r="N346" i="105"/>
  <c r="N362" i="105"/>
  <c r="N378" i="105"/>
  <c r="N394" i="105"/>
  <c r="N410" i="105"/>
  <c r="N426" i="105"/>
  <c r="N442" i="105"/>
  <c r="N458" i="105"/>
  <c r="N474" i="105"/>
  <c r="N490" i="105"/>
  <c r="N506" i="105"/>
  <c r="N522" i="105"/>
  <c r="N538" i="105"/>
  <c r="N554" i="105"/>
  <c r="N570" i="105"/>
  <c r="N586" i="105"/>
  <c r="N602" i="105"/>
  <c r="N618" i="105"/>
  <c r="N634" i="105"/>
  <c r="BO270" i="103"/>
  <c r="BO276" i="103"/>
  <c r="BK280" i="103"/>
  <c r="DJ280" i="103"/>
  <c r="N20" i="105"/>
  <c r="N36" i="105"/>
  <c r="N52" i="105"/>
  <c r="BO267" i="103"/>
  <c r="BJ270" i="103"/>
  <c r="DJ271" i="103"/>
  <c r="BO275" i="103"/>
  <c r="BJ276" i="103"/>
  <c r="BK279" i="103"/>
  <c r="DJ279" i="103"/>
  <c r="BN280" i="103"/>
  <c r="N18" i="105"/>
  <c r="N34" i="105"/>
  <c r="N50" i="105"/>
  <c r="N66" i="105"/>
  <c r="N82" i="105"/>
  <c r="N98" i="105"/>
  <c r="N114" i="105"/>
  <c r="N130" i="105"/>
  <c r="N146" i="105"/>
  <c r="N162" i="105"/>
  <c r="N178" i="105"/>
  <c r="N194" i="105"/>
  <c r="N210" i="105"/>
  <c r="N226" i="105"/>
  <c r="N242" i="105"/>
  <c r="N258" i="105"/>
  <c r="N274" i="105"/>
  <c r="N290" i="105"/>
  <c r="N306" i="105"/>
  <c r="N322" i="105"/>
  <c r="N338" i="105"/>
  <c r="N354" i="105"/>
  <c r="N370" i="105"/>
  <c r="N386" i="105"/>
  <c r="N402" i="105"/>
  <c r="N418" i="105"/>
  <c r="N434" i="105"/>
  <c r="N450" i="105"/>
  <c r="N466" i="105"/>
  <c r="N482" i="105"/>
  <c r="N498" i="105"/>
  <c r="N514" i="105"/>
  <c r="N530" i="105"/>
  <c r="N546" i="105"/>
  <c r="N562" i="105"/>
  <c r="N578" i="105"/>
  <c r="N594" i="105"/>
  <c r="N610" i="105"/>
  <c r="N626" i="105"/>
  <c r="I18" i="107"/>
  <c r="I22" i="107" s="1"/>
  <c r="M22" i="107" s="1"/>
  <c r="D211" i="102" s="1"/>
  <c r="H22" i="107"/>
  <c r="BO280" i="103"/>
  <c r="N22" i="105"/>
  <c r="F99" i="85"/>
  <c r="F98" i="85"/>
  <c r="F97" i="85"/>
  <c r="F96" i="85"/>
  <c r="F95" i="85"/>
  <c r="F94" i="85"/>
  <c r="F93" i="85"/>
  <c r="F92" i="85"/>
  <c r="F91" i="85"/>
  <c r="F90" i="85"/>
  <c r="F89" i="85"/>
  <c r="F88" i="85"/>
  <c r="F87" i="85"/>
  <c r="F86" i="85"/>
  <c r="F85" i="85"/>
  <c r="F84" i="85"/>
  <c r="F83" i="85"/>
  <c r="F81" i="85"/>
  <c r="F46" i="85"/>
  <c r="F45" i="85"/>
  <c r="F44" i="85"/>
  <c r="F43" i="85"/>
  <c r="F42" i="85"/>
  <c r="F41" i="85"/>
  <c r="F40" i="85"/>
  <c r="F39" i="85"/>
  <c r="F38" i="85"/>
  <c r="F37" i="85"/>
  <c r="F36" i="85"/>
  <c r="F35" i="85"/>
  <c r="F34" i="85"/>
  <c r="F33" i="85"/>
  <c r="F32" i="85"/>
  <c r="F31" i="85"/>
  <c r="F29" i="85"/>
  <c r="E109" i="83"/>
  <c r="F109" i="83" s="1"/>
  <c r="E108" i="83"/>
  <c r="F108" i="83" s="1"/>
  <c r="E107" i="83"/>
  <c r="F107" i="83" s="1"/>
  <c r="E106" i="83"/>
  <c r="F106" i="83" s="1"/>
  <c r="E105" i="83"/>
  <c r="F105" i="83" s="1"/>
  <c r="E104" i="83"/>
  <c r="F104" i="83" s="1"/>
  <c r="E103" i="83"/>
  <c r="F103" i="83" s="1"/>
  <c r="E102" i="83"/>
  <c r="F102" i="83" s="1"/>
  <c r="E101" i="83"/>
  <c r="F101" i="83" s="1"/>
  <c r="E100" i="83"/>
  <c r="F100" i="83" s="1"/>
  <c r="E99" i="83"/>
  <c r="F99" i="83" s="1"/>
  <c r="E98" i="83"/>
  <c r="E97" i="83"/>
  <c r="F97" i="83" s="1"/>
  <c r="E96" i="83"/>
  <c r="E95" i="83"/>
  <c r="F95" i="83" s="1"/>
  <c r="E94" i="83"/>
  <c r="F94" i="83" s="1"/>
  <c r="E93" i="83"/>
  <c r="F93" i="83" s="1"/>
  <c r="E92" i="83"/>
  <c r="F92" i="83" s="1"/>
  <c r="E91" i="83"/>
  <c r="F91" i="83" s="1"/>
  <c r="E90" i="83"/>
  <c r="F90" i="83" s="1"/>
  <c r="D67" i="81"/>
  <c r="D66" i="81"/>
  <c r="D65" i="81"/>
  <c r="D64" i="81"/>
  <c r="D63" i="81"/>
  <c r="D62" i="81"/>
  <c r="D61" i="81"/>
  <c r="D60" i="81"/>
  <c r="D59" i="81"/>
  <c r="D58" i="81"/>
  <c r="D57" i="81"/>
  <c r="D56" i="81"/>
  <c r="D55" i="81"/>
  <c r="D54" i="81"/>
  <c r="D53" i="81"/>
  <c r="D52" i="81"/>
  <c r="D51" i="81"/>
  <c r="D50" i="81"/>
  <c r="D49" i="81"/>
  <c r="D48" i="81"/>
  <c r="F42" i="81"/>
  <c r="G42" i="81" s="1"/>
  <c r="F41" i="81"/>
  <c r="G41" i="81" s="1"/>
  <c r="F40" i="81"/>
  <c r="G40" i="81" s="1"/>
  <c r="F39" i="81"/>
  <c r="G39" i="81" s="1"/>
  <c r="F38" i="81"/>
  <c r="G38" i="81" s="1"/>
  <c r="F37" i="81"/>
  <c r="G37" i="81" s="1"/>
  <c r="F36" i="81"/>
  <c r="G36" i="81" s="1"/>
  <c r="F35" i="81"/>
  <c r="G35" i="81" s="1"/>
  <c r="F34" i="81"/>
  <c r="G34" i="81" s="1"/>
  <c r="F33" i="81"/>
  <c r="G33" i="81" s="1"/>
  <c r="F32" i="81"/>
  <c r="G32" i="81" s="1"/>
  <c r="F31" i="81"/>
  <c r="G31" i="81" s="1"/>
  <c r="F30" i="81"/>
  <c r="G30" i="81" s="1"/>
  <c r="F29" i="81"/>
  <c r="G29" i="81" s="1"/>
  <c r="F28" i="81"/>
  <c r="G28" i="81" s="1"/>
  <c r="F27" i="81"/>
  <c r="G27" i="81" s="1"/>
  <c r="F26" i="81"/>
  <c r="G26" i="81" s="1"/>
  <c r="F25" i="81"/>
  <c r="G25" i="81" s="1"/>
  <c r="F24" i="81"/>
  <c r="G24" i="81" s="1"/>
  <c r="F23" i="81"/>
  <c r="G23" i="81" s="1"/>
  <c r="D86" i="79"/>
  <c r="E86" i="79" s="1"/>
  <c r="D85" i="79"/>
  <c r="E85" i="79" s="1"/>
  <c r="D84" i="79"/>
  <c r="E84" i="79" s="1"/>
  <c r="D83" i="79"/>
  <c r="E83" i="79" s="1"/>
  <c r="D82" i="79"/>
  <c r="E82" i="79" s="1"/>
  <c r="D81" i="79"/>
  <c r="E81" i="79" s="1"/>
  <c r="D80" i="79"/>
  <c r="D79" i="79"/>
  <c r="D78" i="79"/>
  <c r="D77" i="79"/>
  <c r="E77" i="79" s="1"/>
  <c r="D76" i="79"/>
  <c r="E76" i="79" s="1"/>
  <c r="D75" i="79"/>
  <c r="E75" i="79" s="1"/>
  <c r="D74" i="79"/>
  <c r="E74" i="79" s="1"/>
  <c r="D73" i="79"/>
  <c r="E73" i="79" s="1"/>
  <c r="D72" i="79"/>
  <c r="E72" i="79" s="1"/>
  <c r="D71" i="79"/>
  <c r="E71" i="79" s="1"/>
  <c r="D70" i="79"/>
  <c r="E70" i="79" s="1"/>
  <c r="D69" i="79"/>
  <c r="E69" i="79" s="1"/>
  <c r="D68" i="79"/>
  <c r="E68" i="79" s="1"/>
  <c r="D67" i="79"/>
  <c r="E67" i="79" s="1"/>
  <c r="E61" i="79"/>
  <c r="D61" i="79"/>
  <c r="E60" i="79"/>
  <c r="D60" i="79"/>
  <c r="E59" i="79"/>
  <c r="D59" i="79"/>
  <c r="E58" i="79"/>
  <c r="D58" i="79"/>
  <c r="E57" i="79"/>
  <c r="D57" i="79"/>
  <c r="E56" i="79"/>
  <c r="D56" i="79"/>
  <c r="F56" i="79" s="1"/>
  <c r="E55" i="79"/>
  <c r="D55" i="79"/>
  <c r="F55" i="79" s="1"/>
  <c r="E54" i="79"/>
  <c r="D54" i="79"/>
  <c r="E53" i="79"/>
  <c r="D53" i="79"/>
  <c r="F53" i="79" s="1"/>
  <c r="E52" i="79"/>
  <c r="D52" i="79"/>
  <c r="F52" i="79" s="1"/>
  <c r="E51" i="79"/>
  <c r="D51" i="79"/>
  <c r="E50" i="79"/>
  <c r="D50" i="79"/>
  <c r="E49" i="79"/>
  <c r="D49" i="79"/>
  <c r="E48" i="79"/>
  <c r="D48" i="79"/>
  <c r="E47" i="79"/>
  <c r="D47" i="79"/>
  <c r="E46" i="79"/>
  <c r="D46" i="79"/>
  <c r="E45" i="79"/>
  <c r="D45" i="79"/>
  <c r="E44" i="79"/>
  <c r="D44" i="79"/>
  <c r="E43" i="79"/>
  <c r="E42" i="79"/>
  <c r="G36" i="79"/>
  <c r="F36" i="79"/>
  <c r="H36" i="79" s="1"/>
  <c r="E36" i="79"/>
  <c r="G35" i="79"/>
  <c r="F35" i="79"/>
  <c r="H35" i="79" s="1"/>
  <c r="E35" i="79"/>
  <c r="G34" i="79"/>
  <c r="F34" i="79"/>
  <c r="H34" i="79" s="1"/>
  <c r="E34" i="79"/>
  <c r="G33" i="79"/>
  <c r="F33" i="79"/>
  <c r="H33" i="79" s="1"/>
  <c r="E33" i="79"/>
  <c r="G32" i="79"/>
  <c r="F32" i="79"/>
  <c r="H32" i="79" s="1"/>
  <c r="E32" i="79"/>
  <c r="G31" i="79"/>
  <c r="F31" i="79"/>
  <c r="H31" i="79" s="1"/>
  <c r="E31" i="79"/>
  <c r="G30" i="79"/>
  <c r="F30" i="79"/>
  <c r="H30" i="79" s="1"/>
  <c r="E30" i="79"/>
  <c r="G29" i="79"/>
  <c r="F29" i="79"/>
  <c r="H29" i="79" s="1"/>
  <c r="E29" i="79"/>
  <c r="G28" i="79"/>
  <c r="F28" i="79"/>
  <c r="H28" i="79" s="1"/>
  <c r="E28" i="79"/>
  <c r="G27" i="79"/>
  <c r="F27" i="79"/>
  <c r="H27" i="79" s="1"/>
  <c r="E27" i="79"/>
  <c r="G26" i="79"/>
  <c r="F26" i="79"/>
  <c r="H26" i="79" s="1"/>
  <c r="E26" i="79"/>
  <c r="G25" i="79"/>
  <c r="F25" i="79"/>
  <c r="H25" i="79" s="1"/>
  <c r="E25" i="79"/>
  <c r="G24" i="79"/>
  <c r="F24" i="79"/>
  <c r="H24" i="79" s="1"/>
  <c r="E24" i="79"/>
  <c r="G23" i="79"/>
  <c r="F23" i="79"/>
  <c r="H23" i="79" s="1"/>
  <c r="E23" i="79"/>
  <c r="G22" i="79"/>
  <c r="F22" i="79"/>
  <c r="H22" i="79" s="1"/>
  <c r="E22" i="79"/>
  <c r="G21" i="79"/>
  <c r="F21" i="79"/>
  <c r="H21" i="79" s="1"/>
  <c r="E21" i="79"/>
  <c r="G20" i="79"/>
  <c r="F20" i="79"/>
  <c r="H20" i="79" s="1"/>
  <c r="E20" i="79"/>
  <c r="G19" i="79"/>
  <c r="F19" i="79"/>
  <c r="H19" i="79" s="1"/>
  <c r="E19" i="79"/>
  <c r="G18" i="79"/>
  <c r="F18" i="79"/>
  <c r="H18" i="79" s="1"/>
  <c r="E18" i="79"/>
  <c r="G17" i="79"/>
  <c r="F17" i="79"/>
  <c r="H17" i="79" s="1"/>
  <c r="E17" i="79"/>
  <c r="G206" i="71"/>
  <c r="G205" i="71"/>
  <c r="G204" i="71"/>
  <c r="G203" i="71"/>
  <c r="G202" i="71"/>
  <c r="G201" i="71"/>
  <c r="G200" i="71"/>
  <c r="G199" i="71"/>
  <c r="G198" i="71"/>
  <c r="G197" i="71"/>
  <c r="G196" i="71"/>
  <c r="G195" i="71"/>
  <c r="G194" i="71"/>
  <c r="G193" i="71"/>
  <c r="G192" i="71"/>
  <c r="G191" i="71"/>
  <c r="G190" i="71"/>
  <c r="G189" i="71"/>
  <c r="G188" i="71"/>
  <c r="G187" i="71"/>
  <c r="G186" i="71"/>
  <c r="G185" i="71"/>
  <c r="G184" i="71"/>
  <c r="G183" i="71"/>
  <c r="G182" i="71"/>
  <c r="G181" i="71"/>
  <c r="G180" i="71"/>
  <c r="G179" i="71"/>
  <c r="G178" i="71"/>
  <c r="G177" i="71"/>
  <c r="G176" i="71"/>
  <c r="G175" i="71"/>
  <c r="G174" i="71"/>
  <c r="G173" i="71"/>
  <c r="G172" i="71"/>
  <c r="G171" i="71"/>
  <c r="G170" i="71"/>
  <c r="G169" i="71"/>
  <c r="G168" i="71"/>
  <c r="G167" i="71"/>
  <c r="G166" i="71"/>
  <c r="G165" i="71"/>
  <c r="G164" i="71"/>
  <c r="G163" i="71"/>
  <c r="G162" i="71"/>
  <c r="G161" i="71"/>
  <c r="G160" i="71"/>
  <c r="G159" i="71"/>
  <c r="G158" i="71"/>
  <c r="G157" i="71"/>
  <c r="G156" i="71"/>
  <c r="G155" i="71"/>
  <c r="G154" i="71"/>
  <c r="G153" i="71"/>
  <c r="G152" i="71"/>
  <c r="G151" i="71"/>
  <c r="G150" i="71"/>
  <c r="G149" i="71"/>
  <c r="G148" i="71"/>
  <c r="G147" i="71"/>
  <c r="G146" i="71"/>
  <c r="G145" i="71"/>
  <c r="G144" i="71"/>
  <c r="G143" i="71"/>
  <c r="G142" i="71"/>
  <c r="G141" i="71"/>
  <c r="G140" i="71"/>
  <c r="G139" i="71"/>
  <c r="G138" i="71"/>
  <c r="G137" i="71"/>
  <c r="G136" i="71"/>
  <c r="G135" i="71"/>
  <c r="G134" i="71"/>
  <c r="G133" i="71"/>
  <c r="G132" i="71"/>
  <c r="G131" i="71"/>
  <c r="G130" i="71"/>
  <c r="G129" i="71"/>
  <c r="G128" i="71"/>
  <c r="G127" i="71"/>
  <c r="G126" i="71"/>
  <c r="G125" i="71"/>
  <c r="G124" i="71"/>
  <c r="G123" i="71"/>
  <c r="G122" i="71"/>
  <c r="G121" i="71"/>
  <c r="G120" i="71"/>
  <c r="G119" i="71"/>
  <c r="G118" i="71"/>
  <c r="G117" i="71"/>
  <c r="G116" i="71"/>
  <c r="G115" i="71"/>
  <c r="G114" i="71"/>
  <c r="G113" i="71"/>
  <c r="G112" i="71"/>
  <c r="G111" i="71"/>
  <c r="G110" i="71"/>
  <c r="G109" i="71"/>
  <c r="G108" i="71"/>
  <c r="G107" i="71"/>
  <c r="G106" i="71"/>
  <c r="G105" i="71"/>
  <c r="G104" i="71"/>
  <c r="G103" i="71"/>
  <c r="G102" i="71"/>
  <c r="G101" i="71"/>
  <c r="G100" i="71"/>
  <c r="G99" i="71"/>
  <c r="G98" i="71"/>
  <c r="G97" i="71"/>
  <c r="G96" i="71"/>
  <c r="G95" i="71"/>
  <c r="G94" i="71"/>
  <c r="G93" i="71"/>
  <c r="G92" i="71"/>
  <c r="G91" i="71"/>
  <c r="G90" i="71"/>
  <c r="G89" i="71"/>
  <c r="G88" i="71"/>
  <c r="G87" i="71"/>
  <c r="G86" i="71"/>
  <c r="G85" i="71"/>
  <c r="G84" i="71"/>
  <c r="G83" i="71"/>
  <c r="G82" i="71"/>
  <c r="G81" i="71"/>
  <c r="G80" i="71"/>
  <c r="G79" i="71"/>
  <c r="G78" i="71"/>
  <c r="G77" i="71"/>
  <c r="G76" i="71"/>
  <c r="G75" i="71"/>
  <c r="G74" i="71"/>
  <c r="G73" i="71"/>
  <c r="G72" i="71"/>
  <c r="G71" i="71"/>
  <c r="G70" i="71"/>
  <c r="G69" i="71"/>
  <c r="G68" i="71"/>
  <c r="G67" i="71"/>
  <c r="G66" i="71"/>
  <c r="G65" i="71"/>
  <c r="G64" i="71"/>
  <c r="G63" i="71"/>
  <c r="G62" i="71"/>
  <c r="G61" i="71"/>
  <c r="G60" i="71"/>
  <c r="G59" i="71"/>
  <c r="G58" i="71"/>
  <c r="G57" i="71"/>
  <c r="G56" i="71"/>
  <c r="G55" i="71"/>
  <c r="G54" i="71"/>
  <c r="G53" i="71"/>
  <c r="G52" i="71"/>
  <c r="G51" i="71"/>
  <c r="G50" i="71"/>
  <c r="G49" i="71"/>
  <c r="G48" i="71"/>
  <c r="G47" i="71"/>
  <c r="G46" i="71"/>
  <c r="G45" i="71"/>
  <c r="G44" i="71"/>
  <c r="G43" i="71"/>
  <c r="G42" i="71"/>
  <c r="G41" i="71"/>
  <c r="G40" i="71"/>
  <c r="G39" i="71"/>
  <c r="G38" i="71"/>
  <c r="G37" i="71"/>
  <c r="G36" i="71"/>
  <c r="G35" i="71"/>
  <c r="G34" i="71"/>
  <c r="G33" i="71"/>
  <c r="G32" i="71"/>
  <c r="G31" i="71"/>
  <c r="G30" i="71"/>
  <c r="G29" i="71"/>
  <c r="G28" i="71"/>
  <c r="G27" i="71"/>
  <c r="G26" i="71"/>
  <c r="G25" i="71"/>
  <c r="G24" i="71"/>
  <c r="G23" i="71"/>
  <c r="G22" i="71"/>
  <c r="G21" i="71"/>
  <c r="G20" i="71"/>
  <c r="G19" i="71"/>
  <c r="I68" i="94"/>
  <c r="H68" i="94"/>
  <c r="I67" i="94"/>
  <c r="H67" i="94"/>
  <c r="I66" i="94"/>
  <c r="H66" i="94"/>
  <c r="I65" i="94"/>
  <c r="H65" i="94"/>
  <c r="I64" i="94"/>
  <c r="H64" i="94"/>
  <c r="I63" i="94"/>
  <c r="H63" i="94"/>
  <c r="I62" i="94"/>
  <c r="H62" i="94"/>
  <c r="I61" i="94"/>
  <c r="H61" i="94"/>
  <c r="I60" i="94"/>
  <c r="H60" i="94"/>
  <c r="I59" i="94"/>
  <c r="H59" i="94"/>
  <c r="I58" i="94"/>
  <c r="H58" i="94"/>
  <c r="J58" i="94" s="1"/>
  <c r="I57" i="94"/>
  <c r="H57" i="94"/>
  <c r="I56" i="94"/>
  <c r="H56" i="94"/>
  <c r="J56" i="94" s="1"/>
  <c r="I55" i="94"/>
  <c r="H55" i="94"/>
  <c r="I54" i="94"/>
  <c r="H54" i="94"/>
  <c r="J54" i="94" s="1"/>
  <c r="I53" i="94"/>
  <c r="H53" i="94"/>
  <c r="I52" i="94"/>
  <c r="H52" i="94"/>
  <c r="I51" i="94"/>
  <c r="H51" i="94"/>
  <c r="J51" i="94" s="1"/>
  <c r="I50" i="94"/>
  <c r="H50" i="94"/>
  <c r="I49" i="94"/>
  <c r="H49" i="94"/>
  <c r="I48" i="94"/>
  <c r="H48" i="94"/>
  <c r="J48" i="94" s="1"/>
  <c r="I47" i="94"/>
  <c r="H47" i="94"/>
  <c r="I46" i="94"/>
  <c r="H46" i="94"/>
  <c r="J46" i="94" s="1"/>
  <c r="I45" i="94"/>
  <c r="H45" i="94"/>
  <c r="I44" i="94"/>
  <c r="H44" i="94"/>
  <c r="I43" i="94"/>
  <c r="H43" i="94"/>
  <c r="J43" i="94" s="1"/>
  <c r="I42" i="94"/>
  <c r="H42" i="94"/>
  <c r="I41" i="94"/>
  <c r="H41" i="94"/>
  <c r="J41" i="94" s="1"/>
  <c r="I40" i="94"/>
  <c r="H40" i="94"/>
  <c r="I39" i="94"/>
  <c r="H39" i="94"/>
  <c r="J39" i="94" s="1"/>
  <c r="I38" i="94"/>
  <c r="H38" i="94"/>
  <c r="I37" i="94"/>
  <c r="H37" i="94"/>
  <c r="I36" i="94"/>
  <c r="H36" i="94"/>
  <c r="I35" i="94"/>
  <c r="H35" i="94"/>
  <c r="I34" i="94"/>
  <c r="H34" i="94"/>
  <c r="J34" i="94" s="1"/>
  <c r="I33" i="94"/>
  <c r="H33" i="94"/>
  <c r="J33" i="94" s="1"/>
  <c r="I32" i="94"/>
  <c r="H32" i="94"/>
  <c r="I31" i="94"/>
  <c r="H31" i="94"/>
  <c r="I30" i="94"/>
  <c r="H30" i="94"/>
  <c r="I29" i="94"/>
  <c r="H29" i="94"/>
  <c r="I28" i="94"/>
  <c r="H28" i="94"/>
  <c r="I27" i="94"/>
  <c r="H27" i="94"/>
  <c r="I26" i="94"/>
  <c r="H26" i="94"/>
  <c r="J26" i="94" s="1"/>
  <c r="I25" i="94"/>
  <c r="H25" i="94"/>
  <c r="I24" i="94"/>
  <c r="H24" i="94"/>
  <c r="I23" i="94"/>
  <c r="H23" i="94"/>
  <c r="J23" i="94" s="1"/>
  <c r="I22" i="94"/>
  <c r="H22" i="94"/>
  <c r="I21" i="94"/>
  <c r="H21" i="94"/>
  <c r="I20" i="94"/>
  <c r="H20" i="94"/>
  <c r="I19" i="94"/>
  <c r="H19" i="94"/>
  <c r="F65" i="92"/>
  <c r="F64" i="92"/>
  <c r="F63" i="92"/>
  <c r="F62" i="92"/>
  <c r="F61" i="92"/>
  <c r="F60" i="92"/>
  <c r="F59" i="92"/>
  <c r="F58" i="92"/>
  <c r="F57" i="92"/>
  <c r="F56" i="92"/>
  <c r="F55" i="92"/>
  <c r="F54" i="92"/>
  <c r="F53" i="92"/>
  <c r="F52" i="92"/>
  <c r="F51" i="92"/>
  <c r="F50" i="92"/>
  <c r="F49" i="92"/>
  <c r="F48" i="92"/>
  <c r="F40" i="92"/>
  <c r="F39" i="92"/>
  <c r="F38" i="92"/>
  <c r="F37" i="92"/>
  <c r="F36" i="92"/>
  <c r="F35" i="92"/>
  <c r="F34" i="92"/>
  <c r="F33" i="92"/>
  <c r="F32" i="92"/>
  <c r="F31" i="92"/>
  <c r="F30" i="92"/>
  <c r="F29" i="92"/>
  <c r="F28" i="92"/>
  <c r="F27" i="92"/>
  <c r="F26" i="92"/>
  <c r="F25" i="92"/>
  <c r="F24" i="92"/>
  <c r="O44" i="91"/>
  <c r="O42" i="91"/>
  <c r="P38" i="91"/>
  <c r="O38" i="91"/>
  <c r="N38" i="91"/>
  <c r="P37" i="91"/>
  <c r="O37" i="91"/>
  <c r="N37" i="91"/>
  <c r="E31" i="91"/>
  <c r="D31" i="91"/>
  <c r="C31" i="91"/>
  <c r="D21" i="91"/>
  <c r="F54" i="85" s="1"/>
  <c r="D20" i="91"/>
  <c r="F56" i="85" s="1"/>
  <c r="D19" i="91"/>
  <c r="D18" i="91"/>
  <c r="E27" i="85" s="1"/>
  <c r="D17" i="91"/>
  <c r="C8" i="89" a="1"/>
  <c r="C8" i="89" s="1"/>
  <c r="F46" i="92" s="1"/>
  <c r="C7" i="89" a="1"/>
  <c r="C7" i="89" s="1"/>
  <c r="F21" i="92" s="1"/>
  <c r="C5" i="89" a="1"/>
  <c r="C5" i="89" s="1"/>
  <c r="C4" i="89" a="1"/>
  <c r="C4" i="89" s="1"/>
  <c r="C3" i="89" a="1"/>
  <c r="C3" i="89" s="1"/>
  <c r="D53" i="88"/>
  <c r="D8" i="87" s="1"/>
  <c r="D52" i="88"/>
  <c r="D51" i="88"/>
  <c r="D50" i="88"/>
  <c r="D49" i="88"/>
  <c r="D48" i="88"/>
  <c r="D47" i="88"/>
  <c r="D46" i="88"/>
  <c r="D45" i="88"/>
  <c r="D44" i="88"/>
  <c r="D43" i="88"/>
  <c r="D42" i="88"/>
  <c r="D41" i="88"/>
  <c r="D40" i="88"/>
  <c r="D39" i="88"/>
  <c r="D38" i="88"/>
  <c r="D37" i="88"/>
  <c r="F78" i="86" s="1"/>
  <c r="D36" i="88"/>
  <c r="D35" i="88"/>
  <c r="D34" i="88"/>
  <c r="D33" i="88"/>
  <c r="D32" i="88"/>
  <c r="D31" i="88"/>
  <c r="D30" i="88"/>
  <c r="D29" i="88"/>
  <c r="D28" i="88"/>
  <c r="D27" i="88"/>
  <c r="D26" i="88"/>
  <c r="D25" i="88"/>
  <c r="D24" i="88"/>
  <c r="D23" i="88"/>
  <c r="D22" i="88"/>
  <c r="D21" i="88"/>
  <c r="D20" i="88"/>
  <c r="D19" i="88"/>
  <c r="D18" i="88"/>
  <c r="D17" i="88"/>
  <c r="D16" i="88"/>
  <c r="D15" i="88"/>
  <c r="D14" i="88"/>
  <c r="D13" i="88"/>
  <c r="D12" i="88"/>
  <c r="D11" i="88"/>
  <c r="D10" i="88"/>
  <c r="D9" i="88"/>
  <c r="D8" i="88"/>
  <c r="D7" i="88"/>
  <c r="D6" i="88"/>
  <c r="D5" i="88"/>
  <c r="F77" i="84" s="1"/>
  <c r="D4" i="88"/>
  <c r="D3" i="88"/>
  <c r="D2" i="88"/>
  <c r="F79" i="86" s="1"/>
  <c r="D369" i="87"/>
  <c r="D368" i="87"/>
  <c r="D367" i="87"/>
  <c r="D366" i="87"/>
  <c r="D364" i="87"/>
  <c r="A364" i="87"/>
  <c r="A365" i="87" s="1"/>
  <c r="D363" i="87"/>
  <c r="D362" i="87"/>
  <c r="D361" i="87"/>
  <c r="D360" i="87"/>
  <c r="D359" i="87"/>
  <c r="D357" i="87"/>
  <c r="A357" i="87"/>
  <c r="A358" i="87" s="1"/>
  <c r="A359" i="87" s="1"/>
  <c r="A360" i="87" s="1"/>
  <c r="A361" i="87" s="1"/>
  <c r="A362" i="87" s="1"/>
  <c r="D356" i="87"/>
  <c r="D355" i="87"/>
  <c r="D354" i="87"/>
  <c r="D353" i="87"/>
  <c r="D352" i="87"/>
  <c r="D350" i="87"/>
  <c r="A350" i="87"/>
  <c r="A351" i="87" s="1"/>
  <c r="D349" i="87"/>
  <c r="D348" i="87"/>
  <c r="D347" i="87"/>
  <c r="D346" i="87"/>
  <c r="D345" i="87"/>
  <c r="D343" i="87"/>
  <c r="A343" i="87"/>
  <c r="A344" i="87" s="1"/>
  <c r="A345" i="87" s="1"/>
  <c r="A346" i="87" s="1"/>
  <c r="A347" i="87" s="1"/>
  <c r="A348" i="87" s="1"/>
  <c r="D342" i="87"/>
  <c r="D341" i="87"/>
  <c r="D340" i="87"/>
  <c r="D339" i="87"/>
  <c r="D338" i="87"/>
  <c r="D336" i="87"/>
  <c r="A336" i="87"/>
  <c r="A337" i="87" s="1"/>
  <c r="D335" i="87"/>
  <c r="D334" i="87"/>
  <c r="D333" i="87"/>
  <c r="D332" i="87"/>
  <c r="D331" i="87"/>
  <c r="D329" i="87"/>
  <c r="A329" i="87"/>
  <c r="A330" i="87" s="1"/>
  <c r="D328" i="87"/>
  <c r="D327" i="87"/>
  <c r="D326" i="87"/>
  <c r="D325" i="87"/>
  <c r="D324" i="87"/>
  <c r="D322" i="87"/>
  <c r="A322" i="87"/>
  <c r="A323" i="87" s="1"/>
  <c r="D321" i="87"/>
  <c r="D320" i="87"/>
  <c r="D319" i="87"/>
  <c r="D318" i="87"/>
  <c r="D317" i="87"/>
  <c r="D315" i="87"/>
  <c r="A315" i="87"/>
  <c r="A316" i="87" s="1"/>
  <c r="A317" i="87" s="1"/>
  <c r="A318" i="87" s="1"/>
  <c r="A319" i="87" s="1"/>
  <c r="A320" i="87" s="1"/>
  <c r="D314" i="87"/>
  <c r="D313" i="87"/>
  <c r="D312" i="87"/>
  <c r="D311" i="87"/>
  <c r="D310" i="87"/>
  <c r="D308" i="87"/>
  <c r="A308" i="87"/>
  <c r="A309" i="87" s="1"/>
  <c r="D307" i="87"/>
  <c r="D306" i="87"/>
  <c r="D305" i="87"/>
  <c r="D304" i="87"/>
  <c r="D303" i="87"/>
  <c r="D301" i="87"/>
  <c r="A301" i="87"/>
  <c r="A302" i="87" s="1"/>
  <c r="A303" i="87" s="1"/>
  <c r="A304" i="87" s="1"/>
  <c r="A305" i="87" s="1"/>
  <c r="A306" i="87" s="1"/>
  <c r="D300" i="87"/>
  <c r="D299" i="87"/>
  <c r="D298" i="87"/>
  <c r="D297" i="87"/>
  <c r="D296" i="87"/>
  <c r="D294" i="87"/>
  <c r="A294" i="87"/>
  <c r="A295" i="87" s="1"/>
  <c r="D293" i="87"/>
  <c r="D292" i="87"/>
  <c r="D291" i="87"/>
  <c r="D290" i="87"/>
  <c r="D289" i="87"/>
  <c r="D287" i="87"/>
  <c r="A287" i="87"/>
  <c r="A288" i="87" s="1"/>
  <c r="A289" i="87" s="1"/>
  <c r="A290" i="87" s="1"/>
  <c r="A291" i="87" s="1"/>
  <c r="A292" i="87" s="1"/>
  <c r="D286" i="87"/>
  <c r="D285" i="87"/>
  <c r="D284" i="87"/>
  <c r="D283" i="87"/>
  <c r="D282" i="87"/>
  <c r="D280" i="87"/>
  <c r="A280" i="87"/>
  <c r="A281" i="87" s="1"/>
  <c r="D279" i="87"/>
  <c r="D278" i="87"/>
  <c r="D277" i="87"/>
  <c r="D276" i="87"/>
  <c r="D275" i="87"/>
  <c r="D273" i="87"/>
  <c r="A273" i="87"/>
  <c r="A274" i="87" s="1"/>
  <c r="D272" i="87"/>
  <c r="D271" i="87"/>
  <c r="D270" i="87"/>
  <c r="D269" i="87"/>
  <c r="D268" i="87"/>
  <c r="D266" i="87"/>
  <c r="A266" i="87"/>
  <c r="A267" i="87" s="1"/>
  <c r="D265" i="87"/>
  <c r="D264" i="87"/>
  <c r="D263" i="87"/>
  <c r="D262" i="87"/>
  <c r="D261" i="87"/>
  <c r="D259" i="87"/>
  <c r="A259" i="87"/>
  <c r="A260" i="87" s="1"/>
  <c r="A261" i="87" s="1"/>
  <c r="A262" i="87" s="1"/>
  <c r="A263" i="87" s="1"/>
  <c r="A264" i="87" s="1"/>
  <c r="D258" i="87"/>
  <c r="D257" i="87"/>
  <c r="D256" i="87"/>
  <c r="D255" i="87"/>
  <c r="D254" i="87"/>
  <c r="D252" i="87"/>
  <c r="A252" i="87"/>
  <c r="A253" i="87" s="1"/>
  <c r="D251" i="87"/>
  <c r="D250" i="87"/>
  <c r="D249" i="87"/>
  <c r="D248" i="87"/>
  <c r="D247" i="87"/>
  <c r="D245" i="87"/>
  <c r="A245" i="87"/>
  <c r="A246" i="87" s="1"/>
  <c r="A247" i="87" s="1"/>
  <c r="A248" i="87" s="1"/>
  <c r="A249" i="87" s="1"/>
  <c r="A250" i="87" s="1"/>
  <c r="D244" i="87"/>
  <c r="D243" i="87"/>
  <c r="D242" i="87"/>
  <c r="D241" i="87"/>
  <c r="D240" i="87"/>
  <c r="D238" i="87"/>
  <c r="A238" i="87"/>
  <c r="A239" i="87" s="1"/>
  <c r="D237" i="87"/>
  <c r="D236" i="87"/>
  <c r="D235" i="87"/>
  <c r="D234" i="87"/>
  <c r="D233" i="87"/>
  <c r="D231" i="87"/>
  <c r="A231" i="87"/>
  <c r="A232" i="87" s="1"/>
  <c r="A233" i="87" s="1"/>
  <c r="A234" i="87" s="1"/>
  <c r="A235" i="87" s="1"/>
  <c r="A236" i="87" s="1"/>
  <c r="D230" i="87"/>
  <c r="D229" i="87"/>
  <c r="D228" i="87"/>
  <c r="D227" i="87"/>
  <c r="D226" i="87"/>
  <c r="D224" i="87"/>
  <c r="A224" i="87"/>
  <c r="A225" i="87" s="1"/>
  <c r="D223" i="87"/>
  <c r="D222" i="87"/>
  <c r="D221" i="87"/>
  <c r="D220" i="87"/>
  <c r="D219" i="87"/>
  <c r="D217" i="87"/>
  <c r="A217" i="87"/>
  <c r="A218" i="87" s="1"/>
  <c r="D216" i="87"/>
  <c r="D215" i="87"/>
  <c r="D214" i="87"/>
  <c r="D213" i="87"/>
  <c r="D212" i="87"/>
  <c r="D210" i="87"/>
  <c r="A210" i="87"/>
  <c r="A211" i="87" s="1"/>
  <c r="D211" i="87" s="1"/>
  <c r="D209" i="87"/>
  <c r="D208" i="87"/>
  <c r="D207" i="87"/>
  <c r="D206" i="87"/>
  <c r="D205" i="87"/>
  <c r="D203" i="87"/>
  <c r="A203" i="87"/>
  <c r="A204" i="87" s="1"/>
  <c r="A205" i="87" s="1"/>
  <c r="A206" i="87" s="1"/>
  <c r="A207" i="87" s="1"/>
  <c r="A208" i="87" s="1"/>
  <c r="D202" i="87"/>
  <c r="D201" i="87"/>
  <c r="D200" i="87"/>
  <c r="D199" i="87"/>
  <c r="D198" i="87"/>
  <c r="D196" i="87"/>
  <c r="A196" i="87"/>
  <c r="A197" i="87" s="1"/>
  <c r="D195" i="87"/>
  <c r="D194" i="87"/>
  <c r="D193" i="87"/>
  <c r="D192" i="87"/>
  <c r="D191" i="87"/>
  <c r="D189" i="87"/>
  <c r="A189" i="87"/>
  <c r="A190" i="87" s="1"/>
  <c r="A191" i="87" s="1"/>
  <c r="A192" i="87" s="1"/>
  <c r="A193" i="87" s="1"/>
  <c r="A194" i="87" s="1"/>
  <c r="D188" i="87"/>
  <c r="D187" i="87"/>
  <c r="D186" i="87"/>
  <c r="D185" i="87"/>
  <c r="D184" i="87"/>
  <c r="D182" i="87"/>
  <c r="A182" i="87"/>
  <c r="A183" i="87" s="1"/>
  <c r="D181" i="87"/>
  <c r="D180" i="87"/>
  <c r="D179" i="87"/>
  <c r="D178" i="87"/>
  <c r="D177" i="87"/>
  <c r="D175" i="87"/>
  <c r="A175" i="87"/>
  <c r="A176" i="87" s="1"/>
  <c r="A177" i="87" s="1"/>
  <c r="A178" i="87" s="1"/>
  <c r="A179" i="87" s="1"/>
  <c r="A180" i="87" s="1"/>
  <c r="D174" i="87"/>
  <c r="D173" i="87"/>
  <c r="D172" i="87"/>
  <c r="D171" i="87"/>
  <c r="D170" i="87"/>
  <c r="D168" i="87"/>
  <c r="A168" i="87"/>
  <c r="A169" i="87" s="1"/>
  <c r="D167" i="87"/>
  <c r="D166" i="87"/>
  <c r="D165" i="87"/>
  <c r="D164" i="87"/>
  <c r="D163" i="87"/>
  <c r="D161" i="87"/>
  <c r="A161" i="87"/>
  <c r="A162" i="87" s="1"/>
  <c r="D160" i="87"/>
  <c r="D159" i="87"/>
  <c r="D158" i="87"/>
  <c r="D157" i="87"/>
  <c r="D156" i="87"/>
  <c r="D154" i="87"/>
  <c r="A154" i="87"/>
  <c r="A155" i="87" s="1"/>
  <c r="D153" i="87"/>
  <c r="D152" i="87"/>
  <c r="D151" i="87"/>
  <c r="D150" i="87"/>
  <c r="D149" i="87"/>
  <c r="D147" i="87"/>
  <c r="A147" i="87"/>
  <c r="A148" i="87" s="1"/>
  <c r="A149" i="87" s="1"/>
  <c r="A150" i="87" s="1"/>
  <c r="A151" i="87" s="1"/>
  <c r="A152" i="87" s="1"/>
  <c r="D146" i="87"/>
  <c r="D145" i="87"/>
  <c r="D144" i="87"/>
  <c r="D143" i="87"/>
  <c r="D142" i="87"/>
  <c r="D140" i="87"/>
  <c r="A140" i="87"/>
  <c r="A141" i="87" s="1"/>
  <c r="D139" i="87"/>
  <c r="D138" i="87"/>
  <c r="D137" i="87"/>
  <c r="D136" i="87"/>
  <c r="D135" i="87"/>
  <c r="D133" i="87"/>
  <c r="A133" i="87"/>
  <c r="A134" i="87" s="1"/>
  <c r="A135" i="87" s="1"/>
  <c r="A136" i="87" s="1"/>
  <c r="A137" i="87" s="1"/>
  <c r="A138" i="87" s="1"/>
  <c r="D132" i="87"/>
  <c r="D131" i="87"/>
  <c r="D130" i="87"/>
  <c r="D129" i="87"/>
  <c r="D128" i="87"/>
  <c r="D126" i="87"/>
  <c r="A126" i="87"/>
  <c r="A127" i="87" s="1"/>
  <c r="D125" i="87"/>
  <c r="D124" i="87"/>
  <c r="D123" i="87"/>
  <c r="D122" i="87"/>
  <c r="D121" i="87"/>
  <c r="D119" i="87"/>
  <c r="A119" i="87"/>
  <c r="A120" i="87" s="1"/>
  <c r="A121" i="87" s="1"/>
  <c r="A122" i="87" s="1"/>
  <c r="A123" i="87" s="1"/>
  <c r="A124" i="87" s="1"/>
  <c r="D118" i="87"/>
  <c r="D117" i="87"/>
  <c r="D116" i="87"/>
  <c r="D115" i="87"/>
  <c r="D114" i="87"/>
  <c r="D112" i="87"/>
  <c r="A112" i="87"/>
  <c r="A113" i="87" s="1"/>
  <c r="D111" i="87"/>
  <c r="D110" i="87"/>
  <c r="D109" i="87"/>
  <c r="D108" i="87"/>
  <c r="D107" i="87"/>
  <c r="D105" i="87"/>
  <c r="A105" i="87"/>
  <c r="A106" i="87" s="1"/>
  <c r="D104" i="87"/>
  <c r="D103" i="87"/>
  <c r="D102" i="87"/>
  <c r="D101" i="87"/>
  <c r="D100" i="87"/>
  <c r="D98" i="87"/>
  <c r="A98" i="87"/>
  <c r="A99" i="87" s="1"/>
  <c r="D97" i="87"/>
  <c r="D96" i="87"/>
  <c r="D95" i="87"/>
  <c r="D94" i="87"/>
  <c r="D93" i="87"/>
  <c r="D91" i="87"/>
  <c r="A91" i="87"/>
  <c r="A92" i="87" s="1"/>
  <c r="A93" i="87" s="1"/>
  <c r="A94" i="87" s="1"/>
  <c r="A95" i="87" s="1"/>
  <c r="A96" i="87" s="1"/>
  <c r="D90" i="87"/>
  <c r="D89" i="87"/>
  <c r="D88" i="87"/>
  <c r="D87" i="87"/>
  <c r="D86" i="87"/>
  <c r="D84" i="87"/>
  <c r="A84" i="87"/>
  <c r="A85" i="87" s="1"/>
  <c r="D83" i="87"/>
  <c r="D82" i="87"/>
  <c r="D81" i="87"/>
  <c r="D80" i="87"/>
  <c r="D79" i="87"/>
  <c r="D77" i="87"/>
  <c r="A77" i="87"/>
  <c r="A78" i="87" s="1"/>
  <c r="A79" i="87" s="1"/>
  <c r="A80" i="87" s="1"/>
  <c r="A81" i="87" s="1"/>
  <c r="A82" i="87" s="1"/>
  <c r="D76" i="87"/>
  <c r="D75" i="87"/>
  <c r="D74" i="87"/>
  <c r="D73" i="87"/>
  <c r="D72" i="87"/>
  <c r="D70" i="87"/>
  <c r="A70" i="87"/>
  <c r="A71" i="87" s="1"/>
  <c r="D69" i="87"/>
  <c r="D68" i="87"/>
  <c r="D67" i="87"/>
  <c r="D66" i="87"/>
  <c r="D65" i="87"/>
  <c r="D63" i="87"/>
  <c r="A63" i="87"/>
  <c r="A64" i="87" s="1"/>
  <c r="D62" i="87"/>
  <c r="D61" i="87"/>
  <c r="D60" i="87"/>
  <c r="D59" i="87"/>
  <c r="D58" i="87"/>
  <c r="G56" i="87"/>
  <c r="H56" i="87" s="1"/>
  <c r="H16" i="87" s="1"/>
  <c r="D56" i="87"/>
  <c r="A56" i="87"/>
  <c r="A57" i="87" s="1"/>
  <c r="H55" i="87"/>
  <c r="D55" i="87"/>
  <c r="H54" i="87"/>
  <c r="D54" i="87"/>
  <c r="H53" i="87"/>
  <c r="D53" i="87"/>
  <c r="H52" i="87"/>
  <c r="D52" i="87"/>
  <c r="H51" i="87"/>
  <c r="D51" i="87"/>
  <c r="H50" i="87"/>
  <c r="H49" i="87"/>
  <c r="D49" i="87"/>
  <c r="A49" i="87"/>
  <c r="A50" i="87" s="1"/>
  <c r="A51" i="87" s="1"/>
  <c r="A52" i="87" s="1"/>
  <c r="A53" i="87" s="1"/>
  <c r="A54" i="87" s="1"/>
  <c r="H48" i="87"/>
  <c r="D48" i="87"/>
  <c r="H47" i="87"/>
  <c r="D47" i="87"/>
  <c r="H46" i="87"/>
  <c r="D46" i="87"/>
  <c r="H45" i="87"/>
  <c r="D45" i="87"/>
  <c r="H44" i="87"/>
  <c r="D44" i="87"/>
  <c r="H43" i="87"/>
  <c r="H42" i="87"/>
  <c r="D42" i="87"/>
  <c r="A42" i="87"/>
  <c r="A43" i="87" s="1"/>
  <c r="A44" i="87" s="1"/>
  <c r="A45" i="87" s="1"/>
  <c r="A46" i="87" s="1"/>
  <c r="A47" i="87" s="1"/>
  <c r="H41" i="87"/>
  <c r="D41" i="87"/>
  <c r="H40" i="87"/>
  <c r="D40" i="87"/>
  <c r="H39" i="87"/>
  <c r="D39" i="87"/>
  <c r="H38" i="87"/>
  <c r="D38" i="87"/>
  <c r="H37" i="87"/>
  <c r="D37" i="87"/>
  <c r="H36" i="87"/>
  <c r="H35" i="87"/>
  <c r="D35" i="87"/>
  <c r="A35" i="87"/>
  <c r="A36" i="87" s="1"/>
  <c r="H34" i="87"/>
  <c r="D34" i="87"/>
  <c r="H33" i="87"/>
  <c r="D33" i="87"/>
  <c r="H32" i="87"/>
  <c r="D32" i="87"/>
  <c r="H31" i="87"/>
  <c r="D31" i="87"/>
  <c r="H30" i="87"/>
  <c r="D30" i="87"/>
  <c r="H29" i="87"/>
  <c r="H28" i="87"/>
  <c r="D28" i="87"/>
  <c r="A28" i="87"/>
  <c r="A29" i="87" s="1"/>
  <c r="H27" i="87"/>
  <c r="D27" i="87"/>
  <c r="H26" i="87"/>
  <c r="D26" i="87"/>
  <c r="H25" i="87"/>
  <c r="D25" i="87"/>
  <c r="H24" i="87"/>
  <c r="D24" i="87"/>
  <c r="H23" i="87"/>
  <c r="D23" i="87"/>
  <c r="H22" i="87"/>
  <c r="H21" i="87"/>
  <c r="D21" i="87"/>
  <c r="A21" i="87"/>
  <c r="A22" i="87" s="1"/>
  <c r="H20" i="87"/>
  <c r="D20" i="87"/>
  <c r="H19" i="87"/>
  <c r="D19" i="87"/>
  <c r="H18" i="87"/>
  <c r="D18" i="87"/>
  <c r="H17" i="87"/>
  <c r="D17" i="87"/>
  <c r="Z16" i="87"/>
  <c r="D16" i="87"/>
  <c r="Z15" i="87"/>
  <c r="H15" i="87"/>
  <c r="Z14" i="87"/>
  <c r="H14" i="87"/>
  <c r="D14" i="87"/>
  <c r="A14" i="87"/>
  <c r="Z13" i="87"/>
  <c r="H13" i="87"/>
  <c r="D13" i="87"/>
  <c r="Z12" i="87"/>
  <c r="H12" i="87"/>
  <c r="D12" i="87"/>
  <c r="Z11" i="87"/>
  <c r="H11" i="87"/>
  <c r="D11" i="87"/>
  <c r="Z10" i="87"/>
  <c r="H10" i="87"/>
  <c r="D10" i="87"/>
  <c r="Z9" i="87"/>
  <c r="H9" i="87"/>
  <c r="D9" i="87"/>
  <c r="Z8" i="87"/>
  <c r="H8" i="87"/>
  <c r="Z7" i="87"/>
  <c r="D7" i="87"/>
  <c r="Z6" i="87"/>
  <c r="H6" i="87"/>
  <c r="D6" i="87"/>
  <c r="F86" i="86"/>
  <c r="F85" i="86"/>
  <c r="F84" i="86"/>
  <c r="F83" i="86"/>
  <c r="F82" i="86"/>
  <c r="F81" i="86"/>
  <c r="F80" i="86"/>
  <c r="F126" i="85"/>
  <c r="E126" i="85"/>
  <c r="F125" i="85"/>
  <c r="E125" i="85"/>
  <c r="F124" i="85"/>
  <c r="E124" i="85"/>
  <c r="F123" i="85"/>
  <c r="E123" i="85"/>
  <c r="F122" i="85"/>
  <c r="E122" i="85"/>
  <c r="F121" i="85"/>
  <c r="E121" i="85"/>
  <c r="F120" i="85"/>
  <c r="E120" i="85"/>
  <c r="F119" i="85"/>
  <c r="E119" i="85"/>
  <c r="F118" i="85"/>
  <c r="E118" i="85"/>
  <c r="F117" i="85"/>
  <c r="E117" i="85"/>
  <c r="F116" i="85"/>
  <c r="E116" i="85"/>
  <c r="F115" i="85"/>
  <c r="E115" i="85"/>
  <c r="F114" i="85"/>
  <c r="E114" i="85"/>
  <c r="F113" i="85"/>
  <c r="E113" i="85"/>
  <c r="F112" i="85"/>
  <c r="E112" i="85"/>
  <c r="F111" i="85"/>
  <c r="E111" i="85"/>
  <c r="F110" i="85"/>
  <c r="E110" i="85"/>
  <c r="F109" i="85"/>
  <c r="E109" i="85"/>
  <c r="E108" i="85"/>
  <c r="E107" i="85"/>
  <c r="E99" i="85"/>
  <c r="D99" i="85"/>
  <c r="E98" i="85"/>
  <c r="D98" i="85"/>
  <c r="E97" i="85"/>
  <c r="D97" i="85"/>
  <c r="E96" i="85"/>
  <c r="D96" i="85"/>
  <c r="E95" i="85"/>
  <c r="D95" i="85"/>
  <c r="E94" i="85"/>
  <c r="D94" i="85"/>
  <c r="E93" i="85"/>
  <c r="D93" i="85"/>
  <c r="E92" i="85"/>
  <c r="D92" i="85"/>
  <c r="E91" i="85"/>
  <c r="D91" i="85"/>
  <c r="E90" i="85"/>
  <c r="D90" i="85"/>
  <c r="E89" i="85"/>
  <c r="D89" i="85"/>
  <c r="E88" i="85"/>
  <c r="D88" i="85"/>
  <c r="E87" i="85"/>
  <c r="D87" i="85"/>
  <c r="E86" i="85"/>
  <c r="D86" i="85"/>
  <c r="E85" i="85"/>
  <c r="D85" i="85"/>
  <c r="E84" i="85"/>
  <c r="D84" i="85"/>
  <c r="E83" i="85"/>
  <c r="D83" i="85"/>
  <c r="D82" i="85"/>
  <c r="E81" i="85"/>
  <c r="D81" i="85"/>
  <c r="D80" i="85"/>
  <c r="F73" i="85"/>
  <c r="E73" i="85"/>
  <c r="F72" i="85"/>
  <c r="E72" i="85"/>
  <c r="F71" i="85"/>
  <c r="E71" i="85"/>
  <c r="F70" i="85"/>
  <c r="E70" i="85"/>
  <c r="F69" i="85"/>
  <c r="E69" i="85"/>
  <c r="F68" i="85"/>
  <c r="E68" i="85"/>
  <c r="F67" i="85"/>
  <c r="E67" i="85"/>
  <c r="F66" i="85"/>
  <c r="E66" i="85"/>
  <c r="F65" i="85"/>
  <c r="E65" i="85"/>
  <c r="F64" i="85"/>
  <c r="E64" i="85"/>
  <c r="F63" i="85"/>
  <c r="E63" i="85"/>
  <c r="F62" i="85"/>
  <c r="E62" i="85"/>
  <c r="F61" i="85"/>
  <c r="E61" i="85"/>
  <c r="F60" i="85"/>
  <c r="E60" i="85"/>
  <c r="F59" i="85"/>
  <c r="E59" i="85"/>
  <c r="F58" i="85"/>
  <c r="E58" i="85"/>
  <c r="F57" i="85"/>
  <c r="E57" i="85"/>
  <c r="F55" i="85"/>
  <c r="E55" i="85"/>
  <c r="E54" i="85"/>
  <c r="E46" i="85"/>
  <c r="D46" i="85"/>
  <c r="E45" i="85"/>
  <c r="D45" i="85"/>
  <c r="E44" i="85"/>
  <c r="D44" i="85"/>
  <c r="E43" i="85"/>
  <c r="D43" i="85"/>
  <c r="E42" i="85"/>
  <c r="D42" i="85"/>
  <c r="E41" i="85"/>
  <c r="D41" i="85"/>
  <c r="E40" i="85"/>
  <c r="D40" i="85"/>
  <c r="E39" i="85"/>
  <c r="D39" i="85"/>
  <c r="E38" i="85"/>
  <c r="D38" i="85"/>
  <c r="E37" i="85"/>
  <c r="D37" i="85"/>
  <c r="E36" i="85"/>
  <c r="D36" i="85"/>
  <c r="E35" i="85"/>
  <c r="D35" i="85"/>
  <c r="E34" i="85"/>
  <c r="D34" i="85"/>
  <c r="E33" i="85"/>
  <c r="D33" i="85"/>
  <c r="E32" i="85"/>
  <c r="D32" i="85"/>
  <c r="E31" i="85"/>
  <c r="D31" i="85"/>
  <c r="D30" i="85"/>
  <c r="E29" i="85"/>
  <c r="D29" i="85"/>
  <c r="D28" i="85"/>
  <c r="D27" i="85"/>
  <c r="F95" i="84"/>
  <c r="F94" i="84"/>
  <c r="F93" i="84"/>
  <c r="F92" i="84"/>
  <c r="F91" i="84"/>
  <c r="F90" i="84"/>
  <c r="F89" i="84"/>
  <c r="F88" i="84"/>
  <c r="F87" i="84"/>
  <c r="F86" i="84"/>
  <c r="F85" i="84"/>
  <c r="F84" i="84"/>
  <c r="F83" i="84"/>
  <c r="F82" i="84"/>
  <c r="F81" i="84"/>
  <c r="F80" i="84"/>
  <c r="F79" i="84"/>
  <c r="F78" i="84"/>
  <c r="E76" i="84"/>
  <c r="G67" i="84"/>
  <c r="G66" i="84"/>
  <c r="G65" i="84"/>
  <c r="G64" i="84"/>
  <c r="G63" i="84"/>
  <c r="G62" i="84"/>
  <c r="G61" i="84"/>
  <c r="G60" i="84"/>
  <c r="G59" i="84"/>
  <c r="G58" i="84"/>
  <c r="G57" i="84"/>
  <c r="G56" i="84"/>
  <c r="G55" i="84"/>
  <c r="G54" i="84"/>
  <c r="G53" i="84"/>
  <c r="G52" i="84"/>
  <c r="G51" i="84"/>
  <c r="G50" i="84"/>
  <c r="G42" i="84"/>
  <c r="G41" i="84"/>
  <c r="G40" i="84"/>
  <c r="G39" i="84"/>
  <c r="G38" i="84"/>
  <c r="G37" i="84"/>
  <c r="G36" i="84"/>
  <c r="G35" i="84"/>
  <c r="G34" i="84"/>
  <c r="G33" i="84"/>
  <c r="G32" i="84"/>
  <c r="G31" i="84"/>
  <c r="G30" i="84"/>
  <c r="G29" i="84"/>
  <c r="G28" i="84"/>
  <c r="G27" i="84"/>
  <c r="G26" i="84"/>
  <c r="G25" i="84"/>
  <c r="F98" i="83"/>
  <c r="F96" i="83"/>
  <c r="E24" i="82"/>
  <c r="E23" i="82"/>
  <c r="E22" i="82"/>
  <c r="E21" i="82"/>
  <c r="E20" i="80"/>
  <c r="E19" i="80"/>
  <c r="E18" i="80"/>
  <c r="E17" i="80"/>
  <c r="E16" i="80"/>
  <c r="E15" i="80"/>
  <c r="E14" i="80"/>
  <c r="E80" i="79"/>
  <c r="E79" i="79"/>
  <c r="E78" i="79"/>
  <c r="D115" i="77"/>
  <c r="N61" i="76"/>
  <c r="G61" i="76"/>
  <c r="N42" i="76"/>
  <c r="G42" i="76"/>
  <c r="N41" i="76"/>
  <c r="G41" i="76"/>
  <c r="N40" i="76"/>
  <c r="G40" i="76"/>
  <c r="N39" i="76"/>
  <c r="G39" i="76"/>
  <c r="N38" i="76"/>
  <c r="G38" i="76"/>
  <c r="N37" i="76"/>
  <c r="G37" i="76"/>
  <c r="N36" i="76"/>
  <c r="G36" i="76"/>
  <c r="N35" i="76"/>
  <c r="G35" i="76"/>
  <c r="N34" i="76"/>
  <c r="G34" i="76"/>
  <c r="N33" i="76"/>
  <c r="G33" i="76"/>
  <c r="N32" i="76"/>
  <c r="G32" i="76"/>
  <c r="N31" i="76"/>
  <c r="G31" i="76"/>
  <c r="N30" i="76"/>
  <c r="G30" i="76"/>
  <c r="N29" i="76"/>
  <c r="G29" i="76"/>
  <c r="N28" i="76"/>
  <c r="G28" i="76"/>
  <c r="N27" i="76"/>
  <c r="G27" i="76"/>
  <c r="N26" i="76"/>
  <c r="G26" i="76"/>
  <c r="N25" i="76"/>
  <c r="G25" i="76"/>
  <c r="N24" i="76"/>
  <c r="G24" i="76"/>
  <c r="N23" i="76"/>
  <c r="G23" i="76"/>
  <c r="U210" i="69"/>
  <c r="U209" i="69"/>
  <c r="U208" i="69"/>
  <c r="U207" i="69"/>
  <c r="U206" i="69"/>
  <c r="U205" i="69"/>
  <c r="U204" i="69"/>
  <c r="U203" i="69"/>
  <c r="U202" i="69"/>
  <c r="U201" i="69"/>
  <c r="U200" i="69"/>
  <c r="U199" i="69"/>
  <c r="U198" i="69"/>
  <c r="U197" i="69"/>
  <c r="U194" i="69"/>
  <c r="U193" i="69"/>
  <c r="U192" i="69"/>
  <c r="U191" i="69"/>
  <c r="U190" i="69"/>
  <c r="U189" i="69"/>
  <c r="U188" i="69"/>
  <c r="U187" i="69"/>
  <c r="U186" i="69"/>
  <c r="U185" i="69"/>
  <c r="U184" i="69"/>
  <c r="U183" i="69"/>
  <c r="U182" i="69"/>
  <c r="U181" i="69"/>
  <c r="V177" i="69"/>
  <c r="T177" i="69"/>
  <c r="V176" i="69"/>
  <c r="T176" i="69" s="1"/>
  <c r="V175" i="69"/>
  <c r="T175" i="69" s="1"/>
  <c r="V174" i="69"/>
  <c r="T174" i="69" s="1"/>
  <c r="V173" i="69"/>
  <c r="T173" i="69" s="1"/>
  <c r="V172" i="69"/>
  <c r="T172" i="69" s="1"/>
  <c r="V171" i="69"/>
  <c r="T171" i="69" s="1"/>
  <c r="V170" i="69"/>
  <c r="T170" i="69" s="1"/>
  <c r="V169" i="69"/>
  <c r="T169" i="69" s="1"/>
  <c r="V168" i="69"/>
  <c r="T168" i="69" s="1"/>
  <c r="T167" i="69"/>
  <c r="T166" i="69"/>
  <c r="T165" i="69"/>
  <c r="T164" i="69"/>
  <c r="T163" i="69"/>
  <c r="T162" i="69"/>
  <c r="T161" i="69"/>
  <c r="T160" i="69"/>
  <c r="T159" i="69"/>
  <c r="T158" i="69"/>
  <c r="T157" i="69"/>
  <c r="T156" i="69"/>
  <c r="T155" i="69"/>
  <c r="T154" i="69"/>
  <c r="T153" i="69"/>
  <c r="T152" i="69"/>
  <c r="T151" i="69"/>
  <c r="T150" i="69"/>
  <c r="T149" i="69"/>
  <c r="T148" i="69"/>
  <c r="T147" i="69"/>
  <c r="T146" i="69"/>
  <c r="T145" i="69"/>
  <c r="T144" i="69"/>
  <c r="T143" i="69"/>
  <c r="T142" i="69"/>
  <c r="T141" i="69"/>
  <c r="T140" i="69"/>
  <c r="T139" i="69"/>
  <c r="T138" i="69"/>
  <c r="T137" i="69"/>
  <c r="T136" i="69"/>
  <c r="T135" i="69"/>
  <c r="T134" i="69"/>
  <c r="T133" i="69"/>
  <c r="T132" i="69"/>
  <c r="T131" i="69"/>
  <c r="T130" i="69"/>
  <c r="T129" i="69"/>
  <c r="T128" i="69"/>
  <c r="T127" i="69"/>
  <c r="T126" i="69"/>
  <c r="T125" i="69"/>
  <c r="T124" i="69"/>
  <c r="T123" i="69"/>
  <c r="V122" i="69"/>
  <c r="T122" i="69" s="1"/>
  <c r="V121" i="69"/>
  <c r="T121" i="69" s="1"/>
  <c r="V120" i="69"/>
  <c r="T120" i="69"/>
  <c r="V119" i="69"/>
  <c r="T119" i="69" s="1"/>
  <c r="U115" i="69"/>
  <c r="U114" i="69"/>
  <c r="U113" i="69"/>
  <c r="U112" i="69"/>
  <c r="U111" i="69"/>
  <c r="U110" i="69"/>
  <c r="U109" i="69"/>
  <c r="U108" i="69"/>
  <c r="U107" i="69"/>
  <c r="U106" i="69"/>
  <c r="U105" i="69"/>
  <c r="U104" i="69"/>
  <c r="U103" i="69"/>
  <c r="U102" i="69"/>
  <c r="U101" i="69"/>
  <c r="U100" i="69"/>
  <c r="U99" i="69"/>
  <c r="U98" i="69"/>
  <c r="U97" i="69"/>
  <c r="U96" i="69"/>
  <c r="U95" i="69"/>
  <c r="U94" i="69"/>
  <c r="U93" i="69"/>
  <c r="U92" i="69"/>
  <c r="U91" i="69"/>
  <c r="U90" i="69"/>
  <c r="U89" i="69"/>
  <c r="U88" i="69"/>
  <c r="U87" i="69"/>
  <c r="U86" i="69"/>
  <c r="U85" i="69"/>
  <c r="U84" i="69"/>
  <c r="U83" i="69"/>
  <c r="U82" i="69"/>
  <c r="U81" i="69"/>
  <c r="U80" i="69"/>
  <c r="U79" i="69"/>
  <c r="U78" i="69"/>
  <c r="U77" i="69"/>
  <c r="U76" i="69"/>
  <c r="U75" i="69"/>
  <c r="U74" i="69"/>
  <c r="U73" i="69"/>
  <c r="U72" i="69"/>
  <c r="U71" i="69"/>
  <c r="U70" i="69"/>
  <c r="U69" i="69"/>
  <c r="U68" i="69"/>
  <c r="U67" i="69"/>
  <c r="U66" i="69"/>
  <c r="U65" i="69"/>
  <c r="U64" i="69"/>
  <c r="U63" i="69"/>
  <c r="U62" i="69"/>
  <c r="U61" i="69"/>
  <c r="U60" i="69"/>
  <c r="U59" i="69"/>
  <c r="U58" i="69"/>
  <c r="U57" i="69"/>
  <c r="E29" i="69"/>
  <c r="E30" i="69" s="1"/>
  <c r="H63" i="102" l="1"/>
  <c r="Q13" i="104"/>
  <c r="N15" i="104"/>
  <c r="G38" i="102"/>
  <c r="D337" i="87"/>
  <c r="F47" i="79"/>
  <c r="F57" i="79"/>
  <c r="F107" i="85"/>
  <c r="J40" i="94"/>
  <c r="F60" i="79"/>
  <c r="E20" i="104"/>
  <c r="E14" i="75" s="1"/>
  <c r="E30" i="85"/>
  <c r="G80" i="77"/>
  <c r="H80" i="77" s="1"/>
  <c r="D155" i="87"/>
  <c r="G30" i="102"/>
  <c r="J42" i="94"/>
  <c r="BP51" i="103"/>
  <c r="J24" i="94"/>
  <c r="J25" i="94"/>
  <c r="J35" i="94"/>
  <c r="F44" i="79"/>
  <c r="F54" i="79"/>
  <c r="AA188" i="69"/>
  <c r="AB188" i="69" s="1"/>
  <c r="D99" i="87"/>
  <c r="D281" i="87"/>
  <c r="F48" i="79"/>
  <c r="F58" i="79"/>
  <c r="E145" i="102"/>
  <c r="J49" i="94"/>
  <c r="J52" i="94"/>
  <c r="F108" i="85"/>
  <c r="J50" i="94"/>
  <c r="E156" i="102"/>
  <c r="E163" i="102"/>
  <c r="E126" i="102"/>
  <c r="E149" i="102"/>
  <c r="J53" i="94"/>
  <c r="F51" i="79"/>
  <c r="F56" i="83"/>
  <c r="G56" i="83" s="1"/>
  <c r="D148" i="87"/>
  <c r="D190" i="87"/>
  <c r="D36" i="87"/>
  <c r="J55" i="94"/>
  <c r="E141" i="102"/>
  <c r="BP124" i="103"/>
  <c r="AA181" i="69"/>
  <c r="AB181" i="69" s="1"/>
  <c r="D113" i="87"/>
  <c r="D225" i="87"/>
  <c r="D358" i="87"/>
  <c r="E29" i="102"/>
  <c r="J47" i="94"/>
  <c r="J65" i="94"/>
  <c r="BP19" i="103"/>
  <c r="D246" i="87"/>
  <c r="J66" i="94"/>
  <c r="BP6" i="103"/>
  <c r="F47" i="92"/>
  <c r="F66" i="92" s="1"/>
  <c r="BP236" i="103"/>
  <c r="BP107" i="103"/>
  <c r="J57" i="94"/>
  <c r="F23" i="92"/>
  <c r="J67" i="94"/>
  <c r="BP231" i="103"/>
  <c r="J32" i="94"/>
  <c r="F49" i="79"/>
  <c r="F59" i="79"/>
  <c r="E175" i="102"/>
  <c r="E130" i="102"/>
  <c r="E177" i="102"/>
  <c r="E151" i="102"/>
  <c r="E169" i="102"/>
  <c r="E134" i="102"/>
  <c r="E143" i="102"/>
  <c r="E165" i="102"/>
  <c r="E124" i="102"/>
  <c r="E147" i="102"/>
  <c r="E84" i="102"/>
  <c r="E179" i="102"/>
  <c r="E60" i="102"/>
  <c r="BP146" i="103"/>
  <c r="BP131" i="103"/>
  <c r="BP23" i="103"/>
  <c r="BP67" i="103"/>
  <c r="BP257" i="103"/>
  <c r="BP24" i="103"/>
  <c r="BP41" i="103"/>
  <c r="BP157" i="103"/>
  <c r="BP234" i="103"/>
  <c r="BP192" i="103"/>
  <c r="BP277" i="103"/>
  <c r="BP128" i="103"/>
  <c r="BP242" i="103"/>
  <c r="BP39" i="103"/>
  <c r="BP183" i="103"/>
  <c r="BP185" i="103"/>
  <c r="BP61" i="103"/>
  <c r="BP247" i="103"/>
  <c r="BP197" i="103"/>
  <c r="BP7" i="103"/>
  <c r="BP106" i="103"/>
  <c r="BP273" i="103"/>
  <c r="BP221" i="103"/>
  <c r="BP50" i="103"/>
  <c r="BP122" i="103"/>
  <c r="BP214" i="103"/>
  <c r="BP96" i="103"/>
  <c r="BP211" i="103"/>
  <c r="BP100" i="103"/>
  <c r="G32" i="102"/>
  <c r="G31" i="102"/>
  <c r="BP203" i="103"/>
  <c r="BP218" i="103"/>
  <c r="BP168" i="103"/>
  <c r="BP91" i="103"/>
  <c r="BP52" i="103"/>
  <c r="BP47" i="103"/>
  <c r="BP9" i="103"/>
  <c r="BP152" i="103"/>
  <c r="BP145" i="103"/>
  <c r="BP10" i="103"/>
  <c r="BP108" i="103"/>
  <c r="BP102" i="103"/>
  <c r="BP123" i="103"/>
  <c r="BP186" i="103"/>
  <c r="BP92" i="103"/>
  <c r="BP28" i="103"/>
  <c r="BP275" i="103"/>
  <c r="BP244" i="103"/>
  <c r="BP208" i="103"/>
  <c r="BP132" i="103"/>
  <c r="BP86" i="103"/>
  <c r="BP74" i="103"/>
  <c r="BP26" i="103"/>
  <c r="BP153" i="103"/>
  <c r="BP228" i="103"/>
  <c r="BP58" i="103"/>
  <c r="BP85" i="103"/>
  <c r="BP12" i="103"/>
  <c r="BP184" i="103"/>
  <c r="BP43" i="103"/>
  <c r="BP82" i="103"/>
  <c r="BP280" i="103"/>
  <c r="BP195" i="103"/>
  <c r="BP213" i="103"/>
  <c r="BP54" i="103"/>
  <c r="BP139" i="103"/>
  <c r="BP30" i="103"/>
  <c r="BP45" i="103"/>
  <c r="BP248" i="103"/>
  <c r="BP222" i="103"/>
  <c r="BP251" i="103"/>
  <c r="BP271" i="103"/>
  <c r="BP180" i="103"/>
  <c r="BP174" i="103"/>
  <c r="BP80" i="103"/>
  <c r="BP118" i="103"/>
  <c r="BP42" i="103"/>
  <c r="BP31" i="103"/>
  <c r="E128" i="102"/>
  <c r="F29" i="102"/>
  <c r="BP241" i="103"/>
  <c r="BP194" i="103"/>
  <c r="BP178" i="103"/>
  <c r="BP250" i="103"/>
  <c r="BP64" i="103"/>
  <c r="BP116" i="103"/>
  <c r="BP84" i="103"/>
  <c r="BP5" i="103"/>
  <c r="BP126" i="103"/>
  <c r="BP155" i="103"/>
  <c r="BP110" i="103"/>
  <c r="BP158" i="103"/>
  <c r="BP279" i="103"/>
  <c r="BP171" i="103"/>
  <c r="BP167" i="103"/>
  <c r="BP176" i="103"/>
  <c r="BP35" i="103"/>
  <c r="BP267" i="103"/>
  <c r="BP201" i="103"/>
  <c r="BP115" i="103"/>
  <c r="BP27" i="103"/>
  <c r="BP224" i="103"/>
  <c r="BP164" i="103"/>
  <c r="BP136" i="103"/>
  <c r="BP114" i="103"/>
  <c r="BP258" i="103"/>
  <c r="BP188" i="103"/>
  <c r="BP127" i="103"/>
  <c r="BP141" i="103"/>
  <c r="BP25" i="103"/>
  <c r="BP29" i="103"/>
  <c r="BP206" i="103"/>
  <c r="BP177" i="103"/>
  <c r="BP65" i="103"/>
  <c r="BP13" i="103"/>
  <c r="BP263" i="103"/>
  <c r="BP237" i="103"/>
  <c r="BP220" i="103"/>
  <c r="BP238" i="103"/>
  <c r="BP198" i="103"/>
  <c r="BP166" i="103"/>
  <c r="BP60" i="103"/>
  <c r="D78" i="102"/>
  <c r="BP191" i="103"/>
  <c r="BP20" i="103"/>
  <c r="BP76" i="103"/>
  <c r="BP46" i="103"/>
  <c r="BP55" i="103"/>
  <c r="BP215" i="103"/>
  <c r="BP3" i="103"/>
  <c r="BP104" i="103"/>
  <c r="BP179" i="103"/>
  <c r="BP239" i="103"/>
  <c r="BP134" i="103"/>
  <c r="BP71" i="103"/>
  <c r="BP265" i="103"/>
  <c r="BP34" i="103"/>
  <c r="BP44" i="103"/>
  <c r="BP270" i="103"/>
  <c r="BP260" i="103"/>
  <c r="BP140" i="103"/>
  <c r="BP135" i="103"/>
  <c r="BP255" i="103"/>
  <c r="BP233" i="103"/>
  <c r="BP160" i="103"/>
  <c r="BP190" i="103"/>
  <c r="BP94" i="103"/>
  <c r="BP112" i="103"/>
  <c r="BP90" i="103"/>
  <c r="BP59" i="103"/>
  <c r="BP14" i="103"/>
  <c r="D190" i="102"/>
  <c r="D192" i="102"/>
  <c r="D187" i="102"/>
  <c r="D195" i="102"/>
  <c r="D191" i="102"/>
  <c r="D189" i="102"/>
  <c r="D188" i="102"/>
  <c r="D194" i="102"/>
  <c r="BP38" i="103"/>
  <c r="BP249" i="103"/>
  <c r="BP199" i="103"/>
  <c r="BP98" i="103"/>
  <c r="BP101" i="103"/>
  <c r="BP268" i="103"/>
  <c r="BP125" i="103"/>
  <c r="BP81" i="103"/>
  <c r="BP154" i="103"/>
  <c r="BP143" i="103"/>
  <c r="BP109" i="103"/>
  <c r="BP21" i="103"/>
  <c r="BP77" i="103"/>
  <c r="BP18" i="103"/>
  <c r="BP40" i="103"/>
  <c r="E138" i="102"/>
  <c r="E100" i="102"/>
  <c r="G36" i="102"/>
  <c r="E132" i="102"/>
  <c r="BP62" i="103"/>
  <c r="E118" i="102"/>
  <c r="BP97" i="103"/>
  <c r="BP163" i="103"/>
  <c r="BP75" i="103"/>
  <c r="E136" i="102"/>
  <c r="E80" i="102"/>
  <c r="D209" i="102"/>
  <c r="E211" i="102" s="1"/>
  <c r="BP226" i="103"/>
  <c r="BP259" i="103"/>
  <c r="BP230" i="103"/>
  <c r="BP219" i="103"/>
  <c r="BP196" i="103"/>
  <c r="BP137" i="103"/>
  <c r="BP212" i="103"/>
  <c r="BP99" i="103"/>
  <c r="BP89" i="103"/>
  <c r="BP193" i="103"/>
  <c r="BP17" i="103"/>
  <c r="F60" i="102"/>
  <c r="BP119" i="103"/>
  <c r="BP48" i="103"/>
  <c r="E92" i="102"/>
  <c r="E113" i="102"/>
  <c r="E102" i="102"/>
  <c r="E181" i="102"/>
  <c r="H61" i="102"/>
  <c r="E153" i="102"/>
  <c r="E94" i="102"/>
  <c r="E90" i="102"/>
  <c r="E155" i="102"/>
  <c r="E86" i="102"/>
  <c r="BP63" i="103"/>
  <c r="BP243" i="103"/>
  <c r="BP269" i="103"/>
  <c r="BP169" i="103"/>
  <c r="BP232" i="103"/>
  <c r="BP182" i="103"/>
  <c r="BP165" i="103"/>
  <c r="BP147" i="103"/>
  <c r="BP95" i="103"/>
  <c r="BP217" i="103"/>
  <c r="BP170" i="103"/>
  <c r="BP175" i="103"/>
  <c r="BP150" i="103"/>
  <c r="BP133" i="103"/>
  <c r="BP121" i="103"/>
  <c r="BP53" i="103"/>
  <c r="BP36" i="103"/>
  <c r="BP200" i="103"/>
  <c r="BP87" i="103"/>
  <c r="BP56" i="103"/>
  <c r="BP15" i="103"/>
  <c r="BP156" i="103"/>
  <c r="BP181" i="103"/>
  <c r="E122" i="102"/>
  <c r="E82" i="102"/>
  <c r="E104" i="102"/>
  <c r="H64" i="102"/>
  <c r="E159" i="102"/>
  <c r="E120" i="102"/>
  <c r="H65" i="102"/>
  <c r="E139" i="102"/>
  <c r="BP276" i="103"/>
  <c r="BP266" i="103"/>
  <c r="BP209" i="103"/>
  <c r="BP210" i="103"/>
  <c r="BP223" i="103"/>
  <c r="BP227" i="103"/>
  <c r="BP173" i="103"/>
  <c r="BP78" i="103"/>
  <c r="BP113" i="103"/>
  <c r="BP207" i="103"/>
  <c r="BP204" i="103"/>
  <c r="BP162" i="103"/>
  <c r="BP49" i="103"/>
  <c r="BP69" i="103"/>
  <c r="BP144" i="103"/>
  <c r="E157" i="102"/>
  <c r="G37" i="102"/>
  <c r="BP37" i="103"/>
  <c r="E173" i="102"/>
  <c r="E116" i="102"/>
  <c r="E183" i="102"/>
  <c r="H62" i="102"/>
  <c r="E111" i="102"/>
  <c r="D29" i="102"/>
  <c r="BP272" i="103"/>
  <c r="BP254" i="103"/>
  <c r="BP264" i="103"/>
  <c r="BP161" i="103"/>
  <c r="BP138" i="103"/>
  <c r="BP202" i="103"/>
  <c r="BP148" i="103"/>
  <c r="BP149" i="103"/>
  <c r="BP111" i="103"/>
  <c r="BP16" i="103"/>
  <c r="BP142" i="103"/>
  <c r="BP72" i="103"/>
  <c r="BP70" i="103"/>
  <c r="BP79" i="103"/>
  <c r="BP32" i="103"/>
  <c r="BP278" i="103"/>
  <c r="BP225" i="103"/>
  <c r="BP235" i="103"/>
  <c r="BP256" i="103"/>
  <c r="BP205" i="103"/>
  <c r="BP151" i="103"/>
  <c r="BP117" i="103"/>
  <c r="BP93" i="103"/>
  <c r="BP57" i="103"/>
  <c r="BP172" i="103"/>
  <c r="BP68" i="103"/>
  <c r="BP4" i="103"/>
  <c r="BP8" i="103"/>
  <c r="E108" i="102"/>
  <c r="E115" i="102"/>
  <c r="E98" i="102"/>
  <c r="E88" i="102"/>
  <c r="G33" i="102"/>
  <c r="BP66" i="103"/>
  <c r="E106" i="102"/>
  <c r="E96" i="102"/>
  <c r="BP253" i="103"/>
  <c r="D193" i="102"/>
  <c r="BP274" i="103"/>
  <c r="BP240" i="103"/>
  <c r="BP252" i="103"/>
  <c r="BP262" i="103"/>
  <c r="BP246" i="103"/>
  <c r="BP229" i="103"/>
  <c r="BP216" i="103"/>
  <c r="BP245" i="103"/>
  <c r="BP261" i="103"/>
  <c r="BP130" i="103"/>
  <c r="BP120" i="103"/>
  <c r="BP88" i="103"/>
  <c r="BP187" i="103"/>
  <c r="BP105" i="103"/>
  <c r="BP189" i="103"/>
  <c r="BP22" i="103"/>
  <c r="BP33" i="103"/>
  <c r="BP129" i="103"/>
  <c r="BP83" i="103"/>
  <c r="BP103" i="103"/>
  <c r="E167" i="102"/>
  <c r="E161" i="102"/>
  <c r="F61" i="79"/>
  <c r="F45" i="79"/>
  <c r="D68" i="81"/>
  <c r="F46" i="79"/>
  <c r="F50" i="79"/>
  <c r="D323" i="87"/>
  <c r="A324" i="87"/>
  <c r="A325" i="87" s="1"/>
  <c r="A326" i="87" s="1"/>
  <c r="A327" i="87" s="1"/>
  <c r="D169" i="87"/>
  <c r="A170" i="87"/>
  <c r="A171" i="87" s="1"/>
  <c r="A172" i="87" s="1"/>
  <c r="A173" i="87" s="1"/>
  <c r="D267" i="87"/>
  <c r="A268" i="87"/>
  <c r="A269" i="87" s="1"/>
  <c r="A270" i="87" s="1"/>
  <c r="A271" i="87" s="1"/>
  <c r="D57" i="87"/>
  <c r="A58" i="87"/>
  <c r="A59" i="87" s="1"/>
  <c r="A60" i="87" s="1"/>
  <c r="A61" i="87" s="1"/>
  <c r="J27" i="94"/>
  <c r="J31" i="94"/>
  <c r="J38" i="94"/>
  <c r="D42" i="79"/>
  <c r="F42" i="79" s="1"/>
  <c r="F41" i="83"/>
  <c r="G41" i="83" s="1"/>
  <c r="F49" i="83"/>
  <c r="G49" i="83" s="1"/>
  <c r="G72" i="83"/>
  <c r="H72" i="83" s="1"/>
  <c r="G80" i="83"/>
  <c r="H80" i="83" s="1"/>
  <c r="G95" i="77"/>
  <c r="H95" i="77" s="1"/>
  <c r="G87" i="77"/>
  <c r="H87" i="77" s="1"/>
  <c r="X19" i="87"/>
  <c r="AA182" i="69"/>
  <c r="AB182" i="69" s="1"/>
  <c r="E28" i="85"/>
  <c r="D204" i="87"/>
  <c r="A282" i="87"/>
  <c r="A283" i="87" s="1"/>
  <c r="A284" i="87" s="1"/>
  <c r="A285" i="87" s="1"/>
  <c r="A338" i="87"/>
  <c r="A339" i="87" s="1"/>
  <c r="A340" i="87" s="1"/>
  <c r="A341" i="87" s="1"/>
  <c r="J63" i="94"/>
  <c r="F42" i="83"/>
  <c r="G42" i="83" s="1"/>
  <c r="F50" i="83"/>
  <c r="G50" i="83" s="1"/>
  <c r="G73" i="83"/>
  <c r="H73" i="83" s="1"/>
  <c r="G81" i="83"/>
  <c r="H81" i="83" s="1"/>
  <c r="G94" i="77"/>
  <c r="H94" i="77" s="1"/>
  <c r="G86" i="77"/>
  <c r="H86" i="77" s="1"/>
  <c r="AA190" i="69"/>
  <c r="AB190" i="69" s="1"/>
  <c r="AA183" i="69"/>
  <c r="AB183" i="69" s="1"/>
  <c r="F76" i="84"/>
  <c r="A212" i="87"/>
  <c r="A213" i="87" s="1"/>
  <c r="A214" i="87" s="1"/>
  <c r="A215" i="87" s="1"/>
  <c r="D43" i="79"/>
  <c r="F43" i="79" s="1"/>
  <c r="F43" i="83"/>
  <c r="G43" i="83" s="1"/>
  <c r="F51" i="83"/>
  <c r="G51" i="83" s="1"/>
  <c r="G66" i="83"/>
  <c r="H66" i="83" s="1"/>
  <c r="G74" i="83"/>
  <c r="H74" i="83" s="1"/>
  <c r="G82" i="83"/>
  <c r="H82" i="83" s="1"/>
  <c r="G93" i="77"/>
  <c r="H93" i="77" s="1"/>
  <c r="G85" i="77"/>
  <c r="H85" i="77" s="1"/>
  <c r="AA184" i="69"/>
  <c r="AB184" i="69" s="1"/>
  <c r="AA192" i="69"/>
  <c r="AB192" i="69" s="1"/>
  <c r="D43" i="87"/>
  <c r="J22" i="94"/>
  <c r="J28" i="94"/>
  <c r="J60" i="94"/>
  <c r="J64" i="94"/>
  <c r="F44" i="83"/>
  <c r="G44" i="83" s="1"/>
  <c r="F52" i="83"/>
  <c r="G52" i="83" s="1"/>
  <c r="G67" i="83"/>
  <c r="H67" i="83" s="1"/>
  <c r="G75" i="83"/>
  <c r="H75" i="83" s="1"/>
  <c r="G83" i="83"/>
  <c r="H83" i="83" s="1"/>
  <c r="G92" i="77"/>
  <c r="H92" i="77" s="1"/>
  <c r="G84" i="77"/>
  <c r="H84" i="77" s="1"/>
  <c r="AA191" i="69"/>
  <c r="AB191" i="69" s="1"/>
  <c r="E82" i="85"/>
  <c r="Y19" i="87"/>
  <c r="F37" i="83"/>
  <c r="G37" i="83" s="1"/>
  <c r="F45" i="83"/>
  <c r="G45" i="83" s="1"/>
  <c r="F53" i="83"/>
  <c r="G53" i="83" s="1"/>
  <c r="G68" i="83"/>
  <c r="H68" i="83" s="1"/>
  <c r="G76" i="83"/>
  <c r="H76" i="83" s="1"/>
  <c r="G91" i="77"/>
  <c r="H91" i="77" s="1"/>
  <c r="G83" i="77"/>
  <c r="H83" i="77" s="1"/>
  <c r="J36" i="94"/>
  <c r="J61" i="94"/>
  <c r="J68" i="94"/>
  <c r="F46" i="83"/>
  <c r="G46" i="83" s="1"/>
  <c r="F54" i="83"/>
  <c r="G54" i="83" s="1"/>
  <c r="G69" i="83"/>
  <c r="H69" i="83" s="1"/>
  <c r="G77" i="83"/>
  <c r="H77" i="83" s="1"/>
  <c r="G98" i="77"/>
  <c r="H98" i="77" s="1"/>
  <c r="G90" i="77"/>
  <c r="H90" i="77" s="1"/>
  <c r="G82" i="77"/>
  <c r="H82" i="77" s="1"/>
  <c r="AA187" i="69"/>
  <c r="AB187" i="69" s="1"/>
  <c r="AA193" i="69"/>
  <c r="AB193" i="69" s="1"/>
  <c r="E80" i="85"/>
  <c r="J19" i="94"/>
  <c r="J30" i="94"/>
  <c r="F39" i="83"/>
  <c r="G39" i="83" s="1"/>
  <c r="F47" i="83"/>
  <c r="G47" i="83" s="1"/>
  <c r="F55" i="83"/>
  <c r="G55" i="83" s="1"/>
  <c r="G70" i="83"/>
  <c r="H70" i="83" s="1"/>
  <c r="G78" i="83"/>
  <c r="H78" i="83" s="1"/>
  <c r="G97" i="77"/>
  <c r="H97" i="77" s="1"/>
  <c r="G89" i="77"/>
  <c r="H89" i="77" s="1"/>
  <c r="G81" i="77"/>
  <c r="H81" i="77" s="1"/>
  <c r="A100" i="87"/>
  <c r="A101" i="87" s="1"/>
  <c r="A102" i="87" s="1"/>
  <c r="A103" i="87" s="1"/>
  <c r="D134" i="87"/>
  <c r="A156" i="87"/>
  <c r="A157" i="87" s="1"/>
  <c r="A158" i="87" s="1"/>
  <c r="A159" i="87" s="1"/>
  <c r="D260" i="87"/>
  <c r="D316" i="87"/>
  <c r="F22" i="92"/>
  <c r="J44" i="94"/>
  <c r="J62" i="94"/>
  <c r="G17" i="71"/>
  <c r="F40" i="83"/>
  <c r="G40" i="83" s="1"/>
  <c r="F48" i="83"/>
  <c r="G48" i="83" s="1"/>
  <c r="G71" i="83"/>
  <c r="H71" i="83" s="1"/>
  <c r="G79" i="83"/>
  <c r="H79" i="83" s="1"/>
  <c r="G96" i="77"/>
  <c r="H96" i="77" s="1"/>
  <c r="G88" i="77"/>
  <c r="H88" i="77" s="1"/>
  <c r="J20" i="94"/>
  <c r="N44" i="76"/>
  <c r="G44" i="76"/>
  <c r="G17" i="70"/>
  <c r="E25" i="82"/>
  <c r="E21" i="80"/>
  <c r="E23" i="75" s="1"/>
  <c r="E27" i="104" s="1"/>
  <c r="A240" i="87"/>
  <c r="A241" i="87" s="1"/>
  <c r="A242" i="87" s="1"/>
  <c r="A243" i="87" s="1"/>
  <c r="D239" i="87"/>
  <c r="E87" i="79"/>
  <c r="G43" i="81"/>
  <c r="H37" i="79"/>
  <c r="A30" i="87"/>
  <c r="A31" i="87" s="1"/>
  <c r="A32" i="87" s="1"/>
  <c r="A33" i="87" s="1"/>
  <c r="D29" i="87"/>
  <c r="A86" i="87"/>
  <c r="A87" i="87" s="1"/>
  <c r="A88" i="87" s="1"/>
  <c r="A89" i="87" s="1"/>
  <c r="D85" i="87"/>
  <c r="A219" i="87"/>
  <c r="A220" i="87" s="1"/>
  <c r="A221" i="87" s="1"/>
  <c r="A222" i="87" s="1"/>
  <c r="D218" i="87"/>
  <c r="F110" i="83"/>
  <c r="A37" i="87"/>
  <c r="A38" i="87" s="1"/>
  <c r="A39" i="87" s="1"/>
  <c r="A40" i="87" s="1"/>
  <c r="A128" i="87"/>
  <c r="A129" i="87" s="1"/>
  <c r="A130" i="87" s="1"/>
  <c r="A131" i="87" s="1"/>
  <c r="D127" i="87"/>
  <c r="A142" i="87"/>
  <c r="A143" i="87" s="1"/>
  <c r="A144" i="87" s="1"/>
  <c r="A145" i="87" s="1"/>
  <c r="D141" i="87"/>
  <c r="A275" i="87"/>
  <c r="A276" i="87" s="1"/>
  <c r="A277" i="87" s="1"/>
  <c r="A278" i="87" s="1"/>
  <c r="D274" i="87"/>
  <c r="F87" i="86"/>
  <c r="A65" i="87"/>
  <c r="A66" i="87" s="1"/>
  <c r="A67" i="87" s="1"/>
  <c r="A68" i="87" s="1"/>
  <c r="D64" i="87"/>
  <c r="A352" i="87"/>
  <c r="A353" i="87" s="1"/>
  <c r="A354" i="87" s="1"/>
  <c r="A355" i="87" s="1"/>
  <c r="D351" i="87"/>
  <c r="A366" i="87"/>
  <c r="A367" i="87" s="1"/>
  <c r="A368" i="87" s="1"/>
  <c r="A369" i="87" s="1"/>
  <c r="D365" i="87"/>
  <c r="G31" i="91"/>
  <c r="J29" i="94"/>
  <c r="J59" i="94"/>
  <c r="A72" i="87"/>
  <c r="A73" i="87" s="1"/>
  <c r="A74" i="87" s="1"/>
  <c r="A75" i="87" s="1"/>
  <c r="D71" i="87"/>
  <c r="A15" i="87"/>
  <c r="A23" i="87"/>
  <c r="A24" i="87" s="1"/>
  <c r="A25" i="87" s="1"/>
  <c r="A26" i="87" s="1"/>
  <c r="D22" i="87"/>
  <c r="D78" i="87"/>
  <c r="A226" i="87"/>
  <c r="A227" i="87" s="1"/>
  <c r="A228" i="87" s="1"/>
  <c r="A229" i="87" s="1"/>
  <c r="J37" i="94"/>
  <c r="A163" i="87"/>
  <c r="A164" i="87" s="1"/>
  <c r="A165" i="87" s="1"/>
  <c r="A166" i="87" s="1"/>
  <c r="D162" i="87"/>
  <c r="A296" i="87"/>
  <c r="A297" i="87" s="1"/>
  <c r="A298" i="87" s="1"/>
  <c r="A299" i="87" s="1"/>
  <c r="D295" i="87"/>
  <c r="A310" i="87"/>
  <c r="A311" i="87" s="1"/>
  <c r="A312" i="87" s="1"/>
  <c r="A313" i="87" s="1"/>
  <c r="D309" i="87"/>
  <c r="D50" i="87"/>
  <c r="D92" i="87"/>
  <c r="A107" i="87"/>
  <c r="A108" i="87" s="1"/>
  <c r="A109" i="87" s="1"/>
  <c r="A110" i="87" s="1"/>
  <c r="D106" i="87"/>
  <c r="A254" i="87"/>
  <c r="A255" i="87" s="1"/>
  <c r="A256" i="87" s="1"/>
  <c r="A257" i="87" s="1"/>
  <c r="D253" i="87"/>
  <c r="D302" i="87"/>
  <c r="F96" i="84"/>
  <c r="H7" i="87"/>
  <c r="A184" i="87"/>
  <c r="A185" i="87" s="1"/>
  <c r="A186" i="87" s="1"/>
  <c r="A187" i="87" s="1"/>
  <c r="D183" i="87"/>
  <c r="A198" i="87"/>
  <c r="A199" i="87" s="1"/>
  <c r="A200" i="87" s="1"/>
  <c r="A201" i="87" s="1"/>
  <c r="D197" i="87"/>
  <c r="A331" i="87"/>
  <c r="A332" i="87" s="1"/>
  <c r="A333" i="87" s="1"/>
  <c r="A334" i="87" s="1"/>
  <c r="D330" i="87"/>
  <c r="M38" i="91"/>
  <c r="N59" i="85" s="1"/>
  <c r="J21" i="94"/>
  <c r="A114" i="87"/>
  <c r="A115" i="87" s="1"/>
  <c r="A116" i="87" s="1"/>
  <c r="A117" i="87" s="1"/>
  <c r="M37" i="91"/>
  <c r="J45" i="94"/>
  <c r="D120" i="87"/>
  <c r="D176" i="87"/>
  <c r="D232" i="87"/>
  <c r="D288" i="87"/>
  <c r="D344" i="87"/>
  <c r="AA113" i="69"/>
  <c r="AB113" i="69" s="1"/>
  <c r="AA105" i="69"/>
  <c r="AB105" i="69" s="1"/>
  <c r="AA97" i="69"/>
  <c r="AB97" i="69" s="1"/>
  <c r="AA89" i="69"/>
  <c r="AB89" i="69" s="1"/>
  <c r="AA81" i="69"/>
  <c r="AB81" i="69" s="1"/>
  <c r="AA73" i="69"/>
  <c r="AB73" i="69" s="1"/>
  <c r="AA65" i="69"/>
  <c r="AB65" i="69" s="1"/>
  <c r="AA57" i="69"/>
  <c r="AB57" i="69" s="1"/>
  <c r="AA94" i="69"/>
  <c r="AB94" i="69" s="1"/>
  <c r="AA86" i="69"/>
  <c r="AB86" i="69" s="1"/>
  <c r="AA78" i="69"/>
  <c r="AB78" i="69" s="1"/>
  <c r="AA103" i="69"/>
  <c r="AB103" i="69" s="1"/>
  <c r="AA115" i="69"/>
  <c r="AB115" i="69" s="1"/>
  <c r="AA107" i="69"/>
  <c r="AB107" i="69" s="1"/>
  <c r="AA99" i="69"/>
  <c r="AB99" i="69" s="1"/>
  <c r="AA91" i="69"/>
  <c r="AB91" i="69" s="1"/>
  <c r="AA83" i="69"/>
  <c r="AB83" i="69" s="1"/>
  <c r="AA75" i="69"/>
  <c r="AB75" i="69" s="1"/>
  <c r="AA67" i="69"/>
  <c r="AB67" i="69" s="1"/>
  <c r="AA59" i="69"/>
  <c r="AB59" i="69" s="1"/>
  <c r="AA72" i="69"/>
  <c r="AB72" i="69" s="1"/>
  <c r="AA64" i="69"/>
  <c r="AB64" i="69" s="1"/>
  <c r="AA106" i="69"/>
  <c r="AB106" i="69" s="1"/>
  <c r="AA66" i="69"/>
  <c r="AB66" i="69" s="1"/>
  <c r="AA79" i="69"/>
  <c r="AB79" i="69" s="1"/>
  <c r="AA63" i="69"/>
  <c r="AB63" i="69" s="1"/>
  <c r="AA112" i="69"/>
  <c r="AB112" i="69" s="1"/>
  <c r="AA104" i="69"/>
  <c r="AB104" i="69" s="1"/>
  <c r="AA96" i="69"/>
  <c r="AB96" i="69" s="1"/>
  <c r="AA88" i="69"/>
  <c r="AB88" i="69" s="1"/>
  <c r="G79" i="77" s="1"/>
  <c r="H79" i="77" s="1"/>
  <c r="AA80" i="69"/>
  <c r="AB80" i="69" s="1"/>
  <c r="AA90" i="69"/>
  <c r="AB90" i="69" s="1"/>
  <c r="AA74" i="69"/>
  <c r="AB74" i="69" s="1"/>
  <c r="AA109" i="69"/>
  <c r="AB109" i="69" s="1"/>
  <c r="AA101" i="69"/>
  <c r="AB101" i="69" s="1"/>
  <c r="AA93" i="69"/>
  <c r="AB93" i="69" s="1"/>
  <c r="AA85" i="69"/>
  <c r="AB85" i="69" s="1"/>
  <c r="AA77" i="69"/>
  <c r="AB77" i="69" s="1"/>
  <c r="AA69" i="69"/>
  <c r="AB69" i="69" s="1"/>
  <c r="AA61" i="69"/>
  <c r="AB61" i="69" s="1"/>
  <c r="AA98" i="69"/>
  <c r="AB98" i="69" s="1"/>
  <c r="AA82" i="69"/>
  <c r="AB82" i="69" s="1"/>
  <c r="AA58" i="69"/>
  <c r="AB58" i="69" s="1"/>
  <c r="AA111" i="69"/>
  <c r="AB111" i="69" s="1"/>
  <c r="AA114" i="69"/>
  <c r="AB114" i="69" s="1"/>
  <c r="AA87" i="69"/>
  <c r="AB87" i="69" s="1"/>
  <c r="AA108" i="69"/>
  <c r="AB108" i="69" s="1"/>
  <c r="AA100" i="69"/>
  <c r="AB100" i="69" s="1"/>
  <c r="AA92" i="69"/>
  <c r="AB92" i="69" s="1"/>
  <c r="G65" i="83" s="1"/>
  <c r="H65" i="83" s="1"/>
  <c r="AA84" i="69"/>
  <c r="AB84" i="69" s="1"/>
  <c r="AA76" i="69"/>
  <c r="AB76" i="69" s="1"/>
  <c r="AA68" i="69"/>
  <c r="AB68" i="69" s="1"/>
  <c r="AA60" i="69"/>
  <c r="AB60" i="69" s="1"/>
  <c r="AA110" i="69"/>
  <c r="AB110" i="69" s="1"/>
  <c r="AA102" i="69"/>
  <c r="AB102" i="69" s="1"/>
  <c r="AA70" i="69"/>
  <c r="AB70" i="69" s="1"/>
  <c r="AA62" i="69"/>
  <c r="AB62" i="69" s="1"/>
  <c r="AA95" i="69"/>
  <c r="AB95" i="69" s="1"/>
  <c r="AA71" i="69"/>
  <c r="AB71" i="69" s="1"/>
  <c r="AA186" i="69"/>
  <c r="AB186" i="69" s="1"/>
  <c r="F38" i="83" s="1"/>
  <c r="G38" i="83" s="1"/>
  <c r="AA194" i="69"/>
  <c r="AB194" i="69" s="1"/>
  <c r="AA189" i="69"/>
  <c r="AB189" i="69" s="1"/>
  <c r="AA185" i="69"/>
  <c r="AB185" i="69" s="1"/>
  <c r="M35" i="104" l="1"/>
  <c r="E20" i="75"/>
  <c r="E24" i="104" s="1"/>
  <c r="N117" i="85"/>
  <c r="F28" i="85"/>
  <c r="E24" i="75"/>
  <c r="E28" i="104" s="1"/>
  <c r="F41" i="92"/>
  <c r="N115" i="85"/>
  <c r="N112" i="85"/>
  <c r="N119" i="85"/>
  <c r="N111" i="85"/>
  <c r="N114" i="85"/>
  <c r="N116" i="85"/>
  <c r="N113" i="85"/>
  <c r="M87" i="85"/>
  <c r="M35" i="85"/>
  <c r="G58" i="85"/>
  <c r="E210" i="102"/>
  <c r="E12" i="104"/>
  <c r="G12" i="104" s="1"/>
  <c r="H12" i="104" s="1"/>
  <c r="N109" i="85"/>
  <c r="M81" i="85"/>
  <c r="M34" i="85"/>
  <c r="N126" i="85"/>
  <c r="E59" i="86"/>
  <c r="N122" i="85"/>
  <c r="N118" i="85"/>
  <c r="E29" i="86"/>
  <c r="E33" i="86"/>
  <c r="N108" i="85"/>
  <c r="N110" i="85"/>
  <c r="G64" i="83"/>
  <c r="H64" i="83" s="1"/>
  <c r="N120" i="85"/>
  <c r="G107" i="85"/>
  <c r="N70" i="85"/>
  <c r="G108" i="85"/>
  <c r="G127" i="85" s="1"/>
  <c r="N124" i="85"/>
  <c r="E30" i="75"/>
  <c r="E34" i="104" s="1"/>
  <c r="F82" i="85"/>
  <c r="F100" i="85" s="1"/>
  <c r="G54" i="85"/>
  <c r="N123" i="85"/>
  <c r="E65" i="86"/>
  <c r="N125" i="85"/>
  <c r="E53" i="86"/>
  <c r="G56" i="85"/>
  <c r="N121" i="85"/>
  <c r="E78" i="102"/>
  <c r="E11" i="104" s="1"/>
  <c r="G11" i="104" s="1"/>
  <c r="H11" i="104" s="1"/>
  <c r="G29" i="102"/>
  <c r="E8" i="104" s="1"/>
  <c r="G8" i="104" s="1"/>
  <c r="H8" i="104" s="1"/>
  <c r="E214" i="102"/>
  <c r="E213" i="102"/>
  <c r="E215" i="102"/>
  <c r="E212" i="102"/>
  <c r="D186" i="102"/>
  <c r="H60" i="102"/>
  <c r="E9" i="104" s="1"/>
  <c r="G9" i="104" s="1"/>
  <c r="H9" i="104" s="1"/>
  <c r="F62" i="79"/>
  <c r="H84" i="83"/>
  <c r="G57" i="83"/>
  <c r="H99" i="77"/>
  <c r="E40" i="86"/>
  <c r="E43" i="86"/>
  <c r="M84" i="85"/>
  <c r="M42" i="85"/>
  <c r="N57" i="85"/>
  <c r="M90" i="85"/>
  <c r="M93" i="85"/>
  <c r="E67" i="86"/>
  <c r="E34" i="86"/>
  <c r="E31" i="86"/>
  <c r="M43" i="85"/>
  <c r="M95" i="85"/>
  <c r="M28" i="85"/>
  <c r="E51" i="86"/>
  <c r="E25" i="86"/>
  <c r="E57" i="86"/>
  <c r="E39" i="86"/>
  <c r="M39" i="85"/>
  <c r="M80" i="85"/>
  <c r="M38" i="85"/>
  <c r="M91" i="85"/>
  <c r="M29" i="85"/>
  <c r="M86" i="85"/>
  <c r="N55" i="85"/>
  <c r="M89" i="85"/>
  <c r="M85" i="85"/>
  <c r="N66" i="85"/>
  <c r="M83" i="85"/>
  <c r="M40" i="85"/>
  <c r="E70" i="86"/>
  <c r="E66" i="86"/>
  <c r="E62" i="86"/>
  <c r="E64" i="86"/>
  <c r="E55" i="86"/>
  <c r="E38" i="86"/>
  <c r="E69" i="86"/>
  <c r="E21" i="75"/>
  <c r="E25" i="104" s="1"/>
  <c r="N107" i="85"/>
  <c r="N62" i="85"/>
  <c r="N73" i="85"/>
  <c r="M37" i="85"/>
  <c r="N68" i="85"/>
  <c r="M36" i="85"/>
  <c r="N71" i="85"/>
  <c r="F80" i="85"/>
  <c r="E41" i="86"/>
  <c r="M31" i="85"/>
  <c r="E54" i="86"/>
  <c r="E28" i="86"/>
  <c r="E42" i="86"/>
  <c r="E58" i="86"/>
  <c r="E63" i="86"/>
  <c r="E52" i="86"/>
  <c r="M96" i="85"/>
  <c r="N58" i="85"/>
  <c r="N69" i="85"/>
  <c r="M33" i="85"/>
  <c r="N64" i="85"/>
  <c r="M32" i="85"/>
  <c r="N67" i="85"/>
  <c r="M45" i="85"/>
  <c r="M82" i="85"/>
  <c r="M44" i="85"/>
  <c r="F27" i="85"/>
  <c r="E30" i="86"/>
  <c r="E61" i="86"/>
  <c r="M41" i="85"/>
  <c r="E32" i="86"/>
  <c r="E26" i="86"/>
  <c r="E36" i="86"/>
  <c r="E27" i="86"/>
  <c r="E60" i="86"/>
  <c r="E37" i="86"/>
  <c r="M92" i="85"/>
  <c r="N65" i="85"/>
  <c r="M98" i="85"/>
  <c r="N60" i="85"/>
  <c r="M27" i="85"/>
  <c r="N63" i="85"/>
  <c r="M30" i="85"/>
  <c r="N72" i="85"/>
  <c r="E24" i="86"/>
  <c r="E56" i="86"/>
  <c r="E35" i="86"/>
  <c r="E68" i="86"/>
  <c r="N54" i="85"/>
  <c r="M88" i="85"/>
  <c r="M46" i="85"/>
  <c r="M99" i="85"/>
  <c r="N61" i="85"/>
  <c r="F30" i="85"/>
  <c r="M94" i="85"/>
  <c r="N56" i="85"/>
  <c r="M97" i="85"/>
  <c r="J69" i="94"/>
  <c r="E34" i="75" s="1"/>
  <c r="E38" i="104" s="1"/>
  <c r="A16" i="87"/>
  <c r="D15" i="87"/>
  <c r="E22" i="75"/>
  <c r="E26" i="104" s="1"/>
  <c r="F47" i="85" l="1"/>
  <c r="Q9" i="104"/>
  <c r="N9" i="104"/>
  <c r="N8" i="104"/>
  <c r="Q8" i="104"/>
  <c r="E209" i="102"/>
  <c r="N11" i="104"/>
  <c r="Q11" i="104"/>
  <c r="E10" i="104"/>
  <c r="G10" i="104" s="1"/>
  <c r="E7" i="104"/>
  <c r="H10" i="104"/>
  <c r="Q10" i="104"/>
  <c r="N10" i="104"/>
  <c r="E71" i="86"/>
  <c r="E25" i="75"/>
  <c r="E29" i="104" s="1"/>
  <c r="E44" i="86"/>
  <c r="E28" i="75" s="1"/>
  <c r="E32" i="104" s="1"/>
  <c r="G74" i="85"/>
  <c r="A17" i="87"/>
  <c r="M100" i="85"/>
  <c r="M47" i="85"/>
  <c r="N127" i="85"/>
  <c r="N74" i="85"/>
  <c r="E13" i="75" l="1"/>
  <c r="M34" i="104"/>
  <c r="E32" i="75"/>
  <c r="E36" i="104" s="1"/>
  <c r="E27" i="75"/>
  <c r="E31" i="104" s="1"/>
  <c r="A18" i="87"/>
  <c r="A19" i="87" l="1"/>
  <c r="I56" i="87" s="1"/>
  <c r="I35" i="87"/>
  <c r="I34" i="87"/>
  <c r="I40" i="87"/>
  <c r="G23" i="84" s="1"/>
  <c r="I45" i="87"/>
  <c r="I10" i="87"/>
  <c r="I29" i="87"/>
  <c r="I18" i="87"/>
  <c r="I51" i="87"/>
  <c r="I37" i="87"/>
  <c r="I15" i="87"/>
  <c r="I11" i="87"/>
  <c r="I26" i="87"/>
  <c r="I6" i="87"/>
  <c r="I16" i="87"/>
  <c r="I19" i="87"/>
  <c r="I30" i="87"/>
  <c r="I28" i="87"/>
  <c r="I36" i="87"/>
  <c r="I50" i="87"/>
  <c r="I8" i="87"/>
  <c r="G24" i="84" s="1"/>
  <c r="G43" i="84" s="1"/>
  <c r="I27" i="87"/>
  <c r="I22" i="87"/>
  <c r="I7" i="87"/>
  <c r="G49" i="84" s="1"/>
  <c r="G68" i="84" s="1"/>
  <c r="I41" i="87"/>
  <c r="I44" i="87"/>
  <c r="I43" i="87"/>
  <c r="I46" i="87"/>
  <c r="I39" i="87"/>
  <c r="I13" i="87"/>
  <c r="I23" i="87"/>
  <c r="I52" i="87"/>
  <c r="I32" i="87"/>
  <c r="I14" i="87"/>
  <c r="G48" i="84" s="1"/>
  <c r="I9" i="87"/>
  <c r="I31" i="87"/>
  <c r="I55" i="87"/>
  <c r="I38" i="87"/>
  <c r="I42" i="87" l="1"/>
  <c r="I48" i="87"/>
  <c r="I20" i="87"/>
  <c r="I24" i="87"/>
  <c r="I33" i="87"/>
  <c r="I49" i="87"/>
  <c r="I25" i="87"/>
  <c r="E26" i="75"/>
  <c r="E30" i="104" s="1"/>
  <c r="E23" i="104" s="1"/>
  <c r="I17" i="87"/>
  <c r="I54" i="87"/>
  <c r="I53" i="87"/>
  <c r="I12" i="87"/>
  <c r="I21" i="87"/>
  <c r="I47" i="87"/>
  <c r="E6" i="104" l="1"/>
  <c r="E39" i="104"/>
  <c r="M36" i="104"/>
  <c r="E35" i="75"/>
  <c r="E15" i="75" s="1"/>
  <c r="F9" i="104" l="1"/>
  <c r="F11" i="104"/>
  <c r="F10" i="104"/>
  <c r="F12" i="104"/>
  <c r="F8" i="104"/>
  <c r="F22" i="104"/>
  <c r="F7" i="104"/>
  <c r="F21" i="104"/>
  <c r="F23" i="104"/>
  <c r="F20" i="104"/>
  <c r="I30" i="67"/>
  <c r="F6" i="104" l="1"/>
  <c r="C2" i="67"/>
  <c r="C51" i="67" l="1"/>
  <c r="C43" i="67"/>
  <c r="I23" i="67" s="1"/>
  <c r="C35" i="67"/>
  <c r="C58" i="67"/>
  <c r="C50" i="67"/>
  <c r="C42" i="67"/>
  <c r="C34" i="67"/>
  <c r="C28" i="67"/>
  <c r="I14" i="67" s="1"/>
  <c r="C24" i="67"/>
  <c r="I13" i="67" s="1"/>
  <c r="C20" i="67"/>
  <c r="C16" i="67"/>
  <c r="C12" i="67"/>
  <c r="C8" i="67"/>
  <c r="C4" i="67"/>
  <c r="C57" i="67"/>
  <c r="C49" i="67"/>
  <c r="C41" i="67"/>
  <c r="C33" i="67"/>
  <c r="I21" i="67" s="1"/>
  <c r="C56" i="67"/>
  <c r="C48" i="67"/>
  <c r="C40" i="67"/>
  <c r="C32" i="67"/>
  <c r="I19" i="67" s="1"/>
  <c r="C27" i="67"/>
  <c r="C23" i="67"/>
  <c r="C19" i="67"/>
  <c r="I11" i="67" s="1"/>
  <c r="C15" i="67"/>
  <c r="C11" i="67"/>
  <c r="I12" i="67" s="1"/>
  <c r="C7" i="67"/>
  <c r="I6" i="67" s="1"/>
  <c r="C3" i="67"/>
  <c r="I3" i="67" s="1"/>
  <c r="C54" i="67"/>
  <c r="I25" i="67" s="1"/>
  <c r="C46" i="67"/>
  <c r="C38" i="67"/>
  <c r="I20" i="67" s="1"/>
  <c r="C26" i="67"/>
  <c r="I15" i="67" s="1"/>
  <c r="C22" i="67"/>
  <c r="C18" i="67"/>
  <c r="C14" i="67"/>
  <c r="I26" i="67" s="1"/>
  <c r="C10" i="67"/>
  <c r="C6" i="67"/>
  <c r="I5" i="67" s="1"/>
  <c r="C52" i="67"/>
  <c r="C44" i="67"/>
  <c r="C36" i="67"/>
  <c r="C29" i="67"/>
  <c r="I16" i="67" s="1"/>
  <c r="C25" i="67"/>
  <c r="I17" i="67" s="1"/>
  <c r="C21" i="67"/>
  <c r="C17" i="67"/>
  <c r="I10" i="67" s="1"/>
  <c r="C13" i="67"/>
  <c r="C9" i="67"/>
  <c r="I8" i="67" s="1"/>
  <c r="C5" i="67"/>
  <c r="I4" i="67" s="1"/>
  <c r="C55" i="67"/>
  <c r="C30" i="67"/>
  <c r="I18" i="67" s="1"/>
  <c r="C53" i="67"/>
  <c r="I24" i="67" s="1"/>
  <c r="C45" i="67"/>
  <c r="C39" i="67"/>
  <c r="C47" i="67"/>
  <c r="C37" i="67"/>
  <c r="C31" i="67"/>
  <c r="I22" i="67" l="1"/>
  <c r="I28" i="67"/>
  <c r="I7" i="67"/>
  <c r="I9" i="67"/>
  <c r="I27" i="67"/>
  <c r="E16" i="7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tc={AB875183-6DB8-4C47-BC25-302DA41372DB}</author>
  </authors>
  <commentList>
    <comment ref="G11" authorId="0" shapeId="0" xr:uid="{AB875183-6DB8-4C47-BC25-302DA41372DB}">
      <text>
        <r>
          <rPr>
            <sz val="11"/>
            <color theme="1"/>
            <rFont val="Arial"/>
            <family val="2"/>
            <scheme val="minor"/>
          </rPr>
          <t>[Threaded comment]
Your version of Excel allows you to read this threaded comment; however, any edits to it will get removed if the file is opened in a newer version of Excel. Learn more: https://go.microsoft.com/fwlink/?linkid=870924
Comment:
    @BOTTOMLEY James (ENGIE Impact) could you assist with providing some choices from DESNZ and a drop-down for column C, etc here?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Bramwell, Rebekah</author>
  </authors>
  <commentList>
    <comment ref="K27" authorId="0" shapeId="0" xr:uid="{5F2FFF25-3090-4EE1-A2F9-C9A023EE48F6}">
      <text>
        <r>
          <rPr>
            <b/>
            <sz val="8"/>
            <rFont val="Tahoma"/>
            <family val="2"/>
          </rPr>
          <t>Standard natural gas received through the gas mains grid network in the UK. Note - contains limited biogas content.</t>
        </r>
      </text>
    </comment>
    <comment ref="K31" authorId="1" shapeId="0" xr:uid="{40E95A6A-4E1E-48D6-A8E7-761B1BEB7559}">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K41" authorId="0" shapeId="0" xr:uid="{81907C00-14B2-44C1-8D92-C8B1E35B38EA}">
      <text>
        <r>
          <rPr>
            <b/>
            <sz val="8"/>
            <rFont val="Tahoma"/>
            <family val="2"/>
          </rPr>
          <t>Standard natural gas received through the gas mains grid network in the UK. Note - contains limited biogas content</t>
        </r>
      </text>
    </comment>
    <comment ref="K45" authorId="1" shapeId="0" xr:uid="{6A393DB3-E63C-4682-99FD-36B8CCF3A246}">
      <text>
        <r>
          <rPr>
            <b/>
            <sz val="9"/>
            <color indexed="81"/>
            <rFont val="Tahoma"/>
            <family val="2"/>
          </rPr>
          <t>Natural gas (100% mineral blend) factor is natural gas not obtained through the grid and therefore does not contain any biogas content. It can be used for calculating bespoke fuel mixtures.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tc={6A87A850-01A3-42B6-BF48-C13C04A8D21D}</author>
    <author>tc={6EA18CCF-B09C-4DFF-B3B8-88E8EEFE32F1}</author>
  </authors>
  <commentList>
    <comment ref="B8" authorId="0" shapeId="0" xr:uid="{6A87A850-01A3-42B6-BF48-C13C04A8D21D}">
      <text>
        <r>
          <rPr>
            <sz val="11"/>
            <color theme="1"/>
            <rFont val="Arial"/>
            <family val="2"/>
            <scheme val="minor"/>
          </rPr>
          <t>[Threaded comment]
Your version of Excel allows you to read this threaded comment; however, any edits to it will get removed if the file is opened in a newer version of Excel. Learn more: https://go.microsoft.com/fwlink/?linkid=870924
Comment:
    @BOTTOMLEY James (ENGIE Impact) can you look into this issue with the treatment type not populating in the drop-down?
Reply:
    Fixed for Cat 5. For mixed electronics, there is a random named range called "mixed_electronics" that is a REF error which I can't delete in the name manager. I changed the name to not include the underscore.</t>
        </r>
      </text>
    </comment>
    <comment ref="B10" authorId="1" shapeId="0" xr:uid="{6EA18CCF-B09C-4DFF-B3B8-88E8EEFE32F1}">
      <text>
        <r>
          <rPr>
            <sz val="11"/>
            <color theme="1"/>
            <rFont val="Arial"/>
            <family val="2"/>
            <scheme val="minor"/>
          </rPr>
          <t>[Threaded comment]
Your version of Excel allows you to read this threaded comment; however, any edits to it will get removed if the file is opened in a newer version of Excel. Learn more: https://go.microsoft.com/fwlink/?linkid=870924
Comment:
    @BOTTOMLEY James (ENGIE Impact)  drop-down menus based on named ranges and Indirect() formula seem messed up globally. Could you revisit those?
Reply:
    Resolved for the land-based travel table. Checked Cat 7, 8 and 13 tabs, didn't see any other dropdown issues. Could you remind me how you set up the references for the air travel table? You had been able to reference the table using a "pretty" version (i.e. "short haul" instead of "short_haul"), but I can't recall how.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<sst xmlns="http://schemas.openxmlformats.org/spreadsheetml/2006/main" count="10342" uniqueCount="3447">
  <si>
    <t>Unit</t>
  </si>
  <si>
    <t>Year</t>
  </si>
  <si>
    <t>Construction</t>
  </si>
  <si>
    <t>Emission Factor</t>
  </si>
  <si>
    <t>Country</t>
  </si>
  <si>
    <t>Georgia</t>
  </si>
  <si>
    <t>Scope 1</t>
  </si>
  <si>
    <t>Scope 2</t>
  </si>
  <si>
    <t>Total</t>
  </si>
  <si>
    <t>Bus</t>
  </si>
  <si>
    <t>Natural gas</t>
  </si>
  <si>
    <t>therms</t>
  </si>
  <si>
    <t>kg</t>
  </si>
  <si>
    <t>lb</t>
  </si>
  <si>
    <t>US gallon</t>
  </si>
  <si>
    <t>Therm</t>
  </si>
  <si>
    <t>Diesel</t>
  </si>
  <si>
    <t>Gasoline</t>
  </si>
  <si>
    <t>Biodiesel</t>
  </si>
  <si>
    <t>Coal</t>
  </si>
  <si>
    <t>Plastics</t>
  </si>
  <si>
    <t>Air transport</t>
  </si>
  <si>
    <t>Telecommunications</t>
  </si>
  <si>
    <t>Scientific research and development</t>
  </si>
  <si>
    <t>GWP</t>
  </si>
  <si>
    <t>SAR</t>
  </si>
  <si>
    <t>References</t>
  </si>
  <si>
    <t>ID</t>
  </si>
  <si>
    <t>CO2</t>
  </si>
  <si>
    <t>Notes</t>
  </si>
  <si>
    <t>Wood</t>
  </si>
  <si>
    <t>Landfill</t>
  </si>
  <si>
    <t>Transport</t>
  </si>
  <si>
    <t>Type</t>
  </si>
  <si>
    <t>HFC-134a</t>
  </si>
  <si>
    <t>ROW</t>
  </si>
  <si>
    <t>Motorbike</t>
  </si>
  <si>
    <t>HFC-227ea</t>
  </si>
  <si>
    <t>Short</t>
  </si>
  <si>
    <t>Medium</t>
  </si>
  <si>
    <t>Long</t>
  </si>
  <si>
    <t>Propane</t>
  </si>
  <si>
    <t>Chile</t>
  </si>
  <si>
    <t>China</t>
  </si>
  <si>
    <t>Colombia</t>
  </si>
  <si>
    <t>Costa Rica</t>
  </si>
  <si>
    <t>Egypt</t>
  </si>
  <si>
    <t>France</t>
  </si>
  <si>
    <t>Germany</t>
  </si>
  <si>
    <t>India</t>
  </si>
  <si>
    <t>Indonesia</t>
  </si>
  <si>
    <t>Italy</t>
  </si>
  <si>
    <t>Japan</t>
  </si>
  <si>
    <t>Jordan</t>
  </si>
  <si>
    <t>Malaysia</t>
  </si>
  <si>
    <t>Maldives</t>
  </si>
  <si>
    <t>Mexico</t>
  </si>
  <si>
    <t>Netherlands</t>
  </si>
  <si>
    <t>Oman</t>
  </si>
  <si>
    <t>Philippines</t>
  </si>
  <si>
    <t>Portugal</t>
  </si>
  <si>
    <t>Qatar</t>
  </si>
  <si>
    <t>Russian Federation</t>
  </si>
  <si>
    <t>Saudi Arabia</t>
  </si>
  <si>
    <t>Singapore</t>
  </si>
  <si>
    <t>South Africa</t>
  </si>
  <si>
    <t>Spain</t>
  </si>
  <si>
    <t>Switzerland</t>
  </si>
  <si>
    <t>Thailand</t>
  </si>
  <si>
    <t>Turkey</t>
  </si>
  <si>
    <t>United Arab Emirates</t>
  </si>
  <si>
    <t>Vietnam</t>
  </si>
  <si>
    <t>Table 1</t>
  </si>
  <si>
    <t>WIOD</t>
  </si>
  <si>
    <t>WIOD ID</t>
  </si>
  <si>
    <t xml:space="preserve">The high level descriptions of the WIOD Carbon Intensities.  </t>
  </si>
  <si>
    <t xml:space="preserve">The Country that is being used in the mapping followed by the values of the Intensities in Kg of Co2e per $  </t>
  </si>
  <si>
    <t>How WIOD is mapped to the modified EORA 26, showing the EORA IDs</t>
  </si>
  <si>
    <t>EORA ID</t>
  </si>
  <si>
    <t>The high level descriptions of the Modified Eora 26 Carbon Intensities.
Eora 26 was modified for HCWH by removing the last 3 categories "Private Households", "Others" and "Re-export &amp; Re-import" and replacing these with "Drugs", "Medical Devices" and "Medical Consumables".</t>
  </si>
  <si>
    <t>The values of the Intensities in $ per Kg of Co2e</t>
  </si>
  <si>
    <t>How WIOD is mapped to the modified Eora 26, showing the WIOD IDs</t>
  </si>
  <si>
    <t>Notes on the Mapping for WIOD to modified Eora 26
*Where a mapping is based on an average, if the WIOD factor is zero it is ignored and the average is taken of the remaining factors</t>
  </si>
  <si>
    <t>to Eora</t>
  </si>
  <si>
    <t>Modified Eora 26</t>
  </si>
  <si>
    <t>KgCo2e/$</t>
  </si>
  <si>
    <t>Crop and animal production, hunting and related service activities</t>
  </si>
  <si>
    <t>Agriculture</t>
  </si>
  <si>
    <t>Forestry and logging</t>
  </si>
  <si>
    <t>Fishing</t>
  </si>
  <si>
    <t>Fishing and aquaculture</t>
  </si>
  <si>
    <t>Mining and Quarrying</t>
  </si>
  <si>
    <t>Mining and quarrying</t>
  </si>
  <si>
    <t>Food &amp; Beverages</t>
  </si>
  <si>
    <t>Manufacture of food products, beverages and tobacco products</t>
  </si>
  <si>
    <t>Textiles and Wearing Apparel</t>
  </si>
  <si>
    <t>Manufacture of textiles, wearing apparel and leather products</t>
  </si>
  <si>
    <t>5,26</t>
  </si>
  <si>
    <t>Wood and Paper</t>
  </si>
  <si>
    <t>7,8</t>
  </si>
  <si>
    <t>The average of WIOD 7 and 8*</t>
  </si>
  <si>
    <t>Manufacture of wood and of products of wood and cork, except furniture; manufacture of articles of straw and plaiting materials</t>
  </si>
  <si>
    <t>Petroleum, Chemical and Non-Metallic Mineral Products</t>
  </si>
  <si>
    <t>10,11,14</t>
  </si>
  <si>
    <t>The average of WIOD 10, 11 and 14*</t>
  </si>
  <si>
    <t>Manufacture of paper and paper products</t>
  </si>
  <si>
    <t>Metal Products</t>
  </si>
  <si>
    <t>15,16</t>
  </si>
  <si>
    <t>The average of WIOD 15 and 16*</t>
  </si>
  <si>
    <t>Printing and reproduction of recorded media</t>
  </si>
  <si>
    <t>Electrical and Machinery</t>
  </si>
  <si>
    <t>17,18,19</t>
  </si>
  <si>
    <t>The average of WIOD 17, 18 and 19*</t>
  </si>
  <si>
    <t xml:space="preserve">Manufacture of coke and refined petroleum products </t>
  </si>
  <si>
    <t>Transport Equipment</t>
  </si>
  <si>
    <t>20,21</t>
  </si>
  <si>
    <t>The average of WIOD 20 and 21*</t>
  </si>
  <si>
    <t xml:space="preserve">Manufacture of chemicals and chemical products </t>
  </si>
  <si>
    <t>Other Manufacturing</t>
  </si>
  <si>
    <t>Manufacture of basic pharmaceutical products and pharmaceutical preparations</t>
  </si>
  <si>
    <t>Waste, Recycling, treatment</t>
  </si>
  <si>
    <t>Manufacture of rubber and plastic products</t>
  </si>
  <si>
    <t>25,26</t>
  </si>
  <si>
    <t>Electricity, Gas and Water</t>
  </si>
  <si>
    <t>24,25</t>
  </si>
  <si>
    <t>Only used Electricity Value (24) Since very different to water</t>
  </si>
  <si>
    <t>Manufacture of other non-metallic mineral products</t>
  </si>
  <si>
    <t>Manufacture of basic metals</t>
  </si>
  <si>
    <t>Maintenance and Repair</t>
  </si>
  <si>
    <t>Manufacture of fabricated metal products, except machinery and equipment</t>
  </si>
  <si>
    <t>8,26</t>
  </si>
  <si>
    <t>Wholesale Trade</t>
  </si>
  <si>
    <t>28,29</t>
  </si>
  <si>
    <t>The average of WIOD 28 and 29*</t>
  </si>
  <si>
    <t>Manufacture of computer, electronic and optical products</t>
  </si>
  <si>
    <t>Retail Trade</t>
  </si>
  <si>
    <t>Manufacture of electrical equipment</t>
  </si>
  <si>
    <t>Hotels and Restraurants</t>
  </si>
  <si>
    <t>Manufacture of machinery and equipment n.e.c.</t>
  </si>
  <si>
    <t>31,32,33</t>
  </si>
  <si>
    <t>The average of WIOD 31, 32 and 33*</t>
  </si>
  <si>
    <t>Manufacture of motor vehicles, trailers and semi-trailers</t>
  </si>
  <si>
    <t>Post and Telecommunications</t>
  </si>
  <si>
    <t>35,39</t>
  </si>
  <si>
    <t>The average of WIOD 35 and 39*</t>
  </si>
  <si>
    <t>Manufacture of other transport equipment</t>
  </si>
  <si>
    <t>Financial Intermediation and Business Activities</t>
  </si>
  <si>
    <t>41,42,43</t>
  </si>
  <si>
    <t>The average of WIOD 41, 42 and 43*</t>
  </si>
  <si>
    <t>Manufacture of furniture; other manufacturing</t>
  </si>
  <si>
    <t>Public Administration</t>
  </si>
  <si>
    <t>Repair and installation of machinery and equipment</t>
  </si>
  <si>
    <t>Education, Health and Other Services</t>
  </si>
  <si>
    <t>52,53,54</t>
  </si>
  <si>
    <t>The average of WIOD 52, 53 and 54*</t>
  </si>
  <si>
    <t>Electricity, gas, steam and air conditioning supply</t>
  </si>
  <si>
    <t>Drugs</t>
  </si>
  <si>
    <t>If zero use ROW figure</t>
  </si>
  <si>
    <t>Water collection, treatment and supply</t>
  </si>
  <si>
    <t>Medical Devices</t>
  </si>
  <si>
    <t>13,17,20</t>
  </si>
  <si>
    <t>The average of WIOD 13, 17 and 20*</t>
  </si>
  <si>
    <t xml:space="preserve">Sewerage; waste collection, treatment and disposal activities; materials recovery; remediation activities and other waste management services </t>
  </si>
  <si>
    <t>Medical Consumables</t>
  </si>
  <si>
    <t>6,13,16</t>
  </si>
  <si>
    <t>The average of WIOD 6, 13 and 16*</t>
  </si>
  <si>
    <t>Wholesale and retail trade and repair of motor vehicles and motorcycles</t>
  </si>
  <si>
    <t>Rest of world figure for drugs used for any country that does not have a drugs WIOD figure</t>
  </si>
  <si>
    <t>Wholesale trade, except of motor vehicles and motorcycles</t>
  </si>
  <si>
    <t>Retail trade, except of motor vehicles and motorcycles</t>
  </si>
  <si>
    <t>Land transport and transport via pipelines</t>
  </si>
  <si>
    <t>Water transport</t>
  </si>
  <si>
    <t>Warehousing and support activities for transportation</t>
  </si>
  <si>
    <t>Postal and courier activities</t>
  </si>
  <si>
    <t>Accommodation and food service activities</t>
  </si>
  <si>
    <t>Publishing activities</t>
  </si>
  <si>
    <t>Motion picture, video and television programme production, sound recording and music publishing activities; programming and broadcasting activities</t>
  </si>
  <si>
    <t>Computer programming, consultancy and related activities; information service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</si>
  <si>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</si>
  <si>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</si>
  <si>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</si>
  <si>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</si>
  <si>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Legal and accounting activities; activities of head offices; management consultancy activities</t>
  </si>
  <si>
    <t>Architectural and engineering activities; technical testing and analysis</t>
  </si>
  <si>
    <t>Advertising and market research</t>
  </si>
  <si>
    <t>Other professional, scientific and technical activities; veterinary activities</t>
  </si>
  <si>
    <t>Administrative and support service activities</t>
  </si>
  <si>
    <t>Public administration and defence; compulsory social security</t>
  </si>
  <si>
    <t>Education</t>
  </si>
  <si>
    <t>Human health and social work activities</t>
  </si>
  <si>
    <t>Other service activities</t>
  </si>
  <si>
    <t>Activities of households as employers; undifferentiated goods- and services-producing activities of households for own use</t>
  </si>
  <si>
    <t>Activities of extraterritorial organizations and bodies</t>
  </si>
  <si>
    <t>Category 3: Fuel and Energy related activities</t>
  </si>
  <si>
    <t>IEA T&amp;D losses</t>
  </si>
  <si>
    <t>Source</t>
  </si>
  <si>
    <t>Regionality Type</t>
  </si>
  <si>
    <t>Regionality Name</t>
  </si>
  <si>
    <t>Source UOM</t>
  </si>
  <si>
    <t>Emission UOM</t>
  </si>
  <si>
    <t>Version</t>
  </si>
  <si>
    <t>For Category 5: Waste</t>
  </si>
  <si>
    <t>For Category 6: Business Travel</t>
  </si>
  <si>
    <t>Electric Power</t>
  </si>
  <si>
    <t>United States</t>
  </si>
  <si>
    <t>MWh</t>
  </si>
  <si>
    <t>metric ton CO2</t>
  </si>
  <si>
    <t>International Energy Agency (IEA)</t>
  </si>
  <si>
    <t>Adjustment for T&amp;D losses induced emissions 2023 ed (2021 data)</t>
  </si>
  <si>
    <t>https://www.epa.gov/system/files/documents/2023-03/ghg_emission_factors_hub.pdf</t>
  </si>
  <si>
    <t>Hotel emissions (per night)</t>
  </si>
  <si>
    <r>
      <t>Metric Tons CO</t>
    </r>
    <r>
      <rPr>
        <b/>
        <vertAlign val="subscript"/>
        <sz val="10"/>
        <rFont val="Arial"/>
        <family val="2"/>
      </rPr>
      <t>2</t>
    </r>
    <r>
      <rPr>
        <b/>
        <sz val="10"/>
        <rFont val="Arial"/>
        <family val="2"/>
      </rPr>
      <t>e / Short Ton Material</t>
    </r>
  </si>
  <si>
    <t>EF</t>
  </si>
  <si>
    <t>UoM</t>
  </si>
  <si>
    <t>Material</t>
  </si>
  <si>
    <t>Recycled</t>
  </si>
  <si>
    <t>Landfilled</t>
  </si>
  <si>
    <t>Combusted (incineration)</t>
  </si>
  <si>
    <t>Composted</t>
  </si>
  <si>
    <t>UK</t>
  </si>
  <si>
    <t>kgCO2e/night</t>
  </si>
  <si>
    <t>DESNZ 2023</t>
  </si>
  <si>
    <t>Glass</t>
  </si>
  <si>
    <t>NA</t>
  </si>
  <si>
    <t>CCCL 2024</t>
  </si>
  <si>
    <t>UK (London)</t>
  </si>
  <si>
    <t>Mixed_Paper</t>
  </si>
  <si>
    <t>Australia</t>
  </si>
  <si>
    <t xml:space="preserve">Fuel Upstream Emission Factors </t>
  </si>
  <si>
    <t>Source: DESNZ 2023, WTT - fuels</t>
  </si>
  <si>
    <t>Mixed_Metals</t>
  </si>
  <si>
    <t>Belgium</t>
  </si>
  <si>
    <t xml:space="preserve">Well-to-tank (WTT) fuels conversion factors should be used to account for the upstream Scope 3 emissions associated with extraction, refining and transportation of the raw fuel sources to an organisation’s site (or asset), prior to combustion.      </t>
  </si>
  <si>
    <t>Mixed_Plastics</t>
  </si>
  <si>
    <t>Brazil</t>
  </si>
  <si>
    <t>Raw Values</t>
  </si>
  <si>
    <t>Converted Values</t>
  </si>
  <si>
    <t>Mixed_Recyclables</t>
  </si>
  <si>
    <t>Canada</t>
  </si>
  <si>
    <t>Fuel Type</t>
  </si>
  <si>
    <t>Fuel</t>
  </si>
  <si>
    <t>Unit1</t>
  </si>
  <si>
    <t>kg CO2e (1)</t>
  </si>
  <si>
    <t>Fuel (ENGIE)</t>
  </si>
  <si>
    <t>Unit2</t>
  </si>
  <si>
    <t>kg CO2e (2)</t>
  </si>
  <si>
    <t>Mixed_Organics</t>
  </si>
  <si>
    <t>Gaseous fuel</t>
  </si>
  <si>
    <t>kWh (Gross CV)</t>
  </si>
  <si>
    <t>kg CO2e/therms</t>
  </si>
  <si>
    <t>Mixed_MSW</t>
  </si>
  <si>
    <t>Liquid fuel</t>
  </si>
  <si>
    <t>Aviation spirit</t>
  </si>
  <si>
    <t>litres</t>
  </si>
  <si>
    <t>Aviation gasoline</t>
  </si>
  <si>
    <t>gallons</t>
  </si>
  <si>
    <t>kg CO2e/gallons</t>
  </si>
  <si>
    <t>Aviation turbine fuel</t>
  </si>
  <si>
    <t>Jet fuel</t>
  </si>
  <si>
    <t>Diesel (100% mineral diesel)</t>
  </si>
  <si>
    <t>Gasoline (100% mineral Gasoline)</t>
  </si>
  <si>
    <t>Water and Wastewater (from DESNZ 2023)</t>
  </si>
  <si>
    <t>Fuel oil</t>
  </si>
  <si>
    <t>LPG</t>
  </si>
  <si>
    <t>Activity</t>
  </si>
  <si>
    <r>
      <t>kg CO</t>
    </r>
    <r>
      <rPr>
        <vertAlign val="subscript"/>
        <sz val="11"/>
        <color indexed="56"/>
        <rFont val="Calibri"/>
        <family val="2"/>
      </rPr>
      <t>2</t>
    </r>
    <r>
      <rPr>
        <sz val="11"/>
        <color indexed="56"/>
        <rFont val="Calibri"/>
        <family val="2"/>
      </rPr>
      <t>e</t>
    </r>
  </si>
  <si>
    <t>Hong Kong, China</t>
  </si>
  <si>
    <t>Diesel (average biofuel blend)</t>
  </si>
  <si>
    <t>Water supply</t>
  </si>
  <si>
    <r>
      <t xml:space="preserve">Water supply </t>
    </r>
    <r>
      <rPr>
        <b/>
        <sz val="11"/>
        <color rgb="FF0000FF"/>
        <rFont val="Arial"/>
        <family val="2"/>
        <scheme val="minor"/>
      </rPr>
      <t>(include in Category 1)</t>
    </r>
  </si>
  <si>
    <t>cubic metres</t>
  </si>
  <si>
    <t>CNG</t>
  </si>
  <si>
    <t>million litres</t>
  </si>
  <si>
    <r>
      <t xml:space="preserve">IEA </t>
    </r>
    <r>
      <rPr>
        <b/>
        <sz val="11"/>
        <color theme="1"/>
        <rFont val="Arial"/>
        <family val="2"/>
        <scheme val="minor"/>
      </rPr>
      <t xml:space="preserve">Fuel cycle </t>
    </r>
    <r>
      <rPr>
        <sz val="11"/>
        <color theme="1"/>
        <rFont val="Arial"/>
        <family val="2"/>
        <scheme val="minor"/>
      </rPr>
      <t xml:space="preserve">upstream emission factor for electricity </t>
    </r>
    <r>
      <rPr>
        <b/>
        <sz val="11"/>
        <color theme="1"/>
        <rFont val="Arial"/>
        <family val="2"/>
        <scheme val="minor"/>
      </rPr>
      <t>generation</t>
    </r>
  </si>
  <si>
    <t>Water treatment</t>
  </si>
  <si>
    <r>
      <t>Water treatment</t>
    </r>
    <r>
      <rPr>
        <b/>
        <sz val="11"/>
        <color rgb="FF0000FF"/>
        <rFont val="Arial"/>
        <family val="2"/>
        <scheme val="minor"/>
      </rPr>
      <t xml:space="preserve"> (include in Category 5)</t>
    </r>
  </si>
  <si>
    <t>Category</t>
  </si>
  <si>
    <t>EF (upstream)</t>
  </si>
  <si>
    <t>kg CO2e/kWh</t>
  </si>
  <si>
    <t>IEA 2023</t>
  </si>
  <si>
    <t>Korea</t>
  </si>
  <si>
    <t>IEA T&amp;D loss factor calculation</t>
  </si>
  <si>
    <t>Combustion factor</t>
  </si>
  <si>
    <t>T&amp;D adjustment factor</t>
  </si>
  <si>
    <t>Loss factor</t>
  </si>
  <si>
    <t>Land travel</t>
  </si>
  <si>
    <t>Concatenation</t>
  </si>
  <si>
    <t>Transportation mode</t>
  </si>
  <si>
    <t>Fuel type</t>
  </si>
  <si>
    <t>WTT EF</t>
  </si>
  <si>
    <t>Combined EF</t>
  </si>
  <si>
    <t>Lookups</t>
  </si>
  <si>
    <t>Average local bus</t>
  </si>
  <si>
    <t>kg CO2e/passenger.mi</t>
  </si>
  <si>
    <t>Coach</t>
  </si>
  <si>
    <t>Cars_by_market_segment</t>
  </si>
  <si>
    <t>Local bus (not London)</t>
  </si>
  <si>
    <t>Local London bus</t>
  </si>
  <si>
    <t>Rail</t>
  </si>
  <si>
    <t>Dual purpose 4X4</t>
  </si>
  <si>
    <t>kg CO2e/miles</t>
  </si>
  <si>
    <t>Taxis</t>
  </si>
  <si>
    <t>Unknown</t>
  </si>
  <si>
    <t>Plug-in Hybrid Electric Vehicle</t>
  </si>
  <si>
    <t>Battery Electric Vehicle</t>
  </si>
  <si>
    <t>Executive</t>
  </si>
  <si>
    <t>rename to "pharmaceutical wholesaler" and regroup with Chemical Products above</t>
  </si>
  <si>
    <t>Lower medium</t>
  </si>
  <si>
    <t>Luxury</t>
  </si>
  <si>
    <t>Market_fuel_types</t>
  </si>
  <si>
    <t>Sports</t>
  </si>
  <si>
    <t>MPV</t>
  </si>
  <si>
    <t>Upper medium</t>
  </si>
  <si>
    <t>Supermini</t>
  </si>
  <si>
    <t>Mini</t>
  </si>
  <si>
    <t>Average</t>
  </si>
  <si>
    <t>Large</t>
  </si>
  <si>
    <t>Small</t>
  </si>
  <si>
    <t>International rail</t>
  </si>
  <si>
    <t>Light rail and tram</t>
  </si>
  <si>
    <t>London Underground</t>
  </si>
  <si>
    <t>National rail</t>
  </si>
  <si>
    <t>Black cab</t>
  </si>
  <si>
    <t>Regular taxi</t>
  </si>
  <si>
    <t>WTT land factors</t>
  </si>
  <si>
    <t>WTT- bus</t>
  </si>
  <si>
    <t>WTT- cars (by market segment)</t>
  </si>
  <si>
    <t>cars_by_market_segment</t>
  </si>
  <si>
    <t>WTT- motorbike</t>
  </si>
  <si>
    <t>WTT- rail</t>
  </si>
  <si>
    <t>WTT- taxis</t>
  </si>
  <si>
    <t>Air travel</t>
  </si>
  <si>
    <t>Haul</t>
  </si>
  <si>
    <t>Class</t>
  </si>
  <si>
    <t>Flights</t>
  </si>
  <si>
    <t>Average passenger</t>
  </si>
  <si>
    <t>DESNZ 2023 (With RF)</t>
  </si>
  <si>
    <t>Economy class</t>
  </si>
  <si>
    <t>Business class</t>
  </si>
  <si>
    <t>Premium economy class</t>
  </si>
  <si>
    <t>First class</t>
  </si>
  <si>
    <t>International</t>
  </si>
  <si>
    <t>WTT air factors</t>
  </si>
  <si>
    <t>WTT- flights</t>
  </si>
  <si>
    <t>Category 1: Purchased Goods &amp; Services and Category 2: Capital Goods</t>
  </si>
  <si>
    <t>Calculation Guidance:</t>
  </si>
  <si>
    <t>Use Excel slicers in columns A and B to locate spend-based categories of interest, then enter annual data in GRAY cells (columns D to F) in the below table as follows:</t>
  </si>
  <si>
    <r>
      <rPr>
        <b/>
        <i/>
        <sz val="10"/>
        <rFont val="Arial"/>
        <family val="2"/>
      </rPr>
      <t xml:space="preserve">Item Description (optional) </t>
    </r>
    <r>
      <rPr>
        <sz val="10"/>
        <rFont val="Arial"/>
        <family val="2"/>
      </rPr>
      <t>- this column is available for any user-specific identifier</t>
    </r>
  </si>
  <si>
    <r>
      <rPr>
        <b/>
        <i/>
        <sz val="10"/>
        <rFont val="Arial"/>
        <family val="2"/>
      </rPr>
      <t>Annual procurement spend ($)</t>
    </r>
    <r>
      <rPr>
        <sz val="10"/>
        <rFont val="Arial"/>
        <family val="2"/>
      </rPr>
      <t xml:space="preserve"> - identify the funds allocated to the purchase of items within the selected sector/commodity in the reporting year</t>
    </r>
  </si>
  <si>
    <r>
      <rPr>
        <b/>
        <i/>
        <sz val="10"/>
        <rFont val="Arial"/>
        <family val="2"/>
      </rPr>
      <t xml:space="preserve">Procurement via: Wholesaler /Retailer/ Distributor </t>
    </r>
    <r>
      <rPr>
        <b/>
        <i/>
        <u/>
        <sz val="10"/>
        <color theme="3" tint="-0.499984740745262"/>
        <rFont val="Arial"/>
        <family val="2"/>
      </rPr>
      <t>or</t>
    </r>
    <r>
      <rPr>
        <b/>
        <i/>
        <sz val="10"/>
        <rFont val="Arial"/>
        <family val="2"/>
      </rPr>
      <t xml:space="preserve"> Direct-from-Manufacturer?</t>
    </r>
    <r>
      <rPr>
        <sz val="10"/>
        <rFont val="Arial"/>
        <family val="2"/>
      </rPr>
      <t xml:space="preserve"> - select from drop-down. This will determine which emission factors are applied. Margins of the supply chain are related to transportation/distribution between the direct manufacturer and any wholesaler, retailer, or distributor from which the products are purchased. 'If uncertain, assume wholesaler / retailer / distributer. For services with zero margins, column E is not necessary (note "Not Applicable" for those entries).</t>
    </r>
  </si>
  <si>
    <r>
      <t>Use top slicer primarily for all categories, as the resulting list is manageable to review. For "31-33: Manufacturing", the bottom slicer will be helpful (</t>
    </r>
    <r>
      <rPr>
        <b/>
        <sz val="13.5"/>
        <color theme="7"/>
        <rFont val="Arial"/>
        <family val="2"/>
        <scheme val="minor"/>
      </rPr>
      <t>see tab "using slicers" for additional guidance</t>
    </r>
    <r>
      <rPr>
        <b/>
        <sz val="13.5"/>
        <color rgb="FF0000FF"/>
        <rFont val="Arial"/>
        <family val="2"/>
        <scheme val="minor"/>
      </rPr>
      <t>)</t>
    </r>
  </si>
  <si>
    <t>running total:</t>
  </si>
  <si>
    <t>Values Uncorrected for Inflation</t>
  </si>
  <si>
    <t>*user input</t>
  </si>
  <si>
    <r>
      <t xml:space="preserve">Cradle-to-Factory Gate
</t>
    </r>
    <r>
      <rPr>
        <sz val="11"/>
        <color theme="1"/>
        <rFont val="Arial"/>
        <family val="2"/>
        <scheme val="minor"/>
      </rPr>
      <t>(for purchases direct-from-manufacturer)</t>
    </r>
  </si>
  <si>
    <r>
      <t xml:space="preserve">Cradle-to-Shelf
</t>
    </r>
    <r>
      <rPr>
        <sz val="11"/>
        <color theme="1"/>
        <rFont val="Arial"/>
        <family val="2"/>
        <scheme val="minor"/>
      </rPr>
      <t>(for purchases via wholesaler/ retailer/ distributor)</t>
    </r>
  </si>
  <si>
    <t>SEF</t>
  </si>
  <si>
    <t>MEF</t>
  </si>
  <si>
    <t>SEF+MEF</t>
  </si>
  <si>
    <t>Commodity Name</t>
  </si>
  <si>
    <t>Item Description (optional)</t>
  </si>
  <si>
    <t>Annual procurement
spend ($)</t>
  </si>
  <si>
    <r>
      <t xml:space="preserve">Procurement via: Wholesaler /Retailer/ Distributor </t>
    </r>
    <r>
      <rPr>
        <b/>
        <u/>
        <sz val="14"/>
        <color theme="0"/>
        <rFont val="Arial"/>
        <family val="2"/>
        <scheme val="minor"/>
      </rPr>
      <t>or</t>
    </r>
    <r>
      <rPr>
        <b/>
        <sz val="14"/>
        <color theme="0"/>
        <rFont val="Arial"/>
        <family val="2"/>
        <scheme val="minor"/>
      </rPr>
      <t xml:space="preserve"> Direct-from-Manufacturer?
</t>
    </r>
    <r>
      <rPr>
        <b/>
        <sz val="14"/>
        <color rgb="FFFF0000"/>
        <rFont val="Arial"/>
        <family val="2"/>
        <scheme val="minor"/>
      </rPr>
      <t>Leave Blank if Unknown</t>
    </r>
  </si>
  <si>
    <t>Emissions (MTCO2e)</t>
  </si>
  <si>
    <t>Supply Chain Emission Factors without Margins
(kg CO2e/2021 USD)</t>
  </si>
  <si>
    <t>Supply Chain Emission Factors 
with Margins 
(kg CO2e/2021 USD)</t>
  </si>
  <si>
    <t>Margin Percent</t>
  </si>
  <si>
    <t>Reference USEEIO Code</t>
  </si>
  <si>
    <t>Commodity Description</t>
  </si>
  <si>
    <t>Sub-category</t>
  </si>
  <si>
    <t>Supply Chain Emission Factors without Margins (kg CO2e/USD)</t>
  </si>
  <si>
    <t>Margins of Supply Chain Emission Factors (kg CO2e/USD)</t>
  </si>
  <si>
    <t>Supply Chain Emission Factors with Margins (kg CO2e/USD)</t>
  </si>
  <si>
    <t>Fresh soybeans, canola, flaxseeds, and other oilseeds</t>
  </si>
  <si>
    <t>1111A0</t>
  </si>
  <si>
    <t>Oilseed farming. This industry comprises establishments primarily engaged in growing oilseed crops. These crops have an annual life cycle and are typically grown in open fields. Related NAICS codes are 11111-2</t>
  </si>
  <si>
    <t>11: Agriculture, Forestry, Fishing and Hunting</t>
  </si>
  <si>
    <t>1111: Oilseed and Grain Farming</t>
  </si>
  <si>
    <t>Fresh wheat, corn, rice, and other grains</t>
  </si>
  <si>
    <t>1111B0</t>
  </si>
  <si>
    <t>Grain farming'. This industry comprises establishments primarily engaged in producing grain seeds. These crops have an annual life cycle and are typically grown in open fields. Related NAICS codes are 11113-6, 11119</t>
  </si>
  <si>
    <t>Fresh vegetables, melons, and potatoes</t>
  </si>
  <si>
    <t>Vegetable and melon farming. This industry group comprises establishments primarily engaged in growing root and tuber crops (except sugar beets and peanuts) or edible plants and/or producing root and tuber or edible plant seeds. The crops included in this group have an annual growth cycle and are grown in open fields. Climate and cultural practices limit producing areas but often permit the growing of a combination of crops in a year.</t>
  </si>
  <si>
    <t>1112: Vegetable and Melon Farming</t>
  </si>
  <si>
    <t>Fresh fruits and tree nuts</t>
  </si>
  <si>
    <t>Fruit and tree nut farming. This industry group comprises establishments primarily engaged in growing fruit and/or tree nut crops. The crops included in this industry group are generally not grown from seeds and have a perennial life cycle.</t>
  </si>
  <si>
    <t>1113: Fruit and Tree Nut Farming</t>
  </si>
  <si>
    <t>Greenhouse crops, mushrooms, nurseries, and flowers</t>
  </si>
  <si>
    <t>Greenhouse, nursery, and floriculture production'. This industry group comprises establishments primarily engaged in growing crops of any kind under cover and/or growing nursery stock and flowers. "Under cover" is generally defined as greenhouses, cold frames, cloth houses, and lath houses. The crops grown are removed at various stages of maturity and have annual and perennial life cycles. The nursery stock includes short rotation woody crops that have growth cycles of 10 years or less.</t>
  </si>
  <si>
    <t>1114: Greenhouse, Nursery, and Floriculture Production</t>
  </si>
  <si>
    <t>Tobacco, cotton, sugarcane, peanuts, sugar beets, herbs and spices, and other crops</t>
  </si>
  <si>
    <t>Other crop farming'. This industry group comprises establishments primarily engaged in (1) growing crops (except oilseed and/or grain; vegetable and/or melon; fruit and tree nut; and greenhouse, nursery, and/or floriculture products). These establishments grow crops, such as tobacco, cotton, sugarcane, hay, sugar beets, peanuts, agave, herbs and spices, and hay and grass seeds; or (2) growing a combination of crops (except a combination of oilseed(s) and grain(s) and a combination of fruit(s) and tree nut(s)).</t>
  </si>
  <si>
    <t>1119: Other Crop Farming</t>
  </si>
  <si>
    <t>Cattle ranches and feedlots</t>
  </si>
  <si>
    <t>1121A0</t>
  </si>
  <si>
    <t>Beef cattle ranching and farming, including feedlots and dual-purpose ranching and farming'. This industry group comprises establishments primarily engaged in raising cattle, milking dairy cattle, or feeding cattle for fattening. Related NAICS codes are 11211, 11213</t>
  </si>
  <si>
    <t>1121: Cattle Ranching and Farming</t>
  </si>
  <si>
    <t>Dairies</t>
  </si>
  <si>
    <t>Dairy cattle and milk production. This industry comprises establishments primarily engaged in milking dairy cattle.</t>
  </si>
  <si>
    <t>Animal farms and aquaculture ponds (except cattle and poultry)</t>
  </si>
  <si>
    <t>112A00</t>
  </si>
  <si>
    <t>Animal production, except cattle and poultry and eggs'. Industries in the Animal Production and Aquaculture subsector raise or fatten animals for the sale of animals or animal products and/or raise aquatic plants and animals in controlled or selected aquatic environments for the sale of aquatic plants, animals, or their products. The subsector includes establishments, such as ranches, farms, and feedlots, primarily engaged in keeping, grazing, breeding, or feeding animals. These animals are kept for the products they produce or for eventual sale. The animals are generally raised in various environments, from total confinement or captivity to feeding on an open range pasture.  The industries in this subsector are grouped by important factors, such as suitable grazing or pasture land, specialized buildings, type of equipment, and the amount and types of labor required. Establishments are classified in the Animal Production and Aquaculture subsector when animal production (i.e., value of animals for market) accounts for one-half or more of the establishment's total agricultural production. Establishments with one-half or more animal production with no one animal product or family of animal products of an industry accounting for one-half of the establishment's agricultural production are treated as combination animal farming classified in Industry 11299, All Other Animal Production. Related NAICS codes are 1122, 1124-5, 1129, *112</t>
  </si>
  <si>
    <t>1129: Other Animal Production</t>
  </si>
  <si>
    <t>Poultry farms</t>
  </si>
  <si>
    <t>Poultry and egg production'. This industry group comprises establishments primarily engaged in breeding, hatching, and raising poultry for meat or egg production.</t>
  </si>
  <si>
    <t>1123: Poultry and Egg Production</t>
  </si>
  <si>
    <t>Timber and raw forest products</t>
  </si>
  <si>
    <t>Forestry and logging'. Industries in the Forestry and Logging subsector grow and harvest timber on a long production cycle (i.e., of 10 years or more). Long production cycles use different production processes than short production cycles, which require more horticultural interventions prior to harvest, resulting in processes more similar to those found in the Crop Production subsector. Consequently, Christmas tree production and other production involving production cycles of less than 10 years, are classified in the Crop Production subsector. Industries in this subsector specialize in different stages of the production cycle. Reforestation requires production of seedlings in specialized nurseries. Timber production requires natural forest or suitable areas of land that are available for a long duration. The maturation time for timber depends upon the species of tree, the climatic conditions of the region, and the intended purpose of the timber. The harvesting of timber (except when done on an extremely small scale) requires specialized machinery unique to the industry. Establishments gathering forest products, such as gums, barks, balsam needles, rhizomes, fibers, Spanish moss, and ginseng and truffles, are also included in this subsector.</t>
  </si>
  <si>
    <t>1131: Timber Tract Operations</t>
  </si>
  <si>
    <t>Wild-caught fish and game</t>
  </si>
  <si>
    <t>Fishing, hunting and trapping'. Industries in the Fishing, Hunting, and Trapping subsector harvest fish and other wild animals from their natural habitats and are dependent upon a continued supply of the natural resource. The harvesting of fish is the predominant economic activity of this subsector and it usually requires specialized vessels that, by the nature of their size, configuration and equipment, are not suitable for any other type of production, such as transportation. Hunting and trapping activities utilize a wide variety of production processes and are classified in the same subsector as fishing because the availability of resources and the constraints imposed, such as conservation requirements and proper habitat maintenance, are similar.</t>
  </si>
  <si>
    <t>1141: Fishing</t>
  </si>
  <si>
    <t>Agriculture and forestry support</t>
  </si>
  <si>
    <t>Not Applicable</t>
  </si>
  <si>
    <t>Support activities for agriculture and forestry'. Industries in the Support Activities for Agriculture and Forestry subsector provide support services that are an essential part of agricultural and forestry production. These support activities may be performed by the agriculture or forestry producing establishment or conducted independently as an alternative source of inputs required for the production process for a given crop, animal, or forestry industry. Establishments that primarily perform these activities independent of the agriculture or forestry producing establishment are in this subsector.</t>
  </si>
  <si>
    <t>1151: Support Activities for Crop Production</t>
  </si>
  <si>
    <t>Unrefined oil and gas</t>
  </si>
  <si>
    <t>Oil and gas extraction'. Industries in the Oil and Gas Extraction subsector operate and/or develop oil and gas field properties. Such activities may include exploration for crude petroleum and natural gas; drilling, completing, and equipping wells; operating separators, emulsion breakers, desilting equipment, and field gathering lines for crude petroleum and natural gas; and all other activities in the preparation of oil and gas up to the point of shipment from the producing property. This subsector includes the production of crude petroleum, the mining and extraction of oil from oil shale and oil sands, and the production of natural gas, sulfur recovery from natural gas, and recovery of hydrocarbon liquids. Establishments in this subsector include those that operate oil and gas wells on their own account or for others on a contract or fee basis. Establishments primarily engaged in providing support services, on a fee or contract basis, required for the drilling or operation of oil and gas wells (except geophysical surveying and mapping, mine site preparation, and construction of oil/gas pipelines) are classified in Subsector 213, Support Activities for Mining.</t>
  </si>
  <si>
    <t>21: Mining, Quarrying, and Oil and Gas Extraction</t>
  </si>
  <si>
    <t>2111: Oil and Gas Extraction</t>
  </si>
  <si>
    <t>Coal mining'. This industry comprises establishments primarily engaged in one or more of the following (1) mining bituminous coal, anthracite, and lignite by underground mining, auger mining, strip mining, culm bank mining, and other surface mining; (2) developing coal mine sites; and (3) beneficiating (i.e., preparing) coal (e.g., cleaning, washing, screening, and sizing coal).</t>
  </si>
  <si>
    <t>2121: Coal Mining</t>
  </si>
  <si>
    <t>Iron, gold, silver, and other metal ores</t>
  </si>
  <si>
    <t>2122A0</t>
  </si>
  <si>
    <t>Iron, gold, silver, and other metal ore mining'. This industry group comprises establishments primarily engaged in developing mine sites or mining metallic minerals, and establishments primarily engaged in ore dressing and beneficiating (i.e., preparing) operations, such as crushing, grinding, washing, drying, sintering, concentrating, calcining, and leaching. Beneficiating may be performed at mills operated in conjunction with the mines served or at mills, such as custom mills, operated separately. Related NAICS codes are 21221, 21222, 21229</t>
  </si>
  <si>
    <t>2122: Metal Ore Mining</t>
  </si>
  <si>
    <t>Copper, nickel, lead, and zinc</t>
  </si>
  <si>
    <t>Copper, nickel, lead, and zinc mining'. This industry comprises establishments primarily engaged in developing the mine site, mining, and/or beneficiating (i.e., preparing) ores valued chiefly for their copper, nickel, lead, or zinc content. Beneficiating includes the transformation of ores into concentrates.</t>
  </si>
  <si>
    <t>Dimensional stone</t>
  </si>
  <si>
    <t>Stone mining and quarrying'. This industry comprises (1) establishments primarily engaged in developing the mine site, mining or quarrying dimension stone (i.e., rough blocks and/or slabs of stone), or mining and quarrying crushed and broken stone and/or (2) preparation plants primarily engaged in beneficiating stone (e.g., crushing, grinding, washing, screening, pulverizing, and sizing).</t>
  </si>
  <si>
    <t>2123: Nonmetallic Mineral Mining and Quarrying</t>
  </si>
  <si>
    <t>Sand, gravel, clay, phosphate, other nonmetallic minerals</t>
  </si>
  <si>
    <t>2123A0</t>
  </si>
  <si>
    <t>Other nonmetallic mineral mining and quarrying'. This industry group comprises establishments primarily engaged in developing mine sites, or in mining or quarrying nonmetallic minerals (except fuels). Also included are certain well and brine operations, and preparation plants primarily engaged in beneficiating (e.g., crushing, grinding, washing, and concentrating) nonmetallic minerals.   Beneficiation is the process whereby the extracted material is reduced to particles which can be separated into mineral and waste, the former suitable for further processing or direct use. The operations that take place in beneficiation are primarily mechanical, such as grinding, washing, magnetic separation, and centrifugal separation. In contrast, manufacturing operations primarily use chemical and electrochemical processes, such as electrolysis and distillation. However, some treatments, such as heat treatments, take place in both the beneficiation and the manufacturing (i.e., smelting/refining) stages. The range of preparation activities varies by mineral and the purity of any given ore deposit. While some minerals, such as petroleum and natural gas, require little or no preparation, others are washed and screened, while yet others, such as gold and silver, can be transformed into bullion before leaving the mine site. Related NAICS codes are 21232, 21239</t>
  </si>
  <si>
    <t>Well drilling</t>
  </si>
  <si>
    <t>Drilling oil and gas wells'. This U.S. industry comprises establishments primarily engaged in drilling oil and gas wells for others on a contract or fee basis. This industry includes contractors that specialize in spudding in, drilling in, redrilling, and directional drilling.</t>
  </si>
  <si>
    <t>2131: Support Activities for Mining</t>
  </si>
  <si>
    <t>Other support activities for mining</t>
  </si>
  <si>
    <t>21311A</t>
  </si>
  <si>
    <t>Other support activities for mining'. This industry comprises establishments primarily engaged in providing support services, on a contract or fee basis, required for the mining and quarrying of minerals and for the extraction of oil and gas. Drilling, taking core samples, and making geological observations at prospective sites (except geophysical surveying and mapping) for minerals, on a contract or fee basis, are included in this industry. Related NAICS codes are 213112-5</t>
  </si>
  <si>
    <t>Natural gas distribution'. This industry comprises (1) establishments primarily engaged in operating gas distribution systems (e.g., mains, meters); (2) establishments known as gas marketers that buy gas from the well and sell it to a distribution system; (3) establishments known as gas brokers or agents that arrange the sale of gas over gas distribution systems operated by others; and (4) establishments primarily engaged in transmitting and distributing gas to final consumers.</t>
  </si>
  <si>
    <t>22: Utilities</t>
  </si>
  <si>
    <t>2212: Natural Gas Distribution</t>
  </si>
  <si>
    <t>Drinking water and wastewater treatment</t>
  </si>
  <si>
    <t>Water, sewage and other systems'. This industry comprises establishments primarily engaged in operating water treatment plants and/or operating water supply systems. The water supply system may include pumping stations, aqueducts, and/or distribution mains. The water may be used for drinking, irrigation, or other uses.</t>
  </si>
  <si>
    <t>2213: Water, Sewage and Other Systems</t>
  </si>
  <si>
    <t>Drinking water treatment (See Category 5 for Wastewater treatment)</t>
  </si>
  <si>
    <t>Use this row for quantifiying emissions from water treatment based on total gallons of water usage (See Table 2 under Category 5 for wastewater emissions based on total water usage)</t>
  </si>
  <si>
    <t>Single-family homes</t>
  </si>
  <si>
    <t>Single-family residential structures. This industry comprises construction of single-family residential structures</t>
  </si>
  <si>
    <t>23: Construction</t>
  </si>
  <si>
    <t>2361: Residential Building Construction</t>
  </si>
  <si>
    <t>Multifamily homes</t>
  </si>
  <si>
    <t>Multifamily residential structures. This industry comprises construction of multifamily residential structures</t>
  </si>
  <si>
    <t xml:space="preserve">New Housing For-Sale Builders </t>
  </si>
  <si>
    <t>233411,2334A0,233412</t>
  </si>
  <si>
    <t xml:space="preserve">This U.S. industry comprises establishments primarily engaged in building new homes on land that is owned or controlled by the builder rather than the homebuyer or investor.  The land is included with the sale of the home.  Establishments in this industry build single-family and/or multifamily homes.  These establishments are often referred to as merchant builders, but are also known as production or for-sale builders. </t>
  </si>
  <si>
    <t>Residential building repair and maintanence</t>
  </si>
  <si>
    <t>Residential maintenance and repair. This industry comprises maintenance and repair of residential buildings.</t>
  </si>
  <si>
    <t xml:space="preserve">Industrial Building Construction </t>
  </si>
  <si>
    <t>230301,233230</t>
  </si>
  <si>
    <t xml:space="preserve">This industry comprises establishments primarily responsible for the construction (including new work, additions, alterations, maintenance, and repairs) of industrial buildings (except warehouses).  The construction of selected additional structures, whose production processes are similar to those for industrial buildings (e.g., incinerators, cement plants, blast furnaces, and similar nonbuilding structures), is included in this industry.  Included in this industry are industrial building general contractors, industrial building for-sale builders, industrial building design-build firms, and industrial building construction management firms.  Illustrative Examples:  Assembly plant construction Furnace, industrial plant, construction Cannery construction Mine loading and discharging station construction Cement plant construction Paper or pulp mill construction Chemical plant (except petrochemical) construction Pharmaceutical manufacturing plant construction Factory construction Steel mill construction Food processing plant construction Waste disposal plant (except sewage treatment) construction  </t>
  </si>
  <si>
    <t>2362: Nonresidential Building Construction</t>
  </si>
  <si>
    <t xml:space="preserve">Commercial and Institutional Building Construction </t>
  </si>
  <si>
    <t>233210,230301,2332A0,233262</t>
  </si>
  <si>
    <t xml:space="preserve">This industry comprises establishments primarily responsible for the construction (including new work, additions, alterations, maintenance, and repairs) of commercial and institutional buildings and related structures, such as stadiums, grain elevators, and indoor swimming facilities.  This industry includes establishments responsible for the on-site assembly of modular or prefabricated commercial and institutional buildings.  Included in this industry are commercial and institutional building general contractors, commercial and institutional building for-sale builders, commercial and institutional building design-build firms, and commercial and institutional building project construction management firms.  Illustrative Examples:  Airport building construction Office building construction Arena construction Parking garage construction Barrack construction Prison construction Farm building construction Radio and television broadcast studio construction Fire station construction Religious building (e.g., church, synagogue, mosque, temple) construction Grain elevator or bin construction Restaurant construction Hospital construction School building construction Hotel construction Shopping mall construction Indoor swimming facility construction Warehouse construction (e.g., commercial, industrial, manufacturing, private)  </t>
  </si>
  <si>
    <t>Utilities buildings and infrastructure</t>
  </si>
  <si>
    <t>Power and communication structures. This industry comprises construction of power and communication structures</t>
  </si>
  <si>
    <t>2371: Utility System Construction</t>
  </si>
  <si>
    <t xml:space="preserve">Land Subdivision </t>
  </si>
  <si>
    <t>2334A0,2332C0,233230,233262,233412,233210,2332D0,233240,233411,2332A0</t>
  </si>
  <si>
    <t xml:space="preserve">This industry comprises establishments primarily engaged in servicing land and subdividing real property into lots, for subsequent sale to builders.  Servicing of land may include excavation work for the installation of roads and utility lines.  The extent of work may vary from project to project.  Land subdivision precedes building activity and the subsequent building is often residential, but may also be commercial tracts and industrial parks.  These establishments may do all the work themselves or subcontract the work to others.  Establishments that perform only the legal subdivision of land are not included in this industry. </t>
  </si>
  <si>
    <t>Highways, streets, and bridges</t>
  </si>
  <si>
    <t>Other nonresidential structures</t>
  </si>
  <si>
    <t>2332D0</t>
  </si>
  <si>
    <t>Other nonresidential structures. This industry comprises construction of other nonresidential structures Related NAICS codes are23</t>
  </si>
  <si>
    <t xml:space="preserve">Poured Concrete Foundation and Structure Contractors </t>
  </si>
  <si>
    <t>230301,233240,2332D0,2334A0,233230,233412,233210,2332A0,230302,233262,233411</t>
  </si>
  <si>
    <t xml:space="preserve">This industry comprises establishments primarily engaged in pouring and finishing concrete foundations and structural elements.  This industry also includes establishments performing grout and shotcrete work.  The work performed may include new work, additions, alterations, maintenance, and repairs.  Illustrative Examples:  Concrete pouring and finishing Gunite contractors Concrete pumping (i.e., placement) Mud-jacking contractors Concrete work (except paving) Shotcrete contractors Footing and foundation concrete contractors  </t>
  </si>
  <si>
    <t xml:space="preserve">Structural Steel and Precast Concrete Contractors </t>
  </si>
  <si>
    <t>230301,233210,2332D0,233412,233262,2332A0,233411,233230,2334A0,233240,230302</t>
  </si>
  <si>
    <t xml:space="preserve">This industry comprises establishments primarily engaged in (1) erecting and assembling structural parts made from steel or precast concrete (e.g., steel beams, structural steel components, and similar products of precast concrete) and/or (2) assembling and installing other steel construction products (e.g., steel rods, bars, rebar, mesh, and cages) to reinforce poured-in-place concrete.  The work performed may include new work, additions, alterations, maintenance, and repairs.  Illustrative Examples:  Concrete product (e.g., structural precast, structural prestressed) installation Rebar contractors Erecting structural steel Reinforcing steel contractors Placing and tying reinforcing rod at a construction site Structural steel contractors Precast concrete panel, slab, or form installation   </t>
  </si>
  <si>
    <t xml:space="preserve">Framing Contractors </t>
  </si>
  <si>
    <t>230302,233240,230301,233230,233411,233262,233412,2334A0,2332D0,233210,2332A0</t>
  </si>
  <si>
    <t xml:space="preserve">This industry comprises establishments primarily engaged in structural framing and sheathing using materials other than structural steel or concrete.  The work performed may include new work, additions, alterations, maintenance, and repairs.  Illustrative Examples:  Building framing (except structural steel) Post framing contractors Foundation, building, wood, contractors Steel framing contractors Framing contractors Wood frame component (e.g., truss) fabrication on site  </t>
  </si>
  <si>
    <t xml:space="preserve">Masonry Contractors </t>
  </si>
  <si>
    <t>233240,2332A0,2332D0,233411,233262,233412,233230,230301,2334A0,233210,230302</t>
  </si>
  <si>
    <t xml:space="preserve">This industry comprises establishments primarily engaged in masonry work, stone setting, bricklaying, and other stone work. The work performed may include new work, additions, alterations, maintenance, and repairs.  Illustrative Examples:  Block laying Marble, granite, and slate, exterior, contractors Bricklaying Masonry pointing, cleaning, or caulking Concrete block laying Stucco contractors Foundation (e.g., brick, block, stone), building, contractors  </t>
  </si>
  <si>
    <t xml:space="preserve">Glass and Glazing Contractors </t>
  </si>
  <si>
    <t>233230,2334A0,2332D0,233262,233210,2332A0,233411,230301,233412,233240,230302</t>
  </si>
  <si>
    <t xml:space="preserve">This industry comprises establishments primarily engaged in installing glass panes in prepared openings (i.e., glazing work) and other glass work for buildings.  The work performed may include new work, additions, alterations, maintenance, and repairs.  Illustrative Examples:  Decorative glass and mirror installation Glazing contractors Glass cladding installation Stained glass installation Glass coating and tinting (except automotive) contractors Window pane or sheet installation Glass installation (except automotive) contractors  </t>
  </si>
  <si>
    <t xml:space="preserve">Roofing Contractors </t>
  </si>
  <si>
    <t>2332D0,230301,233411,2334A0,233262,233230,230302,233412,233210,2332A0,233240</t>
  </si>
  <si>
    <t xml:space="preserve">This industry comprises establishments primarily engaged in roofing.  This industry also includes establishments treating roofs (i.e., spraying, painting, or coating) and installing skylights.  The work performed may include new work, additions, alterations, maintenance, and repairs.  Illustrative Examples:  Painting, spraying, or coating, roof Sheet metal roofing installation Shake and shingle, roof, installation  Skylight installation  </t>
  </si>
  <si>
    <t xml:space="preserve">Siding Contractors </t>
  </si>
  <si>
    <t>233230,2334A0,2332A0,233262,230302,230301,233411,233412,233240,233210,2332D0</t>
  </si>
  <si>
    <t xml:space="preserve">This industry comprises establishments primarily engaged in installing siding of wood, aluminum, vinyl, or other exterior finish material (except brick, stone, stucco, or curtain wall).  This industry also includes establishments installing gutters and downspouts.  The work performed may include new work, additions, alterations, maintenance, and repairs.  Illustrative Examples:  Downspout, gutter, and gutter guard installation Fascia and soffit installation Siding (e.g., vinyl, wood, aluminum) installation  </t>
  </si>
  <si>
    <t xml:space="preserve">Other Foundation, Structure, and Building Exterior Contractors </t>
  </si>
  <si>
    <t>230302,233262,230301,233412,233210,2334A0,2332A0,233230,233240,233411,2332D0</t>
  </si>
  <si>
    <t xml:space="preserve">This industry comprises establishments primarily engaged in building foundation and structure trades work (except poured concrete, structural steel, precast concrete, framing, masonry, glass and glazing, roofing, and siding).  The work performed may include new work, additions, alterations, maintenance, and repairs.  Illustrative Examples:  Curtain wall, metal, installation Forms for poured concrete, erecting and dismantling Welding, on-site, contractors Ornamental metal work installation Fire escape installation Decorative steel and wrought iron work installation  </t>
  </si>
  <si>
    <t>Electrical Contractors and Other Wiring Installation Contractors</t>
  </si>
  <si>
    <t>2332D0,2332A0,233411,233210,230301,2334A0,233240,233230,233262,233412,230302</t>
  </si>
  <si>
    <t xml:space="preserve">This industry comprises establishments primarily engaged in installing and servicing electrical wiring and equipment.  Contractors included in this industry may include both the parts and labor when performing work.  These contractors may perform new work, additions, alterations, maintenance, and repairs.  Illustrative Examples:  Airport runway lighting contractors Fiber optic cable (except transmission line) contractors Alarm system (e.g., fire, burglar), electric, installation only Highway, street, and bridge lighting and electrical signal installation Audio equipment (except automotive) installation contractors Home automation system installation Lighting system installation Cable television hookup contractors Telecommunications equipment and wiring (except transmission line) installation contractors Computer and network cable installation Traffic signal installation Environmental control system installation Cable splicing, electrical or fiber optic  </t>
  </si>
  <si>
    <t xml:space="preserve">Plumbing, Heating, and Air-Conditioning Contractors </t>
  </si>
  <si>
    <t>233412,230301,2332A0,230302,233230,233262,233411,2332D0,2334A0,233240,233210</t>
  </si>
  <si>
    <t xml:space="preserve">This industry comprises establishments primarily engaged in installing and servicing plumbing, heating, and air-conditioning equipment.  Contractors in this industry may provide both parts and labor when performing work.  The work performed may include new work, additions, alterations, maintenance, and repairs.  Illustrative Examples:  Cooling tower installation Heating, ventilation, and air-conditioning (HVAC) contractors Duct work (e.g., cooling, dust collection, exhaust, heating, ventilation) installation Lawn sprinkler system installation Fire sprinkler system installation Mechanical contractors Fireplace, natural gas, installation Refrigeration system (e.g., commercial, industrial, scientific) installation Furnace installation Sewer hookup and connection, building  </t>
  </si>
  <si>
    <t xml:space="preserve">Other Building Equipment Contractors </t>
  </si>
  <si>
    <t>233262,2332A0,233411,2332D0,2334A0,233210,233240,230302,233412,230301,233230</t>
  </si>
  <si>
    <t xml:space="preserve">This industry comprises establishments primarily engaged in installing or servicing building equipment (except electrical, plumbing, heating, cooling, or ventilation equipment).  The repair and maintenance of miscellaneous building equipment is included in this industry.  The work performed may include new work, additions, alterations, maintenance, and repairs.  Illustrative Examples:  Automated and revolving door installation Lightning protection equipment (e.g., lightning rod) installation Boiler and pipe insulation installation Machine rigging Commercial-type door installation Millwrights Conveyor system installation Overhead door, commercial- or industrial-type, installation Dismantling large-scale machinery and equipment Revolving door installation Elevator installation Satellite dish, household-type, installation Escalator installation Vacuum cleaning system, built-in, installation Gasoline pump, service station, installation  </t>
  </si>
  <si>
    <t xml:space="preserve">Drywall and Insulation Contractors </t>
  </si>
  <si>
    <t>233210,233240,233411,2334A0,230301,233412,2332A0,2332D0,230302,233262,233230</t>
  </si>
  <si>
    <t xml:space="preserve">This industry comprises establishments primarily engaged in drywall, plaster work, and building insulation work.  Plaster work includes applying plain or ornamental plaster, and installation of lath to receive plaster.  The work performed may include new work, additions, alterations, maintenance, and repairs.  Establishments primarily engaged in providing firestop services are included in this industry.  Illustrative Examples:  Acoustical ceiling tile and panel installation Lathing contractors Drop ceiling installation Plastering (i.e., ornamental, plain) contractors Drywall contractors Soundproofing contractors Firestop contractors Fresco (i.e., decorative plaster finishing) contractors Taping and finishing drywall Gypsum board installation Wall cavity and attic space insulation installation  </t>
  </si>
  <si>
    <t>Painting and Wall Covering Contractors</t>
  </si>
  <si>
    <t>230301,2334A0,2332A0,233240,233262,233230,233412,233411,2332D0,230302,233210</t>
  </si>
  <si>
    <t xml:space="preserve">This industry comprises establishments primarily engaged in interior or exterior painting or interior wall covering.  The work performed may include new work, additions, alterations, maintenance, and repairs.  Illustrative Examples:  Bridge painting Paperhanging or removal contractors House painting Ship painting contractors Paint and wallpaper stripping Wallpaper hanging and removal contractors  </t>
  </si>
  <si>
    <t>Flooring Contractors</t>
  </si>
  <si>
    <t>233411,230301,233230,2332D0,2334A0,233262,233412,233240,2332A0,233210,230302</t>
  </si>
  <si>
    <t xml:space="preserve">This industry comprises establishments primarily engaged in the installation of resilient floor tile, carpeting, linoleum, and hardwood flooring.  The work performed may include new work, additions, alterations, maintenance, and repairs.  Illustrative Examples:  Carpet, installation only Resilient floor tile or sheet (e.g., linoleum, rubber, vinyl), installation only Vinyl flooring contractors Resurfacing hardwood flooring Hardwood flooring, installation only Floor laying, scraping, finishing, and refinishing  </t>
  </si>
  <si>
    <t>Tile and Terrazzo Contractors</t>
  </si>
  <si>
    <t>233411,233230,233412,233262,2332D0,2332A0,230301,233240,2334A0,230302,233210</t>
  </si>
  <si>
    <t xml:space="preserve">This industry comprises establishments primarily engaged in setting and installing ceramic tile, stone (interior only), and mosaic and/or mixing marble particles and cement to make terrazzo at the job site.  The work performed may include new work, additions, alterations, maintenance, and repairs.  Illustrative Examples:  Ceramic tile installation Mosaic work Mantel, marble or stone, installation Tile (except resilient) laying and setting Stone flooring installation Marble, granite, and slate, interior installation contractors  </t>
  </si>
  <si>
    <t>Finish Carpentry Contractors</t>
  </si>
  <si>
    <t>233411,2332D0,233240,233412,2332A0,2334A0,233262,230301,230302,233230,233210</t>
  </si>
  <si>
    <t xml:space="preserve">This industry comprises establishments primarily engaged in finish carpentry work.  The work performed may include new work, additions, alterations, maintenance, and repairs.  Illustrative Examples:  Built-in wood cabinets constructed on site Molding or trim, wood or plastic, installation Countertop, residential-type, installation Paneling installation Door and window frame construction Prefabricated kitchen and bath cabinet, residential-type, installation Garage door, residential-type, installation Ship joinery contractors Millwork installation Window and door, residential-type, of any material, prefabricated, installation  </t>
  </si>
  <si>
    <t>Other Building Finishing Contractors</t>
  </si>
  <si>
    <t>233411,233230,2332A0,2334A0,233240,233210,233412,230301,2332D0,230302,233262</t>
  </si>
  <si>
    <t xml:space="preserve">This industry comprises establishments primarily engaged in building finishing trade work (except drywall, plaster, and insulation work; painting and wall covering work; flooring work; tile and terrazzo work; and finish carpentry work).  The work performed may include new work, additions, alterations, maintenance, and repairs.  Illustrative Examples:  Bathtub refinishing, on-site Fabricating metal cabinets or countertops on site Closet organizer system installation Modular furniture system attachment and installation Concrete coating, glazing, or sealing Trade show exhibit installation and dismantling Countertop and cabinet, metal (except residential-type), installation Waterproofing contractors Drapery fixture (e.g., hardware, rods, tracks) installation Window shade and blind installation  </t>
  </si>
  <si>
    <t>Site Preparation Contractors</t>
  </si>
  <si>
    <t>233240,2334A0,233210,2332D0,230301,233262,230302,233411,2332A0,233412,233230</t>
  </si>
  <si>
    <t xml:space="preserve">This industry comprises establishments primarily engaged in site preparation activities, such as excavating and grading, demolition of buildings and other structures, and septic system installation.  Earthmoving and land clearing for all types of sites (e.g., building, nonbuilding, mining) is included in this industry.  Establishments primarily engaged in construction equipment rental with operator (except cranes) are also included.  Illustrative Examples:  Blasting, building demolition Foundation digging (i.e., excavation) Concrete breaking and cutting for demolition Foundation drilling contractors Cutting new rights of way Grading construction sites Demolition, building and structure Line slashing or cutting (except maintenance) Dewatering contractors Septic system contractors Dirt moving for construction Trenching (except underwater) Equipment rental (except crane), construction, with operator Underground tank (except hazardous) removal Excavating, earthmoving, or land clearing contractors Wrecking, building or other structure  </t>
  </si>
  <si>
    <t>All Other Specialty Trade Contractors</t>
  </si>
  <si>
    <t>2334A0,230301,230302,233230,233262,2332D0,233411,2332A0,233412,233210,233240</t>
  </si>
  <si>
    <t xml:space="preserve">This industry comprises establishments primarily engaged in specialized trades (except foundation, structure, and building exterior contractors; building equipment contractors; building finishing contractors; and site preparation contractors).  The specialty trade work performed includes new work, additions, alterations, maintenance, and repairs.  Illustrative Examples:  Billboard erection Outdoor swimming pool construction Cleaning building interiors during and immediately after construction Paver, brick (e.g., driveway, patio, sidewalk), installation Crane rental with operator Paving, residential and commercial driveway and parking lot Sandblasting building exteriors Fence installation Scaffold erecting and dismantling Interlocking brick and block installation Steeplejack work Manufactured (mobile) home set up and tie-down work Driveway paving or sealing  </t>
  </si>
  <si>
    <t>Dog and cat food</t>
  </si>
  <si>
    <t>Dog and cat food manufacturing'. This U.S. industry comprises establishments primarily engaged in manufacturing dog and cat food from ingredients, such as grains, oilseed mill products, and meat products.</t>
  </si>
  <si>
    <t>31-33: Manufacturing</t>
  </si>
  <si>
    <t>3111: Animal Food Manufacturing</t>
  </si>
  <si>
    <t>Other animal food</t>
  </si>
  <si>
    <t>Other animal food manufacturing'. This U.S. industry comprises establishments primarily engaged in manufacturing animal food (except dog and cat) from ingredients, such as grains, oilseed mill products, and meat products.</t>
  </si>
  <si>
    <t>Flours and malts</t>
  </si>
  <si>
    <t>Flour milling and malt manufacturing'. This industry comprises establishments primarily engaged in one or more of the following (1) milling flour or meal from grains or vegetables; (2) preparing flour mixes or doughs from flour milled in the same establishment; (3) milling, cleaning, and polishing rice; and (4) manufacturing malt from barley, rye, or other grains.</t>
  </si>
  <si>
    <t>3112: Grain and Oilseed Milling</t>
  </si>
  <si>
    <t>Corn products</t>
  </si>
  <si>
    <t>Wet corn milling'. This U.S. industry comprises establishments primarily engaged in wet milling corn and other vegetables (except to make ethyl alcohol). Examples of products made in these establishments are corn sweeteners, such as glucose, dextrose, and fructose; corn oil; and starches (except laundry).</t>
  </si>
  <si>
    <t>Vegetable oils and by-products</t>
  </si>
  <si>
    <t>Soybean and other oilseed processing'. This U.S. industry comprises establishments primarily engaged in crushing oilseeds and tree nuts, such as soybeans, cottonseeds, linseeds, peanuts, and sunflower seeds. Examples of products produced in these establishments are oilseed oils, cakes, meals, and protein isolates and concentrates.</t>
  </si>
  <si>
    <t>Refined vegetable, olive, and seed oils</t>
  </si>
  <si>
    <t>Fats and oils refining and blending'. This U.S. industry comprises establishments primarily engaged in one or more of the following (1) manufacturing shortening and margarine from purchased fats and oils; (2) refining and/or blending vegetable, oilseed, and tree nut oils from purchased oils; and (3) blending purchased animal fats with purchased vegetable fats.</t>
  </si>
  <si>
    <t>Breakfast cereals</t>
  </si>
  <si>
    <t>Breakfast cereal manufacturing. This industry comprises establishments primarily engaged in manufacturing breakfast cereal foods.</t>
  </si>
  <si>
    <t>Sugar, candy, and chocolate</t>
  </si>
  <si>
    <t>Sugar and confectionery product manufacturing'. This industry group comprises (1) establishments that process agricultural inputs, such as sugarcane, beet, and cacao, to give rise to a new product (sugar or chocolate), and (2) those that begin with sugar and chocolate and process these further.</t>
  </si>
  <si>
    <t>3113: Sugar and Confectionery Product Manufacturing</t>
  </si>
  <si>
    <t>Frozen food</t>
  </si>
  <si>
    <t>Frozen food manufacturing'. This industry comprises establishments primarily engaged in manufacturing frozen fruit, frozen juices, frozen vegetables, and frozen specialty foods (except seafood), such as frozen dinners, entrees, and side dishes; frozen pizza; frozen whipped toppings; and frozen waffles, pancakes, and french toast.</t>
  </si>
  <si>
    <t>3114: Fruit and Vegetable Preserving and Specialty Food Manufacturing</t>
  </si>
  <si>
    <t>Fruit and vegetable preservation</t>
  </si>
  <si>
    <t>Fruit and vegetable canning, pickling, and drying'. This industry comprises establishments primarily engaged in manufacturing canned, pickled, and dried fruits, vegetables, and specialty foods. Establishments in this industry may package the dried or dehydrated ingredients they make with other purchased ingredients. Examples of products made by these establishments are canned juices; canned baby foods; canned soups (except seafood); canned dry beans; canned tomato-based sauces, such as catsup, salsa, chili, spaghetti, barbeque, and tomato paste, pickles, relishes, jams and jellies, dried soup mixes and bullions, and sauerkraut.</t>
  </si>
  <si>
    <t>Fluid milk and butter</t>
  </si>
  <si>
    <t>31151A</t>
  </si>
  <si>
    <t>Fluid milk and butter manufacturing'. This industry group comprises establishments that manufacture dairy products from raw milk, processed milk, and dairy substitutes. Related NAICS codes are 311511-2</t>
  </si>
  <si>
    <t>3115: Dairy Product Manufacturing</t>
  </si>
  <si>
    <t>Cheese</t>
  </si>
  <si>
    <t>Cheese manufacturing. This U.S. industry comprises establishments primarily engaged in (1) manufacturing cheese products (except cottage cheese) from raw milk and/or processed milk products and/or (2) manufacturing cheese substitutes from soybean and other nondairy substances.</t>
  </si>
  <si>
    <t>Dry, condensed, and evaporated dairy</t>
  </si>
  <si>
    <t>Dry, condensed, and evaporated dairy product manufacturing'. This U.S. industry comprises establishments primarily engaged in manufacturing dry, condensed, and evaporated milk and dairy substitute products.</t>
  </si>
  <si>
    <t>Ice cream and frozen desserts</t>
  </si>
  <si>
    <t>Ice cream and frozen dessert manufacturing'. This industry comprises establishments primarily engaged in manufacturing ice cream, frozen yogurts, frozen ices, sherbets, frozen tofu, and other frozen desserts (except bakery products).</t>
  </si>
  <si>
    <t>Packaged meat (except poultry)</t>
  </si>
  <si>
    <t>31161A</t>
  </si>
  <si>
    <t>Animal (except poultry) slaughtering, rendering, and processing'. This industry comprises establishments primarily engaged in one or more of the following (1) slaughtering animals; (2) preparing processed meats and meat byproducts; and (3) rendering and/or refining animal fat, bones, and meat scraps. This industry includes establishments primarily engaged in assembly cutting and packing of meats (i.e., boxed meats) from purchased carcasses. Related NAICS codes are 311611-3</t>
  </si>
  <si>
    <t>3116: Animal Slaughtering and Processing</t>
  </si>
  <si>
    <t>Packaged poultry</t>
  </si>
  <si>
    <t>Poultry processing. This U.S. industry comprises establishments primarily engaged in (1) slaughtering poultry and small game and/or (2) preparing processed poultry and small game meat and meat byproducts.</t>
  </si>
  <si>
    <t>Seafood</t>
  </si>
  <si>
    <t>Seafood product preparation and packaging'. This industry comprises establishments primarily engaged in one or more of the following (1) canning seafood (including soup); (2) smoking, salting, and drying seafood; (3) eviscerating fresh fish by removing heads, fins, scales, bones, and entrails; (4) shucking and packing fresh shellfish; (5) processing marine fats and oils; and (6) freezing seafood. Establishments known as "floating factory ships" that are engaged in the gathering and processing of seafood into canned seafood products are included in this industry.</t>
  </si>
  <si>
    <t>3117: Seafood Product Preparation and Packaging</t>
  </si>
  <si>
    <t>Bread and other baked goods</t>
  </si>
  <si>
    <t>Bread and bakery product manufacturing. This industry comprises establishments primarily engaged in manufacturing fresh and frozen bread and other bakery products.</t>
  </si>
  <si>
    <t>3118: Bakeries and Tortilla Manufacturing</t>
  </si>
  <si>
    <t>Cookies, crackers, pastas, and tortillas</t>
  </si>
  <si>
    <t>3118A0</t>
  </si>
  <si>
    <t>Cookie, cracker, pasta, and tortilla manufacturing'. This industry group comprises establishments primarily engaged in one of the following (1) manufacturing fresh and frozen bread and other bakery products; (2) retailing bread and other bakery products not for immediate consumption made on the premises from flour, not from prepared dough; (3) manufacturing cookies, crackers, and dry pasta; (4) manufacturing prepared flour mixes or dough from flour ground elsewhere; or (5) manufacturing tortillas. Related NAICS codes are 31182-3</t>
  </si>
  <si>
    <t>Snack foods</t>
  </si>
  <si>
    <t>Snack food manufacturing'. This industry group comprises establishments primarily engaged in manufacturing food (except animal food; grain and oilseed milling; sugar and confectionery products; preserved fruit, vegetable, and specialty foods; dairy products; meat products; seafood products; and bakeries and tortillas). The industry group includes industries with different production processes, such as snack food manufacturing; coffee and tea manufacturing; concentrate, syrup, condiment, and spice manufacturing; and, in general, an entire range of other miscellaneous food product manufacturing.</t>
  </si>
  <si>
    <t>3119: Other Food Manufacturing</t>
  </si>
  <si>
    <t>Coffee and tea</t>
  </si>
  <si>
    <t>Coffee and tea manufacturing'. This industry comprises establishments primarily engaged in one or more of the following (1) roasting coffee; (2) manufacturing coffee and tea concentrates (including instant and freeze-dried); (3) blending tea; (4) manufacturing herbal tea; and (5) manufacturing coffee extracts, flavorings, and syrups.</t>
  </si>
  <si>
    <t>Flavored drink concentrates</t>
  </si>
  <si>
    <t>Flavoring syrup and concentrate manufacturing. This industry comprises establishments primarily engaged in manufacturing flavoring syrup drink concentrates and related products for soda fountain use or for the manufacture of soft drinks.</t>
  </si>
  <si>
    <t>Seasonings and dressings</t>
  </si>
  <si>
    <t>Seasoning and dressing manufacturing'. This industry comprises establishments primarily engaged in one or more of the following (1) manufacturing dressings and sauces, such as mayonnaise, salad dressing, vinegar, mustard, horseradish, soy sauce, tarter sauce, Worcestershire sauce, and other prepared sauces (except tomato-based and gravies); (2) manufacturing spices, table salt, seasoning, and flavoring extracts (except coffee and meat), and natural food colorings; and (3) manufacturing dry mix food preparations, such as salad dressing mixes, gravy and sauce mixes, frosting mixes, and other dry mix preparations.</t>
  </si>
  <si>
    <t>All other foods</t>
  </si>
  <si>
    <t>All other food manufacturing'. This industry comprises establishments primarily engaged in manufacturing food (except animal food; grain and oilseed milling; sugar and confectionery products; preserved fruits, vegetables, and specialties; dairy products; meat products; seafood products; bakeries and tortillas; snack foods; coffee and tea; flavoring syrups and concentrates; seasonings; and dressings). Included in this industry are establishments primarily engaged in mixing purchased dried and/or dehydrated ingredients including those mixing purchased dried and/or dehydrated ingredients for soup mixes and bouillon.</t>
  </si>
  <si>
    <t>Soft drinks, bottled water, and ice</t>
  </si>
  <si>
    <t>Soft drink and ice manufacturing. This industry comprises establishments primarily engaged in one or more of the following (1) manufacturing soft drinks; (2) manufacturing ice; and (3) purifying and bottling water.</t>
  </si>
  <si>
    <t>3121: Beverage Manufacturing</t>
  </si>
  <si>
    <t>Breweries and beer</t>
  </si>
  <si>
    <t>Breweries'. This industry comprises establishments primarily engaged in brewing beer, ale, malt liquors, and nonalcoholic beer.</t>
  </si>
  <si>
    <t>Wineries and wine</t>
  </si>
  <si>
    <t>Wineries. This industry comprises establishments primarily engaged in one or more of the following (1) growing grapes and manufacturing wines and brandies; (2) manufacturing wines and brandies from grapes and other fruits grown elsewhere; and (3) blending wines and brandies.</t>
  </si>
  <si>
    <t>Distilleries and spirits</t>
  </si>
  <si>
    <t>Distilleries. This industry comprises establishments primarily engaged in one or more of the following (1) distilling potable liquors (except brandies); (2) distilling and blending liquors; and (3) blending and mixing liquors and other ingredients.</t>
  </si>
  <si>
    <t>Tobacco products</t>
  </si>
  <si>
    <t>Tobacco product manufacturing'. This industry comprises establishments primarily engaged in manufacturing cigarettes, cigars, smoking and chewing tobacco, and reconstituted tobacco.</t>
  </si>
  <si>
    <t>3122: Tobacco Manufacturing</t>
  </si>
  <si>
    <t>Fiber, yarn, and thread</t>
  </si>
  <si>
    <t>Fiber, yarn, and thread mills'. This industry comprises establishments primarily engaged in one or more of the following (1) spinning yarn; (2) manufacturing thread of any fiber; (3) texturizing, throwing, twisting, and winding purchased yarn or manmade fiber filaments; and (4) producing hemp yarn and further processing into rope or bags.</t>
  </si>
  <si>
    <t>3131: Fiber, Yarn, and Thread Mills</t>
  </si>
  <si>
    <t>Fabric</t>
  </si>
  <si>
    <t>Fabric mills'. This industry group comprises (1) Broadwoven Fabric Mills, (2) Narrow Fabric Mills and Schiffli Machine Embroidery, (3) Nonwoven Fabric Mills, and (4) Knit Fabric Mills.</t>
  </si>
  <si>
    <t>3132: Fabric Mills</t>
  </si>
  <si>
    <t>Finished and coated fabric</t>
  </si>
  <si>
    <t>Textile and fabric finishing and fabric coating mills'. This industry group comprises (1) Textile and Fabric Finishing Mills, and (2) Fabric Coating Mills.</t>
  </si>
  <si>
    <t>3133: Textile and Fabric Finishing and Fabric Coating Mills</t>
  </si>
  <si>
    <t>Carpets and rugs</t>
  </si>
  <si>
    <t>Carpet and rug mills'. This industry comprises establishments primarily engaged in (1) manufacturing woven, tufted, and other carpets and rugs, such as art squares, floor mattings, needlepunch carpeting, and door mats and mattings, from textile materials or from twisted paper, grasses, reeds, sisal, jute, or rags and/or (2) finishing carpets and rugs.</t>
  </si>
  <si>
    <t>3141: Textile Furnishings Mills</t>
  </si>
  <si>
    <t>Curtains and linens</t>
  </si>
  <si>
    <t>Curtain and linen mills'. This industry comprises establishments primarily engaged in manufacturing household textile products, such as curtains, draperies, linens, bedspreads, sheets, tablecloths, towels, and shower curtains, from purchased materials.</t>
  </si>
  <si>
    <t>Other textiles</t>
  </si>
  <si>
    <t>Other textile product mills'. This industry group comprises establishments primarily engaged in making textile products (except carpets and rugs, curtains and draperies, and other household textile products) from purchased materials.</t>
  </si>
  <si>
    <t>3149: Other Textile Product Mills</t>
  </si>
  <si>
    <t>Clothing</t>
  </si>
  <si>
    <t>Apparel manufacturing'. Industries in the Apparel Manufacturing subsector group establishments with two distinct manufacturing processes (1) cut and sew (i.e., purchasing fabric and cutting and sewing to make a garment), and (2) the manufacture of garments in establishments that first knit fabric and then cut and sew the fabric into a garment. The Apparel Manufacturing subsector includes a diverse range of establishments manufacturing full lines of ready-to-wear apparel and custom apparel apparel contractors, performing cutting or sewing operations on materials owned by others; jobbers performing entrepreneurial functions involved in apparel manufacture; and tailors, manufacturing custom garments for individual clients are all included. Knitting, when done alone, is classified in the Textile Mills subsector, but when knitting is combined with the production of complete garments, the activity is classified in Apparel Manufacturing.</t>
  </si>
  <si>
    <t>3151: Apparel Knitting Mills</t>
  </si>
  <si>
    <t>Leather</t>
  </si>
  <si>
    <t>Leather and allied product manufacturing'. Establishments in the Leather and Allied Product Manufacturing subsector transform hides into leather by tanning or curing and fabricating the leather into products for final consumption. It also includes the manufacture of similar products from other materials, including products (except apparel) made from "leather substitutes," such as rubber, plastics, or textiles. Rubber footwear, textile luggage, and plastics purses or wallets are examples of "leather substitute" products included in this group. The products made from leather substitutes are included in this subsector because they are made in similar ways leather products are made (e.g., luggage). They are made in the same establishments, so it is not practical to separate them. The inclusion of leather making in this subsector is partly because leather tanning is a relatively small industry that has few close neighbors as a production process, partly because leather is an input to some of the other products classified in this subsector and partly for historical reasons.</t>
  </si>
  <si>
    <t>3161: Leather and Hide Tanning and Finishing</t>
  </si>
  <si>
    <t>Lumber and treated lumber</t>
  </si>
  <si>
    <t>Sawmills and wood preservation'. This industry group comprises establishments whose primary production process begins with logs or bolts that are transformed into boards, dimension lumber, beams, timbers, poles, ties, shingles, shakes, siding, and wood chips. Establishments that cut and treat round wood and/or treat wood products made in other establishments to prevent rotting by impregnation with creosote or other chemical compounds are also included in this industry group.</t>
  </si>
  <si>
    <t>3211: Sawmills and Wood Preservation</t>
  </si>
  <si>
    <t>Plywood and veneer</t>
  </si>
  <si>
    <t>Veneer, plywood, and engineered wood product manufacturing'. This industry comprises establishments primarily engaged in one or more of the following (1) manufacturing veneer and/or plywood; (2) manufacturing engineered wood members; and (3) manufacturing reconstituted wood products. This industry includes manufacturing plywood from veneer made in the same establishment or from veneer made in other establishments, and manufacturing plywood faced with nonwood materials, such as plastics or metal.</t>
  </si>
  <si>
    <t>3212: Veneer, Plywood, and Engineered Wood Product Manufacturing</t>
  </si>
  <si>
    <t>Wooden windows, door, and flooring</t>
  </si>
  <si>
    <t>Millwork'. This industry comprises establishments primarily engaged in manufacturing hardwood and softwood cut stock and dimension stock (i.e., shapes); wood windows and wood doors; and other millwork including wood flooring. Dimension stock or cut stock is defined as lumber and worked wood products cut or shaped to specialized sizes. These establishments generally use woodworking machinery, such as jointers, planers, lathes, and routers to shape wood.</t>
  </si>
  <si>
    <t>3219: Other Wood Product Manufacturing</t>
  </si>
  <si>
    <t>Veneer, plywood, and engineered wood</t>
  </si>
  <si>
    <t>3219A0</t>
  </si>
  <si>
    <t>All other wood product manufacturing'. This industry group comprises establishments primarily engaged in manufacturing wood products (except establishments operating sawmills and wood preservation facilities; and establishments manufacturing veneer, plywood, or engineered wood products). Related NAICS codes are 32192, 32199</t>
  </si>
  <si>
    <t>Wood pulp</t>
  </si>
  <si>
    <t>Pulp mills'. This industry comprises establishments primarily engaged in manufacturing pulp without manufacturing paper or paperboard. The pulp is made by separating the cellulose fibers from the other impurities in wood or other materials, such as used or recycled rags, linters, scrap paper, and straw.</t>
  </si>
  <si>
    <t>3221: Pulp, Paper, and Paperboard Mills</t>
  </si>
  <si>
    <t>Paper</t>
  </si>
  <si>
    <t>Paper mills'. This industry comprises establishments primarily engaged in manufacturing paper from pulp. These establishments may manufacture or purchase pulp. In addition, the establishments may convert the paper they make. The activity of making paper classifies an establishment into this industry regardless of the output.</t>
  </si>
  <si>
    <t>Cardboard</t>
  </si>
  <si>
    <t>Paperboard mills'. This industry comprises establishments primarily engaged in manufacturing paperboard from pulp. These establishments may manufacture or purchase pulp. In addition, the establishments may also convert the paperboard they make.</t>
  </si>
  <si>
    <t>Cardboard containers</t>
  </si>
  <si>
    <t>Paperboard container manufacturing'. This industry comprises establishments primarily engaged in converting paperboard into containers without manufacturing paperboard. These establishments use corrugating, cutting, and shaping machinery to form paperboard into containers. Products made by these establishments include boxes, corrugated sheets, pads, pallets, paper dishes, and fiber drums, and reels.</t>
  </si>
  <si>
    <t>3222: Converted Paper Product Manufacturing</t>
  </si>
  <si>
    <t>Paper bags and coated paper</t>
  </si>
  <si>
    <t>Paper bag and coated and treated paper manufacturing'. This industry comprises establishments primarily engaged in one or more of the following (1) cutting and coating paper and paperboard; (2) cutting and laminating paper, paperboard, and other flexible materials (except plastics film to plastics film); (3) manufacturing bags, multiwall bags, sacks of paper, metal foil, coated paper, laminates, or coated combinations of paper and foil with plastics film; (4) manufacturing laminated aluminum and other converted metal foils from purchased foils; and (5) surface coating paper or paperboard.</t>
  </si>
  <si>
    <t>Stationery</t>
  </si>
  <si>
    <t>Stationery product manufacturing'. This industry comprises establishments primarily engaged in converting paper or paperboard into products used for writing, filing, art work, and similar applications.</t>
  </si>
  <si>
    <t>Sanitary paper (tissues, napkins, diapers, etc.)</t>
  </si>
  <si>
    <t>Sanitary paper product manufacturing'. This U.S. industry comprises establishments primarily engaged in converting purchased sanitary paper stock or wadding into sanitary paper products, such as facial tissues, handkerchiefs, table napkins, toilet paper, towels, disposable diapers, sanitary napkins, and tampons.</t>
  </si>
  <si>
    <t>All other converted paper products</t>
  </si>
  <si>
    <t>All other converted paper product manufacturing'. This U.S. industry comprises establishments primarily engaged in converting paper or paperboard into products (except containers, bags, coated and treated paper, stationery products, and sanitary paper products) or converting pulp into pulp products, such as egg cartons, food trays, and other food containers from molded pulp.</t>
  </si>
  <si>
    <t>Books, newspapers, magazines, and other print media</t>
  </si>
  <si>
    <t>Printing'. This industry comprises establishments primarily engaged in printing on apparel and textile products, paper, metal, glass, plastics, and other materials, except fabric (grey goods). The printing processes employed include, but are not limited to, lithographic, gravure, screen, flexographic, digital, and letterpress. Establishments in this industry do not manufacture the stock that they print, but may perform postprinting activities, such as folding, cutting, or laminating the materials they print, and mailing.</t>
  </si>
  <si>
    <t>3231: Printing and Related Support Activities</t>
  </si>
  <si>
    <t>Printing support</t>
  </si>
  <si>
    <t>Support activities for printing'. This industry comprises establishments primarily engaged in performing prepress (e.g., platemaking, typesetting) and postpress services (e.g., book binding) in support of printing activities.</t>
  </si>
  <si>
    <t>Gasoline, fuels, and by-products of petroleum refining</t>
  </si>
  <si>
    <t>Petroleum refineries. This industry comprises establishments primarily engaged in refining crude petroleum into refined petroleum. Petroleum refining involves one or more of the following activities (1) fractionation; (2) straight distillation of crude oil; and (3) cracking.</t>
  </si>
  <si>
    <t>3241: Petroleum and Coal Products Manufacturing</t>
  </si>
  <si>
    <t>Asphalt pavement</t>
  </si>
  <si>
    <t>Asphalt paving mixture and block manufacturing. This U.S. industry comprises establishments primarily engaged in manufacturing asphalt and tar paving mixtures and blocks from purchased asphaltic materials.</t>
  </si>
  <si>
    <t>Asphalt shingles</t>
  </si>
  <si>
    <t>Asphalt shingle and coating materials manufacturing. This U.S. industry comprises establishments primarily engaged in (1) saturating purchased mats and felts with asphalt or tar from purchased asphaltic materials and (2) manufacturing asphalt and tar and roofing cements and coatings from purchased asphaltic materials.</t>
  </si>
  <si>
    <t>Other petroleum and coal products</t>
  </si>
  <si>
    <t>Other petroleum and coal products manufacturing'. This industry comprises establishments primarily engaged in manufacturing petroleum products (except asphalt paving, roofing and saturated materials) from refined petroleum or coal products made in coke ovens not integrated with a steel mill.</t>
  </si>
  <si>
    <t>Petrochemicals</t>
  </si>
  <si>
    <t>Petrochemical manufacturing'. This industry comprises establishments primarily engaged in (1) manufacturing acyclic (i.e., aliphatic) hydrocarbons such as ethylene, propylene, and butylene made from refined petroleum or liquid hydrocarbons and/or (2) manufacturing cyclic aromatic hydrocarbons such as benzene, toluene, styrene, xylene, ethyl benzene, and cumene made from refined petroleum or liquid hydrocarbons.</t>
  </si>
  <si>
    <t>3251: Basic Chemical Manufacturing</t>
  </si>
  <si>
    <t>Compressed Gases</t>
  </si>
  <si>
    <t>Industrial gas manufacturing'. This industry comprises establishments primarily engaged in manufacturing industrial organic and inorganic gases in compressed, liquid, and solid forms.</t>
  </si>
  <si>
    <t>Synthetic dyes and pigments</t>
  </si>
  <si>
    <t>Synthetic dye and pigment manufacturing'. This industry comprises establishments primarily engaged in manufacturing synthetic organic and inorganic dyes and pigments, such as lakes and toners (except electrostatic and photographic).</t>
  </si>
  <si>
    <t>Other basic inorganic chemicals</t>
  </si>
  <si>
    <t>Other basic inorganic chemical manufacturing. This industry comprises establishments primarily engaged in manufacturing basic inorganic chemicals (except industrial gases and synthetic dyes and pigments).</t>
  </si>
  <si>
    <t>Other basic organic chemicals</t>
  </si>
  <si>
    <t>Other basic organic chemical manufacturing'. This industry comprises establishments primarily engaged in manufacturing basic organic chemicals (except petrochemicals, industrial gases, and synthetic dyes and pigments).</t>
  </si>
  <si>
    <t>Plastics material and resin manufacturing'. This U.S. industry comprises establishments primarily engaged in (1) manufacturing resins, plastics materials, and nonvulcanizable thermoplastic elastomers and mixing and blending resins on a custom basis and/or (2) manufacturing noncustomized synthetic resins.</t>
  </si>
  <si>
    <t>3252: Resin, Synthetic Rubber, and Artificial and Synthetic Fibers and Filaments Manufacturing</t>
  </si>
  <si>
    <t>Synthetic rubber and artificial and synthetic fibers</t>
  </si>
  <si>
    <t>3252A0</t>
  </si>
  <si>
    <t>Synthetic rubber and artificial and synthetic fibers and filaments manufacturing'. This industry group comprises establishments primarily engaged in one of the following (1) manufacturing synthetic resins, plastics materials, and nonvulcanizable elastomers and mixing and blending resins on a custom basis; (2) manufacturing noncustomized synthetic resins; (3) manufacturing synthetic rubber; (4) manufacturing cellulosic (e.g., rayon, acetate) and noncellulosic (e.g., nylon, polyolefin, polyester) fibers and filaments in the form of monofilament, filament yarn, staple, or tow; or (5) manufacturing and texturizing cellulosic and noncellulosic fibers and filaments. Related NAICS codes are 325212, 32522</t>
  </si>
  <si>
    <t>Fertilizers</t>
  </si>
  <si>
    <t>Fertilizer manufacturing'. This industry group comprises (1) Fertilizer Manufacturing, and (2) Pesticide and Other Agricultural Chemical Manufacturing.</t>
  </si>
  <si>
    <t>3253: Pesticide, Fertilizer, and Other Agricultural Chemical Manufacturing</t>
  </si>
  <si>
    <t>Pesticides</t>
  </si>
  <si>
    <t>Pesticide and other agricultural chemical manufacturing. This industry comprises establishments primarily engaged in the formulation and preparation of agricultural and household pest control chemicals (except fertilizers).</t>
  </si>
  <si>
    <t>Medicinal and botanical ingredients</t>
  </si>
  <si>
    <t>Medicinal and botanical manufacturing'. This U.S. industry comprises establishments primarily engaged in (1) manufacturing uncompounded medicinal chemicals and their derivatives (i.e., generally for use by pharmaceutical preparation manufacturers) and/or (2) grading, grinding, and milling uncompounded botanicals.</t>
  </si>
  <si>
    <t>3254: Pharmaceutical and Medicine Manufacturing</t>
  </si>
  <si>
    <t>Pharmaceutical products (pills, powders, solutions, etc.)</t>
  </si>
  <si>
    <t>Pharmaceutical preparation manufacturing'. This U.S. industry comprises establishments primarily engaged in manufacturing in-vivo diagnostic substances and pharmaceutical preparations (except biological) intended for internal and external consumption in dose forms, such as ampoules, tablets, capsules, vials, ointments, powders, solutions, and suspensions.</t>
  </si>
  <si>
    <t>Blood sugar, pregnancy, and other diagnostic test kits</t>
  </si>
  <si>
    <t>In-vitro diagnostic substance manufacturing'. This U.S. industry comprises establishments primarily engaged in manufacturing in-vitro (i.e., not taken internally) diagnostic substances, such as chemical, biological, or radioactive substances. The substances are used for diagnostic tests that are performed in test tubes, petri dishes, machines, and other diagnostic test-type devices.</t>
  </si>
  <si>
    <t>Vaccines and other biological medical products</t>
  </si>
  <si>
    <t>Biological product (except diagnostic) manufacturing'. This U.S. industry comprises establishments primarily engaged in manufacturing vaccines, toxoids, blood fractions, and culture media of plant or animal origin (except diagnostic).</t>
  </si>
  <si>
    <t>Paints and coatings</t>
  </si>
  <si>
    <t>Paint and coating manufacturing'. This industry comprises establishments primarily engaged in (1) mixing pigments, solvents, and binders into paints and other coatings, such as stains, varnishes, lacquers, enamels, shellacs, and water repellant coatings for concrete and masonry, and/or (2) manufacturing allied paint products, such as putties, paint and varnish removers, paint brush cleaners, and frit.</t>
  </si>
  <si>
    <t>3255: Paint, Coating, and Adhesive Manufacturing</t>
  </si>
  <si>
    <t>Adhesives</t>
  </si>
  <si>
    <t>Adhesive manufacturing'. This industry comprises establishments primarily engaged in manufacturing adhesives, glues, and caulking compounds.</t>
  </si>
  <si>
    <t>Soap and cleaning compounds</t>
  </si>
  <si>
    <t>Soap and cleaning compound manufacturing'. This industry comprises establishments primarily engaged in manufacturing and packaging soap and other cleaning compounds, surface active agents, and textile and leather finishing agents used to reduce tension or speed the drying process.</t>
  </si>
  <si>
    <t>3256: Soap, Cleaning Compound, and Toilet Preparation Manufacturing</t>
  </si>
  <si>
    <t>Toiletries</t>
  </si>
  <si>
    <t>Toilet preparation manufacturing'. This industry comprises establishments primarily engaged in preparing, blending, compounding, and packaging toilet preparations, such as perfumes, shaving preparations, hair preparations, face creams, lotions (including sunscreens), and other cosmetic preparations.</t>
  </si>
  <si>
    <t>Ink and ink cartridges</t>
  </si>
  <si>
    <t>Printing ink manufacturing. This industry comprises establishments primarily engaged in manufacturing printing and inkjet inks and inkjet cartridges.</t>
  </si>
  <si>
    <t>3259: Other Chemical Product and Preparation Manufacturing</t>
  </si>
  <si>
    <t>Chemicals (except basic chemicals, agrichemicals, polymers, paints, pharmaceuticals,soaps, cleaning compounds)</t>
  </si>
  <si>
    <t>3259A0</t>
  </si>
  <si>
    <t>All other chemical product and preparation manufacturing'. This industry group comprises establishments primarily engaged in manufacturing chemical products (except basic chemicals; resins, synthetic rubber, cellulosic and noncellulosic fibers and filaments; pesticides, fertilizers, and other agricultural chemicals; pharmaceuticals and medicines; paints, coatings, and adhesives; soaps and cleaning compounds; and toilet preparations). Related NAICS codes are 32592, 32599</t>
  </si>
  <si>
    <t>Plastic bags, films, and sheets</t>
  </si>
  <si>
    <t>Plastics packaging materials and unlaminated film and sheet manufacturing'. This industry comprises establishments primarily engaged in (1) converting plastics resins into unsupported plastics film and sheet and/or (2) forming, coating or laminating plastics film and sheet into plastics bags.</t>
  </si>
  <si>
    <t>3261: Plastics Product Manufacturing</t>
  </si>
  <si>
    <t>Plastic pipe, fittings, and sausage casings</t>
  </si>
  <si>
    <t>Plastics pipe, pipe fitting, and unlaminated profile shape manufacturing'. This industry comprises establishments primarily engaged in manufacturing plastics pipes and pipe fittings, and plastics profile shapes such as rod, tube, and sausage casings.</t>
  </si>
  <si>
    <t>Laminated plastic plates and shapes</t>
  </si>
  <si>
    <t>Laminated plastics plate, sheet (except packaging), and shape manufacturing'. This industry comprises establishments primarily engaged in laminating plastics profile shapes such as plate, sheet (except packaging), and rod. The lamination process generally involves bonding or impregnating profiles with plastics resins and compressing them under heat.</t>
  </si>
  <si>
    <t>Polystyrene foam products</t>
  </si>
  <si>
    <t>Polystyrene foam product manufacturing. This industry comprises establishments primarily engaged in manufacturing polystyrene foam products.</t>
  </si>
  <si>
    <t>Urethane and other foam products</t>
  </si>
  <si>
    <t>Urethane and other foam product (except polystyrene) manufacturing. This industry comprises establishments primarily engaged in manufacturing plastics foam products (except polystyrene).</t>
  </si>
  <si>
    <t>Plastic bottles</t>
  </si>
  <si>
    <t>Other plastic products</t>
  </si>
  <si>
    <t>Other plastics product manufacturing'. This industry comprises establishments primarily engaged in manufacturing resilient floor covering and other plastics products (except film, sheet, bags, profile shapes, pipes, pipe fittings, laminates, foam products, and bottles).</t>
  </si>
  <si>
    <t>Rubber tires</t>
  </si>
  <si>
    <t>Tire manufacturing. This industry comprises establishments primarily engaged in manufacturing tires and inner tubes from natural and synthetic rubber and retreading or rebuilding tires.</t>
  </si>
  <si>
    <t>3262: Rubber Product Manufacturing</t>
  </si>
  <si>
    <t>Rubber and plastic belts and hoses</t>
  </si>
  <si>
    <t>Rubber and plastics hoses and belting manufacturing. This industry comprises establishments primarily engaged in manufacturing rubber hose and/or plastics (reinforced) hose and belting from natural and synthetic rubber and/or plastics resins. Establishments manufacturing garden hoses from purchased hose are included in this industry.</t>
  </si>
  <si>
    <t>Other rubber products</t>
  </si>
  <si>
    <t>Other rubber product manufacturing'. This industry comprises establishments primarily engaged in manufacturing rubber products (except tires, hoses, and belting) from natural and synthetic rubber.</t>
  </si>
  <si>
    <t>Clay and ceramic products</t>
  </si>
  <si>
    <t>Clay product and refractory manufacturing'. This industry group comprises (1) Pottery, Ceramics, and Plumbing Fixture Manufacturing, and (2) Clay Building Material and Refractories Manufacturing.</t>
  </si>
  <si>
    <t>3271: Clay Product and Refractory Manufacturing</t>
  </si>
  <si>
    <t>Glass and glass products</t>
  </si>
  <si>
    <t>Glass and glass product manufacturing'. This industry comprises establishments primarily engaged in manufacturing glass and/or glass products. Establishments in this industry may manufacture glass and/or glass products by melting silica sand or cullet, or purchasing glass.</t>
  </si>
  <si>
    <t>3272: Glass and Glass Product Manufacturing</t>
  </si>
  <si>
    <t>Cement</t>
  </si>
  <si>
    <t>Cement manufacturing'. This industry comprises establishments primarily engaged in manufacturing portland, natural, masonry, pozzolanic, and other hydraulic cements. Cement manufacturing establishments may calcine earths or mine, quarry, manufacture, or purchase lime.</t>
  </si>
  <si>
    <t>3273: Cement and Concrete Product Manufacturing</t>
  </si>
  <si>
    <t>Ready-mix concrete</t>
  </si>
  <si>
    <t>Ready-mix concrete manufacturing'. This industry comprises establishments, such as batch plants or mix plants, primarily engaged in manufacturing concrete delivered to a purchaser in a plastic and unhardened state. Ready-mix concrete manufacturing establishments may mine, quarry, or purchase sand and gravel.</t>
  </si>
  <si>
    <t>Concrete pipe, bricks, and blocks</t>
  </si>
  <si>
    <t>Concrete pipe, brick, and block manufacturing'. This industry comprises establishments primarily engaged in manufacturing concrete pipe, brick, and block.</t>
  </si>
  <si>
    <t>Other concrete products</t>
  </si>
  <si>
    <t>Other concrete product manufacturing'. This industry comprises establishments primarily engaged in manufacturing concrete products (except block, brick, and pipe).</t>
  </si>
  <si>
    <t>Lime and gypsum products</t>
  </si>
  <si>
    <t>Lime and gypsum product manufacturing'. This industry group comprises (1) Lime Manufacturing, and (2) Gypsum Product Manufacturing.</t>
  </si>
  <si>
    <t>3274: Lime and Gypsum Product Manufacturing</t>
  </si>
  <si>
    <t>Abrasive products</t>
  </si>
  <si>
    <t>Abrasive product manufacturing'. This industry comprises establishments primarily engaged in manufacturing abrasive grinding wheels of natural or synthetic materials, abrasive-coated products, and other abrasive products.</t>
  </si>
  <si>
    <t>3279: Other Nonmetallic Mineral Product Manufacturing</t>
  </si>
  <si>
    <t>Cut stone and stone products</t>
  </si>
  <si>
    <t>Cut stone and stone product manufacturing'. This U.S. industry comprises establishments primarily engaged in cutting, shaping, and finishing granite, marble, limestone, slate, and other stone for building and miscellaneous uses. Stone product manufacturing establishments may mine, quarry, or purchase stone.</t>
  </si>
  <si>
    <t>Ground or treated minerals and earth</t>
  </si>
  <si>
    <t>Ground or treated mineral and earth manufacturing'. This U.S. industry comprises establishments primarily engaged in calcining, dead burning, or otherwise processing beyond beneficiation, clays, ceramic and refractory minerals, barite, and miscellaneous nonmetallic minerals.</t>
  </si>
  <si>
    <t>Mineral wool</t>
  </si>
  <si>
    <t>Mineral wool manufacturing'. This U.S. industry comprises establishments primarily engaged in manufacturing mineral wool and mineral wool (i.e., fiberglass) insulation products made of such siliceous materials as rock, slag, and glass or combinations thereof.</t>
  </si>
  <si>
    <t>Other nonmetallic mineral products</t>
  </si>
  <si>
    <t>Miscellaneous nonmetallic mineral products'. This U.S. industry comprises establishments primarily engaged in manufacturing nonmetallic mineral products (except pottery, ceramics, and plumbing fixtures; clay building materials and refractories; glass and glass products; cement; ready-mix concrete; concrete products; lime; gypsum products; abrasive products; cut stone and stone products; ground and treated minerals and earth; and mineral wool).</t>
  </si>
  <si>
    <t>Primary iron, steel, and ferroalloy products</t>
  </si>
  <si>
    <t>Iron and steel mills and ferroalloy manufacturing'. This industry comprises establishments primarily engaged in one or more of the following (1) direct reduction of iron ore; (2) manufacturing pig iron in molten or solid form; (3) converting pig iron into steel; (4) manufacturing ferroalloys; (5) making steel; (6) making steel and manufacturing shapes (e.g., bar, plate, rod, sheet, strip, wire); and (7) making steel and forming pipe and tube.</t>
  </si>
  <si>
    <t>3311: Iron and Steel Mills and Ferroalloy Manufacturing</t>
  </si>
  <si>
    <t>Secondary steel products</t>
  </si>
  <si>
    <t>Steel product manufacturing from purchased steel'. This industry group comprises establishments primarily engaged in manufacturing iron and steel tube and pipe, drawing steel wire, and rolling or drawing shapes from purchased iron or steel.</t>
  </si>
  <si>
    <t>3312: Steel Product Manufacturing from Purchased Steel</t>
  </si>
  <si>
    <t>Primary aluminum</t>
  </si>
  <si>
    <t>Alumina refining and primary aluminum production'. This U.S. industry comprises establishments primarily engaged in (1) refining alumina (i.e., aluminum oxide) generally from bauxite and (2) making aluminum from alumina and/or rolling, drawing, extruding, or casting the aluminum they make into primary forms (e.g., bar, billet, ingot, plate, rod, sheet, strip). Establishments in this industry may make primary aluminum or aluminum-based alloys from alumina.</t>
  </si>
  <si>
    <t>3313: Alumina and Aluminum Production and Processing</t>
  </si>
  <si>
    <t>Secondary aluminum</t>
  </si>
  <si>
    <t>33131B</t>
  </si>
  <si>
    <t>Aluminum product manufacturing from purchased aluminum'. This industry comprises establishments primarily engaged in one or more of the following (1) flat rolling or continuous casting sheet, plate, foil and welded tube from purchased aluminum; (2) recovering aluminum from scrap and flat rolling or continuous casting sheet, plate, foil, and welded tube in integrated mills; (3) extruding aluminum bar, pipe, and tube blooms or extruding or drawing tube from purchased aluminum; (4) recovering aluminum from scrap and extruding bar, pipe, and tube blooms or drawing tube in integrated mills; (5) rolling, drawing, or extruding shapes (except flat rolled sheet, plate, foil, and welded tube; extruded rod, bar, pipe, and tube blooms; and drawn or extruded tube) from purchased aluminum; and/or (6) recovering aluminum from scrap and rolling, drawing or extruding shapes (except flat rolled sheet, plate, foil, and welded tube; extruded rod, bar, pipe, and tube blooms; and drawn or extruded tube) in integrated mills.  Related NAICS codes are 331315, 331316, 331319</t>
  </si>
  <si>
    <t>Copper, gold and silver concentrates</t>
  </si>
  <si>
    <t>Nonferrous metal (except aluminum) smelting and refining. This U.S. industry comprises establishments primarily engaged in (1) smelting ores into nonferrous metals and/or (2) the primary refining of nonferrous metals (except aluminum) by electrolytic methods or other processes.</t>
  </si>
  <si>
    <t>3314: Nonferrous Metal (except Aluminum) Production and Processing</t>
  </si>
  <si>
    <t>Secondary copper products</t>
  </si>
  <si>
    <t>Copper rolling, drawing, extruding and alloying'. This industry comprises establishments primarily engaged in one or more of the following (1) recovering copper or copper alloys from scraps; (2) alloying purchased copper; (3) rolling, drawing, or extruding shapes, (e.g., bar, plate, sheet, strip, tube, wire) from purchased copper; and (4) recovering copper or copper alloys from scrap and rolling, drawing, or extruding shapes (e.g., bar, plate, sheet, strip, tube, wire).</t>
  </si>
  <si>
    <t>Other secondary nonferrous metal products</t>
  </si>
  <si>
    <t>Nonferrous metal (except copper and aluminum) rolling, drawing, extruding and alloying'. This industry comprises establishments primarily engaged in one or more of the following (1) recovering nonferrous metals (except copper and aluminum) and nonferrous metal alloys from scrap; (2) alloying purchased nonferrous metals (except copper and aluminum); (3) rolling, drawing, and extruding shapes from purchased nonferrous metals (except copper and aluminum); and (4) recovering nonferrous metals from scrap (except copper and aluminum) and rolling, drawing, or extruding shapes in integrated facilities.</t>
  </si>
  <si>
    <t>Cast iron and steel</t>
  </si>
  <si>
    <t>Ferrous metal foundries. This industry comprises establishments primarily engaged in pouring molten iron and steel into molds of a desired shape to make castings. Establishments in this industry purchase iron and steel made in other establishments.</t>
  </si>
  <si>
    <t>3315: Foundries</t>
  </si>
  <si>
    <t>Nonferrous metal casts</t>
  </si>
  <si>
    <t>Nonferrous metal foundries'. This industry comprises establishments primarily engaged in pouring and/or introducing molten nonferrous metal, under high pressure, into metal molds or dies to manufacture castings. Establishments in this industry purchase nonferrous metals made in other establishments.</t>
  </si>
  <si>
    <t>All other forging, stamping, and sintering</t>
  </si>
  <si>
    <t>33211A</t>
  </si>
  <si>
    <t>All other forging, stamping, and sintering'. This industry comprises establishments primarily engaged in one or more of the following (1) manufacturing forgings from purchased metals; (2) manufacturing metal custom roll forming products; (3) manufacturing metal stamped and spun products (except automotive, cans, coins); and (4) manufacturing powder metallurgy products. Establishments making metal forgings, metal stampings, and metal spun products and further manufacturing (e.g., machining, assembling) a specific manufactured product are classified in the industry of the finished product. Metal forging, metal stamping, and metal spun products establishments may perform surface finishing operations, such as cleaning and deburring, on the products they manufacture.  Related NAICS codes are 332111-2, 332117</t>
  </si>
  <si>
    <t>3321: Forging and Stamping</t>
  </si>
  <si>
    <t>Custom metal rolls</t>
  </si>
  <si>
    <t>Custom roll forming. This U.S. industry comprises establishments primarily engaged in custom roll forming metal products by use of rotary motion of rolls with various contours to bend or shape the products.</t>
  </si>
  <si>
    <t>Lids, jars, bottle caps, other metal closures and crowns</t>
  </si>
  <si>
    <t>Metal crown, closure, and other metal stamping (except automotive)'. This industry comprises establishments primarily engaged in one or more of the following (1) stamping metal crowns and closures, such as bottle caps and home canning lids and rings; and/or (2) manufacturing other unfinished metal stampings and spinning unfinished metal products (except automotive and coins). Establishments making metal stampings and metal spun products and further manufacturing (e.g. machining, assembling) a specific product are classified in the industry of the finished product. Metal stamping and metal spun products establishments may perform surface finishing operations, such as cleaning and deburring, on the products they manufacture.</t>
  </si>
  <si>
    <t>Cutlery and handtools</t>
  </si>
  <si>
    <t>Cutlery and handtool manufacturing'. This industry comprises establishments primarily engaged in one or more of the following (1) manufacturing nonprecious and precious plated metal cutlery and flatware; (2) manufacturing nonpowered hand and edge tools; (3) manufacturing nonpowered handsaws; (4) manufacturing saw blades, all types (including those for sawing machines); and (5) manufacturing metal kitchen utensils (except cutting-type) and pots and pans (except those manufactured by casting (e.g., cast iron skillets) or stamped without further fabrication).</t>
  </si>
  <si>
    <t>3322: Cutlery and Handtool Manufacturing</t>
  </si>
  <si>
    <t>Metal structural products</t>
  </si>
  <si>
    <t>Plate work and fabricated structural product manufacturing'. This industry comprises establishments primarily engaged in manufacturing one or more of the following (1) prefabricated metal buildings, panels and sections; (2) structural metal products; and (3) metal plate work products.</t>
  </si>
  <si>
    <t>3323: Architectural and Structural Metals Manufacturing</t>
  </si>
  <si>
    <t>Metal windows, doors, and architectural products</t>
  </si>
  <si>
    <t>Ornamental and architectural metal products manufacturing'. This industry comprises establishments primarily engaged in manufacturing one or more of the following (1) metal framed windows (i.e., typically using purchased glass) and metal doors; (2) sheet metal work; and (3) ornamental and architectural metal products.</t>
  </si>
  <si>
    <t>Power boilers and heat exchangers</t>
  </si>
  <si>
    <t>Power boiler and heat exchanger manufacturing. This industry comprises establishments primarily engaged in manufacturing power boilers and heat exchangers. Establishments in this industry may perform installation in addition to manufacturing power boilers and heat exchangers.</t>
  </si>
  <si>
    <t>3324: Boiler, Tank, and Shipping Container Manufacturing</t>
  </si>
  <si>
    <t>Heavy gauge metal tanks</t>
  </si>
  <si>
    <t>Metal tank (heavy gauge) manufacturing'. This industry comprises establishments primarily engaged in cutting, forming, and joining heavy gauge metal to manufacture tanks, vessels, and other containers.</t>
  </si>
  <si>
    <t>Light gauge metal cans, boxes, and containers</t>
  </si>
  <si>
    <t>Metal can, box, and other metal container (light gauge) manufacturing'. This industry comprises establishments primarily engaged in forming light gauge metal containers.</t>
  </si>
  <si>
    <t>Metal hinges, keys, lock, and other hardware</t>
  </si>
  <si>
    <t>Hardware manufacturing'. This industry comprises establishments primarily engaged in manufacturing metal hardware, such as metal hinges, metal handles, keys, and locks (except coin-operated, time locks).</t>
  </si>
  <si>
    <t>3325: Hardware Manufacturing</t>
  </si>
  <si>
    <t>Springs and wires</t>
  </si>
  <si>
    <t>Spring and wire product manufacturing'. This industry comprises establishments primarily engaged in (1) manufacturing steel springs by forming, such as cutting, bending, and heat winding, metal rod or strip stock and/or (2) manufacturing wire springs and fabricated wire products from wire drawn elsewhere (except watch and clock springs).</t>
  </si>
  <si>
    <t>3326: Spring and Wire Product Manufacturing</t>
  </si>
  <si>
    <t>Machine shops</t>
  </si>
  <si>
    <t>Machine shops'. This industry comprises establishments known as machine shops primarily engaged in machining metal and plastic parts and parts of other composite materials on a job or order basis. Generally machine shop jobs are low volume using machine tools, such as lathes (including computer numerically controlled); automatic screw machines; and machines for boring, grinding, and milling.</t>
  </si>
  <si>
    <t>3327: Machine Shops; Turned Product; and Screw, Nut, and Bolt Manufacturing</t>
  </si>
  <si>
    <t>Screws, nuts, and bolts</t>
  </si>
  <si>
    <t>Turned product and screw, nut, and bolt manufacturing'. This industry comprises establishments primarily engaged in (1) machining precision turned products or (2) manufacturing metal bolts, nuts, screws, rivets, and other industrial fasteners. Included in this industry are establishments primarily engaged in manufacturing parts for machinery and equipment on a customized basis.</t>
  </si>
  <si>
    <t>Metal coatings, engravings, and heat treatments</t>
  </si>
  <si>
    <t>Coating, engraving, heat treating and allied activities'. This industry comprises establishments primarily engaged in one or more of the following (1) heat treating metals and metal products; (2) enameling, lacquering, and varnishing metals and metal products; (3) hot dip galvanizing metals and metal products; (4) engraving, chasing, or etching metals and metal products (except jewelry; personal goods carried on or about the person, such as compacts and cigarette cases; precious metal products (except precious plated flatware and other plated ware); and printing plates); (5) powder coating metals and metal products; (6) electroplating, plating, anodizing, coloring, and finishing metals and metal products; and (7) providing other metal surfacing services for the trade. Establishments in this industry coat, engrave, and heat treat metals and metal formed products fabricated elsewhere.</t>
  </si>
  <si>
    <t>3328: Coating, Engraving, Heat Treating, and Allied Activities</t>
  </si>
  <si>
    <t>Valve and fittings (except for plumbing)</t>
  </si>
  <si>
    <t>33291A</t>
  </si>
  <si>
    <t>Valve and fittings other than plumbing'. This industry group comprises establishments primarily engaged in manufacturing fabricated metal products (except forgings and stampings, cutlery and handtools, architectural and structural metals, boilers, tanks, shipping containers, hardware, spring and wire products, machine shop products, turned products, screws, and nuts and bolts). Related NAICS codes are 332911-2, 332919</t>
  </si>
  <si>
    <t>3329: Other Fabricated Metal Product Manufacturing</t>
  </si>
  <si>
    <t>Metal plumbing drains, faucets, valves, and other fittings</t>
  </si>
  <si>
    <t>Plumbing fixture fitting and trim manufacturing'. This U.S. industry comprises establishments primarily engaged in manufacturing metal and plastics plumbing fixture fittings and trim, such as faucets, flush valves, and shower heads.</t>
  </si>
  <si>
    <t>Ball and roller bearings</t>
  </si>
  <si>
    <t>Ball and roller bearing manufacturing. This U.S. industry comprises establishments primarily engaged in manufacturing ball and roller bearings of all materials.</t>
  </si>
  <si>
    <t>Ammunition, arms, ordnance, and related accessories</t>
  </si>
  <si>
    <t>33299A</t>
  </si>
  <si>
    <t>Ammunition, arms, ordnance, and accessories manufacturing'. This industry group comprises establishments primarily engaged in manufacturing fabricated metal products (except forgings and stampings, cutlery and handtools, architectural and structural metals, boilers, tanks, shipping containers, hardware, spring and wire products, machine shop products, turned products, screws, and nuts and bolts). Related NAICS codes are 332992-5</t>
  </si>
  <si>
    <t>Fabricated pipe and pipe fittings</t>
  </si>
  <si>
    <t>Fabricated pipe and pipe fitting manufacturing'. This U.S. industry comprises establishments primarily engaged in fabricating, such as cutting, threading, and bending metal pipes and pipe fittings made from purchased metal pipe.</t>
  </si>
  <si>
    <t>Misc. fabricated metal products</t>
  </si>
  <si>
    <t>Other fabricated metal manufacturing'. This industry group comprises establishments primarily engaged in manufacturing fabricated metal products (except forgings and stampings, cutlery and handtools, architectural and structural metals, boilers, tanks, shipping containers, hardware, spring and wire products, machine shop products, turned products, screws, nuts and bolts, metal valves, ball and roller bearings, ammunition, small arms and other ordnances and accessories, and fabricated pipes and pipe fittings).</t>
  </si>
  <si>
    <t>Farm machinery and equipment</t>
  </si>
  <si>
    <t>Farm machinery and equipment manufacturing'. This U.S. industry comprises establishments primarily engaged in manufacturing agricultural and farm machinery and equipment, and other turf and grounds care equipment, including planting, harvesting, and grass mowing equipment (except lawn and garden-type).</t>
  </si>
  <si>
    <t>3331: Agriculture, Construction, and Mining Machinery Manufacturing</t>
  </si>
  <si>
    <t>Lawn and garden equipment</t>
  </si>
  <si>
    <t>Lawn and garden equipment manufacturing'. This U.S. industry comprises establishments primarily engaged in manufacturing powered lawnmowers, lawn and garden tractors, and other home lawn and garden equipment, such as tillers, shredders, yard vacuums, and leaf blowers.</t>
  </si>
  <si>
    <t>Construction machinery</t>
  </si>
  <si>
    <t>Construction machinery manufacturing'. This industry comprises establishments primarily engaged in manufacturing construction machinery, surface mining machinery, and logging equipment.</t>
  </si>
  <si>
    <t>Mining and oil/gas field machinery</t>
  </si>
  <si>
    <t>Mining and oil and gas field machinery manufacturing. This industry comprises establishments primarily engaged in manufacturing oil and gas field and underground mining machinery and equipment.</t>
  </si>
  <si>
    <t>Machinery for the paper, textile, food or other industries (except semiconductor machinery)</t>
  </si>
  <si>
    <t>33329A</t>
  </si>
  <si>
    <t>Other industrial machinery manufacturing'. This industry group comprises (1) Sawmill and Woodworking Machinery Manufacturing, (2) Plastics and Rubber Industry Machinery Manufacturing, and (3) Other Industrial Machinery Manufacturing including  (a) Paper Industry Machinery Manufacturing, (b) Textile Machinery Manufacturing, (c) Printing Machinery and Equipment Manufacturing, (d) Food Product Machinery Manufacturing, (e) Semiconductor Machinery Manufacturing, and (f) All Other Industrial Machinery Manufacturing. Related NAICS codes are 33321, 333291-4, 333298</t>
  </si>
  <si>
    <t>3332: Industrial Machinery Manufacturing</t>
  </si>
  <si>
    <t>Semiconductor machinery</t>
  </si>
  <si>
    <t>Semiconductor machinery manufacturing'. This U.S. industry comprises establishments primarily engaged in manufacturing wafer processing equipment, semiconductor assembly and packaging equipment, and other semiconductor making machinery.</t>
  </si>
  <si>
    <t>Optical instruments and lenses</t>
  </si>
  <si>
    <t>Optical instrument and lens manufacturing'. This U.S. industry comprises establishments primarily engaged in one or more of the following (1) manufacturing optical instruments and lens, such as binoculars, microscopes (except electron, proton), telescopes, prisms, and lenses (except ophthalmic); (2) coating or polishing lenses (except ophthalmic); and (3) mounting lenses (except ophthalmic).</t>
  </si>
  <si>
    <t>3333: Commercial and Service Industry Machinery Manufacturing</t>
  </si>
  <si>
    <t>Photography and photocopying equipment</t>
  </si>
  <si>
    <t>Photographic and photocopying equipment manufacturing'. This U.S. industry comprises establishments primarily engaged in manufacturing photographic and photocopying equipment, such as cameras (except television, video and digital) projectors, film developing equipment, photocopying equipment, and microfilm equipment.</t>
  </si>
  <si>
    <t>Other commercial and service industry machinery</t>
  </si>
  <si>
    <t>Other commercial and service industry machinery manufacturing'. This industry comprises establishments primarily engaged in manufacturing commercial and service industry equipment (except optical instruments and lenses, and photographic and photocopying equipment).</t>
  </si>
  <si>
    <t>Air purification and ventilation equipment</t>
  </si>
  <si>
    <t>Industrial and commercial fan and blower and air purification equipment manufacturing'. This industry comprises establishments primarily engaged in (1) manufacturing stationary air purification equipment, such as industrial dust and fume collection equipment, electrostatic precipitation equipment, warm air furnace filters, air washers, and other dust collection equipment and/or (2) manufacturing attic fans and industrial and commercial fans and blowers, such as commercial exhaust fans and commercial ventilating fans.</t>
  </si>
  <si>
    <t>3334: Ventilation, Heating, Air-Conditioning, and Commercial Refrigeration Equipment Manufacturing</t>
  </si>
  <si>
    <t>Heating equipment other than warm air furnaces</t>
  </si>
  <si>
    <t>Heating equipment (except warm air furnaces) manufacturing'. This U.S. industry comprises establishments primarily engaged in manufacturing heating equipment (except electric and warm air furnaces), such as heating boilers, heating stoves, floor and wall furnaces, and wall and baseboard heating units.</t>
  </si>
  <si>
    <t>Air conditioning, refrigeration, and warm air heating equipment</t>
  </si>
  <si>
    <t>Air conditioning, refrigeration, and warm air heating equipment manufacturing'. This U.S. industry comprises establishments primarily engaged in (1) manufacturing air-conditioning (except motor vehicle) and warm air furnace equipment and/or (2) manufacturing commercial and industrial refrigeration and freezer equipment.</t>
  </si>
  <si>
    <t>Industrial molds</t>
  </si>
  <si>
    <t>Industrial mold manufacturing'. This U.S. industry comprises establishments primarily engaged in manufacturing industrial molds for casting metals or forming other materials, such as plastics, glass, or rubber.</t>
  </si>
  <si>
    <t>3335: Metalworking Machinery Manufacturing</t>
  </si>
  <si>
    <t>Special tools, dies, jigs, and fixtures</t>
  </si>
  <si>
    <t>Special tool, die, jig, and fixture manufacturing'. This U.S. industry comprises establishments, known as tool and die shops, primarily engaged in manufacturing special tools and fixtures, such as cutting dies and jigs.</t>
  </si>
  <si>
    <t>Cutting and machine tool accessory, rolling mill, and other metalworking machines</t>
  </si>
  <si>
    <t>33351B</t>
  </si>
  <si>
    <t>Cutting and machine tool accessory, rolling mill, and other metalworking machinery manufacturing'. This industry comprises establishments primarily engaged in manufacturing metalworking machinery, such as metal cutting and metal forming machine tools; cutting tools; and accessories for metalworking machinery; special dies, tools, jigs, and fixtures; industrial molds; rolling mill machinery; assembly machinery; coil handling, conversion, or straightening equipment; and wire drawing and fabricating machines.Ã‚Â  Related NAICS codes are 333515, 333516, 333518</t>
  </si>
  <si>
    <t>Metal cutting and forming machine tools</t>
  </si>
  <si>
    <t>Machine tool manufacturing'. This industry comprises establishments primarily engaged in (1) manufacturing metal cutting machine tools (except handtools) and/or (2) manufacturing metal forming machine tools (except handtools), such as punching, sheering, bending, forming, pressing, forging and die-casting machines.</t>
  </si>
  <si>
    <t>Turbines and turbine generator sets</t>
  </si>
  <si>
    <t>Turbine and turbine generator set units manufacturing'. This U.S. industry comprises establishments primarily engaged in manufacturing turbines (except aircraft); and complete turbine generator set units, such as steam, hydraulic, gas, and wind.</t>
  </si>
  <si>
    <t>3336: Engine, Turbine, and Power Transmission Equipment Manufacturing</t>
  </si>
  <si>
    <t>Speed changers, industrial high-speed drives, and gears</t>
  </si>
  <si>
    <t>Speed changer, industrial high-speed drive, and gear manufacturing'. This U.S. industry comprises establishments primarily engaged in manufacturing gears, speed changers, and industrial high-speed drives (except hydrostatic).</t>
  </si>
  <si>
    <t>Mechanical power transmission equipment</t>
  </si>
  <si>
    <t>Mechanical power transmission equipment manufacturing'. This U.S. industry comprises establishments primarily engaged in manufacturing mechanical power transmission equipment (except motor vehicle and aircraft), such as plain bearings, clutches (except motor vehicle and electromagnetic industrial control), couplings, joints, and drive chains.</t>
  </si>
  <si>
    <t>Other engine equipment</t>
  </si>
  <si>
    <t>Other engine equipment manufacturing. This U.S. industry comprises establishments primarily engaged in manufacturing internal combustion engines (except automotive gasoline and aircraft).</t>
  </si>
  <si>
    <t>Air and gas compressors</t>
  </si>
  <si>
    <t>Air and gas compressor manufacturing'. This U.S. industry comprises establishments primarily engaged in manufacturing general purpose air and gas compressors, such as reciprocating compressors, centrifugal compressors, vacuum pumps (except laboratory), and nonagricultural spraying and dusting compressors and spray gun units.</t>
  </si>
  <si>
    <t>3339: Other General Purpose Machinery Manufacturing</t>
  </si>
  <si>
    <t>Pumps and pumping equipment</t>
  </si>
  <si>
    <t>33391A</t>
  </si>
  <si>
    <t>Pump and pumping equipment manufacturing'. This U.S. industry comprises establishments primarily engaged in (1) manufacturing general purpose pumps and pumping equipment (except fluid power pumps and motors), such as reciprocating pumps, turbine pumps, centrifugal pumps, rotary pumps, diaphragm pumps, domestic water system pumps, oil well and oil field pumps and sump pumps; (2) manufacturing measuring and dispensing pumps, such as gasoline pumps and lubricating oil measuring and dispensing pumps. Related NAICS codes are 333911, 333913</t>
  </si>
  <si>
    <t>Material handling equipment</t>
  </si>
  <si>
    <t>Material handling equipment manufacturing'. This industry comprises establishments primarily engaged in manufacturing material handling equipment, such as elevators and moving stairs; conveyors and conveying equipment; overhead traveling cranes, hoists, and monorail systems; and industrial trucks, tractors, trailers, and stacker machinery.</t>
  </si>
  <si>
    <t>Power tools</t>
  </si>
  <si>
    <t>Power-driven handtool manufacturing'. This U.S. industry comprises establishments primarily engaged in manufacturing power-driven (e.g., battery, corded, pneumatic) handtools, such as drills, screwguns, circular saws, chain saws, staplers, and nailers.</t>
  </si>
  <si>
    <t>Welding and Soldering Equipment, Scales and Balances, and other general purpose machinery</t>
  </si>
  <si>
    <t>33399A</t>
  </si>
  <si>
    <t>Other general purpose machinery manufacturing'. This U.S. industry comprises establishments primarily engaged in (1) manufacturing welding and soldering equipment and accessories (except transformers), such as arc, resistance, gas, plasma, laser, electron beam, and ultrasonic welding equipment; welding electrodes; coated or cored welding wire; and soldering equipment (except handheld); (2) manufacturing scales and balances, including those used in laboratories; and (3) manufacturing general purpose machinery (except ventilating, heating, air-conditioning, and commercial refrigeration equipment; metal working machinery; engines, turbines, and power transmission equipment; pumps and compressors; material handling equipment; power-driven handtools; welding and soldering equipment; packaging machinery; industrial process furnaces and ovens; fluid power cylinders and actuators; fluid power pumps and motors; and scales and balances). Related NAICS codes are 333992, 333997, 333999</t>
  </si>
  <si>
    <t>Packaging machinery</t>
  </si>
  <si>
    <t>Packaging machinery manufacturing'. This U.S. industry comprises establishments primarily engaged in manufacturing packaging machinery, such as wrapping, bottling, canning, and labeling machinery.</t>
  </si>
  <si>
    <t>Industrial process furnaces and ovens</t>
  </si>
  <si>
    <t>Industrial process furnace and oven manufacturing'. This U.S. Industry comprises establishments primarily engaged in manufacturing industrial process ovens, induction and dielectric heating equipment, and kilns (except cement, chemical, wood). Included in this industry are establishments manufacturing laboratory furnaces and ovens.</t>
  </si>
  <si>
    <t>Hydraulic pumps, motors, cylinders and actuators</t>
  </si>
  <si>
    <t>33399B</t>
  </si>
  <si>
    <t>Fluid power process machinery'. This U.S. industry comprises establishments primarily engaged in (1) manufacturing fluid power (i.e., hydraulic and pneumatic) cylinders and actuators, and (2) manufacturing fluid power (i.e., hydraulic and pneumatic) pumps and motors. Related NAICS codes are 333995-6</t>
  </si>
  <si>
    <t>Computers</t>
  </si>
  <si>
    <t>Electronic computer manufacturing'. This U.S. industry comprises establishments primarily engaged in manufacturing and/or assembling electronic computers, such as mainframes, personal computers, workstations, laptops, and computer servers. Computers can be analog, digital, or hybrid. Digital computers, the most common type, are devices that do all of the following (1) store the processing program or programs and the data immediately necessary for the execution of the program; (2) can be freely programmed in accordance with the requirements of the user; (3) perform arithmetical computations specified by the user; and (4) execute, without human intervention, a processing program that requires the computer to modify its execution by logical decision during the processing run. Analog computers are capable of simulating mathematical models and contain at least analog, control, and programming elements. The manufacture of computers includes the assembly or integration of processors, coprocessors, memory, storage, and input/output devices into a user-programmable final product.</t>
  </si>
  <si>
    <t>3341: Computer and Peripheral Equipment Manufacturing</t>
  </si>
  <si>
    <t>Computer storage device readers</t>
  </si>
  <si>
    <t>Computer storage device manufacturing'. This U.S. industry comprises establishments primarily engaged in manufacturing computer storage devices that allow the storage and retrieval of data from a phase change, magnetic, optical, or magnetic/optical media. Examples of products made by these establishments are CD-ROM drives, floppy disk drives, hard disk drives, and tape storage and backup units.</t>
  </si>
  <si>
    <t>Computer terminals and other computer peripheral equipment</t>
  </si>
  <si>
    <t>Computer terminals and other computer peripheral equipment manufacturing. This industry comprises establishments primarily engaged in manufacturing computer terminals and other computer peripheral equipment (except storage devices).</t>
  </si>
  <si>
    <t>Telephones</t>
  </si>
  <si>
    <t>Telephone apparatus manufacturing'. This industry comprises establishments primarily engaged in manufacturing wire telephone and data communications equipment. These products may be standalone or board-level components of a larger system. Examples of products made by these establishments are central office switching equipment, cordless telephones (except cellular), PBX equipment, telephones, telephone answering machines, LAN modems, multi-user modems, and other data communications equipment, such as bridges, routers, and gateways.</t>
  </si>
  <si>
    <t>3342: Communications Equipment Manufacturing</t>
  </si>
  <si>
    <t>Wireless communications</t>
  </si>
  <si>
    <t>Broadcast and wireless communications equipment'. This industry comprises establishments primarily engaged in manufacturing radio and television broadcast and wireless communications equipment. Examples of products made by these establishments are transmitting and receiving antennas, cable television equipment, GPS equipment, pagers, cellular phones, mobile communications equipment, and radio and television studio and broadcasting equipment.</t>
  </si>
  <si>
    <t>Communications equipment</t>
  </si>
  <si>
    <t>Other communications equipment manufacturing'. This industry comprises establishments primarily engaged in manufacturing communications equipment (except telephone apparatus, and radio and television broadcast, and wireless communications equipment).</t>
  </si>
  <si>
    <t>Audio and video equipment</t>
  </si>
  <si>
    <t>Audio and video equipment manufacturing'. This industry comprises establishments primarily engaged in manufacturing electronic audio and video equipment for home entertainment, motor vehicles, and public address and musical instrument amplification. Examples of products made by these establishments are video cassette recorders, televisions, stereo equipment, speaker systems, household-type video cameras, jukeboxes, and amplifiers for musical instruments and public address systems.</t>
  </si>
  <si>
    <t>3343: Audio and Video Equipment Manufacturing</t>
  </si>
  <si>
    <t>Electronic capacitors, resistors, coils, transformers, connectors and other components (except  semiconductors and printed circuit assemblies)</t>
  </si>
  <si>
    <t>33441A</t>
  </si>
  <si>
    <t>Other electronic component manufacturing'. This industry comprises establishments primarily engaged in manufacturing semiconductors and other components for electronic applications. Examples of products made by these establishments are capacitors, resistors, microprocessors, bare and loaded printed circuit boards, electron tubes, electronic connectors, and computer modems.Ã‚Â  Related NAICS codes are 334411, 334412, 334414-7, 334419</t>
  </si>
  <si>
    <t>3344: Semiconductor and Other Electronic Component Manufacturing</t>
  </si>
  <si>
    <t>Semiconductors</t>
  </si>
  <si>
    <t>Semiconductor and related device manufacturing'. This U.S. industry comprises establishments primarily engaged in manufacturing semiconductors and related solid state devices. Examples of products made by these establishments are integrated circuits, memory chips, microprocessors, diodes, transistors, solar cells and other optoelectronic devices.</t>
  </si>
  <si>
    <t>Printed circuit and electronic assembly</t>
  </si>
  <si>
    <t>Printed circuit assembly (electronic assembly) manufacturing'. This U.S. industry comprises establishments primarily engaged in loading components onto printed circuit boards or who manufacture and ship loaded printed circuit boards. Also known as printed circuit assemblies, electronics assemblies, or modules, these products are printed circuit boards that have some or all of the semiconductor and electronic components inserted or mounted and are inputs to a wide variety of electronic systems and devices.</t>
  </si>
  <si>
    <t>Electromedical appartuses</t>
  </si>
  <si>
    <t>Electromedical and electrotherapeutic apparatus manufacturing'. This U.S. industry comprises establishments primarily engaged in manufacturing electromedical and electrotherapeutic apparatus, such as magnetic resonance imaging equipment, medical ultrasound equipment, pacemakers, hearing aids, electrocardiographs, and electromedical endoscopic equipment.</t>
  </si>
  <si>
    <t>3345: Navigational, Measuring, Electromedical, and Control Instruments Manufacturing</t>
  </si>
  <si>
    <t>Navigation instruments</t>
  </si>
  <si>
    <t>Search, detection, and navigation instruments manufacturing'. This U.S. industry comprises establishments primarily engaged in manufacturing search, detection, navigation, guidance, aeronautical, and nautical systems and instruments. Examples of products made by these establishments are aircraft instruments (except engine), flight recorders, navigational instruments and systems, radar systems and equipment, and sonar systems and equipment.</t>
  </si>
  <si>
    <t>Automatic controls for HVAC and refrigeration equipment</t>
  </si>
  <si>
    <t>Automatic environmental control manufacturing'. This U.S. industry comprises establishments primarily engaged in manufacturing automatic controls and regulators for applications, such as heating, air-conditioning, refrigeration and appliances.</t>
  </si>
  <si>
    <t>Industrial process variable instruments</t>
  </si>
  <si>
    <t>Industrial process variable instruments manufacturing'. This U.S. industry comprises establishments primarily engaged in manufacturing instruments and related devices for measuring, displaying, indicating, recording, transmitting, and controlling industrial process variables. These instruments measure, display or control (monitor, analyze, and so forth) industrial process variables, such as temperature, humidity, pressure, vacuum, combustion, flow, level, viscosity, density, acidity, concentration, and rotation.</t>
  </si>
  <si>
    <t>Fluid meters and counting devices</t>
  </si>
  <si>
    <t>Totalizing fluid meter and counting device manufacturing'. This U.S. industry comprises establishments primarily engaged in manufacturing totalizing (i.e., registering) fluid meters and counting devices. Examples of products made by these establishments are gas consumption meters, water consumption meters, parking meters, taxi meters, motor vehicle gauges, and fare collection equipment.</t>
  </si>
  <si>
    <t>Signal testing instruments</t>
  </si>
  <si>
    <t>Electricity and signal testing instruments manufacturing'. This U.S. industry comprises establishments primarily engaged in manufacturing instruments for measuring and testing the characteristics of electricity and electrical signals. Examples of products made by these establishments are circuit and continuity testers, voltmeters, ohm meters, wattmeters, multimeters, and semiconductor test equipment.</t>
  </si>
  <si>
    <t>Analytical laboratory instruments</t>
  </si>
  <si>
    <t>Analytical laboratory instrument manufacturing'. This U.S. industry comprises establishments primarily engaged in manufacturing instruments and instrumentation systems for laboratory analysis of the chemical or physical composition or concentration of samples of solid, fluid, gaseous, or composite material.</t>
  </si>
  <si>
    <t>Irradiation apparatuses</t>
  </si>
  <si>
    <t>Irradiation apparatus manufacturing'. This U.S. industry comprises establishments primarily engaged in manufacturing irradiation apparatus and tubes for applications, such as medical diagnostic, medical therapeutic, industrial, research and scientific evaluation. Irradiation can take the form of beta-rays, gamma-rays, X-rays, or other ionizing radiation.</t>
  </si>
  <si>
    <t>Watches, clocks, and other measuring and controlling devices</t>
  </si>
  <si>
    <t>33451A</t>
  </si>
  <si>
    <t>Watch, clock, and other measuring and controlling device manufacturing'. This industry comprises establishments primarily engaged in manufacturing navigational, measuring, electromedical, and control instruments. Examples of products made by these establishments are aeronautical instruments, appliance regulators and controls (except switches), laboratory analytical instruments, navigation and guidance systems, and physical properties testing equipment.Ã‚Â  Related NAICS codes are 334518-9</t>
  </si>
  <si>
    <t>External hard drives, CDs, other storage media</t>
  </si>
  <si>
    <t>Manufacturing and reproducing magnetic and optical media'. This industry comprises establishments primarily engaged in (1) manufacturing optical and magnetic media, such as blank audio tape, blank video tape, and blank diskettes and/or (2) mass duplicating (i.e., making copies) audio, video, software, and other data on magnetic, optical, and similar media.</t>
  </si>
  <si>
    <t>3346: Manufacturing and Reproducing Magnetic and Optical Media</t>
  </si>
  <si>
    <t>Light bulbs</t>
  </si>
  <si>
    <t>Electric lamp bulb and part manufacturing'. This industry comprises establishments primarily engaged in manufacturing electric light bulbs and tubes, and parts and components (except glass blanks for electric light bulbs).</t>
  </si>
  <si>
    <t>3351: Electric Lighting Equipment Manufacturing</t>
  </si>
  <si>
    <t>Light fixtures</t>
  </si>
  <si>
    <t>Lighting fixture manufacturing'. This industry comprises establishments primarily engaged in manufacturing electric lighting fixtures (except vehicular), nonelectric lighting equipment, lamp shades (except glass and plastics), and lighting fixture components (except current-carrying wiring devices).</t>
  </si>
  <si>
    <t>Small electrical appliances</t>
  </si>
  <si>
    <t>Small electrical appliance manufacturing'. This industry comprises establishments primarily engaged in manufacturing small electric appliances and electric housewares, household-type fans, household-type vacuum cleaners, and other electric householdtype floor care machines.</t>
  </si>
  <si>
    <t>3352: Household Appliance Manufacturing</t>
  </si>
  <si>
    <t xml:space="preserve">Major Household Appliance Manufacturing </t>
  </si>
  <si>
    <t>335221,335222,335000</t>
  </si>
  <si>
    <t xml:space="preserve">This industry comprises establishments primarily engaged in manufacturing household-type cooking appliances, household-type laundry equipment, household-type refrigerators, upright and chest freezers, and other electrical and nonelectrical major household-type appliances, such as dishwashers, water heaters, and garbage disposal units. </t>
  </si>
  <si>
    <t>Specialty transformers</t>
  </si>
  <si>
    <t>Power, distribution, and specialty transformer manufacturing'. This U.S. industry comprises establishments primarily engaged in manufacturing power, distribution, and specialty transformers (except electronic components). Industrial-type and consumer-type transformers in this industry vary (e.g., step up or step down) voltage but do not convert alternating to direct or direct to alternating current.</t>
  </si>
  <si>
    <t>3353: Electrical Equipment Manufacturing</t>
  </si>
  <si>
    <t>Motors and generators</t>
  </si>
  <si>
    <t>Motor and generator manufacturing'. This U.S. industry comprises establishments primarily engaged in manufacturing electric motors (except internal combustion engine starting motors), power generators (except battery charging alternators for internal combustion engines), and motor generator sets (except turbine generator set units). This industry includes establishments rewinding armatures on a factory basis.</t>
  </si>
  <si>
    <t>Switchgear and switchboards</t>
  </si>
  <si>
    <t>Relay and industrial controls</t>
  </si>
  <si>
    <t>Relay and industrial control manufacturing'. This U.S. industry comprises establishments primarily engaged in manufacturing relays, motor starters and controllers, and other industrial controls and control accessories.</t>
  </si>
  <si>
    <t>Storage batteries</t>
  </si>
  <si>
    <t>Storage battery manufacturing. This U.S. industry comprises establishments primarily engaged in manufacturing storage batteries.</t>
  </si>
  <si>
    <t>3359: Other Electrical Equipment and Component Manufacturing</t>
  </si>
  <si>
    <t>Primary batteries</t>
  </si>
  <si>
    <t>Primary battery manufacturing. This U.S. industry comprises establishments primarily engaged in manufacturing wet or dry primary batteries.</t>
  </si>
  <si>
    <t>Communication and energy wire and cable</t>
  </si>
  <si>
    <t>Communication and energy wire and cable manufacturing'. This industry comprises establishments insulating fiber-optic cable, and manufacturing insulated nonferrous wire and cable from nonferrous wire drawn in other establishments.</t>
  </si>
  <si>
    <t>Wiring devices</t>
  </si>
  <si>
    <t>Wiring device manufacturing. This industry comprises establishments primarily engaged in manufacturing current-carrying wiring devices and noncurrent-carrying wiring devices for wiring electrical circuits.</t>
  </si>
  <si>
    <t>Carbon and graphite products</t>
  </si>
  <si>
    <t>Carbon and graphite product manufacturing'. This U.S. industry comprises establishments primarily engaged in manufacturing carbon, graphite, and metal-graphite brushes and brush stock; carbon or graphite electrodes for thermal and electrolytic uses; carbon and graphite fibers; and other carbon, graphite, and metal-graphite products.</t>
  </si>
  <si>
    <t>other miscellaneous electrical equipment and components</t>
  </si>
  <si>
    <t>All other miscellaneous electrical equipment and component manufacturing'. This U.S. industry comprises establishments primarily engaged in manufacturing industrial and commercial electric apparatus and other equipment (except lighting equipment, household appliances, transformers, motors, generators, switchgear, relays, industrial controls, batteries, communication and energy wire and cable, wiring devices, and carbon and graphite products). This industry includes power converters (i.e., AC to DC and DC to AC), power supplies, surge suppressors, and similar equipment for industrial-type and consumer-type equipment.</t>
  </si>
  <si>
    <t>Automobiles</t>
  </si>
  <si>
    <t>Automobile manufacturing'. This U.S. industry comprises establishments primarily engaged in (1) manufacturing complete automobiles (i.e., body and chassis or unibody) or (2) manufacturing automobile chassis only.</t>
  </si>
  <si>
    <t>3361: Motor Vehicle Manufacturing</t>
  </si>
  <si>
    <t>Pickup trucks, vans, and SUVs</t>
  </si>
  <si>
    <t>Light truck and utility vehicle manufacturing'. This U.S. industry comprises establishments primarily engaged in (1) manufacturing complete light trucks and utility vehicles (i.e., body and chassis) or (2) manufacturing light truck and utility vehicle chassis only. Vehicles made include light duty vans, pick-up trucks, minivans, and sport utility vehicles.</t>
  </si>
  <si>
    <t>Heavy duty trucks</t>
  </si>
  <si>
    <t>Heavy duty truck manufacturing'. This industry comprises establishments primarily engaged in (1) manufacturing heavy duty truck chassis and assembling complete heavy duty trucks, buses, heavy duty motor homes, and other special purpose heavy duty motor vehicles for highway use or (2) manufacturing heavy duty truck chassis only.</t>
  </si>
  <si>
    <t>Vehicle bodies</t>
  </si>
  <si>
    <t>Motor vehicle body manufacturing. This U.S. industry comprises establishments primarily engaged in manufacturing truck and bus bodies and cabs and automobile bodies. The products made may be sold separately or may be assembled on purchased chassis and sold as complete vehicles.</t>
  </si>
  <si>
    <t>3362: Motor Vehicle Body and Trailer Manufacturing</t>
  </si>
  <si>
    <t>Truck trailers</t>
  </si>
  <si>
    <t>Truck trailer manufacturing'. This U.S. industry comprises establishments primarily engaged in manufacturing truck trailers, truck trailer chassis, cargo container chassis, detachable trailer bodies, and detachable trailer chassis for sale separately.</t>
  </si>
  <si>
    <t>Motor homes</t>
  </si>
  <si>
    <t>Motor home manufacturing. This U.S. industry comprises establishments primarily engaged in (1) manufacturing motor homes on purchased chassis and/or (2) manufacturing conversion vans on an assembly line basis. Motor homes are units where the motor and the living quarters are integrated in the same unit.</t>
  </si>
  <si>
    <t>Travel trailer and campers</t>
  </si>
  <si>
    <t>Travel trailer and camper manufacturing'. This U.S. industry comprises establishments primarily engaged in one or more of the following (1) manufacturing travel trailers and campers designed to attach to motor vehicles; (2) manufacturing pickup coaches (i.e., campers) and caps (i.e., covers) for mounting on pickup trucks; and (3) manufacturing automobile, utility and light-truck trailers. Travel trailers do not have their own motor but are designed to be towed by a motor unit, such as an automobile or a light truck.</t>
  </si>
  <si>
    <t>Vehicle engines and engine parts</t>
  </si>
  <si>
    <t>Motor vehicle gasoline engine and engine parts manufacturing'. This industry comprises establishments primarily engaged in manufacturing and/or rebuilding motor vehicle gasoline engines, and engine parts, whether or not for vehicular use.</t>
  </si>
  <si>
    <t>3363: Motor Vehicle Parts Manufacturing</t>
  </si>
  <si>
    <t>Vehicle electrical and electronic equipment</t>
  </si>
  <si>
    <t>Motor vehicle electrical and electronic equipment manufacturing'. This industry comprises establishments primarily engaged in (1) manufacturing vehicular lighting and/or (2) manufacturing and/or rebuilding motor vehicle electrical and electronic equipment. The products made can be used for all types of transportation equipment (i.e., aircraft, automobiles, trains, ships).</t>
  </si>
  <si>
    <t>Motor vehicle steering, suspension components (except spring), and brake systems</t>
  </si>
  <si>
    <t>3363A0</t>
  </si>
  <si>
    <t>Motor vehicle steering, suspension component (except spring), and brake systems manufacturing'. This industry group comprises (1) Motor Vehicle Gasoline Engine and Engine Parts Manufacturing, (2) Motor Vehicle Electrical and Electronic Equipment Manufacturing, (3) Motor Vehicle Steering and Suspension Components (except Spring) Manufacturing, (4) Motor Vehicle Brake System Manufacturing, (5) Motor Vehicle Transmission and Power Train Parts Manufacturing, (6) Motor Vehicle Seating and Interior Trim Manufacturing, (7) Motor Vehicle Metal Stamping, and (8) Other Motor Vehicle Parts Manufacturing including  (a) Motor Vehicle Air-Conditioning Manufacturing, and (b) All Other Motor Vehicle Parts Manufacturing Related NAICS codes are 33633-4</t>
  </si>
  <si>
    <t>Transmission and power train parts</t>
  </si>
  <si>
    <t>Motor vehicle transmission and power train parts manufacturing. This industry comprises establishments primarily engaged in manufacturing and/or rebuilding motor vehicle transmissions and power train parts.</t>
  </si>
  <si>
    <t>Vehicle seating and interior trim (upholstery)</t>
  </si>
  <si>
    <t>Motor vehicle seating and interior trim manufacturing'. This industry comprises establishments primarily engaged in manufacturing motor vehicle seating, seats, seat frames, seat belts, and interior trimmings.</t>
  </si>
  <si>
    <t>Vehicle metal stamping</t>
  </si>
  <si>
    <t>Motor vehicle metal stamping'. This industry comprises establishments primarily engaged in manufacturing motor vehicle stampings, such as fenders, tops, body parts, trim, and molding.</t>
  </si>
  <si>
    <t>Other vehicle parts</t>
  </si>
  <si>
    <t>Other motor vehicle parts manufacturing'. This industry comprises establishments primarily engaged in manufacturing and/or rebuilding motor vehicle parts and accessories (except motor vehicle gasoline engines and engine parts, motor vehicle electrical and electronic equipment, motor vehicle steering and suspension components, motor vehicle brake systems, motor vehicle transmissions and power train parts, motor vehicle seating and interior trim, and motor vehicle stampings).</t>
  </si>
  <si>
    <t>Aircraft</t>
  </si>
  <si>
    <t>Aircraft manufacturing'. This U.S. industry comprises establishments primarily engaged in one or more of the following (1) manufacturing or assembling complete aircraft; (2) developing and making aircraft prototypes; (3) aircraft conversion (i.e., major modifications to systems); and (4) complete aircraft overhaul and rebuilding (i.e., periodic restoration of aircraft to original design specifications).</t>
  </si>
  <si>
    <t>3364: Aerospace Product and Parts Manufacturing</t>
  </si>
  <si>
    <t>Aircraft engines and parts</t>
  </si>
  <si>
    <t>Aircraft engine and engine parts manufacturing'. This U.S. industry comprises establishments primarily engaged in one or more of the following (1) manufacturing aircraft engines and engine parts; (2) developing and making prototypes of aircraft engines and engine parts; (3) aircraft propulsion system conversion (i.e., major modifications to systems); and (4) aircraft propulsion systems overhaul and rebuilding (i.e., periodic restoration of aircraft propulsion system to original design specifications).</t>
  </si>
  <si>
    <t>Other aircraft parts</t>
  </si>
  <si>
    <t>Other aircraft parts and auxiliary equipment manufacturing'. This U.S. industry comprises establishment primarily engaged in (1) manufacturing aircraft parts or auxiliary equipment (except engines and aircraft fluid power subassemblies) and/or (2) developing and making prototypes of aircraft parts and auxiliary equipment. Auxiliary equipment includes such items as crop dusting apparatus, armament racks, inflight refueling equipment, and external fuel tanks.</t>
  </si>
  <si>
    <t>Guided missiles and space vehicles</t>
  </si>
  <si>
    <t>Guided missile and space vehicle manufacturing. This U.S. industry comprises establishments primarily engaged in (1) manufacturing complete guided missiles and space vehicles and/or (2) developing and making prototypes of guided missiles or space vehicles.</t>
  </si>
  <si>
    <t>Propulsion units and parts for space vehicles and guided missiles</t>
  </si>
  <si>
    <t>33641A</t>
  </si>
  <si>
    <t>Propulsion units and parts for space vehicles and guided missiles'. This industry comprises establishments primarily engaged in one or more of the following (1) manufacturing complete aircraft, missiles, or space vehicles; (2) manufacturing aerospace engines, propulsion units, auxiliary equipment or parts; (3) developing and making prototypes of aerospace products; (4) aircraft conversion (i.e., major modifications to systems); and (5) complete aircraft or propulsion systems overhaul and rebuilding (i.e., periodic restoration of aircraft to original design specifications).Ã‚Â  Related NAICS codes are 336415, 336419</t>
  </si>
  <si>
    <t>Railroad rolling stock</t>
  </si>
  <si>
    <t>Railroad rolling stock manufacturing'. This industry comprises establishments primarily engaged in one or more of the following (1) manufacturing and/or rebuilding locomotives, locomotive frames and parts; (2) manufacturing railroad, street, and rapid transit cars and car equipment for operation on rails for freight and passenger service; and (3) manufacturing rail layers, ballast distributors, rail tamping equipment and other railway track maintenance equipment.</t>
  </si>
  <si>
    <t>3365: Railroad Rolling Stock Manufacturing</t>
  </si>
  <si>
    <t>Ships and ship repair</t>
  </si>
  <si>
    <t>Ship building and repairing'. This U.S. industry comprises establishments primarily engaged in operating a shipyard. Shipyards are fixed facilities with drydocks and fabrication equipment capable of building a ship, defined as watercraft typically suitable or intended for other than personal or recreational use. Activities of shipyards include the construction of ships, their repair, conversion and alteration, the production of prefabricated ship and barge sections, and specialized services, such as ship scaling.</t>
  </si>
  <si>
    <t>3366: Ship and Boat Building</t>
  </si>
  <si>
    <t>Boats</t>
  </si>
  <si>
    <t>Boat building. This U.S. industry comprises establishments primarily engaged in building boats. Boats are defined as watercraft not built in shipyards and typically of the type suitable or intended for personal use. Included in this industry are establishments that manufacture heavy-duty inflatable rubber or inflatable plastic boats (RIBs).</t>
  </si>
  <si>
    <t>Motorcycle, bicycle, and parts</t>
  </si>
  <si>
    <t>Motorcycle, bicycle, and parts manufacturing'. This U.S. industry comprises establishments primarily engaged in manufacturing motorcycles, bicycles, tricycles and similar equipment, and parts.</t>
  </si>
  <si>
    <t>3369: Other Transportation Equipment Manufacturing</t>
  </si>
  <si>
    <t>Military armored vehicles and tanks</t>
  </si>
  <si>
    <t>Military armored vehicle, tank, and tank component manufacturing'. This U.S. industry comprises establishments primarily engaged in manufacturing complete military armored vehicles, combat tanks, specialized components for combat tanks, and self-propelled weapons.</t>
  </si>
  <si>
    <t>Other transportation equipment</t>
  </si>
  <si>
    <t>All other transportation equipment manufacturing'. This U.S. industry comprises establishments primarily engaged in manufacturing transportation equipment (except motor vehicles, motor vehicle parts, boats, ships, railroad rolling stock, aerospace products, motorcycles, bicycles, armored vehicles and tanks).</t>
  </si>
  <si>
    <t>Wood kitchen cabinets and countertops</t>
  </si>
  <si>
    <t>Wood kitchen cabinet and countertop manufacturing'. This industry comprises establishments primarily engaged in manufacturing wood or plastics laminated on wood kitchen cabinets, bathroom vanities, and countertops (except freestanding). The cabinets and counters may be made on a stock or custom basis.</t>
  </si>
  <si>
    <t>3371: Household and Institutional Furniture and Kitchen Cabinet Manufacturing</t>
  </si>
  <si>
    <t>Home furniture - upholstered</t>
  </si>
  <si>
    <t>Upholstered household furniture manufacturing. This U.S. industry comprises establishments primarily engaged in manufacturing upholstered householdtype furniture. The furniture may be made on a stock or custom basis.</t>
  </si>
  <si>
    <t>Home furniture - wood, nonupholstered</t>
  </si>
  <si>
    <t>Nonupholstered wood household furniture manufacturing'. This U.S. industry comprises establishments primarily engaged in manufacturing nonupholstered wood household-type furniture and freestanding cabinets (except television, radio, and sewing machine cabinets). The furniture may be made on a stock or custom basis and may be assembled or unassembled (i.e., knockdown).</t>
  </si>
  <si>
    <t>Home furniture - Cabinets and non-wood, nonupholstered</t>
  </si>
  <si>
    <t>33712N</t>
  </si>
  <si>
    <t>Other household nonupholstered furniture'. This industry comprises establishments primarily engaged in manufacturing (1) metal household-type furniture and freestanding cabinets, or (2) furniture of materials other than wood or metal, such as plastics, reed, rattan, wicker, and fiberglass. The furniture may be made on a stock or custom basis and may be assembled or unassembled (i.e., knockdown). Related NAICS codes are 337124, 337125</t>
  </si>
  <si>
    <t>Institutional furniture</t>
  </si>
  <si>
    <t>Institutional furniture manufacturing'. This U.S. industry comprises establishments primarily engaged in manufacturing institutional-type furniture (e.g., library, school, theater, and church furniture). Included in this industry are establishments primarily engaged in manufacturing general purpose hospital, laboratory, and dental furniture (e.g., tables, stools, and benches). The furniture may be made on a stock or custom basis and may be assembled or unassembled (i.e., knockdown).</t>
  </si>
  <si>
    <t>Office furniture and custom architectural woodwork and millwork</t>
  </si>
  <si>
    <t>33721A</t>
  </si>
  <si>
    <t>Office furniture and custom architectural woodwork and millwork manufacturing'. This industry comprises establishments primarily engaged in manufacturing office furniture and/or office and store fixtures. The furniture may be made on a stock or custom basis and may be assembled or unassembled (i.e., knockdown).Ã‚Â  Related NAICS codes are 337211, 337212, 337214</t>
  </si>
  <si>
    <t>3372: Office Furniture (including Fixtures) Manufacturing</t>
  </si>
  <si>
    <t>Shelving and lockers</t>
  </si>
  <si>
    <t xml:space="preserve">Showcase, partition, shelving, and locker manufacturing'. This industry comprises establishments primarily engaged in manufacturing office furniture and/or office and store fixtures. The furniture may be made on a stock or custom basis and may be assembled or unassembled (i.e., knockdown). </t>
  </si>
  <si>
    <t>Mattresses, blinds and shades</t>
  </si>
  <si>
    <t>Other furniture related product manufacturing'. This industry group comprises establishments manufacturing furniture related products, such as mattresses, blinds, and shades.</t>
  </si>
  <si>
    <t>3379: Other Furniture Related Product Manufacturing</t>
  </si>
  <si>
    <t>Surgical and medical instruments</t>
  </si>
  <si>
    <t>Surgical and medical instrument manufacturing'. This U.S. industry comprises establishments primarily engaged in manufacturing medical, surgical, ophthalmic, and veterinary instruments and apparatus (except electrotherapeutic, electromedical and irradiation apparatus). Examples of products made by these establishments are syringes, hypodermic needles, anesthesia apparatus, blood transfusion equipment, catheters, surgical clamps, and medical thermometers.</t>
  </si>
  <si>
    <t>3391: Medical Equipment and Supplies Manufacturing</t>
  </si>
  <si>
    <t>Surgical appliance and supplies</t>
  </si>
  <si>
    <t>Surgical appliance and supplies manufacturing'. This U.S. industry comprises establishments primarily engaged in manufacturing surgical appliances and supplies. Examples of products made by these establishments are orthopedic devices, prosthetic appliances, surgical dressings, crutches, surgical sutures, personal industrial safety devices (except protective eyewear), hospital beds, and operating room tables.</t>
  </si>
  <si>
    <t>Dental equipment and supplies</t>
  </si>
  <si>
    <t>Dental equipment and supplies manufacturing'. This U.S. industry comprises establishments primarily engaged in manufacturing dental equipment and supplies used by dental laboratories and offices of dentists, such as dental chairs, dental instrument delivery systems, dental hand instruments, and dental impression material and dental cements.</t>
  </si>
  <si>
    <t>Ophthalmic goods</t>
  </si>
  <si>
    <t>Ophthalmic goods manufacturing'. This U.S. industry comprises establishments primarily engaged in manufacturing ophthalmic goods. Examples of products made by these establishments are prescription eyeglasses (except manufactured in a retail setting), contact lenses, sunglasses, eyeglass frames, and reading glasses made to standard powers, and protective eyewear.</t>
  </si>
  <si>
    <t>Dental laboratories</t>
  </si>
  <si>
    <t>Dental laboratories'. This U.S. industry comprises establishments primarily engaged in manufacturing dentures, crowns, bridges, and orthodontic appliances customized for individual application.</t>
  </si>
  <si>
    <t>Jewelry and silverware</t>
  </si>
  <si>
    <t>Jewelry and silverware manufacturing'. This industry comprises establishments primarily engaged in one or more of the following (1) manufacturing, engraving, chasing, or etching jewelry; (2) manufacturing metal personal goods (i.e., small articles carried on or about the person, such as compacts or cigarette cases); (3) manufacturing, engraving, chasing, or etching precious metal solid, precious metal clad, or pewter cutlery and flatware; (4) manufacturing, engraving, chasing, or etching personal metal goods (i.e., small articles carried on or about the person, such as compacts or cigarette cases); (5) stamping coins; (6) manufacturing unassembled jewelry parts and stock shop products, such as sheet, wire, and tubing; (7) cutting, slabbing, tumbling, carving, engraving, polishing, or faceting precious or semiprecious stones and gems; (8) recutting, repolishing, and setting gem stones; and (9) drilling, sawing, and peeling cultured and costume pearls.</t>
  </si>
  <si>
    <t>3399: Other Miscellaneous Manufacturing</t>
  </si>
  <si>
    <t>Sporting and athletic goods</t>
  </si>
  <si>
    <t>Sporting and athletic goods manufacturing. This industry comprises establishments primarily engaged in manufacturing sporting and athletic goods (except apparel and footwear).</t>
  </si>
  <si>
    <t>Dolls, toys, and games</t>
  </si>
  <si>
    <t>Doll, toy, and game manufacturing'. This industry comprises establishments primarily engaged in manufacturing dolls, toys, and games, such as complete dolls, doll parts, doll clothes, action figures, toys, games (including electronic), hobby kits, and children's vehicles (except metal bicycles and tricycles).</t>
  </si>
  <si>
    <t>Office supplies (not paper)</t>
  </si>
  <si>
    <t>Office supplies (except paper) manufacturing'. This industry comprises establishments primarily engaged in manufacturing office supplies. Examples of products made by these establishments are pens, pencils, felt tip markers, crayons, chalk, pencil sharpeners, staplers, hand operated stamps, modeling clay, and inked ribbons.</t>
  </si>
  <si>
    <t>Signs</t>
  </si>
  <si>
    <t>Sign manufacturing'. This industry comprises establishments primarily engaged in manufacturing signs and related displays of all materials (except printing paper and paperboard signs, notices, displays).</t>
  </si>
  <si>
    <t>Gaskets, seals, musical instruments, fasteners, brooms, brushes, mop and other misc. goods</t>
  </si>
  <si>
    <t>All other miscellaneous manufacturing'. This industry comprises establishments primarily engaged in miscellaneous manufacturing (except medical equipment and supplies, jewelry and flatware, sporting and athletic goods, dolls, toys, games, office supplies (except paper), and signs).</t>
  </si>
  <si>
    <t>Motor vehicle and motor vehicle parts and supplies</t>
  </si>
  <si>
    <t>Motor vehicle and motor vehicle parts and supplies'. This industry group comprises establishments primarily engaged in the merchant wholesale distribution of automobiles and other motor vehicles, motor vehicle supplies, tires, and new and used parts.</t>
  </si>
  <si>
    <t>42: Wholesale Trade</t>
  </si>
  <si>
    <t>4231: Motor Vehicle and Motor Vehicle Parts and Supplies Merchant Wholesalers</t>
  </si>
  <si>
    <t>Other durable goods merchant wholesalers</t>
  </si>
  <si>
    <t>423A00</t>
  </si>
  <si>
    <t>Other durable goods merchant wholesalers'. Related NAICS codes are 4232-3, 4235, 4237, 4239. This comprises the following industry groups (1) establishments primarily engaged in the merchant wholesale distribution of furniture (except hospital beds, medical furniture, and drafting tables). (2) Establishments primarily engaged in the merchant wholesale distribution of home furnishings and/or housewares. (3) Establishments primarily engaged in the merchant wholesale distribution of lumber; plywood; reconstituted wood fiber products; wood fencing; doors and windows and their frames (all materials); wood roofing and siding; and/or other wood or metal millwork. (4) Establishments primarily engaged in the merchant wholesale distribution of stone, cement, lime, construction sand, and gravel; brick; asphalt and concrete mixtures; and/or concrete, stone, and structural clay products. (5) Establishments primarily engaged in the merchant wholesale distribution of nonwood roofing and nonwood siding and insulation materials. (6) Establishments primarily engaged in the merchant wholesale distribution of manufactured homes (i.e., mobile homes) and/or prefabricated buildings and  establishments primarily engaged in the merchant wholesale distribution of construction materials (except lumber, plywood, millwork, wood panels, brick, stone, roofing, siding, electrical and wiring supplies, and insulation materials). (7) Establishments primarily engaged in the merchant wholesale distribution of products of the primary metals industries. Service centers maintain inventory and may perform functions, such as sawing, shearing, bending, leveling, cleaning, or edging, on a custom basis as part of sales transactions and in the merchant wholesale distribution of coal, coke, metal ores, and/or nonmetallic minerals (except precious and semiprecious stones and minerals used in construction, such as sand and gravel).(8) Establishments primarily engaged in the merchant wholesale distribution of hardware, knives, handtools, plumbing equipment, hydronic heating equipment, household-type water heaters, other plumbing supplies, warm air heating and air-conditioning equipment and supplies, and refrigeration equipment (except household-type refrigerators, freezers, and air-conditioners).(9) Establishments primarily engaged in the merchant wholesale distribution of sporting, recreational, toy, hobby, and jewelry goods and supplies, and precious stones and metals.</t>
  </si>
  <si>
    <t>42: Wholesale Trade Other durable goods merchant wholesalers</t>
  </si>
  <si>
    <t>Professional and commercial equipment and supplies</t>
  </si>
  <si>
    <t>Professional and commercial equipment and supplies'. This industry group comprises establishments primarily engaged in the merchant wholesale distribution of photographic equipment and supplies; office, computer, and computer peripheral equipment; and medical, dental, hospital, ophthalmic, and other commercial and professional equipment and supplies.</t>
  </si>
  <si>
    <t>4234: Professional and Commercial Equipment and Supplies Merchant Wholesalers</t>
  </si>
  <si>
    <t>Household appliances and electrical and electronic goods</t>
  </si>
  <si>
    <t>Household appliances and electrical and electronic goods'. This industry comprises establishments primarily engaged in the merchant wholesale distribution of electrical construction materials; wiring supplies; electric light fixtures; light bulbs; and/or electrical power equipment for the generation, transmission, distribution, or control of electric energy.</t>
  </si>
  <si>
    <t>4236: Household Appliances and Electrical and Electronic Goods Merchant Wholesalers</t>
  </si>
  <si>
    <t>Machinery, equipment, and supplies</t>
  </si>
  <si>
    <t>Machinery, equipment, and supplies'. This industry group comprises establishments primarily engaged in the merchant wholesale distribution of construction, mining, farm, garden, industrial, service establishment, and transportation machinery, equipment and supplies.</t>
  </si>
  <si>
    <t>4238: Machinery, Equipment, and Supplies Merchant Wholesalers</t>
  </si>
  <si>
    <t>Other nondurable goods merchant wholesalers</t>
  </si>
  <si>
    <t>424A00</t>
  </si>
  <si>
    <t xml:space="preserve">Other nondurable goods merchant wholesalers'. Related NAICS codes are 4241, 4243, 4245-6, 4248-9. This comprises the following industry groups (1) establishments primarily engaged in the merchant wholesale distribution of bulk printing and/or writing paper generally on rolls for further processing, stationery, office supplies, and/or gift wrap, kraft wrapping and other coarse paper, paperboard, converted paper (except stationery and office supplies), and/or related disposable plastics products. (2) Establishments primarily engaged in the merchant wholesale distribution of piece goods, fabrics, knitting yarns (except industrial), thread and other notions, and/or hair accessories, men's and/or boys' clothing and furnishings, women's, children's, infants', and/or unisex clothing and accessories and/or fur clothing, and footwear (including athletic) of leather, rubber, and other materials. (3) Establishments primarily engaged in the merchant wholesale distribution of agricultural products (except raw milk, live poultry, and fresh fruits and vegetables), such as grains, field beans, livestock, and other farm product raw materials (excluding seeds). (4) Establishments primarily engaged in the merchant wholesale distribution of chemicals, plastics materials and basic forms and shapes, and allied products.(5) Establishments primarily engaged in the merchant wholesale distribution of beer, ale, porter, other fermented malt beverages, wine, distilled alcoholic beverages, and/or neutral spirits and ethyl alcohol used in blended wines and distilled liquors/ (6) Establishments primarily engaged in the merchant wholesale distribution of nondurable goods, such as farm supplies; books, periodicals and newspapers; flowers; nursery stock; paints; varnishes; tobacco and tobacco products; and other miscellaneous nondurable goods, such as cut Christmas trees and pet supplies. </t>
  </si>
  <si>
    <t>42: Wholesale Trade Other nondurable goods merchant wholesalers</t>
  </si>
  <si>
    <t>Drugs and druggists sundries</t>
  </si>
  <si>
    <t>Drugs and druggists sundries'. This industry comprises establishments primarily engaged in the merchant wholesale distribution of biological and medical products; botanical drugs and herbs; and pharmaceutical products intended for internal and external consumption in such forms as ampoules, tablets, capsules, vials, ointments, powders, solutions, and suspensions.</t>
  </si>
  <si>
    <t>4242: Drugs and Druggists Sundries Merchant Wholesalers</t>
  </si>
  <si>
    <t>Grocery and related product wholesalers</t>
  </si>
  <si>
    <t>Grocery and related product wholesalers'. This industry comprises establishments primarily engaged in (1) the merchant wholesale distribution of a general line (wide range) of groceries, packaged frozen foods, dairy products, poultry and/or poultry products, confectioneries; salted or roasted nuts; popcorn; potato, corn, and similar chips; and/or fountain fruits and syrups, fish and seafood, meats and meat products and/or lard, fresh fruits and vegetables, and the bottling and merchant wholesale distribution of spring and mineral waters processed by others.</t>
  </si>
  <si>
    <t>4244: Grocery and Related Product Merchant Wholesalers</t>
  </si>
  <si>
    <t>Petroleum and petroleum products</t>
  </si>
  <si>
    <t>Petroleum and petroleum products'.  This industry comprises establishm ents with bulk and non-bulk liquid storage facilities primarily engaged in the merchant wholesale distribution of crude petroleum and petroleum products, including liquefied petroleum gas.</t>
  </si>
  <si>
    <t>4247: Petroleum and Petroleum Products Merchant Wholesalers</t>
  </si>
  <si>
    <t>Wholesale electronic markets and agents and brokers</t>
  </si>
  <si>
    <t>Wholesale electronic markets and agents and brokers'. Industries in the Wholesale Electronic Markets and Agents and Brokers subsector arrange for the sale of goods owned by others, generally on a fee or commission basis. They act on behalf of the buyers and sellers of goods. This subsector contains agents and brokers as well as business to business electronic markets that facilitate wholesale trade.</t>
  </si>
  <si>
    <t>4251: Wholesale Electronic Markets and Agents and Brokers</t>
  </si>
  <si>
    <t>Vehicles and parts sales</t>
  </si>
  <si>
    <t>Motor vehicle and parts dealers'. Industries in the Motor Vehicle and Parts Dealers subsector retail motor vehicles and parts from fixed point-of-sale locations. Establishments in this subsector typically operate from a showroom and/or an open lot where the vehicles are on display. The display of vehicles and the related parts require little by way of display equipment. The personnel generally include both the sales and sales support staff familiar with the requirements for registering and financing a vehicle as well as a staff of parts experts and mechanics trained to provide repair and maintenance services for the vehicles. Specific industries have been included in this subsector to identify the type of vehicle being retailed. Sales of capital or durable nonconsumer goods, such as medium and heavy-duty trucks, are always included in wholesale trade. These goods are virtually never sold through retail methods.</t>
  </si>
  <si>
    <t>44-45: Retail Trade</t>
  </si>
  <si>
    <t>4411: Automobile Dealers</t>
  </si>
  <si>
    <t>Other retail</t>
  </si>
  <si>
    <t>4B0000</t>
  </si>
  <si>
    <t>All other retail'. This industry group comprises (1) Furniture and Home Furnishings Stores, (2) Electronics and Appliance Stores (3) Sporting Goods, Hobby, Book, and Music Stores, and (4) Miscellaneous Store Retailers (e.g. Florists). Related NAICS codes are 442-3, 451, 453</t>
  </si>
  <si>
    <t>44-45: Retail Trade Other retail</t>
  </si>
  <si>
    <t>Building material and garden equipment and supplies dealers</t>
  </si>
  <si>
    <t>Building material and garden equipment and supplies dealers. This industry group comprises (1) Building Material and Supplies Dealers and (2) Lawn and Garden Equipment and Supplies Stores. Related NAICS codes are444</t>
  </si>
  <si>
    <t>4441: Building Material and Supplies Dealers</t>
  </si>
  <si>
    <t>Food and beverage stores</t>
  </si>
  <si>
    <t>Food and beverage stores'. Industries in the Food and Beverage Stores subsector usually retail food and beverages merchandise from fixed point-of-sale locations. Establishments in this subsector have special equipment (e.g., freezers, refrigerated display cases, refrigerators) for displaying food and beverage goods. They have staff trained in the processing of food products to guarantee the proper storage and sanitary conditions required by regulatory authority.</t>
  </si>
  <si>
    <t>4451: Grocery Stores</t>
  </si>
  <si>
    <t>Health and personal care stores</t>
  </si>
  <si>
    <t>Health and personal care stores. This industry group comprises Health and Personal Care Stores. Related NAICS codes are446</t>
  </si>
  <si>
    <t>4461: Health and Personal Care Stores</t>
  </si>
  <si>
    <t>Gasoline stations</t>
  </si>
  <si>
    <t>Gasoline stations. This industry group comprises Gasoline Stations. Related NAICS codes are447</t>
  </si>
  <si>
    <t>4471: Gasoline Stations</t>
  </si>
  <si>
    <t>Clothing and clothing accessories stores</t>
  </si>
  <si>
    <t>Clothing and clothing accessories stores. This industry group comprises Clothing and Clothing Accessories Stores. Related NAICS codes are448</t>
  </si>
  <si>
    <t>4481: Clothing Stores</t>
  </si>
  <si>
    <t>General merchandise stores</t>
  </si>
  <si>
    <t>General merchandise stores. Industries in the General Merchandise Stores subsector retail new general merchandise from fixed pointof- sale locations. Establishments in this subsector are unique in that they have the equipment and staff capable of retailing a large variety of goods from a single location. This includes a variety of display equipment and staff trained to provide information on many lines of products.</t>
  </si>
  <si>
    <t>4523: General Merchandise Stores, including Warehouse Clubs and Supercenters</t>
  </si>
  <si>
    <t>Nonstore retailers</t>
  </si>
  <si>
    <t>Nonstore retailers. This industry group comprises Nonstore Retailers. Related NAICS codes are454</t>
  </si>
  <si>
    <t>4541: Electronic Shopping and Mail-Order Houses</t>
  </si>
  <si>
    <t>Newspapers</t>
  </si>
  <si>
    <t>Newspaper publishers'. This industry comprises establishments known as newspaper publishers. Establishments in this industry carry out operations necessary for producing and distributing newspapers, including gathering news; writing news columns, feature stories, and editorials; and selling and preparing advertisements. These establishments may publish newspapers in print or electronic form.</t>
  </si>
  <si>
    <t>51: Information</t>
  </si>
  <si>
    <t>5111: Newspaper, Periodical, Book, and Directory Publishers</t>
  </si>
  <si>
    <t>Magazines and journals</t>
  </si>
  <si>
    <t>Periodical Publishers'. This industry comprises establishments known either as magazine publishers or periodical publishers. These establishments carry out the operations necessary for producing and distributing magazines and other periodicals, such as gathering, writing, and editing articles, and selling and preparing advertisements. These establishments may publish magazines and other periodicals in print or electronic form.</t>
  </si>
  <si>
    <t>Books</t>
  </si>
  <si>
    <t>Book publishers'. This industry comprises establishments known as book publishers. Establishments in this industry carry out design, editing, and marketing activities necessary for producing and distributing books. These establishments may publish books in print, electronic, or audio form.</t>
  </si>
  <si>
    <t>Directory, mailing list, and other publishers</t>
  </si>
  <si>
    <t>5111A0</t>
  </si>
  <si>
    <t>Directory, mailing list, and other publishers'. This industry group comprises establishments primarily engaged in publishing newspapers, magazines, other periodicals, books, directories and mailing lists, and other works, such as calendars, greeting cards, and maps. These works are characterized by the intellectual creativity required in their development and are usually protected by copyright. Publishers distribute or arrange for the distribution of these works.Ã‚Â  Related NAICS codes are 51114, 51119</t>
  </si>
  <si>
    <t>Software</t>
  </si>
  <si>
    <t xml:space="preserve">Software publishers'. This industry comprises establishments primarily engaged in computer software publishing or publishing and reproduction. Establishments in this industry carry out operations necessary for producing and distributing computer software, such as designing, providing documentation, assisting in installation, and providing support services to software purchasers. These establishments may design, develop, and publish, or publish only. </t>
  </si>
  <si>
    <t>5112: Software Publishers</t>
  </si>
  <si>
    <t>Movies and film</t>
  </si>
  <si>
    <t>Motion picture and video industries'. Publishing establishments may create the works in-house, contract for, purchase, or compile works that were originally created by others. These works may be published in one or more formats, such as print and/or electronic form, including proprietary electronic networks. Establishments in this industry may print, reproduce, or offer direct access to the works themselves or may arrange with others to carry out such functions.Ã‚Â </t>
  </si>
  <si>
    <t>5121: Motion Picture and Video Industries</t>
  </si>
  <si>
    <t>Sound recording</t>
  </si>
  <si>
    <t>Sound recording industries'. This industry group comprises establishments primarily engaged in producing and distributing musical recordings, in publishing music, or in providing sound recording and related services.</t>
  </si>
  <si>
    <t>5122: Sound Recording Industries</t>
  </si>
  <si>
    <t>Radio and television</t>
  </si>
  <si>
    <t>Radio and television broadcasting'. Establishments that both print and publish may fill excess capacity with commercial or job printing. However, the publishing activity is still considered to be the primary activity of these establishments.</t>
  </si>
  <si>
    <t>5151: Radio and Television Broadcasting</t>
  </si>
  <si>
    <t>Cable and subscription programming</t>
  </si>
  <si>
    <t>Cable and other subscription programming'. This industry comprises establishments primarily engaged in operating studios and facilities for the broadcasting of programs on a subscription or fee basis. The broadcast programming is typically narrowcast in nature (e.g., limited format, such as news, sports, education, or youth-oriented). These establishments produce programming in their own facilities or acquire programming from external sources. The programming material is usually delivered to a third party, such as cable systems or direct-to-home satellite systems, for transmission to viewers.</t>
  </si>
  <si>
    <t>5152: Cable and Other Subscription Programming</t>
  </si>
  <si>
    <t>Wired telecommunications carriers'. This industry comprises establishments primarily engaged in operating and/or providing access to transmission facilities and infrastructure that they own and/or lease for the transmission of voice, data, text, sound, and video using wired telecommunications networks. Transmission facilities may be based on a single technology or a combination of technologies. Establishments in this industry use the wired telecommunications network facilities that they operate to provide a variety of services, such as wired telephony services, including VoIP services; wired (cable) audio and video programming distribution; and wired broadband Internet services. By exception, establishments providing satellite television distribution services using facilities and infrastructure that they operate are included in this industry.</t>
  </si>
  <si>
    <t>5171: Wired Telecommunications Carriers</t>
  </si>
  <si>
    <t>Wireless telecommunications</t>
  </si>
  <si>
    <t>Wireless telecommunications carriers (except satellite)'. This industry comprises establishments engaged in operating and maintaining switching and transmission facilities to provide communications via the airwaves. Establishments in this industry have spectrum licenses and provide services using that spectrum, such as cellular phone services, paging services, wireless Internet access, and wireless video services.</t>
  </si>
  <si>
    <t>5172: Wireless Telecommunications Carriers (except Satellite)</t>
  </si>
  <si>
    <t>Satellite, telecommunications resellers, and all other telecommunications</t>
  </si>
  <si>
    <t>517A00</t>
  </si>
  <si>
    <t>Satellite, telecommunications resellers, and all other telecommunications'. Industries in the Telecommunications subsector group establishments that provide telecommunications and the services related to that activity (e.g., telephony, including Voice over Internet Protocol (VoIP); cable and satellite television distribution services; Internet access; telecommunications reselling services). The Telecommunications subsector is primarily engaged in operating, and/or providing access to facilities for the transmission of voice, data, text, sound, and video. Transmission facilities may be based on a single technology or a combination of technologies. Establishments in the Telecommunications subsector are grouped into four industry groups. The first three are comprised of establishments that operate transmission facilities and infrastructure that they own and/or lease, and provide telecommunications services using those facilities. The distinction among the first three industry groups is the type of infrastructure operated (i.e., wired, wireless, or satellite). The fourth industry group is comprised of establishments that provide support activities, telecommunications reselling services, or many of the same services provided by establishments in the first three industry groups, but do not operate as telecommunications carriers. Related NAICS codes are 5174, 5719</t>
  </si>
  <si>
    <t>5179: Other Telecommunications</t>
  </si>
  <si>
    <t>Data processing and hosting</t>
  </si>
  <si>
    <t>Data processing, hosting, and related services'. Establishments primarily engaged as independent contractors in the installation and maintenance of broadcasting and telecommunications systems are classified in Sector 23, Construction. Establishments known as Internet cafes, primarily engaged in offering limited Internet connectivity in combination with other services such as facsimile services, training, rental of on-site personal computers, game rooms, or food services are classified in Subsector 561, Administrative and Support Services, or Subsector 722, Food Services and Drinking Places, depending on the primary activity.</t>
  </si>
  <si>
    <t>5182: Data Processing, Hosting, and Related Services</t>
  </si>
  <si>
    <t>News syndicates, libraries, archives, Internet publishing and all other information services</t>
  </si>
  <si>
    <t>5191A0</t>
  </si>
  <si>
    <t>News syndicates, libraries, archives and all other information services'. Industries in the Other Information Services subsector group establishments supplying information, storing and providing access to information, searching and retrieving information, operating Web sites that use search engines to allow for searching information on the Internet, or publishing and/or broadcasting content exclusively on the Internet. The main components of the subsector are news syndicates, libraries, archives, exclusive Internet publishing and/or broadcasting, and Web Search Portals. Related NAICS codes are 51911-2, 51919</t>
  </si>
  <si>
    <t>5191: Other Information Services</t>
  </si>
  <si>
    <t>Internet publishing and broadcasting</t>
  </si>
  <si>
    <t>Internet publishing and broadcasting and Web search portals'. This industry comprises establishments primarily engaged in 1) publishing and/or broadcasting content on the Internet exclusively or 2) operating Web sites that use a search engine to generate and maintain extensive databases of Internet addresses and content in an easily searchable format (and known as Web search portals). The publishing and broadcasting establishments in this industry do not provide traditional (non-Internet) versions of the content that they publish or broadcast. They provide textual, audio, and/or video content of general or specific interest on the Internet exclusively. Establishments known as Web search portals often provide additional Internet services, such as e-mail, connections to other web sites, auctions, news, and other limited content, and serve as a home base for Internet users.</t>
  </si>
  <si>
    <t>Monetary authorities and depository credit intermediation</t>
  </si>
  <si>
    <t>52A000</t>
  </si>
  <si>
    <t>Monetary authorities and depository credit intermediation'. The Finance and Insurance sector comprises establishments primarily engaged in financial transactions (transactions involving the creation, liquidation, or change in ownership of financial assets) and/or in facilitating financial transactions. Three principal types of activities are identified   1. Raising funds by taking deposits and/or issuing securities and, in the process, incurring liabilities. Establishments engaged in this activity use raised funds to acquire financial assets by making loans and/or purchasing securities. Putting themselves at risk, they channel funds from lenders to borrowers and transform or repackage the funds with respect to maturity, scale, and risk. This activity is known as financial intermediation.   2. Pooling of risk by underwriting insurance and annuities. Establishments engaged in this activity collect fees, insurance premiums, or annuity considerations; build up reserves; invest those reserves; and make contractual payments. Fees are based on the expected incidence of the insured risk and the expected return on investment.   3. Providing specialized services facilitating or supporting financial intermediation, insurance, and employee benefit programs.   In addition, monetary authorities charged with monetary control are included in this sector.   The subsectors, industry groups, and industries within the NAICS Finance and Insurance sector are defined on the basis of their unique production processes. As with all industries, the production processes are distinguished by their use of specialized human resources and specialized physical capital. In addition, the way in which these establishments acquire and allocate financial capital, their source of funds, and the use of those funds provides a third basis for distinguishing characteristics of the production process. For instance, the production process in raising funds through deposit-taking is different from the process of raising funds in bond or money markets. The process of making loans to individuals also requires different production processes than does the creation of investment pools or the underwriting of securities.   Most of the Finance and Insurance subsectors contain one or more industry groups of (1) intermediaries with similar patterns of raising and using funds and (2) establishments engaged in activities that facilitate, or are otherwise related to, that type of financial or insurance intermediation. Industries within this sector are defined in terms of activities for which a production process can be specified, and many of these activities are not exclusive to a particular type of financial institution. To deal with the varied activities taking place within existing financial institutions, the approach is to split these institutions into components performing specialized services. This requires defining the units engaged in providing those services and developing procedures that allow for their delineation. These units are the equivalents for finance and insurance of the establishments defined for other industries.   The output of many financial services, as well as the inputs and the processes by which they are combined, cannot be observed at a single location and can only be defined at a higher level of the organizational structure of the enterprise. Additionally, a number of independent activities that represent separate and distinct production processes may take place at a single location belonging to a multilocation financial firm. Activities are more likely to be homogeneous with respect to production characteristics than are locations, at least in financial services. The classification defines activities broadly enough that it can be used both by those classifying by location and by those employing a more top-down approach to the delineation of the establishment.   Establishments engaged in activities that facilitate, or are otherwise related to, the various types of intermediation have been included in individual subsectors, rather than in a separate subsector dedicated to services alone because these services are performed by intermediaries, as well as by specialist establishments, the extent to which the activity of the intermediaries can be separately identified is not clear.   The Finance and Insurance sector has been defined to encompass establishments primarily engaged in financial transactions; that is, transactions involving the creation, liquidation, change in ownership of financial assets; or in facilitating financial transactions. Financial industries are extensive users of electronic means for facilitating the verification of financial balances, authorizing transactions, transferring funds to and from transactors accounts, notifying banks (or credit card issuers) of the individual transactions, and providing daily summaries. Since these transaction processing activities are integral to the production of finance and insurance services, establishments that principally provide a financial transaction processing service are classified to this sector, rather than to the data processing industry in the Information sector.   Legal entities that hold portfolios of assets on behalf of others are significant and data on them are required for a variety of purposes. Thus for NAICS, these funds, trusts, and other financial vehicles are the fifth subsector of the Finance and Insurance sector. These entities earn interest, dividends, and other property income, but have little or no employment and no revenue from the sale of services. Separate establishments and employees devoted to the management of funds are classified in Industry Group 5239, Other Financial Investment Activities. Related NAICS codes are 521, 5221</t>
  </si>
  <si>
    <t>52: Finance and Insurance</t>
  </si>
  <si>
    <t>5211: Monetary Authorities-Central Bank</t>
  </si>
  <si>
    <t>Nondepository credit intermediation and related activities</t>
  </si>
  <si>
    <t>522A00</t>
  </si>
  <si>
    <t>Nondepository credit intermediation and related activities'. Industries in the Credit Intermediation and Related Activities subsector group establishments that (1) lend funds raised from depositors; (2) lend funds raised from credit market borrowing; or (3) facilitate the lending of funds or issuance of credit by engaging in such activities as mortgage and loan brokerage, clearinghouse and reserve services, and check cashing services. Related NAICS codes are 5222-3</t>
  </si>
  <si>
    <t>5222: Nondepository Credit Intermediation</t>
  </si>
  <si>
    <t>Securities and commodities brokerage and exchanges</t>
  </si>
  <si>
    <t>523A00</t>
  </si>
  <si>
    <t>Securities and commodity contracts intermediation and brokerage'. Industries in the Securities, Commodity Contracts, and Other Financial Investments and Related Activities subsector group establishments that are primarily engaged in one of the following (1) underwriting securities issues and/or making markets for securities and commodities; (2) acting as agents (i.e., brokers) between buyers and sellers of securities and commodities; (3) providing securities and commodity exchange services; and (4) providing other services, such as managing portfolios of assets; providing investment advice; and trust, fiduciary, and custody services. Related NAICS codes are 5231-2</t>
  </si>
  <si>
    <t>5231: Securities and Commodity Contracts Intermediation and Brokerage</t>
  </si>
  <si>
    <t>Investment advice, portfolio management, and other financial advising services</t>
  </si>
  <si>
    <t>Other financial investment activities'. This industry group comprises establishments primarily engaged in one of the following (1) acting as principals in buying or selling financial contracts (except investment bankers, securities dealers, and commodity contracts dealers); (2) acting as agents (i.e., brokers) (except securities brokerages and commodity contracts brokerages) in buying or selling financial contracts; or (3) providing other investment services (except securities and commodity exchanges), such as portfolio management; investment advice; and trust, fiduciary, and custody services.</t>
  </si>
  <si>
    <t>5239: Other Financial Investment Activities</t>
  </si>
  <si>
    <t>Direct life insurance carriers</t>
  </si>
  <si>
    <t>Insurance carriers, except direct life</t>
  </si>
  <si>
    <t>5241XX</t>
  </si>
  <si>
    <t>Insurance carriers, except direct life'. This industry group comprises establishments primarily engaged in underwriting (assuming the risk, assigning premiums, and so forth) annuities and insurance policies and investing premiums to build up a portfolio of financial assets to be used against future claims. Direct insurance carriers are establishments that are primarily engaged in initially underwriting and assuming the risk of annuities and insurance policies. Reinsurance carriers are establishments that are primarily engaged in assuming all or part of the risk associated with an existing insurance policy (or set of policies) originally underwritten by another insurance carrier. Industries are defined in terms of the type of risk being insured against, such as loss of employment because of age or disability, and/or property damage. Contributions and premiums are set on the basis of actuarial calculations of probable payouts based on risk factors from experience tables and expected investment returns on reserves. Related NAICS are 524114, 52412-3</t>
  </si>
  <si>
    <t>5241: Insurance Carriers</t>
  </si>
  <si>
    <t>Insurance agencies and brokerages</t>
  </si>
  <si>
    <t>Insurance agencies, brokerages, and related activities'. This industry group comprises establishments primarily engaged in (1) acting as agents (i.e., brokers) in selling annuities and insurance policies or (2) providing other employee benefits and insurance related services, such as claims adjustment and third party administration.</t>
  </si>
  <si>
    <t>5242: Agencies, Brokerages, and Other Insurance Related Activities</t>
  </si>
  <si>
    <t>Funds, trusts, and financial vehicles</t>
  </si>
  <si>
    <t>Funds, trusts, and other financial vehicles'. Industries in the Funds, Trusts, and Other Financial Vehicles subsector are comprised of legal entities (i.e., funds, plans, and/or programs) organized to pool securities or other assets on behalf of shareholders or beneficiaries of employee benefit or other trust funds. The portfolios are customized to achieve specific investment characteristics, such as diversification, risk, rate of return, and price volatility. These entities earn interest, dividends, and other investment income, but have little or no employment and no revenue from the sale of services. Establishments with employees devoted to the management of funds are classified in Industry Group 5239, Other Financial Investment Activities. Establishments primarily engaged in holding the securities of (or other equity interests in) other firms are classified in Sector 55, Management of Companies and Enterprises. Equity Real Estate Investment Trusts (REITs) that are primarily engaged in leasing buildings, dwellings, or other real estate property to others are classified in Subsector 531, Real Estate.</t>
  </si>
  <si>
    <t>5251: Insurance and Employee Benefit Funds</t>
  </si>
  <si>
    <t xml:space="preserve">Lessors of Residential Buildings and Dwellings </t>
  </si>
  <si>
    <t>531HSO,531HST</t>
  </si>
  <si>
    <t xml:space="preserve">This industry comprises establishments primarily engaged in acting as lessors of buildings used as residences or dwellings, such as single-family homes, apartment buildings, and town homes.  Included in this industry are owner-lessors and establishments renting real estate and then acting as lessors in subleasing it to others.  The establishments in this industry may manage the property themselves or have another establishment manage it for them.  </t>
  </si>
  <si>
    <t>53: Real Estate and Rental and Leasing</t>
  </si>
  <si>
    <t xml:space="preserve">53: Real Estate and Rental and Leasing Lessors of Residential Buildings and Dwellings </t>
  </si>
  <si>
    <t>Other real estate</t>
  </si>
  <si>
    <t>531ORE</t>
  </si>
  <si>
    <t>Other real estate'. The Real Estate and Rental and Leasing sector comprises establishments primarily engaged in renting, leasing, or otherwise allowing the use of tangible or intangible assets, and establishments providing related services. The major portion of this sector comprises establishments that rent, lease, or otherwise allow the use of their own assets by others. The assets may be tangible, as is the case of real estate and equipment, or intangible, as is the case with patents and trademarks.   This sector also includes establishments primarily engaged in managing real estate for others, selling, renting and/or buying real estate for others, and appraising real estate. These activities are closely related to this sectors main activity, and it was felt that from a production basis they would best be included here. In addition, a substantial proportion of property management is self-performed by lessors.   The main components of this sector are the real estate lessors industries (including equity real estate investment trusts (REITs)); equipment lessors industries (including motor vehicles, computers, and consumer goods); and lessors of nonfinancial intangible assets (except copyrighted works).   Excluded from this sector are establishments primarily engaged in renting or leasing equipment with operators. Establishments renting or leasing equipment with operators are classified in various subsectors of NAICS depending on the nature of the services provided (e.g., transportation, construction, agriculture). These activities are excluded from this sector because the client is paying for the expertise and knowledge of the equipment operator, in addition to the rental of the equipment. In many cases, such as the rental of heavy construction equipment, the operator is essential to operate the equipment. Related NAICS codes are531</t>
  </si>
  <si>
    <t>53: Real Estate and Rental and Leasing Other real estate</t>
  </si>
  <si>
    <t>Vehicle rental and leasing</t>
  </si>
  <si>
    <t>Automotive equipment rental and leasing'. This industry group comprises establishments primarily engaged in renting or leasing the following types of vehicles passenger cars and trucks without drivers, and utility trailers. These establishments generally operate from a retail-like facility. Some establishments offer only short-term rental, others only longerterm leases, and some provide both types of services.</t>
  </si>
  <si>
    <t>5321: Automotive Equipment Rental and Leasing</t>
  </si>
  <si>
    <t>Consumer goods and general rental centers</t>
  </si>
  <si>
    <t>532A00</t>
  </si>
  <si>
    <t>Consumer goods and general rental centers'. The Real Estate and Rental and Leasing sector comprises establishments primarily engaged in renting, leasing, or otherwise allowing the use of tangible or intangible assets, and establishments providing related services. The major portion of this sector comprises establishments that rent, lease, or otherwise allow the use of their own assets by others. The assets may be tangible, as is the case of real estate and equipment, or intangible, as is the case with patents and trademarks.   This sector also includes establishments primarily engaged in managing real estate for others, selling, renting and/or buying real estate for others, and appraising real estate. These activities are closely related to this sectors main activity, and it was felt that from a production basis they would best be included here. In addition, a substantial proportion of property management is self-performed by lessors.   The main components of this sector are the real estate lessors industries (including equity real estate investment trusts (REITs)); equipment lessors industries (including motor vehicles, computers, and consumer goods); and lessors of nonfinancial intangible assets (except copyrighted works).   Excluded from this sector are establishments primarily engaged in renting or leasing equipment with operators. Establishments renting or leasing equipment with operators are classified in various subsectors of NAICS depending on the nature of the services provided (e.g., transportation, construction, agriculture). These activities are excluded from this sector because the client is paying for the expertise and knowledge of the equipment operator, in addition to the rental of the equipment. In many cases, such as the rental of heavy construction equipment, the operator is essential to operate the equipment. Related NAICS codes are 5322-3</t>
  </si>
  <si>
    <t>5322: Consumer Goods Rental</t>
  </si>
  <si>
    <t>Commercial equipment rental</t>
  </si>
  <si>
    <t>Commercial and industrial machinery and equipment rental and leasing. This industry group comprises establishments primarily engaged in renting or leasing commercial-type and industrial-type machinery and equipment. The types of establishments included in this industry group are generally involved in providing capital or investment-type equipment that clients use in their business operations. These establishments typically cater to a business clientele and do not generally operate a retail-like or store-front facility.</t>
  </si>
  <si>
    <t>5324: Commercial and Industrial Machinery and Equipment Rental and Leasing</t>
  </si>
  <si>
    <t>Lessors of nonfinancial intangible assets</t>
  </si>
  <si>
    <t>Lessors of nonfinancial intangible assets'. Industries in the Lessors of Nonfinancial Intangible Assets (except Copyrighted Works) subsector include establishments that are primarily engaged in assigning rights to assets, such as patents, trademarks, brand names, and/or franchise agreements for which a royalty payment or licensing fee is paid to the asset holder. Establishments in this subsector own the patents, trademarks, and/or franchise agreements that they allow others to use or reproduce for a fee and may or may not have created those assets. Establishments that allow franchisees the use of the franchise name, contingent on the franchisee buying products or services from the franchisor, are classified elsewhere. Excluded from this subsector are establishments primarily engaged in leasing real property and establishments primarily engaged in leasing tangible assets, such as automobiles, computers, consumer goods, and industrial machinery and equipment. These establishments are classified in Subsector 531, Real Estate and Subsector 532, Rental and Leasing Services, respectively.</t>
  </si>
  <si>
    <t>5331: Lessors of Nonfinancial Intangible Assets (except Copyrighted Works)</t>
  </si>
  <si>
    <t>Legal services</t>
  </si>
  <si>
    <t>Legal services'. This industry group comprises (1) Offices of Lawyers, (2) Offices of Notaries, and (3) Other Legal Services including  (a) Title Abstract and Settlement Offices, and (b) All Other Legal Services.</t>
  </si>
  <si>
    <t>54: Professional, Scientific, and Technical Services</t>
  </si>
  <si>
    <t>5411: Legal Services</t>
  </si>
  <si>
    <t>Accounting, tax preparation, bookkeeping, and payroll</t>
  </si>
  <si>
    <t>Accounting, tax preparation, bookkeeping, and payroll services'. This industry comprises establishments primarily engaged in providing services, such as auditing of accounting records, designing accounting systems, preparing financial statements, developing budgets, preparing tax returns, processing payrolls, bookkeeping, and billing.</t>
  </si>
  <si>
    <t>5412: Accounting, Tax Preparation, Bookkeeping, and Payroll Services</t>
  </si>
  <si>
    <t>Architectural, engineering, and related services</t>
  </si>
  <si>
    <t>Architectural, engineering, and related services'. This industry group comprises (1) Architectural Services, (2) Landscape Architectural Services, (3) Engineering Services, (4) Drafting Services, (5) Building Inspection Services, (6) Geophysical Surveying and Mapping Services, (7) Surveying and Mapping (except Geophysical) Services, and (8) Testing Laboratories.</t>
  </si>
  <si>
    <t>5413: Architectural, Engineering, and Related Services</t>
  </si>
  <si>
    <t>Specialized design</t>
  </si>
  <si>
    <t>Specialized design services'. This industry group comprises establishments providing specialized design services (except architectural, engineering, and computer systems design).</t>
  </si>
  <si>
    <t>5414: Specialized Design Services</t>
  </si>
  <si>
    <t>Custom computer programming</t>
  </si>
  <si>
    <t>Custom computer programming services'. This U.S. industry comprises establishments primarily engaged in writing, modifying, testing, and supporting software to meet the needs of a particular customer.</t>
  </si>
  <si>
    <t>5415: Computer Systems Design and Related Services</t>
  </si>
  <si>
    <t>Computer systems design</t>
  </si>
  <si>
    <t>Other computer related services, including facilities management</t>
  </si>
  <si>
    <t>Management consulting</t>
  </si>
  <si>
    <t>Environmental and other technical consulting services</t>
  </si>
  <si>
    <t>Advertising and public relations</t>
  </si>
  <si>
    <t>Marketing research and all other miscellaneous professional, scientific, and technical services</t>
  </si>
  <si>
    <t>Photographers</t>
  </si>
  <si>
    <t>Veterinarians</t>
  </si>
  <si>
    <t>Company and enterprise management</t>
  </si>
  <si>
    <t>Office administration</t>
  </si>
  <si>
    <t>Office administrative services'. This industry comprises establishments primarily engaged in providing a range of day-to-day office administrative services, such as financial planning; billing and recordkeeping; personnel; and physical distribution and logistics for others on a contract or fee basis. These establishments do not provide operating staff to carry out the complete operations of a business.</t>
  </si>
  <si>
    <t>56: Administrative and Support and Waste Management and Remediation Services</t>
  </si>
  <si>
    <t>5611: Office Administrative Services</t>
  </si>
  <si>
    <t>Facilities support</t>
  </si>
  <si>
    <t>Facilities support services'. This industry comprises establishments primarily engaged in providing operating staff to perform a combination of support services within a client's facilities. Establishments in this industry typically provide a combination of services, such as janitorial, maintenance, trash disposal, guard and security, mail routing, reception, laundry, and related services to support operations within facilities. These establishments provide operating staff to carry out these support activities; but are not involved with or responsible for the core business or activities of the client. Establishments providing facilities (except computer and/or data processing) operation support services and establishments providing private jail services or operating correctional facilities (i.e., jails) on a contract or fee basis are included in this industry.</t>
  </si>
  <si>
    <t>5612: Facilities Support Services</t>
  </si>
  <si>
    <t>Employment services</t>
  </si>
  <si>
    <t>Employment services'. This industry group comprises (1) Employment Placement Agencies and Executive Search Services, (2) Temporary Help Services, and (3) Professional Employer Organizations.</t>
  </si>
  <si>
    <t>5613: Employment Services</t>
  </si>
  <si>
    <t>Business support</t>
  </si>
  <si>
    <t>Business support services. This industry group comprises establishments engaged in performing activities that are ongoing routine business support functions that businesses and organizations traditionally do for themselves.</t>
  </si>
  <si>
    <t>5614: Business Support Services</t>
  </si>
  <si>
    <t>Travel arrangement and reservation</t>
  </si>
  <si>
    <t>Travel arrangement and reservation services'. This industry group comprises (1) Travel Agencies, (2) Tour Operators, and (3) Other Travel Arrangement and Reservation Services including  (a) Convention and Visitors Bureaus, and (b) All Other Travel Arrangement and Reservation Services.</t>
  </si>
  <si>
    <t>5615: Travel Arrangement and Reservation Services</t>
  </si>
  <si>
    <t>Investigation and security</t>
  </si>
  <si>
    <t>Investigation and security services'. This industry group comprises (1) Investigation, Guard, and Armored Car Services, and (2) Security Systems Services.</t>
  </si>
  <si>
    <t>5616: Investigation and Security Services</t>
  </si>
  <si>
    <t>Buildings and dwellings services</t>
  </si>
  <si>
    <t>Services to buildings and dwellings'. This industry group comprises (1) Exterminating and Pest Control Services, (2) Janitorial Services, (3) Landscaping Services, (4) Carpet and Upholstery Cleaning Services, and (5) Other Services to Buildings and Dwellings.</t>
  </si>
  <si>
    <t>5617: Services to Buildings and Dwellings</t>
  </si>
  <si>
    <t>Other support services</t>
  </si>
  <si>
    <t>Other support services. This industry group comprises establishments primarily engaged in providing day-to-day business and other organizational support services (except office administrative services; facilities support services; employment services; business support services; travel arrangement and reservation services; security and investigation services; and services to buildings and dwellings).</t>
  </si>
  <si>
    <t>5619: Other Support Services</t>
  </si>
  <si>
    <t>Solid waste collection</t>
  </si>
  <si>
    <t>Waste management and remediation services'. This U.S. industry comprises establishments primarily engaged in one or more of the following (1) collecting and/or hauling nonhazardous solid waste (i.e. garbage) within a local area; (2) operating nonhazardous solid waste transfer stations; and (3) collecting and/or hauling mixed recyclable materials within a local area.</t>
  </si>
  <si>
    <t>5621: Waste Collection</t>
  </si>
  <si>
    <t>Hazardous waste collection treatment and disposal</t>
  </si>
  <si>
    <t>562HAZ</t>
  </si>
  <si>
    <t xml:space="preserve">This U.S. industry comprises establishments primarily engaged in collecting and/or hauling hazardous waste within a local area and/or operating hazardous waste transfer stations.  Hazardous waste collection establishments may be responsible for the identification, treatment, packaging, and labeling of waste for the purposes of transport. 
This U.S. industry comprises establishments primarily engaged in (1) operating treatment and/or disposal facilities for hazardous waste or (2) the combined activity of collecting and/or hauling of hazardous waste materials within a local area and operating treatment or disposal facilities for hazardous waste. </t>
  </si>
  <si>
    <t>Other waste collection and treatment services</t>
  </si>
  <si>
    <t>562OTH</t>
  </si>
  <si>
    <t xml:space="preserve">This U.S. industry comprises establishments primarily engaged in collecting and/or hauling waste (except nonhazardous solid waste and hazardous waste) within a local area.  Establishments engaged in brush or rubble removal services are included in this industry. 
This U.S. industry comprises establishments primarily engaged in (1) operating nonhazardous waste treatment and disposal facilities (except landfills, combustors, incinerators and sewer systems or sewage treatment facilities) or (2) the combined activity of collecting and/or hauling of nonhazardous waste materials within a local area and operating waste treatment or disposal facilities (except landfills, combustors, incinerators and sewer systems, or sewage treatment facilities). Compost dumps are included in this industry. _x0001_This U.S. industry comprises establishments primarily engaged in providing waste management services (except waste collection, waste treatment and disposal, remediation, operation of materials recovery facilities, septic tank pumping and related services, and waste management consulting services).  Illustrative Examples:  Beach cleaning and maintenance services Sewer or storm basin cleanout services Catch basin cleaning services Tank cleaning and disposal services, commercial or industrial Sewer cleaning and rodding services  </t>
  </si>
  <si>
    <t>56: Administrative and Support and Waste Management and Remediation Services Other waste collection and treatment services</t>
  </si>
  <si>
    <t>Solid waste landfilling</t>
  </si>
  <si>
    <t>Waste management and remediation services'. This U.S. industry comprises establishments primarily engaged in (1) operating landfills for the disposal of nonhazardous solid waste or (2) the combined activity of collecting and/or hauling nonhazardous waste materials within a local area and operating landfills for the disposal of nonhazardous solid waste. These establishments may produce byproducts such as methane.</t>
  </si>
  <si>
    <t>5622: Waste Treatment and Disposal</t>
  </si>
  <si>
    <t>Solid waste combustors and incinerators</t>
  </si>
  <si>
    <t>Waste management and remediation services'. This U.S. industry comprises establishments primarily engaged in operating combustors and incinerators for the disposal of nonhazardous solid waste. These establishments may produce byproducts such as electricity and steam.</t>
  </si>
  <si>
    <t>Remediation services</t>
  </si>
  <si>
    <t>Waste management and remediation services'. This industry comprises establishments primarily engaged in one or more of the following (1) remediation and cleanup of contaminated buildings mine sites soil or ground water; (2) integrated mine reclamation activities including demolition soil remediation waste water treatment hazardous material removal contouring land and revegetation; and (3) asbestos lead paint and other toxic material abatement.</t>
  </si>
  <si>
    <t>5629: Remediation and Other Waste Management Services</t>
  </si>
  <si>
    <t>Material separation/recovery facilities</t>
  </si>
  <si>
    <t>Waste management and remediation services'. This industry comprises establishments primarily engaged in (1) operating facilities for separating and sorting recyclable materials from nonhazardous waste streams (i.e. garbage) and/or (2) operating facilities where commingled recyclable materials such as paper plastics used beverage cans and metals are sorted into distinct categories.</t>
  </si>
  <si>
    <t>Elementary and secondary schools</t>
  </si>
  <si>
    <t>Elementary and secondary schools. This industry comprises establishments primarily engaged in furnishing academic courses and associated course work that comprise a basic preparatory education. A basic preparatory education ordinarily constitutes kindergarten through 12th grade. This industry includes school boards and school districts.</t>
  </si>
  <si>
    <t>61: Educational Services</t>
  </si>
  <si>
    <t>6111: Elementary and Secondary Schools</t>
  </si>
  <si>
    <t>Colleges, universities, junior colleges, and professional schools</t>
  </si>
  <si>
    <t>611A00</t>
  </si>
  <si>
    <t>Junior colleges, colleges, universities, and professional schools'. The Educational Services sector comprises establishments that provide instruction and training in a wide variety of subjects. This instruction and training is provided by specialized establishments, such as schools, colleges, universities, and training centers. These establishments may be privately owned and operated for profit or not for profit, or they may be publicly owned and operated. They may also offer food and/or accommodation services to their students.   Educational services are usually delivered by teachers or instructors that explain, tell, demonstrate, supervise, and direct learning. Instruction is imparted in diverse settings, such as educational institutions, the workplace, or the home, and through diverse means, such as correspondence, television, the Internet, or other electronic and distance-learning methods. The training provided by these establishments may include the use of simulators and simulation methods. It can be adapted to the particular needs of the students, for example sign language can replace verbal language for teaching students with hearing impairments. All industries in the sector share this commonality of process, namely, labor inputs of instructors with the requisite subject matter expertise and teaching ability. Related NAICS codes are 6112-3</t>
  </si>
  <si>
    <t>61: Educational Services Colleges, universities, junior colleges, and professional schools</t>
  </si>
  <si>
    <t>Other educational services</t>
  </si>
  <si>
    <t>611B00</t>
  </si>
  <si>
    <t>Other educational services'. The Educational Services sector comprises establishments that provide instruction and training in a wide variety of subjects. This instruction and training is provided by specialized establishments, such as schools, colleges, universities, and training centers. These establishments may be privately owned and operated for profit or not for profit, or they may be publicly owned and operated. They may also offer food and/or accommodation services to their students.   Educational services are usually delivered by teachers or instructors that explain, tell, demonstrate, supervise, and direct learning. Instruction is imparted in diverse settings, such as educational institutions, the workplace, or the home, and through diverse means, such as correspondence, television, the Internet, or other electronic and distance-learning methods. The training provided by these establishments may include the use of simulators and simulation methods. It can be adapted to the particular needs of the students, for example sign language can replace verbal language for teaching students with hearing impairments. All industries in the sector share this commonality of process, namely, labor inputs of instructors with the requisite subject matter expertise and teaching ability. Related NAICS codes are 6114-7</t>
  </si>
  <si>
    <t>61: Educational Services Other educational services</t>
  </si>
  <si>
    <t>Physicians</t>
  </si>
  <si>
    <t>Offices of physicians'. This industry comprises establishments of health practitioners having the degree of M.D. (Doctor of Medicine) or D.O. (Doctor of Osteopathy) primarily engaged in the independent practice of general or specialized medicine (e.g., anesthesiology, oncology, ophthalmology, psychiatry) or surgery. These practitioners operate private or group practices in their own offices (e.g., centers, clinics) or in the facilities of others, such as hospitals or HMO medical centers.</t>
  </si>
  <si>
    <t>62: Health Care and Social Assistance</t>
  </si>
  <si>
    <t>6211: Offices of Physicians</t>
  </si>
  <si>
    <t>Dentists</t>
  </si>
  <si>
    <t>Offices of dentists'. This industry comprises establishments of health practitioners having the degree of D.M.D. (Doctor of Dental Medicine), D.D.S. (Doctor of Dental Surgery), or D.D.Sc. (Doctor of Dental Science) primarily engaged in the independent practice of general or specialized dentistry or dental surgery. These practitioners operate private or group practices in their own offices (e.g., centers, clinics) or in the facilities of others, such as hospitals or HMO medical centers. They can provide either comprehensive preventive, cosmetic, or emergency care, or specialize in a single field of dentistry.</t>
  </si>
  <si>
    <t>6212: Offices of Dentists</t>
  </si>
  <si>
    <t>Healthcare practitioners (except physicians and dentists)</t>
  </si>
  <si>
    <t>Offices of other health practitioners. This industry group comprises establishments of independent health practitioners (except physicians and dentists).</t>
  </si>
  <si>
    <t>6213: Offices of Other Health Practitioners</t>
  </si>
  <si>
    <t>Outpatient healthcare</t>
  </si>
  <si>
    <t>Outpatient care centers'. This industry group comprises (1) Family Planning Centers, (2) Outpatient Mental Health and Substance Abuse Centers, and (3) Other Outpatient Care Centers including  (a) HMO Medical Centers, (b) Kidney Dialysis Centers, (c) Freestanding Ambulatory Surgical and Emergency Centers, and (d) All Other Outpatient Care Centers.</t>
  </si>
  <si>
    <t>6214: Outpatient Care Centers</t>
  </si>
  <si>
    <t>Medical laboratories</t>
  </si>
  <si>
    <t>Medical and diagnostic laboratories'. This industry comprises establishments known as medical and diagnostic laboratories primarily engaged in providing analytic or diagnostic services, including body fluid analysis and diagnostic imaging, generally to the medical profession or to the patient on referral from a health practitioner.</t>
  </si>
  <si>
    <t>6215: Medical and Diagnostic Laboratories</t>
  </si>
  <si>
    <t>Home healthcare</t>
  </si>
  <si>
    <t>Home health care services'. This industry comprises establishments primarily engaged in providing skilled nursing services in the home, along with a range of the following personal care services; homemaker and companion services; physical therapy; medical social services; medications; medical equipment and supplies; counseling; 24- hour home care; occupation and vocational therapy; dietary and nutritional services; speech therapy; audiology; and high-tech care, such as intravenous therapy.</t>
  </si>
  <si>
    <t>6216: Home Health Care Services</t>
  </si>
  <si>
    <t>Ambulances</t>
  </si>
  <si>
    <t>Other ambulatory health care services'. This industry group comprises establishments primarily engaged in providing ambulatory health care services (except offices of physicians, dentists, and other health practitioners; outpatient care centers; medical laboratories and diagnostic imaging centers; and home health care providers).</t>
  </si>
  <si>
    <t>6219: Other Ambulatory Health Care Services</t>
  </si>
  <si>
    <t>Hospitals</t>
  </si>
  <si>
    <t>Hospitals'. Industries in the Hospitals subsector provide medical, diagnostic, and treatment services that include physician, nursing, and other health services to inpatients and the specialized accommodation services required by inpatients. Hospitals may also provide outpatient services as a secondary activity. Establishments in the Hospitals subsector provide inpatient health services, many of which can only be provided using the specialized facilities and equipment that form a significant and integral part of the production process.</t>
  </si>
  <si>
    <t>6221: General Medical and Surgical Hospitals</t>
  </si>
  <si>
    <t>Nursing and community care facilities</t>
  </si>
  <si>
    <t>623A00</t>
  </si>
  <si>
    <t>Nursing and community care facilities'. The Health Care and Social Assistance sector comprises establishments providing health care and social assistance for individuals. The sector includes both health care and social assistance because it is sometimes difficult to distinguish between the boundaries of these two activities. The industries in this sector are arranged on a continuum starting with those establishments providing medical care exclusively, continuing with those providing health care and social assistance, and finally finishing with those providing only social assistance. The services provided by establishments in this sector are delivered by trained professionals. All industries in the sector share this commonality of process, namely, labor inputs of health practitioners or social workers with the requisite expertise. Many of the industries in the sector are defined based on the educational degree held by the practitioners included in the industry.   Excluded from this sector are aerobic classes in Subsector 713, Amusement, Gambling and Recreation Industries and nonmedical diet and weight reducing centers in Subsector 812, Personal and Laundry Services. Although these can be viewed as health services, these services are not typically delivered by health practitioners. Related NAICS codes are 6231, 6233</t>
  </si>
  <si>
    <t>6231: Nursing Care Facilities (Skilled Nursing Facilities)</t>
  </si>
  <si>
    <t>Residential mental retardation, mental health, substance abuse and other facilities</t>
  </si>
  <si>
    <t>623B00</t>
  </si>
  <si>
    <t>Residential mental retardation, mental health, substance abuse and other facilities'. The Health Care and Social Assistance sector comprises establishments providing health care and social assistance for individuals. The sector includes both health care and social assistance because it is sometimes difficult to distinguish between the boundaries of these two activities. The industries in this sector are arranged on a continuum starting with those establishments providing medical care exclusively, continuing with those providing health care and social assistance, and finally finishing with those providing only social assistance. The services provided by establishments in this sector are delivered by trained professionals. All industries in the sector share this commonality of process, namely, labor inputs of health practitioners or social workers with the requisite expertise. Many of the industries in the sector are defined based on the educational degree held by the practitioners included in the industry.   Excluded from this sector are aerobic classes in Subsector 713, Amusement, Gambling and Recreation Industries and nonmedical diet and weight reducing centers in Subsector 812, Personal and Laundry Services. Although these can be viewed as health services, these services are not typically delivered by health practitioners. Related NAICS codes are 6232, 6239</t>
  </si>
  <si>
    <t>6232: Residential Intellectual and Developmental Disability, Mental Health, and Substance Abuse Facilities</t>
  </si>
  <si>
    <t>Individual and family services</t>
  </si>
  <si>
    <t>Individual and family services'. This industry group comprises (1) Child and Youth Services, (2) Services for the Elderly and Persons with Disabilities, and (3) Other Individual and Family Services.</t>
  </si>
  <si>
    <t>6241: Individual and Family Services</t>
  </si>
  <si>
    <t>Community food, housing, and other relief services, including rehabilitation services</t>
  </si>
  <si>
    <t>624A00</t>
  </si>
  <si>
    <t>Community food, housing, and other relief services, including rehabilitation services'. The Health Care and Social Assistance sector comprises establishments providing health care and social assistance for individuals. The sector includes both health care and social assistance because it is sometimes difficult to distinguish between the boundaries of these two activities. The industries in this sector are arranged on a continuum starting with those establishments providing medical care exclusively, continuing with those providing health care and social assistance, and finally finishing with those providing only social assistance. The services provided by establishments in this sector are delivered by trained professionals. All industries in the sector share this commonality of process, namely, labor inputs of health practitioners or social workers with the requisite expertise. Many of the industries in the sector are defined based on the educational degree held by the practitioners included in the industry.   Excluded from this sector are aerobic classes in Subsector 713, Amusement, Gambling and Recreation Industries and nonmedical diet and weight reducing centers in Subsector 812, Personal and Laundry Services. Although these can be viewed as health services, these services are not typically delivered by health practitioners. Related NAICS codes are 6242-3</t>
  </si>
  <si>
    <t>6242: Community Food and Housing, and Emergency and Other Relief Services</t>
  </si>
  <si>
    <t>Child day care</t>
  </si>
  <si>
    <t>Child day care services'. This industry comprises establishments primarily engaged in providing day care of infants or children. These establishments generally care for preschool children, but may care for older children when they are not in school and may also offer pre-kindergarten educational programs.</t>
  </si>
  <si>
    <t>6244: Child Day Care Services</t>
  </si>
  <si>
    <t>Performances</t>
  </si>
  <si>
    <t>Performing arts companies'. This industry group comprises establishments primarily engaged in producing live presentations involving the performances of actors and actresses, singers, dancers, musical groups and artists, and other performing artists.</t>
  </si>
  <si>
    <t>71: Arts, Entertainment, and Recreation</t>
  </si>
  <si>
    <t>7111: Performing Arts Companies</t>
  </si>
  <si>
    <t>Spectator sports'. This industry comprises (1) sports teams or clubs primarily participating in live sporting events before a paying audience; (2) establishments primarily engaged in operating racetracks; (3) independent athletes engaged in participating in live sporting or racing events before a paying audience; (4) owners of racing participants, such as cars, dogs, and horses, primarily engaged in entering them in racing events or other spectator sports events; and (5) establishments, such as sports trainers, primarily engaged in providing specialized services to support participants in sports events or competitions. The sports teams and clubs included in this industry may or may not operate their own arena, stadium, or other facility for presenting their games or other spectator sports events.</t>
  </si>
  <si>
    <t>7112: Spectator Sports</t>
  </si>
  <si>
    <t>Promoters and agents</t>
  </si>
  <si>
    <t>711A00</t>
  </si>
  <si>
    <t>Promoters of performing arts and sports and agents for public figures'. The Arts, Entertainment, and Recreation sector includes a wide range of establishments that operate facilities or provide services to meet varied cultural, entertainment, and recreational interests of their patrons. This sector comprises (1) establishments that are involved in producing, promoting, or participating in live performances, events, or exhibits intended for public viewing; (2) establishments that preserve and exhibit objects and sites of historical, cultural, or educational interest; and (3) establishments that operate facilities or provide services that enable patrons to participate in recreational activities or pursue amusement, hobby, and leisure-time interests.   Some establishments that provide cultural, entertainment, or recreational facilities and services are classified in other sectors. Excluded from this sector are (1) establishments that provide both accommodations and recreational facilities, such as hunting and fishing camps and resort and casino hotels are classified in Subsector 721, Accommodation; (2) restaurants and night clubs that provide live entertainment in addition to the sale of food and beverages are classified in Subsector 722, Food Services and Drinking Places; (3) motion picture theaters, libraries and archives, and publishers of newspapers, magazines, books, periodicals, and computer software are classified in Sector 51, Information; and (4) establishments using transportation equipment to provide recreational and entertainment services, such as those operating sightseeing buses, dinner cruises, or helicopter rides, are classified in Subsector 487, Scenic and Sightseeing Transportation. Related NAICS codes are 7113-4</t>
  </si>
  <si>
    <t>7113: Promoters of Performing Arts, Sports, and Similar Events</t>
  </si>
  <si>
    <t>Independent artists, writers, and performers</t>
  </si>
  <si>
    <t>Independent artists, writers, and performers'. This industry comprises independent (i.e., freelance) individuals primarily engaged in performing in artistic productions, in creating artistic and cultural works or productions, or in providing technical expertise necessary for these productions. This industry also includes athletes and other celebrities exclusively engaged in endorsing products and making speeches or public appearances for which they receive a fee.</t>
  </si>
  <si>
    <t>7115: Independent Artists, Writers, and Performers</t>
  </si>
  <si>
    <t>Museums, historical sites, zoos, and parks</t>
  </si>
  <si>
    <t>Museums, historical sites, zoos, and parks'. Industries in the Museums, Historical Sites, and Similar Institutions subsector engage in the preservation and exhibition of objects, sites, and natural wonders of historical, cultural, and/or educational value.</t>
  </si>
  <si>
    <t>7121: Museums, Historical Sites, and Similar Institutions</t>
  </si>
  <si>
    <t>Amusement parks and arcades</t>
  </si>
  <si>
    <t>Amusement parks and arcades. This industry group comprises establishments primarily engaged in operating amusement parks and amusement arcades and parlors.</t>
  </si>
  <si>
    <t>7131: Amusement Parks and Arcades</t>
  </si>
  <si>
    <t>Gambling establishments (except casino hotels)</t>
  </si>
  <si>
    <t>Gambling industries (except casino hotels)'. This industry group comprises establishments (except casino hotels) primarily engaged in operating gambling facilities, such as casinos, bingo halls, and video gaming terminals, or in the provision of gambling services, such as lotteries and off-track betting. Casino hotels are classified in Industry 72112, Casino Hotels.</t>
  </si>
  <si>
    <t>7132: Gambling Industries</t>
  </si>
  <si>
    <t>Golf courses, marinas, ski resorts, fitness and other rec centers and industries</t>
  </si>
  <si>
    <t>Other amusement and recreation industries'. This industry group comprises (1) Golf Courses and Country Clubs, (2) Skiing Facilities, (3) Marinas, (4) Fitness and Recreational Sports Centers, (5) Bowling Centers, and (6) All Other Amusement and Recreation Industries.</t>
  </si>
  <si>
    <t>7139: Other Amusement and Recreation Industries</t>
  </si>
  <si>
    <t>Hotels and campgrounds</t>
  </si>
  <si>
    <t>Accommodation'. Industries in the Accommodation subsector provide lodging or short-term accommodations for travelers, vacationers, and others. There is a wide range of establishments in these industries. Some provide lodging only; while others provide meals, laundry services, and recreational facilities, as well as lodging. Lodging establishments are classified in this subsector even if the provision of complementary services generates more revenue. The types of complementary services provided vary from establishment to establishment. The subsector is organized into three industry groups (1) traveler accommodation, (2) recreational accommodation, and (3) rooming and boarding houses. The Traveler Accommodation industry group includes establishments that primarily provide traditional types of lodging services. This group includes hotels, motels, and bed and breakfast inns. In addition to lodging, these establishments may provide a range of other services to their guests. The RV (Recreational Vehicle) Parks and Recreational Camps industry group includes establishments that operate lodging facilities primarily designed to accommodate outdoor enthusiasts. Included are travel trailer campsites, recreational vehicle parks, and outdoor adventure retreats. The Rooming and Boarding Houses industry group includes establishments providing temporary or longer-term accommodations, which for the period of occupancy, may serve as a principal residence. Board (i.e., meals) may be provided but is not essential. Establishments that manage short-stay accommodation establishments (e.g., hotels and motels) on a contractual basis are classified in this subsector if they both manage the operation and provide the operating staff. Such establishments are classified based on the type of facility managed and operated.</t>
  </si>
  <si>
    <t>72: Accommodation and Food Services</t>
  </si>
  <si>
    <t>7211: Traveler Accommodation</t>
  </si>
  <si>
    <t>All other food and drinking places</t>
  </si>
  <si>
    <t>722A00</t>
  </si>
  <si>
    <t>All other food and drinking places'. The Accommodation and Food Services sector comprises establishments providing customers with lodging and/or preparing meals, snacks, and beverages for immediate consumption. The sector includes both accommodation and food services establishments because the two activities are often combined at the same establishment.   Excluded from this sector are civic and social organizations; amusement and recreation parks; theaters; and other recreation or entertainment facilities providing food and beverage services. Related NAICS codes are 7223-4</t>
  </si>
  <si>
    <t>7223: Special Food Services</t>
  </si>
  <si>
    <t>Full-service restaurants</t>
  </si>
  <si>
    <t>Full-service restaurants'. This industry comprises establishments primarily engaged in providing food services to patrons who order and are served while seated (i.e., waiter/waitress service) and pay after eating. These establishments may provide this type of food service to patrons in combination with selling alcoholic beverages, providing carry out services, or presenting live nontheatrical entertainment.</t>
  </si>
  <si>
    <t>7225: Restaurants and Other Eating Places</t>
  </si>
  <si>
    <t>Limited-service restaurants</t>
  </si>
  <si>
    <t>Limited-service restaurants'. This U.S. industry comprises establishments primarily engaged in providing food services (except snack and nonalcoholic beverage bars) where patrons generally order or select items and pay before eating. Food and drink may be consumed on premises, taken out, or delivered to the customer's location. Some establishments in this industry may provide these food services in combination with selling alcoholic beverages.</t>
  </si>
  <si>
    <t>Vehicle repair</t>
  </si>
  <si>
    <t>Automotive repair and maintenance'. This industry group comprises establishments involved in providing repair and maintenance services for automotive vehicles, such as passenger cars, trucks, and vans, and all trailers. Establishments in this industry group employ mechanics with specialized technical skills to diagnose and repair the mechanical and electrical systems for automotive vehicles, repair automotive interiors, and paint or repair automotive exteriors.</t>
  </si>
  <si>
    <t>81: Other Services (except Public Administration)</t>
  </si>
  <si>
    <t>8111: Automotive Repair and Maintenance</t>
  </si>
  <si>
    <t>Electronic  equipment repair and maintenance</t>
  </si>
  <si>
    <t>Electronic and precision equipment repair and maintenance'. This industry group comprises establishments primarily engaged in repairing electronic equipment, such as computers and communications equipment, and highly specialized precision instruments. Establishments in this industry group typically have staff skilled in repairing items having complex, electronic components.</t>
  </si>
  <si>
    <t>8112: Electronic and Precision Equipment Repair and Maintenance</t>
  </si>
  <si>
    <t>Commercial machinery repair</t>
  </si>
  <si>
    <t>Commercial and industrial machinery and equipment repair and maintenance'. This industry comprises establishments primarily engaged in the repair and maintenance of commercial and industrial machinery and equipment. Establishments in this industry either sharpen/install commercial and industrial machinery blades and saws or provide welding (e.g., automotive, general) repair services; or repair agricultural and other heavy and industrial machinery and equipment (e.g., forklifts and other materials handling equipment, machine tools, commercial refrigeration equipment, construction equipment, and mining machinery).</t>
  </si>
  <si>
    <t>8113: Commercial and Industrial Machinery and Equipment (except Automotive and Electronic) Repair and Maintenance</t>
  </si>
  <si>
    <t>Household goods repair</t>
  </si>
  <si>
    <t>Personal and household goods repair and maintenance'. This industry group comprises (1) Home and Garden Equipment and Appliance Repair and Maintenance, (2) Reupholstery and Furniture Repair, (3) Footwear and Leather Goods Repair, and (4) Other Personal and Household Goods Repair and Maintenance.</t>
  </si>
  <si>
    <t>8114: Personal and Household Goods Repair and Maintenance</t>
  </si>
  <si>
    <t>Salons and barber shops</t>
  </si>
  <si>
    <t>Personal care services'. This industry group comprises establishments, such as barber and beauty shops, that provide appearance care services to individual consumers.</t>
  </si>
  <si>
    <t>8121: Personal Care Services</t>
  </si>
  <si>
    <t>Funerary services</t>
  </si>
  <si>
    <t>Death care services'. This industry group comprises (1) Funeral Homes and Funeral Services, and (2) Cemeteries and Crematories.</t>
  </si>
  <si>
    <t>8122: Death Care Services</t>
  </si>
  <si>
    <t>Dry-cleaning and laundry</t>
  </si>
  <si>
    <t>Dry-cleaning and laundry services'. This industry group comprises (1) Coin-Operated Laundries and Drycleaners, (2) Drycleaning and Laundry Services (except Coin-Operated), and (3) Linen and Uniform Supply.</t>
  </si>
  <si>
    <t>8123: Drycleaning and Laundry Services</t>
  </si>
  <si>
    <t>Pet care, photofinishing, parking and other sundry services</t>
  </si>
  <si>
    <t>Other personal services'. This industry group comprises establishments primarily engaged in providing personal services (except personal care services, death care services, or drycleaning and laundry services).</t>
  </si>
  <si>
    <t>8129: Other Personal Services</t>
  </si>
  <si>
    <t>Religious organizations</t>
  </si>
  <si>
    <t>Religious organizations'. This industry comprises (1) establishments primarily engaged in operating religious organizations, such as churches, religious temples, and monasteries, and/or (2) establishments primarily engaged in administering an organized religion or promoting religious activities.</t>
  </si>
  <si>
    <t>8131: Religious Organizations</t>
  </si>
  <si>
    <t>Grantmaking, giving, and social advocacy organizations</t>
  </si>
  <si>
    <t>813A00</t>
  </si>
  <si>
    <t>Grantmaking, giving, and social advocacy organizations'. The Other Services (except Public Administration) sector comprises establishments engaged in providing services not specifically provided for elsewhere in the classification system. Establishments in this sector are primarily engaged in activities, such as equipment and machinery repairing, promoting or administering religious activities, grantmaking, advocacy, and providing drycleaning and laundry services, personal care services, death care services, pet care services, photofinishing services, temporary parking services, and dating services.   Private households that engage in employing workers on or about the premises in activities primarily concerned with the operation of the household are included in this sector.   Excluded from this sector are establishments primarily engaged in retailing new equipment and also performing repairs and general maintenance on equipment. These establishments are classified in Sector 44-45, Retail Trade. Related NAICS codes are 8132, 8133</t>
  </si>
  <si>
    <t>8132: Grantmaking and Giving Services</t>
  </si>
  <si>
    <t>Civic, social, professional, and similar organizations</t>
  </si>
  <si>
    <t>813B00</t>
  </si>
  <si>
    <t>Civic, social, professional, and similar organizations'. The Other Services (except Public Administration) sector comprises establishments engaged in providing services not specifically provided for elsewhere in the classification system. Establishments in this sector are primarily engaged in activities, such as equipment and machinery repairing, promoting or administering religious activities, grantmaking, advocacy, and providing drycleaning and laundry services, personal care services, death care services, pet care services, photofinishing services, temporary parking services, and dating services.   Private households that engage in employing workers on or about the premises in activities primarily concerned with the operation of the household are included in this sector.   Excluded from this sector are establishments primarily engaged in retailing new equipment and also performing repairs and general maintenance on equipment. These establishments are classified in Sector 44-45, Retail Trade. Related NAICS codes are 8134, 8139</t>
  </si>
  <si>
    <t>8134: Civic and Social Organizations</t>
  </si>
  <si>
    <r>
      <rPr>
        <b/>
        <i/>
        <sz val="10"/>
        <rFont val="Arial"/>
        <family val="2"/>
      </rPr>
      <t xml:space="preserve">Procurement via: Wholesaler /Retailer/ Distributor </t>
    </r>
    <r>
      <rPr>
        <b/>
        <i/>
        <u/>
        <sz val="10"/>
        <color theme="3" tint="-0.499984740745262"/>
        <rFont val="Arial"/>
        <family val="2"/>
      </rPr>
      <t>or</t>
    </r>
    <r>
      <rPr>
        <b/>
        <i/>
        <sz val="10"/>
        <rFont val="Arial"/>
        <family val="2"/>
      </rPr>
      <t xml:space="preserve"> Direct-from-Manufacturer?</t>
    </r>
    <r>
      <rPr>
        <i/>
        <sz val="10"/>
        <rFont val="Arial"/>
        <family val="2"/>
      </rPr>
      <t xml:space="preserve"> </t>
    </r>
    <r>
      <rPr>
        <sz val="10"/>
        <rFont val="Arial"/>
        <family val="2"/>
      </rPr>
      <t>- select from drop-down. This will determine which emission factors are applied. Margins of the supply chain are related to transportation/distribution between the direct manufacturer and any wholesaler, retailer, or distributor from which the products are purchased. 'If uncertain, assume wholesaler / retailer / distributer. For services with zero margins, column E is not necessary (note "Not Applicable" for those entries).</t>
    </r>
  </si>
  <si>
    <r>
      <t>Use slicer below to help identify capital goods procured during the reporting period (</t>
    </r>
    <r>
      <rPr>
        <b/>
        <sz val="13.5"/>
        <color theme="7"/>
        <rFont val="Arial"/>
        <family val="2"/>
        <scheme val="minor"/>
      </rPr>
      <t>see tab "using slicers" for additional guidance</t>
    </r>
    <r>
      <rPr>
        <b/>
        <sz val="13.5"/>
        <color rgb="FF0000FF"/>
        <rFont val="Arial"/>
        <family val="2"/>
        <scheme val="minor"/>
      </rPr>
      <t>)</t>
    </r>
  </si>
  <si>
    <t>Supply Chain 
Emission Factors 
with Margins 
(kg CO2e/2021 USD)</t>
  </si>
  <si>
    <t>Changelog</t>
  </si>
  <si>
    <t>All notable changes to this tool will be documented below.</t>
  </si>
  <si>
    <r>
      <t>1.1.0</t>
    </r>
    <r>
      <rPr>
        <sz val="11"/>
        <color theme="1"/>
        <rFont val="Arial"/>
        <family val="2"/>
      </rPr>
      <t> - 2022-03-09</t>
    </r>
  </si>
  <si>
    <t>Fixed</t>
  </si>
  <si>
    <t>- Added missing table, Table 1, from Category 11 in Summary Table of Scope 3 Emissions.</t>
  </si>
  <si>
    <t>- Replaced the word 'upstream' with the word 'downstream' in the How-to-Guide Category 13 Overview.</t>
  </si>
  <si>
    <r>
      <rPr>
        <b/>
        <sz val="11"/>
        <color theme="1"/>
        <rFont val="Arial"/>
        <family val="2"/>
      </rPr>
      <t>1.2.0</t>
    </r>
    <r>
      <rPr>
        <sz val="11"/>
        <color theme="1"/>
        <rFont val="Arial"/>
        <family val="2"/>
      </rPr>
      <t xml:space="preserve"> - 2022</t>
    </r>
  </si>
  <si>
    <t>- Minor revisions to Cat 1 and 2 (reference to row 91 updated; column A item numbers fixed)</t>
  </si>
  <si>
    <t>- Minor revision to Cat 11 (field formatted to general)</t>
  </si>
  <si>
    <r>
      <rPr>
        <b/>
        <sz val="11"/>
        <color theme="1"/>
        <rFont val="Arial"/>
        <family val="2"/>
        <scheme val="minor"/>
      </rPr>
      <t>1.3.0</t>
    </r>
    <r>
      <rPr>
        <sz val="11"/>
        <color theme="1"/>
        <rFont val="Arial"/>
        <family val="2"/>
        <scheme val="minor"/>
      </rPr>
      <t xml:space="preserve"> - January 2023</t>
    </r>
  </si>
  <si>
    <t>- EF updates applied to EEIO factors for Categories 1, 2, 4, 6, 7, and 15. IEA T&amp;D loss factor used in Category 3 calculation updated. Waste, natural gas, and eGrid CCCL factors confirmed up-to-date.</t>
  </si>
  <si>
    <t>- Added custom sections to Categories 1, 2, 4, 5, 6, and 9.</t>
  </si>
  <si>
    <t>- Incorporated homeworking emissions (electricity only) in Category 7 calculations.</t>
  </si>
  <si>
    <t>- Added usage input sections for Categories 8 &amp; 13.</t>
  </si>
  <si>
    <t>- Added televisit emissions to Category 9, incorporated work-from-home emissions into current Category 7 calculations.</t>
  </si>
  <si>
    <r>
      <rPr>
        <b/>
        <sz val="11"/>
        <color theme="1"/>
        <rFont val="Arial"/>
        <family val="2"/>
        <scheme val="minor"/>
      </rPr>
      <t>1.4.0</t>
    </r>
    <r>
      <rPr>
        <sz val="11"/>
        <color theme="1"/>
        <rFont val="Arial"/>
        <family val="2"/>
        <scheme val="minor"/>
      </rPr>
      <t xml:space="preserve"> - November 2023</t>
    </r>
  </si>
  <si>
    <t>- 'inventory year and inflation' tab updated to calculate inflation from 2021, as USEEIO v1.2 is based on 2021 dollars</t>
  </si>
  <si>
    <r>
      <rPr>
        <b/>
        <sz val="11"/>
        <color theme="1"/>
        <rFont val="Arial"/>
        <family val="2"/>
        <scheme val="minor"/>
      </rPr>
      <t>2.0.0</t>
    </r>
    <r>
      <rPr>
        <sz val="11"/>
        <color theme="1"/>
        <rFont val="Arial"/>
        <family val="2"/>
        <scheme val="minor"/>
      </rPr>
      <t xml:space="preserve"> - March 2024</t>
    </r>
  </si>
  <si>
    <t>-IPCC Sixth Assessment Report (2023) Global Warming Potential (GWP) values for non-CO2 greenhouse gases.</t>
  </si>
  <si>
    <t>- Category 1, 2, 4, and 6 spend-based calculations all based on USEEIO v1.2 released January 2023.</t>
  </si>
  <si>
    <r>
      <t xml:space="preserve">- All Scope 3 categories now include emissions spanning the full life cycle of the fuels consumed in travel, or well-to-wheel (WtW), in accordance with GHG Protocol guidance. This includes well-to-tank (WtT) emissions resulting from fuel extraction, transportation, and refining up to the point of sale, </t>
    </r>
    <r>
      <rPr>
        <i/>
        <sz val="11"/>
        <color rgb="FF343A3C"/>
        <rFont val="Arial"/>
        <family val="2"/>
        <scheme val="minor"/>
      </rPr>
      <t>as well as</t>
    </r>
    <r>
      <rPr>
        <sz val="11"/>
        <color rgb="FF343A3C"/>
        <rFont val="Arial"/>
        <family val="2"/>
        <scheme val="minor"/>
      </rPr>
      <t xml:space="preserve"> tank-to-wheel (TtW) emissions resulting from direct combustion of the fuels to facilitate the given transportation, power, or heating activities.</t>
    </r>
  </si>
  <si>
    <t>- Spend-based factors already include this component, updates now incorporate WTT for non-spend calculations available in Category 6, 7, 8, 9, and 13.</t>
  </si>
  <si>
    <t>- Added distance-based calculations for air and land travel in Category 6, as well as hotel night stays.</t>
  </si>
  <si>
    <t>- Two dedicated custom input tabs now available for Categories 1 and 2, and for Categories 4, 5, 6, 7, and 15 when supply chain emissions data or other data is available.</t>
  </si>
  <si>
    <t>-Category 15 emission factor categories have changed to reflect EEIO commodity codes, based on USEEIO v1.2.3 industry factors, released January 2023.</t>
  </si>
  <si>
    <t>Scope 3 GHG Emissions Accounting Tool</t>
  </si>
  <si>
    <t>Version 2.0.0 March 2024</t>
  </si>
  <si>
    <t>Introduction</t>
  </si>
  <si>
    <r>
      <t xml:space="preserve">This spreadsheet tool is designed to estimate annual emissions for Scope 3 categories relevant to the healthcare industry. The buttons below in the leftmost column will take the user to a calculation spreadsheet for each category, where users can input data and estimate emissions. Emissions estimates are based on either the "spend-based method" or the "average-data method", as detailed in The GHG Protocol's Technical Guidance for Calculating Scope 3 Emissions (https://ghgprotocol.org/scope-3-technical-calculation-guidance). An overview of each category is provided below, with additional details provided in each calculation tab (clicking on the category "button" in column B will navigate to it's respective calculation tab).  
</t>
    </r>
    <r>
      <rPr>
        <b/>
        <i/>
        <sz val="11"/>
        <color theme="1"/>
        <rFont val="Arial"/>
        <family val="2"/>
        <scheme val="minor"/>
      </rPr>
      <t xml:space="preserve">On several calculation tabs, example activity data is provided in the first row for illustrative purposes only, and is not included in totals.
</t>
    </r>
    <r>
      <rPr>
        <sz val="11"/>
        <color theme="1"/>
        <rFont val="Arial"/>
        <family val="2"/>
        <scheme val="minor"/>
      </rPr>
      <t xml:space="preserve">
Note, based on ENGIE Impact's evaluation of Scope 3 operations for several healthcare systems, the following categories are likely to represent only de minimis contribution to overall Scope 3 emissions and are therefore excluded from this tool: Category 10 (processing of sold products), 12 (end-life treatment of sold products), and 14 (franchises).</t>
    </r>
  </si>
  <si>
    <t>Scope 3 Category
(click name to go to sheet)</t>
  </si>
  <si>
    <t>Workbook sheet name</t>
  </si>
  <si>
    <t>Category Description(s)*</t>
  </si>
  <si>
    <t>Scope 3 Estimation Methodology</t>
  </si>
  <si>
    <t>Additional Notes/Details</t>
  </si>
  <si>
    <t>Upstream</t>
  </si>
  <si>
    <t>Category 1: Purchased Goods and Services</t>
  </si>
  <si>
    <t>Cat 1 and 2 (Goods &amp; Services)</t>
  </si>
  <si>
    <t>All upstream (i.e., cradle-to-gate) emissions from the production of products purchased or acquired by the reporting company in the reporting year. Products include both goods (tangible products) and services (intangible products).</t>
  </si>
  <si>
    <t>Spend-based Method</t>
  </si>
  <si>
    <t>Additional options to use supplier-specific method or other external methods now available.</t>
  </si>
  <si>
    <t>Category 2: Capital Goods</t>
  </si>
  <si>
    <t>Cat 2 (Goods &amp; Services)</t>
  </si>
  <si>
    <t>All upstream (i.e., cradle-to-gate) emissions from the production of capital goods purchased or acquired by the reporting company in the reporting year. Emissions from the use of capital goods by the reporting company
are accounted for in eithe scope 1 (e.g., for fuel use) or scope 2 (e.g., for electricity use), rather than in scope 3.</t>
  </si>
  <si>
    <t>Category 3: Fuel- and energy related activities</t>
  </si>
  <si>
    <t>Cat 3 Fuel &amp; Energy</t>
  </si>
  <si>
    <t>Emissions related to the production of fuels and energy purchased and consumed by the reporting company in the reporting year that are not included in scope 1 or scope 2.</t>
  </si>
  <si>
    <t>Average-data Method</t>
  </si>
  <si>
    <t>Category 4: Upstream transportation and distribution</t>
  </si>
  <si>
    <t>Cat 4 Upstream T&amp;D</t>
  </si>
  <si>
    <t>• Transportation and distribution of products purchased by the reporting company  between a company’s tier 1 suppliers and its own operations (in vehicles and facilities not owned or controlled by the reporting company)
• Transportation and distribution services purchased by the reporting company , including inbound logistics, outbound logistics (e.g., of sold products), and transportation and distribution between a company’s own facilities (in vehicles and facilities not owned or controlled by the reporting company)</t>
  </si>
  <si>
    <t>Category 5: Waste Generated in Operations</t>
  </si>
  <si>
    <t>Cat 5 Waste</t>
  </si>
  <si>
    <t>Disposal and treatment of waste generated in the reporting company’s operations  (in facilities not owned or controlled by the reporting company)</t>
  </si>
  <si>
    <t>Category 6: Business Travel</t>
  </si>
  <si>
    <t>Cat 6 Business Travel</t>
  </si>
  <si>
    <t>Transportation of employees for business-related activities  (in vehicles not owned or operated by the reporting company)</t>
  </si>
  <si>
    <t>Category 7: Employee commuting</t>
  </si>
  <si>
    <t>Cat 7 Employee Commuting</t>
  </si>
  <si>
    <t>Transportation of employees between their homes and their worksites  (in vehicles not owned or operated by the reporting company)</t>
  </si>
  <si>
    <t>Category 8: Upstream Leased Assets</t>
  </si>
  <si>
    <t>Cat 8 &amp; Cat 13 Leased Assets</t>
  </si>
  <si>
    <t xml:space="preserve">Operation of assets leased by the reporting company (lessee) </t>
  </si>
  <si>
    <t>Downstream</t>
  </si>
  <si>
    <t>Category 9: Downstream Transportation and Distribution [Patient Visits &amp; Telehealth)</t>
  </si>
  <si>
    <t>Cat 9 Downstream T&amp;D</t>
  </si>
  <si>
    <t>Transportation and distribution of products sold by the reporting company  between the reporting company’s operations and the end consumer (if not paid for by the reporting company), including retail and storage (in vehicles and facilities not owned or controlled by the reporting company)</t>
  </si>
  <si>
    <t>Category 10: Processing of Sold Products</t>
  </si>
  <si>
    <t>Not relevant</t>
  </si>
  <si>
    <t>Processing of intermediate products sold  by downstream companies (e.g., manufacturers)</t>
  </si>
  <si>
    <r>
      <t xml:space="preserve">Based on ENGIE Impact's evaluation of Healthcare System Scope 3 operations, this category is likely to represent a </t>
    </r>
    <r>
      <rPr>
        <i/>
        <sz val="10"/>
        <color rgb="FFFF0000"/>
        <rFont val="Arial"/>
        <family val="2"/>
        <scheme val="minor"/>
      </rPr>
      <t>de minimis</t>
    </r>
    <r>
      <rPr>
        <sz val="10"/>
        <color rgb="FFFF0000"/>
        <rFont val="Arial"/>
        <family val="2"/>
        <scheme val="minor"/>
      </rPr>
      <t xml:space="preserve"> contribution to overall Scope 3 emissions and is therefore excluded from this tool</t>
    </r>
  </si>
  <si>
    <t>Category 11: Use of Sold Products</t>
  </si>
  <si>
    <t>Cat 11 Use of Sold Products</t>
  </si>
  <si>
    <t xml:space="preserve">End use of goods and services sold by the reporting company </t>
  </si>
  <si>
    <t>Healthcare specific (inhalers)</t>
  </si>
  <si>
    <t>Based on ENGIE Impact's evaluation of Healthcare System Scope 3 operations, this category primarily applies to use of inhalers and other products with refrigerant-based propellants</t>
  </si>
  <si>
    <t>Category 12: End-life treatment of sold products</t>
  </si>
  <si>
    <t>Waste disposal and treatment of products sold by the reporting company at the end of their life</t>
  </si>
  <si>
    <t>Category 13: Downstream leased assets</t>
  </si>
  <si>
    <t>Operation of assets owned by the reporting company (lessor) and leased to other entities</t>
  </si>
  <si>
    <t>Category 14: Franchises</t>
  </si>
  <si>
    <t>Operation of franchises , not included in scope 1 and scope 2 – reported by franchisor</t>
  </si>
  <si>
    <t>Category 15: Investments</t>
  </si>
  <si>
    <t>Cat 15 Investments</t>
  </si>
  <si>
    <t>Operation of investments (including equity and debt investments and project finance), not included in scope 1 or scope 2</t>
  </si>
  <si>
    <t>Average-data Method
(using EEIO database)</t>
  </si>
  <si>
    <r>
      <t xml:space="preserve">Spend-based Emissions Quantification: Use of USEPA's </t>
    </r>
    <r>
      <rPr>
        <b/>
        <i/>
        <sz val="14.5"/>
        <color theme="1"/>
        <rFont val="Arial"/>
        <family val="2"/>
        <scheme val="minor"/>
      </rPr>
      <t>Supply Chain Greenhouse Gas Emission Factors for US Industries and Commodities</t>
    </r>
    <r>
      <rPr>
        <b/>
        <sz val="14.5"/>
        <color theme="1"/>
        <rFont val="Arial"/>
        <family val="2"/>
        <scheme val="minor"/>
      </rPr>
      <t xml:space="preserve"> - Inventory Year and Adjusting for Inflation</t>
    </r>
  </si>
  <si>
    <r>
      <t xml:space="preserve">For a number of Scope 3 categories relevant to the healthcare industry, this tool employs the "spend-based method", as detailed in The GHG Protocol's </t>
    </r>
    <r>
      <rPr>
        <i/>
        <sz val="11"/>
        <color theme="1"/>
        <rFont val="Arial"/>
        <family val="2"/>
        <scheme val="minor"/>
      </rPr>
      <t>Technical Guidance for Calculating Scope 3 Emissions</t>
    </r>
    <r>
      <rPr>
        <sz val="11"/>
        <color theme="1"/>
        <rFont val="Arial"/>
        <family val="2"/>
        <scheme val="minor"/>
      </rPr>
      <t>.</t>
    </r>
  </si>
  <si>
    <r>
      <t xml:space="preserve">The spend-based method relies on the USEPA's </t>
    </r>
    <r>
      <rPr>
        <i/>
        <sz val="11"/>
        <color theme="1"/>
        <rFont val="Arial"/>
        <family val="2"/>
        <scheme val="minor"/>
      </rPr>
      <t xml:space="preserve">Supply Chain Greenhouse Gas Emission Factors for US Industries and Commodities </t>
    </r>
    <r>
      <rPr>
        <sz val="11"/>
        <color theme="1"/>
        <rFont val="Arial"/>
        <family val="2"/>
        <scheme val="minor"/>
      </rPr>
      <t xml:space="preserve">database, based on year 2021 purchaser price data. This tab can be used to adjust for inflation as compared to 2021. </t>
    </r>
  </si>
  <si>
    <t>The spend-based factors referenced above were released in 2023 and are most appropriate for quantifying emissions from 2023 activities and thereafter.</t>
  </si>
  <si>
    <t>See the References tab for links to these resources.</t>
  </si>
  <si>
    <t>Global Warming Potential Values:</t>
  </si>
  <si>
    <t>Inventory Year</t>
  </si>
  <si>
    <t>enter inventory year here ---&gt;</t>
  </si>
  <si>
    <t>Inflation Correction (relative to 2021)</t>
  </si>
  <si>
    <t xml:space="preserve">Users can adjust for inflation (compared to 2021) by using the U.S. Bureau of Labor Statistics Consumer Price Index (CPI) Inflation Calculator found at </t>
  </si>
  <si>
    <t>https://www.bls.gov/data/inflation_calculator.htm</t>
  </si>
  <si>
    <t>Converting from 2021 USD:</t>
  </si>
  <si>
    <t xml:space="preserve">Enter "1" in the top cell </t>
  </si>
  <si>
    <t>Year:</t>
  </si>
  <si>
    <t>Select the year in which the bulk of annual procurement has occurred (see example below)</t>
  </si>
  <si>
    <t>Month:</t>
  </si>
  <si>
    <t>Selecting June or July is recommended, as these months should be representative of the average inflation over the course of the calendar year. If your organization uses a non-calendar (e.g., "fiscal year") reporting period to conduct GHG accounting, it is recommended to pick the halfway point of that period.</t>
  </si>
  <si>
    <t>Select the corresponding month in 2021 just above "Calculate"</t>
  </si>
  <si>
    <r>
      <t xml:space="preserve">Enter the resulting value from the bls.gov site ("has the same buying power as") in cell </t>
    </r>
    <r>
      <rPr>
        <b/>
        <sz val="11"/>
        <rFont val="Arial"/>
        <family val="2"/>
        <scheme val="minor"/>
      </rPr>
      <t>J21</t>
    </r>
    <r>
      <rPr>
        <sz val="11"/>
        <rFont val="Arial"/>
        <family val="2"/>
        <scheme val="minor"/>
      </rPr>
      <t xml:space="preserve"> where shown</t>
    </r>
  </si>
  <si>
    <t>https://ghgprotocol.org/sites/default/files/2022-12/Required%20gases%20and%20GWP%20values_0.pdf</t>
  </si>
  <si>
    <t>enter value from CPI Inflation Calculator here ---&gt;</t>
  </si>
  <si>
    <t>note, this is only an example image of the CPI Inflation Calculator, users must visit website linked above</t>
  </si>
  <si>
    <t>Scope 3 Emissions - Summary of Results</t>
  </si>
  <si>
    <t>Scope</t>
  </si>
  <si>
    <t>Emissions
(MT CO2e)</t>
  </si>
  <si>
    <t>Scope 3</t>
  </si>
  <si>
    <t>Note, totals will populate once worksheets are populated with data and emissions are auto-calculated</t>
  </si>
  <si>
    <t>Scope 3 Category</t>
  </si>
  <si>
    <t>Category Name</t>
  </si>
  <si>
    <t>GHG Emissions (MTCO2e)</t>
  </si>
  <si>
    <t>Purchased goods &amp; services</t>
  </si>
  <si>
    <t>Capital goods</t>
  </si>
  <si>
    <t>Fuel- &amp; energy-related emissions</t>
  </si>
  <si>
    <t>Upstream transportation &amp; distribution</t>
  </si>
  <si>
    <t>Waste generated in operations</t>
  </si>
  <si>
    <t>Business travel</t>
  </si>
  <si>
    <t>Employee commuting</t>
  </si>
  <si>
    <t>Upstream leased assets</t>
  </si>
  <si>
    <t>Downstream transportation &amp; distribution
[Patient Visits &amp; Telehealth]</t>
  </si>
  <si>
    <t>Processing of sold products</t>
  </si>
  <si>
    <t>not relevant</t>
  </si>
  <si>
    <t>Use of sold products</t>
  </si>
  <si>
    <t>End-of-life treatment of sold products</t>
  </si>
  <si>
    <t>Downstream leased assets</t>
  </si>
  <si>
    <t>Franchises</t>
  </si>
  <si>
    <t>Investments</t>
  </si>
  <si>
    <t>Custom User Input of Category 1 and 2 Data</t>
  </si>
  <si>
    <t>Enter custom data in GRAY cells in the below table as follows:</t>
  </si>
  <si>
    <r>
      <rPr>
        <b/>
        <i/>
        <sz val="10"/>
        <rFont val="Arial"/>
        <family val="2"/>
      </rPr>
      <t>Category</t>
    </r>
    <r>
      <rPr>
        <sz val="10"/>
        <rFont val="Arial"/>
        <family val="2"/>
      </rPr>
      <t xml:space="preserve"> - enter either "Capital Goods" or "Purchased Goods &amp; Services" (this will affect the summation at the bottom of the table; and the 'Summary' tab in this workbook)</t>
    </r>
  </si>
  <si>
    <t>Category 1 - Purchased Goods &amp; Services</t>
  </si>
  <si>
    <t>Category 2 - Capital Goods</t>
  </si>
  <si>
    <t>Table 1a. Supplier-specific method</t>
  </si>
  <si>
    <t>Table 2a. Supplier-specific method</t>
  </si>
  <si>
    <t>Note: The activity data provided in the first row below is illustrative only and is not included in totals.</t>
  </si>
  <si>
    <t>Item #</t>
  </si>
  <si>
    <t>Supplier Name</t>
  </si>
  <si>
    <t>Annual procurement spend ($)</t>
  </si>
  <si>
    <t>Emission Factor (kg CO2e/$)</t>
  </si>
  <si>
    <t>Example</t>
  </si>
  <si>
    <t>Example - Microsoft</t>
  </si>
  <si>
    <t>Enter custom emissions factor from supplier (in current year $)</t>
  </si>
  <si>
    <t>Total Emissions Purchased Goods &amp; Services</t>
  </si>
  <si>
    <t>Total Emissions: Capital Goods</t>
  </si>
  <si>
    <t>Table 1b. Emissions Estimates from Vendors/Suppliers</t>
  </si>
  <si>
    <t>Table 2b. Emissions Estimates from Vendors/Suppliers</t>
  </si>
  <si>
    <t>(use this table to track emissions estimated from supply chain vendors/suppliers)</t>
  </si>
  <si>
    <t>Total Emissions Capital Goods</t>
  </si>
  <si>
    <t>Custom Emissions Inputs - Categories 4, 5, 6, 7, and 15</t>
  </si>
  <si>
    <t>Use this tab to track emissions totals obtained from supply chain partners or other resources. Category 7 emissions can be calculated here based on specific transit mode and distance information from staff. If only spend data (or distance data for Category 6) is available, see the following light blue tabs for: "Cat 4 Upstream Trans &amp; Dist", "Cat 5 Waste", "Cat 6 Business Trav. (spend)", "Cat 6 Business Trav. (distance)", "Cat 7 Employee Commuting", and "Cat 15 Investments".</t>
  </si>
  <si>
    <t>Based on column headings and available information, enter custom data in GRAY cells in the below tables.</t>
  </si>
  <si>
    <t>Category 4 - Upstream Transportation &amp; Distribution: Custom emissions</t>
  </si>
  <si>
    <t>Several additional fields are included - please fill in according to the level of information available.</t>
  </si>
  <si>
    <t>Transportation Mode or Method</t>
  </si>
  <si>
    <t>Activity data metric (spend, distance, etc.)</t>
  </si>
  <si>
    <t>Activity data amount</t>
  </si>
  <si>
    <t>Activity data unit of measure</t>
  </si>
  <si>
    <t>Emission Factor (kg CO2e/unit of activity data)</t>
  </si>
  <si>
    <t>Source notes</t>
  </si>
  <si>
    <t>Truck transport</t>
  </si>
  <si>
    <t>Distance</t>
  </si>
  <si>
    <t>mi</t>
  </si>
  <si>
    <t>Defra Class III Van - Delivery Vehicles, 2022</t>
  </si>
  <si>
    <t>Example 2</t>
  </si>
  <si>
    <t>N/A</t>
  </si>
  <si>
    <t>FedEx transport emissions report</t>
  </si>
  <si>
    <t>TOTAL</t>
  </si>
  <si>
    <t>Category 5 - Waste Generated in Operations: Custom emissions</t>
  </si>
  <si>
    <t>Note: It is optional to add details to the fields below beyond the emission totals in column H. However, for transparency, it is recommended to include as many details as possible to demonstrate how the calculations were performed.</t>
  </si>
  <si>
    <t>Waste material</t>
  </si>
  <si>
    <t>Waste disposal/
treatment method</t>
  </si>
  <si>
    <t>Weight</t>
  </si>
  <si>
    <t>Weight Unit</t>
  </si>
  <si>
    <t>Emission Factor (MTCO2e/unit of weight)</t>
  </si>
  <si>
    <t>Tonnes</t>
  </si>
  <si>
    <t>Defra waste disposal factors, 2022</t>
  </si>
  <si>
    <t>Category 6 - Business Travel: Custom emissions</t>
  </si>
  <si>
    <t>Transportation Mode / Accomodations</t>
  </si>
  <si>
    <t>other example sources:</t>
  </si>
  <si>
    <t>Concur report</t>
  </si>
  <si>
    <t>Climate Impact check-up tool (with Practice Green Health)</t>
  </si>
  <si>
    <t>EPA's simplified emission calculation tool</t>
  </si>
  <si>
    <r>
      <t xml:space="preserve">Category 7 - Employee Commuting: Custom emissions - if travel mode is known </t>
    </r>
    <r>
      <rPr>
        <b/>
        <i/>
        <sz val="11"/>
        <color rgb="FF0070C0"/>
        <rFont val="Arial"/>
        <family val="2"/>
        <scheme val="minor"/>
      </rPr>
      <t>(see cells J54:L64 for Cars by Market Segment summary)</t>
    </r>
  </si>
  <si>
    <t>If car, fuel type</t>
  </si>
  <si>
    <t>Distance Traveled (mi)</t>
  </si>
  <si>
    <t>Emission Factor
(kg CO2e/mi or 
passenger mile)</t>
  </si>
  <si>
    <t>Car market segment definitions</t>
  </si>
  <si>
    <t>Segment</t>
  </si>
  <si>
    <t>Emission factor intensity rank (highest = 1)</t>
  </si>
  <si>
    <t>Definition</t>
  </si>
  <si>
    <t>This is a luxury car.</t>
  </si>
  <si>
    <t xml:space="preserve">Sport cars are a small, usually two seater with two doors and designed for speed, high acceleration, and manoeuvrability. </t>
  </si>
  <si>
    <t>These are sport utility vehicles (SUVs) which have off-road capabilities and four-wheel drive.</t>
  </si>
  <si>
    <r>
      <t xml:space="preserve">These are multipurpose cars. </t>
    </r>
    <r>
      <rPr>
        <b/>
        <sz val="11"/>
        <color theme="1"/>
        <rFont val="Arial"/>
        <family val="2"/>
        <scheme val="minor"/>
      </rPr>
      <t>Recommend using this if vehicle type is unknown.</t>
    </r>
  </si>
  <si>
    <t xml:space="preserve">These are large cars. </t>
  </si>
  <si>
    <t xml:space="preserve">This is classed as a large family car. </t>
  </si>
  <si>
    <t>This is a small, compact family car.</t>
  </si>
  <si>
    <t xml:space="preserve">This is a car that is larger than a city car, but smaller than a small family car. </t>
  </si>
  <si>
    <t>This is the smallest category of car sometimes referred to as a city car.</t>
  </si>
  <si>
    <t>Category 15 - Investments: Custom emissions</t>
  </si>
  <si>
    <t>Use this section if you have received emission reports or performed calculations outside of this tool.</t>
  </si>
  <si>
    <t>Item Description</t>
  </si>
  <si>
    <t>Example - asset manager report</t>
  </si>
  <si>
    <t>Report generated by our investment partner for a $5 million investment portfolio</t>
  </si>
  <si>
    <t>If you are unfamiliar with using slicers in Excel, the following instructions may be helpful:</t>
  </si>
  <si>
    <t>Using the filter:</t>
  </si>
  <si>
    <r>
      <t xml:space="preserve">On the top of the slicer, you can see the </t>
    </r>
    <r>
      <rPr>
        <b/>
        <i/>
        <sz val="12"/>
        <color theme="1"/>
        <rFont val="Calibri"/>
        <family val="2"/>
      </rPr>
      <t xml:space="preserve">Filter </t>
    </r>
    <r>
      <rPr>
        <sz val="12"/>
        <color theme="1"/>
        <rFont val="Calibri"/>
        <family val="2"/>
      </rPr>
      <t>icon. When you click on any data in the slicer, you get the sliced column filtered according to the value(s) you clicked. By default all categories are selected to begin.</t>
    </r>
  </si>
  <si>
    <t>Clearing Filter:</t>
  </si>
  <si>
    <r>
      <t>After identifying the most appropriate category associated with annual procurement data, clear the slicer before evaluating other data by clicking the </t>
    </r>
    <r>
      <rPr>
        <b/>
        <i/>
        <sz val="12"/>
        <color rgb="FF333333"/>
        <rFont val="Calibri"/>
        <family val="2"/>
      </rPr>
      <t>Clear Filter</t>
    </r>
    <r>
      <rPr>
        <sz val="12"/>
        <color rgb="FF333333"/>
        <rFont val="Calibri"/>
        <family val="2"/>
      </rPr>
      <t xml:space="preserve"> icon as illustrated here.</t>
    </r>
  </si>
  <si>
    <t>Multi-select</t>
  </si>
  <si>
    <t>You can use the slicer multi-select button to filter multiple categories at the same time. This is the button with three check marks at the top of the dashboard.</t>
  </si>
  <si>
    <t>To start, simply select a single category. Then, there are generally two ways to select additional categories, as follows:</t>
  </si>
  <si>
    <t>1) Click the slicer buttons while holding the Ctrl key.</t>
  </si>
  <si>
    <r>
      <t>2) Click the </t>
    </r>
    <r>
      <rPr>
        <sz val="12"/>
        <color rgb="FF000000"/>
        <rFont val="Calibri"/>
        <family val="2"/>
      </rPr>
      <t>Multi-Select</t>
    </r>
    <r>
      <rPr>
        <sz val="12"/>
        <color rgb="FF000000"/>
        <rFont val="Calibri"/>
        <family val="2"/>
      </rPr>
      <t> button (as shown below), and then click on the items one by one.</t>
    </r>
  </si>
  <si>
    <t>Be sure to clear the filter (and untoggle the multi-select button) before moving on to evaluate other procurement data.</t>
  </si>
  <si>
    <t>filter / clear filter button</t>
  </si>
  <si>
    <t>multi-select button (toggle on or off)</t>
  </si>
  <si>
    <t>Other guidance/suggestions for map procurment of goods and services as tracked in an organization's general ledger to the USEEIO categories:</t>
  </si>
  <si>
    <t>Key word search:</t>
  </si>
  <si>
    <t xml:space="preserve">You can use CNTRL+F to open a “Find” search box, and then enter a keyword of interest. </t>
  </si>
  <si>
    <r>
      <t xml:space="preserve">Clicking “Find All” and expanding that window will provide results in the </t>
    </r>
    <r>
      <rPr>
        <i/>
        <sz val="12"/>
        <color theme="1"/>
        <rFont val="Calibri"/>
        <family val="2"/>
      </rPr>
      <t>Value</t>
    </r>
    <r>
      <rPr>
        <sz val="12"/>
        <color theme="1"/>
        <rFont val="Calibri"/>
        <family val="2"/>
      </rPr>
      <t xml:space="preserve"> field. For example, using the keyword “diagnostic”, as illustrated below.</t>
    </r>
  </si>
  <si>
    <r>
      <t>Include</t>
    </r>
    <r>
      <rPr>
        <sz val="11"/>
        <color theme="1"/>
        <rFont val="Calibri"/>
        <family val="2"/>
      </rPr>
      <t xml:space="preserve"> only spend on goods or services procured with external entities. Inclusion of vendor information in the general ledger report may help ensure only procurement with external entities is considered.</t>
    </r>
  </si>
  <si>
    <r>
      <t>Exclude</t>
    </r>
    <r>
      <rPr>
        <sz val="11"/>
        <color theme="1"/>
        <rFont val="Calibri"/>
        <family val="2"/>
      </rPr>
      <t xml:space="preserve"> any asset valuation, depreciation, taxes, licensing fees, employee benefits, insurance payments, litigation settlements, etc. (i.e., not related to procurement of a good or a service). </t>
    </r>
  </si>
  <si>
    <r>
      <t xml:space="preserve">However, legal services, insurance broker fees, tax preparation services (and similar) do have emissions categories in the USEEIO database and should be </t>
    </r>
    <r>
      <rPr>
        <u/>
        <sz val="12"/>
        <color theme="1"/>
        <rFont val="Calibri"/>
        <family val="2"/>
      </rPr>
      <t>included</t>
    </r>
    <r>
      <rPr>
        <sz val="12"/>
        <color theme="1"/>
        <rFont val="Calibri"/>
        <family val="2"/>
      </rPr>
      <t xml:space="preserve"> (as these are procured services).</t>
    </r>
  </si>
  <si>
    <r>
      <t xml:space="preserve">Organizations may consider </t>
    </r>
    <r>
      <rPr>
        <u/>
        <sz val="11"/>
        <color theme="1"/>
        <rFont val="Calibri"/>
        <family val="2"/>
      </rPr>
      <t>excluding</t>
    </r>
    <r>
      <rPr>
        <sz val="11"/>
        <color theme="1"/>
        <rFont val="Calibri"/>
        <family val="2"/>
      </rPr>
      <t xml:space="preserve"> rent payments for leased facilities, since the cost of commercial real estate can often be a function of many regional factors related to supply/demand, and therefore the cost to rent commercial space may far exceed the basis of the EEIO emission factors, which should represent embodied carbon from the initial construction of that commercial space as well as the operations of the leasing management company. </t>
    </r>
  </si>
  <si>
    <t>Category 3: Fuel- and Energy-Related Activities</t>
  </si>
  <si>
    <t>Enter annual energy consumption data  (fuels and electricity) in GRAY cells in the below table as follows:</t>
  </si>
  <si>
    <r>
      <rPr>
        <b/>
        <sz val="10"/>
        <rFont val="Arial"/>
        <family val="2"/>
      </rPr>
      <t>Item Description (optional)</t>
    </r>
    <r>
      <rPr>
        <sz val="10"/>
        <rFont val="Arial"/>
        <family val="2"/>
      </rPr>
      <t xml:space="preserve"> is available for a user-specific identifier</t>
    </r>
  </si>
  <si>
    <r>
      <rPr>
        <b/>
        <sz val="10"/>
        <rFont val="Arial"/>
        <family val="2"/>
      </rPr>
      <t xml:space="preserve">Table 1 - </t>
    </r>
    <r>
      <rPr>
        <sz val="10"/>
        <rFont val="Arial"/>
        <family val="2"/>
      </rPr>
      <t xml:space="preserve">Enter the </t>
    </r>
    <r>
      <rPr>
        <b/>
        <i/>
        <sz val="10"/>
        <rFont val="Arial"/>
        <family val="2"/>
      </rPr>
      <t>Fuel Type</t>
    </r>
    <r>
      <rPr>
        <sz val="10"/>
        <rFont val="Arial"/>
        <family val="2"/>
      </rPr>
      <t xml:space="preserve"> and </t>
    </r>
    <r>
      <rPr>
        <b/>
        <i/>
        <sz val="10"/>
        <rFont val="Arial"/>
        <family val="2"/>
      </rPr>
      <t>Consumption</t>
    </r>
    <r>
      <rPr>
        <sz val="10"/>
        <rFont val="Arial"/>
        <family val="2"/>
      </rPr>
      <t xml:space="preserve"> totals and ensure the units are consistent with </t>
    </r>
    <r>
      <rPr>
        <b/>
        <i/>
        <sz val="10"/>
        <rFont val="Arial"/>
        <family val="2"/>
      </rPr>
      <t>Unit of Measure</t>
    </r>
    <r>
      <rPr>
        <sz val="10"/>
        <rFont val="Arial"/>
        <family val="2"/>
      </rPr>
      <t xml:space="preserve"> (UoM; column E)</t>
    </r>
  </si>
  <si>
    <r>
      <rPr>
        <b/>
        <sz val="10"/>
        <rFont val="Arial"/>
        <family val="2"/>
      </rPr>
      <t xml:space="preserve">Tables 2 and 3 - </t>
    </r>
    <r>
      <rPr>
        <sz val="10"/>
        <rFont val="Arial"/>
        <family val="2"/>
      </rPr>
      <t xml:space="preserve">Enter the Country and electricity </t>
    </r>
    <r>
      <rPr>
        <b/>
        <i/>
        <sz val="10"/>
        <rFont val="Arial"/>
        <family val="2"/>
      </rPr>
      <t>Consumption (kWh)</t>
    </r>
    <r>
      <rPr>
        <sz val="10"/>
        <rFont val="Arial"/>
        <family val="2"/>
      </rPr>
      <t xml:space="preserve"> totals and ensure the units are accurate</t>
    </r>
  </si>
  <si>
    <t>Table 1. Upstream emissions from purchased fuels</t>
  </si>
  <si>
    <t>Consumption</t>
  </si>
  <si>
    <t>Unit of Measure (UoM)</t>
  </si>
  <si>
    <t>Emission Factor UoM</t>
  </si>
  <si>
    <t>Table 2. Upstream emissions from purchased electricity</t>
  </si>
  <si>
    <t>Consumption (kWh)</t>
  </si>
  <si>
    <t>Total electricity generated (kWh)</t>
  </si>
  <si>
    <t>Upstream Emission Factor (kg CO2e/kWh)</t>
  </si>
  <si>
    <t>Table 3. Transmission and distribution losses</t>
  </si>
  <si>
    <t>Generation Emission Factor (kg CO2e/kWh)</t>
  </si>
  <si>
    <t>Category 4: Upstream Transportation &amp; Distribution</t>
  </si>
  <si>
    <t>Enter annual data in GRAY cells in the below table as follows:</t>
  </si>
  <si>
    <r>
      <rPr>
        <b/>
        <sz val="11"/>
        <color theme="1"/>
        <rFont val="Arial"/>
        <family val="2"/>
        <scheme val="minor"/>
      </rPr>
      <t>Air transportation:</t>
    </r>
    <r>
      <rPr>
        <sz val="11"/>
        <color theme="1"/>
        <rFont val="Arial"/>
        <family val="2"/>
        <scheme val="minor"/>
      </rPr>
      <t xml:space="preserve"> Industries in the Air Transportation subsector provide air transportation of passengers and/or cargo using aircraft, such as airplanes and helicopters. The subsector distinguishes scheduled from nonscheduled air transportation. Scheduled air carriers fly regular routes on regular schedules and operate even if flights are only partially loaded. Nonscheduled carriers often operate during nonpeak time slots at busy airports. These establishments have more flexibility with respect to choice of airport, hours of operation, load factors, and similar operational characteristics. Nonscheduled carriers provide chartered air transportation of passengers, cargo, or specialty flying services. Specialty flying services establishments use generalpurpose aircraft to provide a variety of specialized flying services. Scenic and sightseeing air transportation and air courier services are not included in this subsector but are included in Subsector 487, Scenic and Sightseeing Transportation and in Subsector 492, Couriers and Messengers. Although these activities may use aircraft, they are different from the activities included in air transportation. Air sightseeing does not usually involve place-to-place transportation; the passenger's flight (e.g., balloon ride, aerial sightseeing) typically starts and ends at the same location. Courier services (individual package or cargo delivery) include more than air transportation; road transportation is usually required to deliver the cargo to the intended recipient.</t>
    </r>
  </si>
  <si>
    <t>Rail transport</t>
  </si>
  <si>
    <r>
      <rPr>
        <b/>
        <sz val="11"/>
        <color theme="1"/>
        <rFont val="Arial"/>
        <family val="2"/>
        <scheme val="minor"/>
      </rPr>
      <t xml:space="preserve">Rail transportation: </t>
    </r>
    <r>
      <rPr>
        <sz val="11"/>
        <color theme="1"/>
        <rFont val="Arial"/>
        <family val="2"/>
        <scheme val="minor"/>
      </rPr>
      <t>Industries in the Rail Transportation subsector provide rail transportation of passengers and/or cargo using railroad rolling stock. The railroads in this subsector primarily either operate on networks, with physical facilities, labor force, and equipment spread over an extensive geographic area, or operate over a short distance on a local rail line. Scenic and sightseeing rail transportation and street railroads, commuter rail, and rapid transit are not included in this subsector but are included in Subsector 487, Scenic and Sightseeing Transportation, and Subsector 485, Transit and Ground Passenger Transportation, respectively. Although these activities use railroad rolling stock, they are different from the activities included in rail transportation. Sightseeing and scenic railroads do not usually involve place-to-place transportation; the passenger's trip typically starts and ends at the same location. Commuter railroads operate in a manner more consistent with local and urban transit and are often part of integrated transit systems.</t>
    </r>
  </si>
  <si>
    <t>Water transport (boats, ships, ferries)</t>
  </si>
  <si>
    <r>
      <rPr>
        <b/>
        <sz val="11"/>
        <color theme="1"/>
        <rFont val="Arial"/>
        <family val="2"/>
        <scheme val="minor"/>
      </rPr>
      <t>Water transportation:</t>
    </r>
    <r>
      <rPr>
        <sz val="11"/>
        <color theme="1"/>
        <rFont val="Arial"/>
        <family val="2"/>
        <scheme val="minor"/>
      </rPr>
      <t xml:space="preserve"> Industries in the Water Transportation subsector provide water transportation of passengers and cargo using watercraft, such as ships, barges, and boats. The subsector is composed of two industry groups (1) one for deep sea, coastal, and Great Lakes; and (2) one for inland water transportation. This split typically reflects the difference in equipment used. Scenic and sightseeing water transportation services are not included in this subsector but are included in Subsector 487, Scenic and Sightseeing Transportation. Although these activities use watercraft, they are different from the activities included in water transportation. Water sightseeing does not usually involve place-to-place transportation; the passenger's trip starts and ends at the same location.</t>
    </r>
  </si>
  <si>
    <r>
      <rPr>
        <b/>
        <sz val="11"/>
        <color theme="1"/>
        <rFont val="Arial"/>
        <family val="2"/>
        <scheme val="minor"/>
      </rPr>
      <t>Truck transportation:</t>
    </r>
    <r>
      <rPr>
        <sz val="11"/>
        <color theme="1"/>
        <rFont val="Arial"/>
        <family val="2"/>
        <scheme val="minor"/>
      </rPr>
      <t xml:space="preserve"> Industries in the Truck Transportation subsector provide over-the-road transportation of cargo using motor vehicles, such as trucks and tractor trailers. The subsector is subdivided into general freight trucking and specialized freight trucking. This distinction reflects differences in equipment used, type of load carried, scheduling, terminal, and other networking services. General freight transportation establishments handle a wide variety of general commodities, generally palletized, and transported in a container or van trailer. Specialized freight transportation is the transportation of cargo that, because of size, weight, shape, or other inherent characteristics require specialized equipment for transportation. Each of these industry groups is further subdivided based on distance traveled. Local trucking establishments primarily carry goods within a single metropolitan area and its adjacent nonurban areas. Long distance trucking establishments carry goods between metropolitan areas. The Specialized Freight Trucking industry group includes a separate industry for Used Household and Office Goods Moving. The household and office goods movers are separated because of the substantial network of establishments that has developed to deal with local and long-distance moving and the associated storage. In this area, the same establishment provides both local and long-distance services, while other specialized freight establishments generally limit their services to either local or long-distance hauling.</t>
    </r>
  </si>
  <si>
    <t>Postal service</t>
  </si>
  <si>
    <r>
      <rPr>
        <b/>
        <sz val="11"/>
        <color theme="1"/>
        <rFont val="Arial"/>
        <family val="2"/>
        <scheme val="minor"/>
      </rPr>
      <t>Postal service:</t>
    </r>
    <r>
      <rPr>
        <sz val="11"/>
        <color theme="1"/>
        <rFont val="Arial"/>
        <family val="2"/>
        <scheme val="minor"/>
      </rPr>
      <t xml:space="preserve"> The Postal Service subsector includes the activities of the National Post Office and its subcontractors operating under a universal service obligation to provide mail services, and using the infrastructure required to fulfill that obligation. These services include delivering letters and small parcels. These articles can be described as those that can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distinguishes these establishments from those in the transportation industries. These establishments may also provide express delivery services using the infrastructure established for provision of basic mail services. The traditional activity of the National Postal Service is described in this subsector. Subcontractors include rural post offices on contract to the Postal Service. Bulk transportation of mail on contract to the Postal Service is not included here, because it is usually done by transportation establishments that carry other customers' cargo as well. Establishments that provide courier and express delivery services without operating under a universal service obligation are classified in subsector 492, Couriers and Messengers.</t>
    </r>
  </si>
  <si>
    <t>Couriers and messengers</t>
  </si>
  <si>
    <r>
      <rPr>
        <b/>
        <sz val="11"/>
        <color theme="1"/>
        <rFont val="Arial"/>
        <family val="2"/>
        <scheme val="minor"/>
      </rPr>
      <t>Couriers and messengers:</t>
    </r>
    <r>
      <rPr>
        <sz val="11"/>
        <color theme="1"/>
        <rFont val="Arial"/>
        <family val="2"/>
        <scheme val="minor"/>
      </rPr>
      <t xml:space="preserve"> Industries in the Couriers and Messengers subsector provide intercity and/or local delivery of parcels and documents (including express delivery services) without operating under a universal service obligation. These articles can be described as those that may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partly distinguishes these establishments from those in the transportation industries. The complete network of courier services establishments also distinguishes these transportation services from local messenger and delivery establishments in this subsector. This includes the establishments that perform intercity transportation as well as establishments that, under contract to them, perform local pick-up and delivery. Messengers, which usually deliver within a metropolitan or single urban area, may use bicycle, foot, small truck, or van.</t>
    </r>
  </si>
  <si>
    <t>Warehousing</t>
  </si>
  <si>
    <r>
      <rPr>
        <b/>
        <sz val="11"/>
        <color theme="1"/>
        <rFont val="Arial"/>
        <family val="2"/>
        <scheme val="minor"/>
      </rPr>
      <t>Warehousing and storage:</t>
    </r>
    <r>
      <rPr>
        <sz val="11"/>
        <color theme="1"/>
        <rFont val="Arial"/>
        <family val="2"/>
        <scheme val="minor"/>
      </rPr>
      <t xml:space="preserve"> Industries in the Warehousing and Storage subsector are primarily engaged in operating warehousing and storage facilities for general merchandise, refrigerated goods, and other warehouse products. These establishments provide facilities to store goods. They do not sell the goods they handle. These establishments take responsibility for storing the goods and keeping them secure. They may also provide a range of services, often referred to as logistics services, related to the distribution of goods. Logistics services can include labeling, breaking bulk, inventory control and management, light assembly, order entry and fulfillment, packaging, pick and pack, price marking and ticketing, and transportation arrangement. However, establishments in this industry group always provide warehousing or storage services in addition to any logistic services. Furthermore, the warehousing or storage of goods must be more than incidental to the performance of services, such as price marking. Bonded warehousing and storage services and warehouses located in free trade zones are included in the industries of this subsector.</t>
    </r>
  </si>
  <si>
    <r>
      <rPr>
        <b/>
        <sz val="10"/>
        <rFont val="Arial"/>
        <family val="2"/>
      </rPr>
      <t xml:space="preserve">Tables 1 and 2 - </t>
    </r>
    <r>
      <rPr>
        <sz val="10"/>
        <rFont val="Arial"/>
        <family val="2"/>
      </rPr>
      <t xml:space="preserve">These tables are for tracking solid waste and wastewater, respectively. </t>
    </r>
  </si>
  <si>
    <t>Table 1:</t>
  </si>
  <si>
    <r>
      <rPr>
        <b/>
        <i/>
        <sz val="10"/>
        <rFont val="Arial"/>
        <family val="2"/>
      </rPr>
      <t>Waste material</t>
    </r>
    <r>
      <rPr>
        <sz val="10"/>
        <rFont val="Arial"/>
        <family val="2"/>
      </rPr>
      <t xml:space="preserve"> - select from one of several mixed material types (e.g., "mixed MSW")</t>
    </r>
  </si>
  <si>
    <r>
      <t>Waste disposal/treatment method</t>
    </r>
    <r>
      <rPr>
        <b/>
        <sz val="10"/>
        <rFont val="Arial"/>
        <family val="2"/>
      </rPr>
      <t xml:space="preserve"> </t>
    </r>
    <r>
      <rPr>
        <sz val="10"/>
        <rFont val="Arial"/>
        <family val="2"/>
      </rPr>
      <t>- select from one of several disposal/treatment methods specific to the waste material specified in column C.</t>
    </r>
  </si>
  <si>
    <r>
      <rPr>
        <b/>
        <i/>
        <sz val="10"/>
        <rFont val="Arial"/>
        <family val="2"/>
      </rPr>
      <t xml:space="preserve">Weight (short tons) </t>
    </r>
    <r>
      <rPr>
        <sz val="10"/>
        <rFont val="Arial"/>
        <family val="2"/>
      </rPr>
      <t>- enter the mass of material disposed/treated in short tons</t>
    </r>
  </si>
  <si>
    <r>
      <t>Table 2</t>
    </r>
    <r>
      <rPr>
        <b/>
        <sz val="10"/>
        <rFont val="Arial"/>
        <family val="2"/>
      </rPr>
      <t>: enter total water usage in gallons</t>
    </r>
  </si>
  <si>
    <t>Specific considerations for the healthcare industry:</t>
  </si>
  <si>
    <t>» This worksheet can estimate emissions associated with the treatment/disposal of only the following mixed material types:  glass, paper, metals, plastics, mixed recyclables, organics, municipal solid waste (MSW), and electronics</t>
  </si>
  <si>
    <t>» Emissions associated with off-site treatment/disposal of regulated medical/infectious waste and hazardous waste (e.g., biohazard, needles/sharps, pathological and large tissue waste, dual infectious plus hazardous waste, cytotoxic drugs and chemotherapy waste, etc.), should be estimated by reporting related spending under the "Waste management and remediation services" option in the Category 1 and 2 (Goods &amp; Services) worksheet.</t>
  </si>
  <si>
    <t>Table 1. Solid Waste</t>
  </si>
  <si>
    <t>Waste-type-specific method/Average data method</t>
  </si>
  <si>
    <t>Weight (short ton)</t>
  </si>
  <si>
    <t>Emission Factor (MTCO2e/short ton)</t>
  </si>
  <si>
    <t>Waste generated from facility A</t>
  </si>
  <si>
    <t>Table 2. Wastewater</t>
  </si>
  <si>
    <t>Water Usage Volume (gallons)</t>
  </si>
  <si>
    <t>Wastewater generated from facility A</t>
  </si>
  <si>
    <t>Category 6: Business Travel  - spend-based</t>
  </si>
  <si>
    <r>
      <rPr>
        <b/>
        <sz val="10"/>
        <rFont val="Arial"/>
        <family val="2"/>
      </rPr>
      <t>Item Description (optional)</t>
    </r>
    <r>
      <rPr>
        <b/>
        <i/>
        <sz val="10"/>
        <rFont val="Arial"/>
        <family val="2"/>
      </rPr>
      <t xml:space="preserve"> </t>
    </r>
    <r>
      <rPr>
        <sz val="10"/>
        <rFont val="Arial"/>
        <family val="2"/>
      </rPr>
      <t>- this column is available for any user-specific identifier</t>
    </r>
  </si>
  <si>
    <r>
      <rPr>
        <b/>
        <sz val="10"/>
        <rFont val="Arial"/>
        <family val="2"/>
      </rPr>
      <t xml:space="preserve">Annual procurement spend ($) </t>
    </r>
    <r>
      <rPr>
        <sz val="10"/>
        <rFont val="Arial"/>
        <family val="2"/>
      </rPr>
      <t>- enter the total amount spent on the type of transportation in the reporting year</t>
    </r>
  </si>
  <si>
    <t>Spend-based method</t>
  </si>
  <si>
    <t>Air transportation'. Industries in the Air Transportation subsector provide air transportation of passengers and/or cargo using aircraft, such as airplanes and helicopters. The subsector distinguishes scheduled from nonscheduled air transportation. Scheduled air carriers fly regular routes on regular schedules and operate even if flights are only partially loaded. Nonscheduled carriers often operate during nonpeak time slots at busy airports. These establishments have more flexibility with respect to choice of airport, hours of operation, load factors, and similar operational characteristics. Nonscheduled carriers provide chartered air transportation of passengers, cargo, or specialty flying services. Specialty flying services establishments use generalpurpose aircraft to provide a variety of specialized flying services. Scenic and sightseeing air transportation and air courier services are not included in this subsector but are included in Subsector 487, Scenic and Sightseeing Transportation and in Subsector 492, Couriers and Messengers. Although these activities may use aircraft, they are different from the activities included in air transportation. Air sightseeing does not usually involve place-to-place transportation; the passenger's flight (e.g., balloon ride, aerial sightseeing) typically starts and ends at the same location. Courier services (individual package or cargo delivery) include more than air transportation; road transportation is usually required to deliver the cargo to the intended recipient.</t>
  </si>
  <si>
    <t>Rail transportation'. Industries in the Rail Transportation subsector provide rail transportation of passengers and/or cargo using railroad rolling stock. The railroads in this subsector primarily either operate on networks, with physical facilities, labor force, and equipment spread over an extensive geographic area, or operate over a short distance on a local rail line. Scenic and sightseeing rail transportation and street railroads, commuter rail, and rapid transit are not included in this subsector but are included in Subsector 487, Scenic and Sightseeing Transportation, and Subsector 485, Transit and Ground Passenger Transportation, respectively. Although these activities use railroad rolling stock, they are different from the activities included in rail transportation. Sightseeing and scenic railroads do not usually involve place-to-place transportation; the passenger's trip typically starts and ends at the same location. Commuter railroads operate in a manner more consistent with local and urban transit and are often part of integrated transit systems.</t>
  </si>
  <si>
    <t>Water transportation'. Industries in the Water Transportation subsector provide water transportation of passengers and cargo using watercraft, such as ships, barges, and boats. The subsector is composed of two industry groups (1) one for deep sea, coastal, and Great Lakes; and (2) one for inland water transportation. This split typically reflects the difference in equipment used. Scenic and sightseeing water transportation services are not included in this subsector but are included in Subsector 487, Scenic and Sightseeing Transportation. Although these activities use watercraft, they are different from the activities included in water transportation. Water sightseeing does not usually involve place-to-place transportation; the passenger's trip starts and ends at the same location.</t>
  </si>
  <si>
    <t>Passenger ground transport</t>
  </si>
  <si>
    <t>Transit and ground passenger transportation'. Industries in the Transit and Ground Passenger Transportation subsector include a variety of passenger transportation activities, such as urban transit systems; chartered bus, school bus, and interurban bus transportation; and taxis. These activities are distinguished based primarily on such production process factors as vehicle types, routes, and schedules. In this subsector, the principal splits identify scheduled transportation as separate from nonscheduled transportation. The scheduled transportation industry groups are Urban Transit Systems, Interurban and Rural Bus Transportation, and School and Employee Bus Transportation. The nonscheduled industry groups are the Charter Bus Industry and Taxi and Limousine Service. The Other Transit and Ground Passenger Transportation industry group includes both scheduled and nonscheduled transportation. Scenic and sightseeing ground transportation services are not included in this subsector but are included in Subsector 487, Scenic and Sightseeing Transportation. Sightseeing does not usually involve place-toplace transportation; the passenger's trip starts and ends at the same location.</t>
  </si>
  <si>
    <t>Category 6: Business Travel - distance-based</t>
  </si>
  <si>
    <t>Enter annual data in GRAY cells in the below tables as follows:</t>
  </si>
  <si>
    <r>
      <rPr>
        <b/>
        <sz val="10"/>
        <rFont val="Arial"/>
        <family val="2"/>
      </rPr>
      <t xml:space="preserve">Tables 1, 2, and 3 - </t>
    </r>
    <r>
      <rPr>
        <sz val="10"/>
        <rFont val="Arial"/>
        <family val="2"/>
      </rPr>
      <t xml:space="preserve">These tables are for tracking air travel, car travel, and hotel stays, respectively. </t>
    </r>
  </si>
  <si>
    <r>
      <rPr>
        <b/>
        <sz val="10"/>
        <rFont val="Arial"/>
        <family val="2"/>
      </rPr>
      <t xml:space="preserve">Item Description (optional) </t>
    </r>
    <r>
      <rPr>
        <sz val="10"/>
        <rFont val="Arial"/>
        <family val="2"/>
      </rPr>
      <t>- this column is available for any user-specific identifier</t>
    </r>
  </si>
  <si>
    <r>
      <rPr>
        <b/>
        <sz val="10"/>
        <rFont val="Arial"/>
        <family val="2"/>
      </rPr>
      <t>Haul length category</t>
    </r>
    <r>
      <rPr>
        <sz val="10"/>
        <rFont val="Arial"/>
        <family val="2"/>
      </rPr>
      <t xml:space="preserve"> - emissions per mile differs based on haul distance; please select from "short" (&lt; 300 miles), "medium" (&gt;= 300 miles, &lt; 2300 miles), or "long" (&gt;= 2300 miles)</t>
    </r>
  </si>
  <si>
    <r>
      <rPr>
        <b/>
        <sz val="10"/>
        <rFont val="Arial"/>
        <family val="2"/>
      </rPr>
      <t>Cabin Class</t>
    </r>
    <r>
      <rPr>
        <sz val="10"/>
        <rFont val="Arial"/>
        <family val="2"/>
      </rPr>
      <t xml:space="preserve"> - select from one of several cabin classes, which vary based on selected haul length.</t>
    </r>
  </si>
  <si>
    <r>
      <rPr>
        <b/>
        <sz val="10"/>
        <rFont val="Arial"/>
        <family val="2"/>
      </rPr>
      <t xml:space="preserve">Distance Traveled (mi) </t>
    </r>
    <r>
      <rPr>
        <sz val="10"/>
        <rFont val="Arial"/>
        <family val="2"/>
      </rPr>
      <t>- Enter the total distance traveled during the reporting year in that haul-class combination</t>
    </r>
  </si>
  <si>
    <t>Table 2</t>
  </si>
  <si>
    <r>
      <t xml:space="preserve">Transportation Mode - </t>
    </r>
    <r>
      <rPr>
        <sz val="10"/>
        <rFont val="Arial"/>
        <family val="2"/>
      </rPr>
      <t>Select the type of land transportation used</t>
    </r>
  </si>
  <si>
    <r>
      <t xml:space="preserve">Type </t>
    </r>
    <r>
      <rPr>
        <sz val="10"/>
        <rFont val="Arial"/>
        <family val="2"/>
      </rPr>
      <t>- Indicate a subtype based on the Transportation Mode selected</t>
    </r>
    <r>
      <rPr>
        <b/>
        <sz val="10"/>
        <rFont val="Arial"/>
        <family val="2"/>
      </rPr>
      <t>. See the market segment definitions to the right of the table.</t>
    </r>
  </si>
  <si>
    <r>
      <rPr>
        <b/>
        <sz val="10"/>
        <rFont val="Arial"/>
        <family val="2"/>
      </rPr>
      <t xml:space="preserve">If car, fuel type </t>
    </r>
    <r>
      <rPr>
        <sz val="10"/>
        <rFont val="Arial"/>
        <family val="2"/>
      </rPr>
      <t>- Indicate the fuel type of the vehicles</t>
    </r>
  </si>
  <si>
    <r>
      <rPr>
        <b/>
        <sz val="10"/>
        <rFont val="Arial"/>
        <family val="2"/>
      </rPr>
      <t xml:space="preserve">Distance Traveled (mi) </t>
    </r>
    <r>
      <rPr>
        <sz val="10"/>
        <rFont val="Arial"/>
        <family val="2"/>
      </rPr>
      <t>- Enter the total distance traveled during the reporting year by the transportation mode, type, and fuel combination</t>
    </r>
  </si>
  <si>
    <t>Table 3</t>
  </si>
  <si>
    <r>
      <rPr>
        <b/>
        <sz val="10"/>
        <rFont val="Arial"/>
        <family val="2"/>
      </rPr>
      <t xml:space="preserve">Country of stay - </t>
    </r>
    <r>
      <rPr>
        <sz val="10"/>
        <rFont val="Arial"/>
        <family val="2"/>
      </rPr>
      <t>Identify the country where the hotel nights were spent</t>
    </r>
  </si>
  <si>
    <r>
      <t>Number of nights -</t>
    </r>
    <r>
      <rPr>
        <sz val="10"/>
        <rFont val="Arial"/>
        <family val="2"/>
      </rPr>
      <t xml:space="preserve"> Enter the total number of nights stayed in that country</t>
    </r>
  </si>
  <si>
    <t>Table 1. Distance-based method (air travel)</t>
  </si>
  <si>
    <t>Haul length category</t>
  </si>
  <si>
    <t>Cabin Class</t>
  </si>
  <si>
    <t>Emission Factor 
(kg CO2e/mi)</t>
  </si>
  <si>
    <t>Haul definitions</t>
  </si>
  <si>
    <t>"Short Haul"; &lt; 300 miles
"Medium Haul";  &gt;= 300 miles, &lt; 2300 miles
"Long Haul"; &gt;= 2300 miles</t>
  </si>
  <si>
    <t>Table 2. Distance-based method (land)</t>
  </si>
  <si>
    <t>Table 3. Hotel stays (number of nights)</t>
  </si>
  <si>
    <t>Country of stay</t>
  </si>
  <si>
    <t>Number of nights</t>
  </si>
  <si>
    <t>Emission Factor (kg CO2e/night)</t>
  </si>
  <si>
    <t>Category 7: Employee Commuting</t>
  </si>
  <si>
    <t>Guidance</t>
  </si>
  <si>
    <r>
      <rPr>
        <b/>
        <sz val="10"/>
        <rFont val="Arial"/>
        <family val="2"/>
      </rPr>
      <t xml:space="preserve">Tables 1, 2, and 3 - </t>
    </r>
    <r>
      <rPr>
        <sz val="10"/>
        <rFont val="Arial"/>
        <family val="2"/>
      </rPr>
      <t xml:space="preserve">These tables are for tracking full-time staff, part-time staff, and remote workers, respectively. </t>
    </r>
  </si>
  <si>
    <r>
      <rPr>
        <b/>
        <i/>
        <sz val="10"/>
        <rFont val="Arial"/>
        <family val="2"/>
      </rPr>
      <t>Item Description</t>
    </r>
    <r>
      <rPr>
        <sz val="10"/>
        <rFont val="Arial"/>
        <family val="2"/>
      </rPr>
      <t xml:space="preserve"> - this column is available for any user-specific identifier</t>
    </r>
  </si>
  <si>
    <r>
      <t>Other Description (optional)</t>
    </r>
    <r>
      <rPr>
        <b/>
        <sz val="10"/>
        <rFont val="Arial"/>
        <family val="2"/>
      </rPr>
      <t xml:space="preserve"> </t>
    </r>
    <r>
      <rPr>
        <sz val="10"/>
        <rFont val="Arial"/>
        <family val="2"/>
      </rPr>
      <t xml:space="preserve">- this column is available for any user-specific identifier </t>
    </r>
  </si>
  <si>
    <t>Table 1. Full-time staff (In-person)</t>
  </si>
  <si>
    <t>State (or select "US Average")</t>
  </si>
  <si>
    <t>Number of full-time staff</t>
  </si>
  <si>
    <t>Number of weeks worked per year</t>
  </si>
  <si>
    <t>Average number of days per week for full-time staff</t>
  </si>
  <si>
    <t>Ohio full-time staff</t>
  </si>
  <si>
    <t>Ohio</t>
  </si>
  <si>
    <t>Table 2. Part-time Staff (In-person)</t>
  </si>
  <si>
    <t>&lt;--- ENTER TOTAL EMISSIONS HERE IF CALCULATED ELSEWHERE (and leave above spreadsheet blank)</t>
  </si>
  <si>
    <t>Number of part-time staff</t>
  </si>
  <si>
    <t>Average number of days per week for part-time staff</t>
  </si>
  <si>
    <t>Florida part-time staff</t>
  </si>
  <si>
    <t>Florida</t>
  </si>
  <si>
    <t>Table 3. Work from Home  Staff (remote)</t>
  </si>
  <si>
    <t>Number of employees</t>
  </si>
  <si>
    <t>Number of days worked at home</t>
  </si>
  <si>
    <t>Ohio remote workers</t>
  </si>
  <si>
    <t>Category 8: Upstream Leased Assets &amp; Category 13: Downstream Leased Assets</t>
  </si>
  <si>
    <r>
      <rPr>
        <b/>
        <sz val="10"/>
        <rFont val="Arial"/>
        <family val="2"/>
      </rPr>
      <t xml:space="preserve">Tables 1 and 2 </t>
    </r>
    <r>
      <rPr>
        <sz val="10"/>
        <rFont val="Arial"/>
        <family val="2"/>
      </rPr>
      <t xml:space="preserve">- Estimate emissions associated with any </t>
    </r>
    <r>
      <rPr>
        <b/>
        <i/>
        <sz val="10"/>
        <rFont val="Arial"/>
        <family val="2"/>
      </rPr>
      <t>upstream</t>
    </r>
    <r>
      <rPr>
        <sz val="10"/>
        <rFont val="Arial"/>
        <family val="2"/>
      </rPr>
      <t xml:space="preserve"> and </t>
    </r>
    <r>
      <rPr>
        <b/>
        <i/>
        <sz val="10"/>
        <rFont val="Arial"/>
        <family val="2"/>
      </rPr>
      <t>downstream</t>
    </r>
    <r>
      <rPr>
        <sz val="10"/>
        <rFont val="Arial"/>
        <family val="2"/>
      </rPr>
      <t xml:space="preserve"> leased assets, respectively (see definitions under "</t>
    </r>
    <r>
      <rPr>
        <b/>
        <sz val="10"/>
        <color rgb="FF00B0F0"/>
        <rFont val="Arial"/>
        <family val="2"/>
      </rPr>
      <t>Category Description and Emissions Methodology</t>
    </r>
    <r>
      <rPr>
        <sz val="10"/>
        <rFont val="Arial"/>
        <family val="2"/>
      </rPr>
      <t xml:space="preserve">"). </t>
    </r>
  </si>
  <si>
    <r>
      <rPr>
        <b/>
        <sz val="10"/>
        <rFont val="Arial"/>
        <family val="2"/>
      </rPr>
      <t xml:space="preserve">Tables 1a and 2a are associated with </t>
    </r>
    <r>
      <rPr>
        <b/>
        <sz val="10"/>
        <color rgb="FF0000FF"/>
        <rFont val="Arial"/>
        <family val="2"/>
      </rPr>
      <t>inpatient care facilities</t>
    </r>
    <r>
      <rPr>
        <b/>
        <sz val="10"/>
        <rFont val="Arial"/>
        <family val="2"/>
      </rPr>
      <t xml:space="preserve"> and Tables 1b and 2b are associated with </t>
    </r>
    <r>
      <rPr>
        <b/>
        <sz val="10"/>
        <color rgb="FF00B050"/>
        <rFont val="Arial"/>
        <family val="2"/>
      </rPr>
      <t>outpatient care facilities</t>
    </r>
    <r>
      <rPr>
        <sz val="10"/>
        <rFont val="Arial"/>
        <family val="2"/>
      </rPr>
      <t xml:space="preserve">. </t>
    </r>
  </si>
  <si>
    <r>
      <t>Outpatient Type (</t>
    </r>
    <r>
      <rPr>
        <b/>
        <sz val="10"/>
        <rFont val="Arial"/>
        <family val="2"/>
      </rPr>
      <t>Table 1b and Table 2b only</t>
    </r>
    <r>
      <rPr>
        <b/>
        <i/>
        <sz val="10"/>
        <rFont val="Arial"/>
        <family val="2"/>
      </rPr>
      <t xml:space="preserve">) </t>
    </r>
    <r>
      <rPr>
        <sz val="10"/>
        <rFont val="Arial"/>
        <family val="2"/>
      </rPr>
      <t xml:space="preserve">- user should select from drop-down options </t>
    </r>
    <r>
      <rPr>
        <b/>
        <i/>
        <sz val="10"/>
        <rFont val="Arial"/>
        <family val="2"/>
      </rPr>
      <t>office (diagnostic)</t>
    </r>
    <r>
      <rPr>
        <sz val="10"/>
        <rFont val="Arial"/>
        <family val="2"/>
      </rPr>
      <t xml:space="preserve"> </t>
    </r>
    <r>
      <rPr>
        <u/>
        <sz val="10"/>
        <rFont val="Arial"/>
        <family val="2"/>
      </rPr>
      <t>or</t>
    </r>
    <r>
      <rPr>
        <sz val="10"/>
        <rFont val="Arial"/>
        <family val="2"/>
      </rPr>
      <t xml:space="preserve"> </t>
    </r>
    <r>
      <rPr>
        <b/>
        <i/>
        <sz val="10"/>
        <rFont val="Arial"/>
        <family val="2"/>
      </rPr>
      <t>clinic or other outpatient</t>
    </r>
  </si>
  <si>
    <r>
      <t>Square Footage of Leased Asset</t>
    </r>
    <r>
      <rPr>
        <sz val="10"/>
        <rFont val="Arial"/>
        <family val="2"/>
      </rPr>
      <t xml:space="preserve"> - user should enter the building square footage</t>
    </r>
  </si>
  <si>
    <t>Use these tables if you have electricity and natural gas usage data</t>
  </si>
  <si>
    <r>
      <t xml:space="preserve">Table 1a. Upstream Leased Assets - </t>
    </r>
    <r>
      <rPr>
        <b/>
        <i/>
        <sz val="14"/>
        <color rgb="FF0000FF"/>
        <rFont val="Arial"/>
        <family val="2"/>
        <scheme val="minor"/>
      </rPr>
      <t>inpatient care facilities</t>
    </r>
  </si>
  <si>
    <t>Square Footage of Leased Asset</t>
  </si>
  <si>
    <t>Electricity Usage (kWh)</t>
  </si>
  <si>
    <t>Natural Gas Usage (therms)</t>
  </si>
  <si>
    <t>Building A</t>
  </si>
  <si>
    <r>
      <t xml:space="preserve">Table 1b. Upstream Leased Assets - </t>
    </r>
    <r>
      <rPr>
        <b/>
        <i/>
        <sz val="14"/>
        <color rgb="FF00B050"/>
        <rFont val="Arial"/>
        <family val="2"/>
        <scheme val="minor"/>
      </rPr>
      <t>outpatient care facilities</t>
    </r>
  </si>
  <si>
    <t xml:space="preserve">Clinic or other outpatient </t>
  </si>
  <si>
    <r>
      <t xml:space="preserve">Table 2a. Downstream Leased Assets - </t>
    </r>
    <r>
      <rPr>
        <b/>
        <i/>
        <sz val="14"/>
        <color rgb="FF0000FF"/>
        <rFont val="Arial"/>
        <family val="2"/>
        <scheme val="minor"/>
      </rPr>
      <t>inpatient care facilities</t>
    </r>
  </si>
  <si>
    <t>Building C</t>
  </si>
  <si>
    <r>
      <t xml:space="preserve">Table 2b. Downstream Leased Assets - </t>
    </r>
    <r>
      <rPr>
        <b/>
        <i/>
        <sz val="14"/>
        <color rgb="FF00B050"/>
        <rFont val="Arial"/>
        <family val="2"/>
        <scheme val="minor"/>
      </rPr>
      <t>outpatient care facilities</t>
    </r>
  </si>
  <si>
    <t>Office (diagnostic) </t>
  </si>
  <si>
    <t>Category 9: Patient Visits &amp; Telehealth [Downstream Transportation &amp; Distribution]</t>
  </si>
  <si>
    <r>
      <rPr>
        <b/>
        <sz val="10"/>
        <rFont val="Arial"/>
        <family val="2"/>
      </rPr>
      <t xml:space="preserve">Tables 1, 2, and 3 </t>
    </r>
    <r>
      <rPr>
        <sz val="10"/>
        <rFont val="Arial"/>
        <family val="2"/>
      </rPr>
      <t xml:space="preserve">- Estimate emissions associated with any inpatient and outpatient travel (Tables 1 and 2), and remote Telehealth visits. </t>
    </r>
  </si>
  <si>
    <r>
      <rPr>
        <b/>
        <i/>
        <sz val="10"/>
        <rFont val="Arial"/>
        <family val="2"/>
      </rPr>
      <t>State (or select "US Average")</t>
    </r>
    <r>
      <rPr>
        <sz val="10"/>
        <rFont val="Arial"/>
        <family val="2"/>
      </rPr>
      <t xml:space="preserve"> - select the US State in which the patient visits occur</t>
    </r>
  </si>
  <si>
    <r>
      <t>Total Patient Visits</t>
    </r>
    <r>
      <rPr>
        <b/>
        <sz val="10"/>
        <rFont val="Arial"/>
        <family val="2"/>
      </rPr>
      <t xml:space="preserve"> </t>
    </r>
    <r>
      <rPr>
        <sz val="10"/>
        <rFont val="Arial"/>
        <family val="2"/>
      </rPr>
      <t>- this column should be used to identify the total number of patient visits</t>
    </r>
  </si>
  <si>
    <t>Table 1. Inpatient Visits (In-person)</t>
  </si>
  <si>
    <t>Total Patient Visits</t>
  </si>
  <si>
    <t>inpatient visits</t>
  </si>
  <si>
    <t>Table 2. Outpatient Visits (In-person)</t>
  </si>
  <si>
    <t>outpatient visits</t>
  </si>
  <si>
    <t>Table 3. Telehealth Visits (remote)</t>
  </si>
  <si>
    <t>Number of visits</t>
  </si>
  <si>
    <t>Average length of visit (minutes)</t>
  </si>
  <si>
    <t>annual telehealth visits</t>
  </si>
  <si>
    <t xml:space="preserve">Bureau of Transportation Statistics Commute Mode data by percent by state (2022) </t>
  </si>
  <si>
    <t>Commutes Across America (Streetlightdata)</t>
  </si>
  <si>
    <t>https://www.bts.gov/browse-statistical-products-and-data/state-transportation-statistics/commute-mode</t>
  </si>
  <si>
    <t>https://www.streetlightdata.com/wp-content/uploads/2018/03/Commutes-Across-America_180201.pdf</t>
  </si>
  <si>
    <t>State</t>
  </si>
  <si>
    <t>Mode</t>
  </si>
  <si>
    <t>Commute mode share (percent)</t>
  </si>
  <si>
    <r>
      <t xml:space="preserve">kg CO2e per employee mile or </t>
    </r>
    <r>
      <rPr>
        <b/>
        <sz val="10"/>
        <color theme="1"/>
        <rFont val="Arial"/>
        <family val="2"/>
        <scheme val="minor"/>
      </rPr>
      <t>per day for "worked at home" (assuming 8-hr work day, 150 Watts per workstation and lighting)</t>
    </r>
  </si>
  <si>
    <t>State Name</t>
  </si>
  <si>
    <t>Median 1-way Commute (mi)</t>
  </si>
  <si>
    <t>Median round-trip commute (mi)</t>
  </si>
  <si>
    <t>kg CO2e per employee per work day</t>
  </si>
  <si>
    <t>Commute Mode</t>
  </si>
  <si>
    <t>Emission Factor (kg CO2e/passenger-mile)</t>
  </si>
  <si>
    <t xml:space="preserve">Notes </t>
  </si>
  <si>
    <t>Level 1</t>
  </si>
  <si>
    <t>Level 2</t>
  </si>
  <si>
    <t>Level 3</t>
  </si>
  <si>
    <t>Level 4</t>
  </si>
  <si>
    <t>Column Text</t>
  </si>
  <si>
    <t>UOM</t>
  </si>
  <si>
    <t>Sum of kg CO2e per unit (bioenergy only; AR5)</t>
  </si>
  <si>
    <t>Sum of kg CO2 per unit</t>
  </si>
  <si>
    <t>Sum of kg CH4 per unit</t>
  </si>
  <si>
    <t>Sum of kg N2O per unit</t>
  </si>
  <si>
    <t>Sum of WTT (kg CO2e per unit; AR5-based)</t>
  </si>
  <si>
    <t xml:space="preserve">
kg CO2e 
</t>
  </si>
  <si>
    <t>Source:</t>
  </si>
  <si>
    <t>US Department of Energy Alternative Fuels data center https://afdc.energy.gov/vehicle-registration</t>
  </si>
  <si>
    <t>US Average</t>
  </si>
  <si>
    <t>Drove alone</t>
  </si>
  <si>
    <t>Alabama</t>
  </si>
  <si>
    <t>Multiplied each DESNZ EF by the breakdown of vehicle fuel types in the US</t>
  </si>
  <si>
    <t>Passenger vehicles</t>
  </si>
  <si>
    <t>Cars (by market segment)</t>
  </si>
  <si>
    <t>(blank)</t>
  </si>
  <si>
    <t>miles</t>
  </si>
  <si>
    <t>Carpool</t>
  </si>
  <si>
    <t>Alaska</t>
  </si>
  <si>
    <t>assume US Average</t>
  </si>
  <si>
    <t>Using assumption of 2.25 people per carpool from CA DOT. Using the "drove alone" EF divided by 2.25</t>
  </si>
  <si>
    <t>AFDC Fuel Types</t>
  </si>
  <si>
    <t>DESNZ vehicle type</t>
  </si>
  <si>
    <t>Percent of US Total</t>
  </si>
  <si>
    <t>Worked at home</t>
  </si>
  <si>
    <t>Arizona</t>
  </si>
  <si>
    <t>calculated in column D</t>
  </si>
  <si>
    <t>Assumes 140 Watts per workstation and 10 Watts for lighting, 8 hour work day, and State-specific electricity-based EFs (per DEFRA "homeworking" referenced whitepaper "Homeworking emissions Whitepaper"from EcoAct, page 10)</t>
  </si>
  <si>
    <t>Petrol</t>
  </si>
  <si>
    <t>Biodiesel, Diesel</t>
  </si>
  <si>
    <t>Public transportation</t>
  </si>
  <si>
    <t>Arkansas</t>
  </si>
  <si>
    <t>Using an average of "Average local bus" and "Light rail and tram"</t>
  </si>
  <si>
    <t>Ethanol, Gasoline</t>
  </si>
  <si>
    <t>Taxi, motorcycle, or other</t>
  </si>
  <si>
    <t>California</t>
  </si>
  <si>
    <t>Assuming average of "regular taxi" by passenger km and average motorbike</t>
  </si>
  <si>
    <t>HEV</t>
  </si>
  <si>
    <t>Hybrid</t>
  </si>
  <si>
    <t>Walked</t>
  </si>
  <si>
    <t>Colorado</t>
  </si>
  <si>
    <t>Cars (by size)</t>
  </si>
  <si>
    <t>Average car</t>
  </si>
  <si>
    <t>potentially exclude</t>
  </si>
  <si>
    <t>Bicycle</t>
  </si>
  <si>
    <t>Connecticut</t>
  </si>
  <si>
    <t>Delaware</t>
  </si>
  <si>
    <t>Source: US Distance-based EFs calculated by ENGIE using DESNZ 2023 (includes WTT) and the US Department of Energy Alternative Fuels data center</t>
  </si>
  <si>
    <t>PHEV</t>
  </si>
  <si>
    <t>https://afdc.energy.gov/vehicle-registration</t>
  </si>
  <si>
    <t>EV</t>
  </si>
  <si>
    <t>Hawaii</t>
  </si>
  <si>
    <t>Greenhouse gas reporting: conversion factors 2023 - GOV.UK (www.gov.uk)</t>
  </si>
  <si>
    <t>Idaho</t>
  </si>
  <si>
    <t>Illinois</t>
  </si>
  <si>
    <t>WTT (kg)</t>
  </si>
  <si>
    <t>Combustion (kg)</t>
  </si>
  <si>
    <t>Indiana</t>
  </si>
  <si>
    <t xml:space="preserve">Weight average: Average car &amp; Dual purpose 4X4 - </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</si>
  <si>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</si>
  <si>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</si>
  <si>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</si>
  <si>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</si>
  <si>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</si>
  <si>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</si>
  <si>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</si>
  <si>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</si>
  <si>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</si>
  <si>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</si>
  <si>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</si>
  <si>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</si>
  <si>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</si>
  <si>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</si>
  <si>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</si>
  <si>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</si>
  <si>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</si>
  <si>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</si>
  <si>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</si>
  <si>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</si>
  <si>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</si>
  <si>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</si>
  <si>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</si>
  <si>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</si>
  <si>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</si>
  <si>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</si>
  <si>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</si>
  <si>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</si>
  <si>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</si>
  <si>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</si>
  <si>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</si>
  <si>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</si>
  <si>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</si>
  <si>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</si>
  <si>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</si>
  <si>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District of Columbia</t>
  </si>
  <si>
    <r>
      <t>CO</t>
    </r>
    <r>
      <rPr>
        <b/>
        <vertAlign val="subscript"/>
        <sz val="8.5"/>
        <color theme="1"/>
        <rFont val="Arial"/>
        <family val="2"/>
      </rPr>
      <t>2</t>
    </r>
    <r>
      <rPr>
        <b/>
        <sz val="8.5"/>
        <color theme="1"/>
        <rFont val="Arial"/>
        <family val="2"/>
      </rPr>
      <t>e (lb/MWh)</t>
    </r>
  </si>
  <si>
    <t>CO2e (kg/kWh)</t>
  </si>
  <si>
    <t>AK</t>
  </si>
  <si>
    <t>Office station electricity consumption</t>
  </si>
  <si>
    <t>1 kg =</t>
  </si>
  <si>
    <t>pounds</t>
  </si>
  <si>
    <t>AL</t>
  </si>
  <si>
    <t>Watts</t>
  </si>
  <si>
    <t>AR</t>
  </si>
  <si>
    <t>AZ</t>
  </si>
  <si>
    <t>CA</t>
  </si>
  <si>
    <t>source: eGrid 2024 (year 2022 data) - "State annual CO2 equivalent total output emission rate (lb/MWh)" (STC2ERTA)</t>
  </si>
  <si>
    <t>CO</t>
  </si>
  <si>
    <t>CT</t>
  </si>
  <si>
    <t>DC</t>
  </si>
  <si>
    <t>DE</t>
  </si>
  <si>
    <t>FL</t>
  </si>
  <si>
    <t>GA</t>
  </si>
  <si>
    <t>HI</t>
  </si>
  <si>
    <t>IA</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</si>
  <si>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</si>
  <si>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</si>
  <si>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</si>
  <si>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</si>
  <si>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</si>
  <si>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</si>
  <si>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</si>
  <si>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</si>
  <si>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</si>
  <si>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</si>
  <si>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</si>
  <si>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</si>
  <si>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</si>
  <si>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</si>
  <si>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</si>
  <si>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</si>
  <si>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</si>
  <si>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</si>
  <si>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</si>
  <si>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</si>
  <si>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</si>
  <si>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</si>
  <si>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</si>
  <si>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</si>
  <si>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</si>
  <si>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</si>
  <si>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</si>
  <si>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</si>
  <si>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</si>
  <si>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</si>
  <si>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</si>
  <si>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</si>
  <si>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</si>
  <si>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</si>
  <si>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</si>
  <si>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</si>
  <si>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</si>
  <si>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Select --&gt;</t>
  </si>
  <si>
    <t>AR6</t>
  </si>
  <si>
    <t>carbon dioxide</t>
  </si>
  <si>
    <t>AR4</t>
  </si>
  <si>
    <t>AR5</t>
  </si>
  <si>
    <t>methane</t>
  </si>
  <si>
    <t>nitrous oxide</t>
  </si>
  <si>
    <t>From Table 7.15 of IPCC's Sixth Assessment Report for "fossil"</t>
  </si>
  <si>
    <t>other GHGs</t>
  </si>
  <si>
    <t>Notes &amp; Sources</t>
  </si>
  <si>
    <t>These are GWP values for 100-year time horizon</t>
  </si>
  <si>
    <t xml:space="preserve">Other GHGs include a wide variety of other HFCs, perflourinated compounds, refrigerants, and other substances combined and translated into CO2e using AR4 GWPs. This step is completed by the EPA </t>
  </si>
  <si>
    <t>Source: GHG Protocol, Global Warming Potential Values. https://ghgprotocol.org/sites/default/files/ghgp/Global-Warming-Potential-Values%20%28Feb%2016%202016%29_1.pdf</t>
  </si>
  <si>
    <t>Energy Information Administration (EIA)- Commercial Buildings Energy Consumption Survey (CBECS) Data</t>
  </si>
  <si>
    <t>Table C22. Electricity consumption totals and conditional intensities by building activity subcategories, 2018</t>
  </si>
  <si>
    <r>
      <t>Electricity energy intensity</t>
    </r>
    <r>
      <rPr>
        <b/>
        <vertAlign val="superscript"/>
        <sz val="10"/>
        <color theme="1"/>
        <rFont val="Arial"/>
        <family val="2"/>
        <scheme val="minor"/>
      </rPr>
      <t>1</t>
    </r>
    <r>
      <rPr>
        <b/>
        <sz val="10"/>
        <color theme="1"/>
        <rFont val="Arial"/>
        <family val="2"/>
        <scheme val="minor"/>
      </rPr>
      <t xml:space="preserve"> (kWh/square foot in buildings using electricity for the end use)</t>
    </r>
  </si>
  <si>
    <t xml:space="preserve">Health care </t>
  </si>
  <si>
    <t xml:space="preserve">Inpatient </t>
  </si>
  <si>
    <t xml:space="preserve">Outpatient </t>
  </si>
  <si>
    <t>Table C32. Natural consumption totals and conditional intensities by building activity subcategories,  2018</t>
  </si>
  <si>
    <r>
      <t>Natural gas energy intensity</t>
    </r>
    <r>
      <rPr>
        <b/>
        <vertAlign val="superscript"/>
        <sz val="10"/>
        <color theme="1"/>
        <rFont val="Arial"/>
        <family val="2"/>
        <scheme val="minor"/>
      </rPr>
      <t xml:space="preserve"> </t>
    </r>
    <r>
      <rPr>
        <b/>
        <sz val="10"/>
        <color theme="1"/>
        <rFont val="Arial"/>
        <family val="2"/>
        <scheme val="minor"/>
      </rPr>
      <t>(thousand Btu/square foot in buildings using natural gas for the end use)</t>
    </r>
  </si>
  <si>
    <t>cubic ft / sq ft</t>
  </si>
  <si>
    <t>therms/ sq ft</t>
  </si>
  <si>
    <t>1 therm = 96.7 cubic feet</t>
  </si>
  <si>
    <t>U.S. gas production also includes some biogas, so "Natural Gas" from DESNZ is used (i.e., not "100% mineral blend")</t>
  </si>
  <si>
    <t>https://www.eia.gov/energyexplained/natural-gas/where-our-natural-gas-comes-from.php</t>
  </si>
  <si>
    <t>Natural Gas Emission Factors</t>
  </si>
  <si>
    <t>From EPA CCCL (Feb 2024):</t>
  </si>
  <si>
    <r>
      <t xml:space="preserve">kg CO2 per </t>
    </r>
    <r>
      <rPr>
        <b/>
        <sz val="9"/>
        <color theme="1"/>
        <rFont val="Arial"/>
        <family val="2"/>
        <scheme val="minor"/>
      </rPr>
      <t>mmBtu</t>
    </r>
  </si>
  <si>
    <r>
      <t xml:space="preserve">g CH4 per </t>
    </r>
    <r>
      <rPr>
        <b/>
        <sz val="9"/>
        <color theme="1"/>
        <rFont val="Arial"/>
        <family val="2"/>
        <scheme val="minor"/>
      </rPr>
      <t>mmBtu</t>
    </r>
  </si>
  <si>
    <r>
      <t xml:space="preserve">g N2O per </t>
    </r>
    <r>
      <rPr>
        <b/>
        <sz val="9"/>
        <color theme="1"/>
        <rFont val="Arial"/>
        <family val="2"/>
        <scheme val="minor"/>
      </rPr>
      <t>mmBtu</t>
    </r>
  </si>
  <si>
    <r>
      <t>kg CO</t>
    </r>
    <r>
      <rPr>
        <vertAlign val="subscript"/>
        <sz val="11"/>
        <color rgb="FF002060"/>
        <rFont val="Arial"/>
        <family val="2"/>
        <scheme val="minor"/>
      </rPr>
      <t>2</t>
    </r>
    <r>
      <rPr>
        <sz val="11"/>
        <color rgb="FF002060"/>
        <rFont val="Arial"/>
        <family val="2"/>
        <scheme val="minor"/>
      </rPr>
      <t>e of CO</t>
    </r>
    <r>
      <rPr>
        <vertAlign val="subscript"/>
        <sz val="11"/>
        <color rgb="FF002060"/>
        <rFont val="Arial"/>
        <family val="2"/>
        <scheme val="minor"/>
      </rPr>
      <t>2</t>
    </r>
    <r>
      <rPr>
        <sz val="11"/>
        <color rgb="FF002060"/>
        <rFont val="Arial"/>
        <family val="2"/>
        <scheme val="minor"/>
      </rPr>
      <t xml:space="preserve"> per unit</t>
    </r>
  </si>
  <si>
    <r>
      <t>kg CO</t>
    </r>
    <r>
      <rPr>
        <vertAlign val="subscript"/>
        <sz val="11"/>
        <color rgb="FF002060"/>
        <rFont val="Arial"/>
        <family val="2"/>
        <scheme val="minor"/>
      </rPr>
      <t>2</t>
    </r>
    <r>
      <rPr>
        <sz val="11"/>
        <color rgb="FF002060"/>
        <rFont val="Arial"/>
        <family val="2"/>
        <scheme val="minor"/>
      </rPr>
      <t>e of CH</t>
    </r>
    <r>
      <rPr>
        <vertAlign val="subscript"/>
        <sz val="11"/>
        <color rgb="FF002060"/>
        <rFont val="Arial"/>
        <family val="2"/>
        <scheme val="minor"/>
      </rPr>
      <t>4</t>
    </r>
    <r>
      <rPr>
        <sz val="11"/>
        <color rgb="FF002060"/>
        <rFont val="Arial"/>
        <family val="2"/>
        <scheme val="minor"/>
      </rPr>
      <t xml:space="preserve"> per unit</t>
    </r>
  </si>
  <si>
    <r>
      <t>kg CO</t>
    </r>
    <r>
      <rPr>
        <vertAlign val="subscript"/>
        <sz val="11"/>
        <color rgb="FF002060"/>
        <rFont val="Arial"/>
        <family val="2"/>
        <scheme val="minor"/>
      </rPr>
      <t>2</t>
    </r>
    <r>
      <rPr>
        <sz val="11"/>
        <color rgb="FF002060"/>
        <rFont val="Arial"/>
        <family val="2"/>
        <scheme val="minor"/>
      </rPr>
      <t>e of N</t>
    </r>
    <r>
      <rPr>
        <vertAlign val="subscript"/>
        <sz val="11"/>
        <color rgb="FF002060"/>
        <rFont val="Arial"/>
        <family val="2"/>
        <scheme val="minor"/>
      </rPr>
      <t>2</t>
    </r>
    <r>
      <rPr>
        <sz val="11"/>
        <color rgb="FF002060"/>
        <rFont val="Arial"/>
        <family val="2"/>
        <scheme val="minor"/>
      </rPr>
      <t>O per unit</t>
    </r>
  </si>
  <si>
    <t>Table 1 - Stationary Combustion</t>
  </si>
  <si>
    <t>tonnes</t>
  </si>
  <si>
    <t>https://www.epa.gov/system/files/documents/2022-04/ghg_emission_factors_hub.pdf</t>
  </si>
  <si>
    <t>kWh (Net CV)</t>
  </si>
  <si>
    <t>kg CO2 per therm</t>
  </si>
  <si>
    <t>g CH4 per therm</t>
  </si>
  <si>
    <t>g N2O per therm</t>
  </si>
  <si>
    <t>kg CO2e per therm</t>
  </si>
  <si>
    <t>Natural gas
(100% mineral blend)</t>
  </si>
  <si>
    <t>1 mmBtu = 10 therm</t>
  </si>
  <si>
    <r>
      <t>kg CO</t>
    </r>
    <r>
      <rPr>
        <vertAlign val="subscript"/>
        <sz val="11"/>
        <color indexed="56"/>
        <rFont val="Calibri"/>
        <family val="2"/>
      </rPr>
      <t>2</t>
    </r>
    <r>
      <rPr>
        <sz val="11"/>
        <color indexed="56"/>
        <rFont val="Calibri"/>
        <family val="2"/>
      </rPr>
      <t>e</t>
    </r>
    <r>
      <rPr>
        <sz val="11"/>
        <color rgb="FF002060"/>
        <rFont val="Arial"/>
        <family val="2"/>
        <scheme val="minor"/>
      </rPr>
      <t xml:space="preserve"> per unit</t>
    </r>
  </si>
  <si>
    <r>
      <t>kg CO</t>
    </r>
    <r>
      <rPr>
        <vertAlign val="subscript"/>
        <sz val="11"/>
        <color rgb="FF002060"/>
        <rFont val="Arial"/>
        <family val="2"/>
        <scheme val="minor"/>
      </rPr>
      <t>2</t>
    </r>
    <r>
      <rPr>
        <sz val="11"/>
        <color rgb="FF002060"/>
        <rFont val="Arial"/>
        <family val="2"/>
        <scheme val="minor"/>
      </rPr>
      <t xml:space="preserve"> per unit</t>
    </r>
  </si>
  <si>
    <r>
      <t>kg CH</t>
    </r>
    <r>
      <rPr>
        <vertAlign val="subscript"/>
        <sz val="11"/>
        <color rgb="FF002060"/>
        <rFont val="Arial"/>
        <family val="2"/>
        <scheme val="minor"/>
      </rPr>
      <t>4</t>
    </r>
    <r>
      <rPr>
        <sz val="11"/>
        <color rgb="FF002060"/>
        <rFont val="Arial"/>
        <family val="2"/>
        <scheme val="minor"/>
      </rPr>
      <t xml:space="preserve"> per unit</t>
    </r>
  </si>
  <si>
    <r>
      <t>kg N</t>
    </r>
    <r>
      <rPr>
        <vertAlign val="subscript"/>
        <sz val="11"/>
        <color rgb="FF002060"/>
        <rFont val="Arial"/>
        <family val="2"/>
        <scheme val="minor"/>
      </rPr>
      <t>2</t>
    </r>
    <r>
      <rPr>
        <sz val="11"/>
        <color rgb="FF002060"/>
        <rFont val="Arial"/>
        <family val="2"/>
        <scheme val="minor"/>
      </rPr>
      <t>O per unit</t>
    </r>
  </si>
  <si>
    <t>converted from cubic meters</t>
  </si>
  <si>
    <t>converted from kWh (Gross CV)</t>
  </si>
  <si>
    <r>
      <rPr>
        <b/>
        <sz val="11"/>
        <color rgb="FF002060"/>
        <rFont val="Arial"/>
        <family val="2"/>
        <scheme val="minor"/>
      </rPr>
      <t>WTT</t>
    </r>
    <r>
      <rPr>
        <sz val="11"/>
        <color rgb="FF002060"/>
        <rFont val="Arial"/>
        <family val="2"/>
        <scheme val="minor"/>
      </rPr>
      <t xml:space="preserve"> kg CO</t>
    </r>
    <r>
      <rPr>
        <vertAlign val="subscript"/>
        <sz val="11"/>
        <color indexed="56"/>
        <rFont val="Calibri"/>
        <family val="2"/>
      </rPr>
      <t>2</t>
    </r>
    <r>
      <rPr>
        <sz val="11"/>
        <color indexed="56"/>
        <rFont val="Calibri"/>
        <family val="2"/>
      </rPr>
      <t>e</t>
    </r>
    <r>
      <rPr>
        <sz val="11"/>
        <color rgb="FF002060"/>
        <rFont val="Arial"/>
        <family val="2"/>
        <scheme val="minor"/>
      </rPr>
      <t xml:space="preserve"> 
(based on AR5)</t>
    </r>
  </si>
  <si>
    <t>1 Therm =</t>
  </si>
  <si>
    <t>kBTU</t>
  </si>
  <si>
    <t>1 cubic meters =</t>
  </si>
  <si>
    <t>https://portfoliomanager.energystar.gov/pdf/reference/Thermal%20Conversions.pdf</t>
  </si>
  <si>
    <r>
      <rPr>
        <b/>
        <sz val="10"/>
        <rFont val="Arial"/>
        <family val="2"/>
      </rPr>
      <t xml:space="preserve">Tables 1 and 2 - </t>
    </r>
    <r>
      <rPr>
        <sz val="10"/>
        <rFont val="Arial"/>
        <family val="2"/>
      </rPr>
      <t xml:space="preserve">These tables are for tracking inhalers with HFC-227ea and with HFC-134a, respectively. </t>
    </r>
  </si>
  <si>
    <r>
      <rPr>
        <b/>
        <i/>
        <sz val="10"/>
        <rFont val="Arial"/>
        <family val="2"/>
      </rPr>
      <t>Product Name or Group (optional)</t>
    </r>
    <r>
      <rPr>
        <sz val="10"/>
        <rFont val="Arial"/>
        <family val="2"/>
      </rPr>
      <t xml:space="preserve"> - for the user to track various products</t>
    </r>
  </si>
  <si>
    <r>
      <rPr>
        <b/>
        <i/>
        <sz val="10"/>
        <rFont val="Arial"/>
        <family val="2"/>
      </rPr>
      <t>Other Description (optional)</t>
    </r>
    <r>
      <rPr>
        <b/>
        <sz val="10"/>
        <rFont val="Arial"/>
        <family val="2"/>
      </rPr>
      <t xml:space="preserve"> </t>
    </r>
    <r>
      <rPr>
        <sz val="10"/>
        <rFont val="Arial"/>
        <family val="2"/>
      </rPr>
      <t xml:space="preserve">- this column is available for any user-specific identifier </t>
    </r>
  </si>
  <si>
    <r>
      <rPr>
        <b/>
        <i/>
        <sz val="10"/>
        <rFont val="Arial"/>
        <family val="2"/>
      </rPr>
      <t>Number of Units with GHG propellant</t>
    </r>
    <r>
      <rPr>
        <sz val="10"/>
        <rFont val="Arial"/>
        <family val="2"/>
      </rPr>
      <t xml:space="preserve"> - enter the overall number of units for each specific product</t>
    </r>
  </si>
  <si>
    <r>
      <rPr>
        <b/>
        <i/>
        <sz val="10"/>
        <rFont val="Arial"/>
        <family val="2"/>
      </rPr>
      <t xml:space="preserve">Mass of GHG propellant per unit (grams) </t>
    </r>
    <r>
      <rPr>
        <i/>
        <sz val="10"/>
        <rFont val="Arial"/>
        <family val="2"/>
      </rPr>
      <t>- enter the mass of propellant (in grams) in each unit</t>
    </r>
  </si>
  <si>
    <t>Table 1. Inhalers using HFC-227ea as propellant</t>
  </si>
  <si>
    <t>Product Name or Group (optional)</t>
  </si>
  <si>
    <t>Other Description (optional)</t>
  </si>
  <si>
    <t>Number of Units with GHG propellant</t>
  </si>
  <si>
    <t>Mass of GHG propellant per unit (grams)</t>
  </si>
  <si>
    <t>ALBUTEROL SULF HFA 90 MCG INH 18 GM</t>
  </si>
  <si>
    <t>Table 2. Inhalers using HFC-134a as propellant</t>
  </si>
  <si>
    <t>ADVAIR HFA 45/ 21MCG INH 12 GM</t>
  </si>
  <si>
    <t>Row Labels</t>
  </si>
  <si>
    <t>Sum of Average of SEFkgCO2e/2021 USD
(no inflation)</t>
  </si>
  <si>
    <t>Source: USEEIO Industry Factors v 1.2.3</t>
  </si>
  <si>
    <t>2373: Highway, Street, and Bridge Construction</t>
  </si>
  <si>
    <t>4811: Scheduled Air Transportation</t>
  </si>
  <si>
    <t>4821: Rail Transportation</t>
  </si>
  <si>
    <t>4831: Deep Sea, Coastal, and Great Lakes Water Transportation</t>
  </si>
  <si>
    <t>4841: General Freight Trucking</t>
  </si>
  <si>
    <t>4859: Other Transit and Ground Passenger Transportation</t>
  </si>
  <si>
    <t>4869: Other Pipeline Transportation</t>
  </si>
  <si>
    <t>4911: Postal Service</t>
  </si>
  <si>
    <t>4921: Couriers and Express Delivery Services</t>
  </si>
  <si>
    <t>4931: Warehousing and Storage</t>
  </si>
  <si>
    <t>5416: Management, Scientific, and Technical Consulting Services</t>
  </si>
  <si>
    <t>5417: Scientific Research and Development Services</t>
  </si>
  <si>
    <t>5418: Advertising, Public Relations, and Related Services</t>
  </si>
  <si>
    <t>5419: Other Professional, Scientific, and Technical Services</t>
  </si>
  <si>
    <t>5511: Management of Companies and Enterprises</t>
  </si>
  <si>
    <r>
      <rPr>
        <b/>
        <i/>
        <sz val="10"/>
        <rFont val="Arial"/>
        <family val="2"/>
      </rPr>
      <t>Investee organization</t>
    </r>
    <r>
      <rPr>
        <sz val="10"/>
        <rFont val="Arial"/>
        <family val="2"/>
      </rPr>
      <t xml:space="preserve"> - for the user to track various investments</t>
    </r>
  </si>
  <si>
    <r>
      <rPr>
        <b/>
        <i/>
        <sz val="10"/>
        <rFont val="Arial"/>
        <family val="2"/>
      </rPr>
      <t>Investee company’s sector(s) of operation</t>
    </r>
    <r>
      <rPr>
        <sz val="10"/>
        <rFont val="Arial"/>
        <family val="2"/>
      </rPr>
      <t xml:space="preserve"> - select from ≈200 different sectors of the economy in which the investee is engaged</t>
    </r>
    <r>
      <rPr>
        <i/>
        <sz val="10"/>
        <rFont val="Arial"/>
        <family val="2"/>
      </rPr>
      <t xml:space="preserve"> (see adjacent tab: "Cat 15 descriptions")</t>
    </r>
  </si>
  <si>
    <r>
      <rPr>
        <b/>
        <sz val="10"/>
        <rFont val="Arial"/>
        <family val="2"/>
      </rPr>
      <t>Total Revenue of Investee in reporting year (in given sector)</t>
    </r>
    <r>
      <rPr>
        <sz val="10"/>
        <rFont val="Arial"/>
        <family val="2"/>
      </rPr>
      <t xml:space="preserve"> - data likely available from equity manager or from individual investee 10-K financial document</t>
    </r>
  </si>
  <si>
    <r>
      <t>Investee’s percent of revenue in sector in reporting year</t>
    </r>
    <r>
      <rPr>
        <sz val="10"/>
        <rFont val="Arial"/>
        <family val="2"/>
      </rPr>
      <t xml:space="preserve"> - </t>
    </r>
  </si>
  <si>
    <r>
      <t>Total EVIC (enterprise value including cash) of investee in reporting year ($)</t>
    </r>
    <r>
      <rPr>
        <sz val="10"/>
        <rFont val="Arial"/>
        <family val="2"/>
      </rPr>
      <t xml:space="preserve"> - this is the total valuation of the investee in reporting year</t>
    </r>
  </si>
  <si>
    <r>
      <rPr>
        <b/>
        <i/>
        <sz val="10"/>
        <rFont val="Arial"/>
        <family val="2"/>
      </rPr>
      <t>Total invested with investee during year of inventory ($)</t>
    </r>
    <r>
      <rPr>
        <b/>
        <sz val="10"/>
        <rFont val="Arial"/>
        <family val="2"/>
      </rPr>
      <t xml:space="preserve"> </t>
    </r>
    <r>
      <rPr>
        <sz val="10"/>
        <rFont val="Arial"/>
        <family val="2"/>
      </rPr>
      <t>- identify the funds invested in the reporting year</t>
    </r>
  </si>
  <si>
    <t>Investee organization</t>
  </si>
  <si>
    <t>Investee organization’s sector(s) of operation</t>
  </si>
  <si>
    <t>Total Revenue of Investee in reporting year
(in given sector)</t>
  </si>
  <si>
    <t>Investee’s percent of revenue in sector in reporting year</t>
  </si>
  <si>
    <t>Total EVIC (enterprise value including cash) of investee in reporting year ($)</t>
  </si>
  <si>
    <t>Total invested with investee in reporting year ($)</t>
  </si>
  <si>
    <t>Share of equity (percent)</t>
  </si>
  <si>
    <t>Emission Factor
(kg CO2e/$) - inflation adjusted</t>
  </si>
  <si>
    <t>Category 15: Investments - Industry Descriptions</t>
  </si>
  <si>
    <t>Industry Name</t>
  </si>
  <si>
    <t>Industry Description</t>
  </si>
  <si>
    <t xml:space="preserve">Oilseed farming. This industry comprises establishments primarily engaged in growing oilseed crops. These crops have an annual life cycle and are typically grown in open fields. </t>
  </si>
  <si>
    <t xml:space="preserve">Animal production, except cattle and poultry and eggs'. Industries in the Animal Production and Aquaculture subsector raise or fatten animals for the sale of animals or animal products and/or raise aquatic plants and animals in controlled or selected aquatic environments for the sale of aquatic plants, animals, or their products. The subsector includes establishments, such as ranches, farms, and feedlots, primarily engaged in keeping, grazing, breeding, or feeding animals. These animals are kept for the products they produce or for eventual sale. The animals are generally raised in various environments, from total confinement or captivity to feeding on an open range pasture.  The industries in this subsector are grouped by important factors, such as suitable grazing or pasture land, specialized buildings, type of equipment, and the amount and types of labor required. Establishments are classified in the Animal Production and Aquaculture subsector when animal production (i.e., value of animals for market) accounts for one-half or more of the establishment's total agricultural production. Establishments with one-half or more animal production with no one animal product or family of animal products of an industry accounting for one-half of the establishment's agricultural production are treated as combination animal farming classified in Industry 11299, All Other Animal Production. </t>
  </si>
  <si>
    <t xml:space="preserve">Transportation structures and highways and streets'. This industry comprises construction of transportation structures, including bridges, roads, highways, and streets. </t>
  </si>
  <si>
    <t xml:space="preserve">Building material and garden equipment and supplies dealers. This industry group comprises (1) Building Material and Supplies Dealers and (2) Lawn and Garden Equipment and Supplies Stores. </t>
  </si>
  <si>
    <t xml:space="preserve">Health and personal care stores. This industry group comprises Health and Personal Care Stores. </t>
  </si>
  <si>
    <t xml:space="preserve">Gasoline stations. This industry group comprises Gasoline Stations. </t>
  </si>
  <si>
    <t xml:space="preserve">Clothing and clothing accessories stores. This industry group comprises Clothing and Clothing Accessories Stores. </t>
  </si>
  <si>
    <t xml:space="preserve">Nonstore retailers. This industry group comprises Nonstore Retailers. </t>
  </si>
  <si>
    <t>Truck transportation'. Industries in the Truck Transportation subsector provide over-the-road transportation of cargo using motor vehicles, such as trucks and tractor trailers. The subsector is subdivided into general freight trucking and specialized freight trucking. This distinction reflects differences in equipment used, type of load carried, scheduling, terminal, and other networking services. General freight transportation establishments handle a wide variety of general commodities, generally palletized, and transported in a container or van trailer. Specialized freight transportation is the transportation of cargo that, because of size, weight, shape, or other inherent characteristics require specialized equipment for transportation. Each of these industry groups is further subdivided based on distance traveled. Local trucking establishments primarily carry goods within a single metropolitan area and its adjacent nonurban areas. Long distance trucking establishments carry goods between metropolitan areas. The Specialized Freight Trucking industry group includes a separate industry for Used Household and Office Goods Moving. The household and office goods movers are separated because of the substantial network of establishments that has developed to deal with local and long-distance moving and the associated storage. In this area, the same establishment provides both local and long-distance services, while other specialized freight establishments generally limit their services to either local or long-distance hauling.</t>
  </si>
  <si>
    <t>Pipeline transportation'. Industries in the Pipeline Transportation subsector use transmission pipelines to transport products, such as crude oil, natural gas, refined petroleum products, and slurry. Industries are identified based on the products transported (i.e., pipeline transportation of crude oil, natural gas, refined petroleum products, and other products). The Pipeline Transportation of Natural Gas industry includes the storage of natural gas because the storage is usually done by the pipeline establishment and because a pipeline is inherently a network in which all the nodes are interdependent.</t>
  </si>
  <si>
    <t>Postal service'. The Postal Service subsector includes the activities of the National Post Office and its subcontractors operating under a universal service obligation to provide mail services, and using the infrastructure required to fulfill that obligation. These services include delivering letters and small parcels. These articles can be described as those that can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distinguishes these establishments from those in the transportation industries. These establishments may also provide express delivery services using the infrastructure established for provision of basic mail services. The traditional activity of the National Postal Service is described in this subsector. Subcontractors include rural post offices on contract to the Postal Service. Bulk transportation of mail on contract to the Postal Service is not included here, because it is usually done by transportation establishments that carry other customers' cargo as well. Establishments that provide courier and express delivery services without operating under a universal service obligation are classified in subsector 492, Couriers and Messengers.</t>
  </si>
  <si>
    <t>Couriers and messengers'. Industries in the Couriers and Messengers subsector provide intercity and/or local delivery of parcels and documents (including express delivery services) without operating under a universal service obligation. These articles can be described as those that may be handled by one person without using special equipment. This allows the collection, pick-up, and delivery operations to be done with limited labor costs and minimal equipment. Sorting and transportation activities, where necessary, are generally mechanized. The restriction to small parcels partly distinguishes these establishments from those in the transportation industries. The complete network of courier services establishments also distinguishes these transportation services from local messenger and delivery establishments in this subsector. This includes the establishments that perform intercity transportation as well as establishments that, under contract to them, perform local pick-up and delivery. Messengers, which usually deliver within a metropolitan or single urban area, may use bicycle, foot, small truck, or van.</t>
  </si>
  <si>
    <t>Warehousing and storage'. Industries in the Warehousing and Storage subsector are primarily engaged in operating warehousing and storage facilities for general merchandise, refrigerated goods, and other warehouse products. These establishments provide facilities to store goods. They do not sell the goods they handle. These establishments take responsibility for storing the goods and keeping them secure. They may also provide a range of services, often referred to as logistics services, related to the distribution of goods. Logistics services can include labeling, breaking bulk, inventory control and management, light assembly, order entry and fulfillment, packaging, pick and pack, price marking and ticketing, and transportation arrangement. However, establishments in this industry group always provide warehousing or storage services in addition to any logistic services. Furthermore, the warehousing or storage of goods must be more than incidental to the performance of services, such as price marking. Bonded warehousing and storage services and warehouses located in free trade zones are included in the industries of this subsector.</t>
  </si>
  <si>
    <t xml:space="preserve">Satellite, telecommunications resellers, and all other telecommunications'. Industries in the Telecommunications subsector group establishments that provide telecommunications and the services related to that activity (e.g., telephony, including Voice over Internet Protocol (VoIP); cable and satellite television distribution services; Internet access; telecommunications reselling services). The Telecommunications subsector is primarily engaged in operating, and/or providing access to facilities for the transmission of voice, data, text, sound, and video. Transmission facilities may be based on a single technology or a combination of technologies. Establishments in the Telecommunications subsector are grouped into four industry groups. The first three are comprised of establishments that operate transmission facilities and infrastructure that they own and/or lease, and provide telecommunications services using those facilities. The distinction among the first three industry groups is the type of infrastructure operated (i.e., wired, wireless, or satellite). The fourth industry group is comprised of establishments that provide support activities, telecommunications reselling services, or many of the same services provided by establishments in the first three industry groups, but do not operate as telecommunications carriers. </t>
  </si>
  <si>
    <t xml:space="preserve">Monetary authorities and depository credit intermediation'. The Finance and Insurance sector comprises establishments primarily engaged in financial transactions (transactions involving the creation, liquidation, or change in ownership of financial assets) and/or in facilitating financial transactions. Three principal types of activities are identified   1. Raising funds by taking deposits and/or issuing securities and, in the process, incurring liabilities. Establishments engaged in this activity use raised funds to acquire financial assets by making loans and/or purchasing securities. Putting themselves at risk, they channel funds from lenders to borrowers and transform or repackage the funds with respect to maturity, scale, and risk. This activity is known as financial intermediation.   2. Pooling of risk by underwriting insurance and annuities. Establishments engaged in this activity collect fees, insurance premiums, or annuity considerations; build up reserves; invest those reserves; and make contractual payments. Fees are based on the expected incidence of the insured risk and the expected return on investment.   3. Providing specialized services facilitating or supporting financial intermediation, insurance, and employee benefit programs.   In addition, monetary authorities charged with monetary control are included in this sector.   The subsectors, industry groups, and industries within the NAICS Finance and Insurance sector are defined on the basis of their unique production processes. As with all industries, the production processes are distinguished by their use of specialized human resources and specialized physical capital. In addition, the way in which these establishments acquire and allocate financial capital, their source of funds, and the use of those funds provides a third basis for distinguishing characteristics of the production process. For instance, the production process in raising funds through deposit-taking is different from the process of raising funds in bond or money markets. The process of making loans to individuals also requires different production processes than does the creation of investment pools or the underwriting of securities.   Most of the Finance and Insurance subsectors contain one or more industry groups of (1) intermediaries with similar patterns of raising and using funds and (2) establishments engaged in activities that facilitate, or are otherwise related to, that type of financial or insurance intermediation. Industries within this sector are defined in terms of activities for which a production process can be specified, and many of these activities are not exclusive to a particular type of financial institution. To deal with the varied activities taking place within existing financial institutions, the approach is to split these institutions into components performing specialized services. This requires defining the units engaged in providing those services and developing procedures that allow for their delineation. These units are the equivalents for finance and insurance of the establishments defined for other industries.   The output of many financial services, as well as the inputs and the processes by which they are combined, cannot be observed at a single location and can only be defined at a higher level of the organizational structure of the enterprise. Additionally, a number of independent activities that represent separate and distinct production processes may take place at a single location belonging to a multilocation financial firm. Activities are more likely to be homogeneous with respect to production characteristics than are locations, at least in financial services. The classification defines activities broadly enough that it can be used both by those classifying by location and by those employing a more top-down approach to the delineation of the establishment.   Establishments engaged in activities that facilitate, or are otherwise related to, the various types of intermediation have been included in individual subsectors, rather than in a separate subsector dedicated to services alone because these services are performed by intermediaries, as well as by specialist establishments, the extent to which the activity of the intermediaries can be separately identified is not clear.   The Finance and Insurance sector has been defined to encompass establishments primarily engaged in financial transactions; that is, transactions involving the creation, liquidation, change in ownership of financial assets; or in facilitating financial transactions. Financial industries are extensive users of electronic means for facilitating the verification of financial balances, authorizing transactions, transferring funds to and from transactors accounts, notifying banks (or credit card issuers) of the individual transactions, and providing daily summaries. Since these transaction processing activities are integral to the production of finance and insurance services, establishments that principally provide a financial transaction processing service are classified to this sector, rather than to the data processing industry in the Information sector.   Legal entities that hold portfolios of assets on behalf of others are significant and data on them are required for a variety of purposes. Thus for NAICS, these funds, trusts, and other financial vehicles are the fifth subsector of the Finance and Insurance sector. These entities earn interest, dividends, and other property income, but have little or no employment and no revenue from the sale of services. Separate establishments and employees devoted to the management of funds are classified in Industry Group 5239, Other Financial Investment Activities. </t>
  </si>
  <si>
    <t xml:space="preserve">Nondepository credit intermediation and related activities'. Industries in the Credit Intermediation and Related Activities subsector group establishments that (1) lend funds raised from depositors; (2) lend funds raised from credit market borrowing; or (3) facilitate the lending of funds or issuance of credit by engaging in such activities as mortgage and loan brokerage, clearinghouse and reserve services, and check cashing services. </t>
  </si>
  <si>
    <t xml:space="preserve">Securities and commodity contracts intermediation and brokerage'. Industries in the Securities, Commodity Contracts, and Other Financial Investments and Related Activities subsector group establishments that are primarily engaged in one of the following (1) underwriting securities issues and/or making markets for securities and commodities; (2) acting as agents (i.e., brokers) between buyers and sellers of securities and commodities; (3) providing securities and commodity exchange services; and (4) providing other services, such as managing portfolios of assets; providing investment advice; and trust, fiduciary, and custody services. </t>
  </si>
  <si>
    <t>Direct life insurance carriers'. This industry group comprises establishments primarily engaged in initially underwriting (i.e., assuming the risk and assigning premiums) annuities and life insurance policies, disability income insurance policies, and accidental death and dismemberment insurance policies.</t>
  </si>
  <si>
    <t xml:space="preserve">Consumer goods and general rental centers'. The Real Estate and Rental and Leasing sector comprises establishments primarily engaged in renting, leasing, or otherwise allowing the use of tangible or intangible assets, and establishments providing related services. The major portion of this sector comprises establishments that rent, lease, or otherwise allow the use of their own assets by others. The assets may be tangible, as is the case of real estate and equipment, or intangible, as is the case with patents and trademarks.   This sector also includes establishments primarily engaged in managing real estate for others, selling, renting and/or buying real estate for others, and appraising real estate. These activities are closely related to this sectors main activity, and it was felt that from a production basis they would best be included here. In addition, a substantial proportion of property management is self-performed by lessors.   The main components of this sector are the real estate lessors industries (including equity real estate investment trusts (REITs)); equipment lessors industries (including motor vehicles, computers, and consumer goods); and lessors of nonfinancial intangible assets (except copyrighted works).   Excluded from this sector are establishments primarily engaged in renting or leasing equipment with operators. Establishments renting or leasing equipment with operators are classified in various subsectors of NAICS depending on the nature of the services provided (e.g., transportation, construction, agriculture). These activities are excluded from this sector because the client is paying for the expertise and knowledge of the equipment operator, in addition to the rental of the equipment. In many cases, such as the rental of heavy construction equipment, the operator is essential to operate the equipment. </t>
  </si>
  <si>
    <t>Commercial and industrial machinery and equipment rental and leasing. This industry group comprises establishments primarily engaged in renting or leasing commercial-type and industrial-type machinery and equipment. The types of establishments included in this industry group are generally involved in providing capital or investment-type equipment that clients use in their business operations. These establishments typically cater to a business clientele and do not generally operate a retail-like or store-front facility.Commercial and industrial machinery and equipment rental and leasing. This industry group comprises establishments primarily engaged in renting or leasing commercial-type and industrial-type machinery and equipment. The types of establishments included in this industry group are generally involved in providing capital or investment-type equipment that clients use in their business operations. These establishments typically cater to a business clientele and do not generally operate a retail-like or store-front facility.</t>
  </si>
  <si>
    <t>Management consulting services'. This industry comprises establishments primarily engaged in providing advice and assistance to businesses and other organizations on management issues, such as strategic and organizational planning; financial planning and budgeting; marketing objectives and policies; human resource policies, practices, and planning; production scheduling; and control planning.</t>
  </si>
  <si>
    <t>Scientific research and development services'. This industry group comprises establishments engaged in conducting original investigation undertaken on a systematic basis to gain new knowledge (research) and/or the application of research findings or other scientific knowledge for the creation of new or significantly improved products or processes (experimental development). The industries within this industry group are defined on the basis of the domain of research; that is, on the scientific expertise of the establishment.</t>
  </si>
  <si>
    <t>Advertising, public relations, and related services'. This industry group comprises (1) Advertising Agencies, (2) Public Relations Agencies, (3) Media Buying Agencies, (4) Media Representatives, (5) Display Advertising, (6) Direct Mail Advertising, (7) Advertising Material Distribution Services, and (8) Other Services Related to Advertising.</t>
  </si>
  <si>
    <t>Photographic services'. This industry comprises establishments primarily engaged in providing still, video, or digital photography services. These establishments may specialize in a particular field of photography, such as commercial and industrial photography, portrait photography, and special events photography. Commercial or portrait photography studios are included in this industry.</t>
  </si>
  <si>
    <t>Management of companies and enterprises'. The Management of Companies and Enterprises sector comprises (1) establishments that hold the securities of (or other equity interests in) companies and enterprises for the purpose of owning a controlling interest or influencing management decisions or (2) establishments (except government establishments) that administer, oversee, and manage establishments of the company or enterprise and that normally undertake the strategic or organizational planning and decision making role of the company or enterprise. Establishments that administer, oversee, and manage may hold the securities of the company or enterprise. Establishments in this sector perform essential activities that are often undertaken, in-house, by establishments in many sectors of the economy. By consolidating the performance of these activities of the enterprise at one establishment, economies of scale are achieved. Government establishments primarily engaged in administering, overseeing, and managing governmental programs are classified in Sector 92, Public Administration. Establishments primarily engaged in providing a range of day-to-day office administrative services, such as financial planning, billing and recordkeeping, personnel, and physical distribution and logistics are classified in Industry 56111, Office Administrative Services.</t>
  </si>
  <si>
    <t xml:space="preserve">Nursing and community care facilities'. The Health Care and Social Assistance sector comprises establishments providing health care and social assistance for individuals. The sector includes both health care and social assistance because it is sometimes difficult to distinguish between the boundaries of these two activities. The industries in this sector are arranged on a continuum starting with those establishments providing medical care exclusively, continuing with those providing health care and social assistance, and finally finishing with those providing only social assistance. The services provided by establishments in this sector are delivered by trained professionals. All industries in the sector share this commonality of process, namely, labor inputs of health practitioners or social workers with the requisite expertise. Many of the industries in the sector are defined based on the educational degree held by the practitioners included in the industry.   Excluded from this sector are aerobic classes in Subsector 713, Amusement, Gambling and Recreation Industries and nonmedical diet and weight reducing centers in Subsector 812, Personal and Laundry Services. Although these can be viewed as health services, these services are not typically delivered by health practitioners. </t>
  </si>
  <si>
    <t xml:space="preserve">Residential mental retardation, mental health, substance abuse and other facilities'. The Health Care and Social Assistance sector comprises establishments providing health care and social assistance for individuals. The sector includes both health care and social assistance because it is sometimes difficult to distinguish between the boundaries of these two activities. The industries in this sector are arranged on a continuum starting with those establishments providing medical care exclusively, continuing with those providing health care and social assistance, and finally finishing with those providing only social assistance. The services provided by establishments in this sector are delivered by trained professionals. All industries in the sector share this commonality of process, namely, labor inputs of health practitioners or social workers with the requisite expertise. Many of the industries in the sector are defined based on the educational degree held by the practitioners included in the industry.   Excluded from this sector are aerobic classes in Subsector 713, Amusement, Gambling and Recreation Industries and nonmedical diet and weight reducing centers in Subsector 812, Personal and Laundry Services. Although these can be viewed as health services, these services are not typically delivered by health practitioners. </t>
  </si>
  <si>
    <t xml:space="preserve">Community food, housing, and other relief services, including rehabilitation services'. The Health Care and Social Assistance sector comprises establishments providing health care and social assistance for individuals. The sector includes both health care and social assistance because it is sometimes difficult to distinguish between the boundaries of these two activities. The industries in this sector are arranged on a continuum starting with those establishments providing medical care exclusively, continuing with those providing health care and social assistance, and finally finishing with those providing only social assistance. The services provided by establishments in this sector are delivered by trained professionals. All industries in the sector share this commonality of process, namely, labor inputs of health practitioners or social workers with the requisite expertise. Many of the industries in the sector are defined based on the educational degree held by the practitioners included in the industry.   Excluded from this sector are aerobic classes in Subsector 713, Amusement, Gambling and Recreation Industries and nonmedical diet and weight reducing centers in Subsector 812, Personal and Laundry Services. Although these can be viewed as health services, these services are not typically delivered by health practitioners. </t>
  </si>
  <si>
    <t xml:space="preserve">Promoters of performing arts and sports and agents for public figures'. The Arts, Entertainment, and Recreation sector includes a wide range of establishments that operate facilities or provide services to meet varied cultural, entertainment, and recreational interests of their patrons. This sector comprises (1) establishments that are involved in producing, promoting, or participating in live performances, events, or exhibits intended for public viewing; (2) establishments that preserve and exhibit objects and sites of historical, cultural, or educational interest; and (3) establishments that operate facilities or provide services that enable patrons to participate in recreational activities or pursue amusement, hobby, and leisure-time interests.   Some establishments that provide cultural, entertainment, or recreational facilities and services are classified in other sectors. Excluded from this sector are (1) establishments that provide both accommodations and recreational facilities, such as hunting and fishing camps and resort and casino hotels are classified in Subsector 721, Accommodation; (2) restaurants and night clubs that provide live entertainment in addition to the sale of food and beverages are classified in Subsector 722, Food Services and Drinking Places; (3) motion picture theaters, libraries and archives, and publishers of newspapers, magazines, books, periodicals, and computer software are classified in Sector 51, Information; and (4) establishments using transportation equipment to provide recreational and entertainment services, such as those operating sightseeing buses, dinner cruises, or helicopter rides, are classified in Subsector 487, Scenic and Sightseeing Transportation. </t>
  </si>
  <si>
    <t xml:space="preserve">All other food and drinking places'. The Accommodation and Food Services sector comprises establishments providing customers with lodging and/or preparing meals, snacks, and beverages for immediate consumption. The sector includes both accommodation and food services establishments because the two activities are often combined at the same establishment.   Excluded from this sector are civic and social organizations; amusement and recreation parks; theaters; and other recreation or entertainment facilities providing food and beverage services. </t>
  </si>
  <si>
    <t xml:space="preserve">Grantmaking, giving, and social advocacy organizations'. The Other Services (except Public Administration) sector comprises establishments engaged in providing services not specifically provided for elsewhere in the classification system. Establishments in this sector are primarily engaged in activities, such as equipment and machinery repairing, promoting or administering religious activities, grantmaking, advocacy, and providing drycleaning and laundry services, personal care services, death care services, pet care services, photofinishing services, temporary parking services, and dating services.   Private households that engage in employing workers on or about the premises in activities primarily concerned with the operation of the household are included in this sector.   Excluded from this sector are establishments primarily engaged in retailing new equipment and also performing repairs and general maintenance on equipment. These establishments are classified in Sector 44-45, Retail Trade. </t>
  </si>
  <si>
    <t xml:space="preserve">Civic, social, professional, and similar organizations'. The Other Services (except Public Administration) sector comprises establishments engaged in providing services not specifically provided for elsewhere in the classification system. Establishments in this sector are primarily engaged in activities, such as equipment and machinery repairing, promoting or administering religious activities, grantmaking, advocacy, and providing drycleaning and laundry services, personal care services, death care services, pet care services, photofinishing services, temporary parking services, and dating services.   Private households that engage in employing workers on or about the premises in activities primarily concerned with the operation of the household are included in this sector.   Excluded from this sector are establishments primarily engaged in retailing new equipment and also performing repairs and general maintenance on equipment. These establishments are classified in Sector 44-45, Retail Trade. </t>
  </si>
  <si>
    <t xml:space="preserve">Junior colleges, colleges, universities, and professional schools'. The Educational Services sector comprises establishments that provide instruction and training in a wide variety of subjects. This instruction and training is provided by specialized establishments, such as schools, colleges, universities, and training centers. These establishments may be privately owned and operated for profit or not for profit, or they may be publicly owned and operated. They may also offer food and/or accommodation services to their students.   Educational services are usually delivered by teachers or instructors that explain, tell, demonstrate, supervise, and direct learning. Instruction is imparted in diverse settings, such as educational institutions, the workplace, or the home, and through diverse means, such as correspondence, television, the Internet, or other electronic and distance-learning methods. The training provided by these establishments may include the use of simulators and simulation methods. It can be adapted to the particular needs of the students, for example sign language can replace verbal language for teaching students with hearing impairments. All industries in the sector share this commonality of process, namely, labor inputs of instructors with the requisite subject matter expertise and teaching ability. </t>
  </si>
  <si>
    <r>
      <t xml:space="preserve">U.S. EPA (2023). Ingwersen, W. AND M. Li. </t>
    </r>
    <r>
      <rPr>
        <i/>
        <sz val="11"/>
        <color theme="1"/>
        <rFont val="Arial"/>
        <family val="2"/>
        <scheme val="major"/>
      </rPr>
      <t>Supply Chain Greenhouse Gas Emission Factors for US Industries and Commodities v1.2</t>
    </r>
    <r>
      <rPr>
        <sz val="11"/>
        <color theme="1"/>
        <rFont val="Arial"/>
        <family val="2"/>
        <scheme val="major"/>
      </rPr>
      <t>. U.S. Environmental Protection Agency, Washington, DC, EPA/600/R-20/001, 2023.</t>
    </r>
  </si>
  <si>
    <t>https://cfpub.epa.gov/si/si_public_record_Report.cfm?dirEntryId=349324&amp;Lab=CESER</t>
  </si>
  <si>
    <t xml:space="preserve">Table 1, Table 2, and Table 3 (Upstream Emissions): </t>
  </si>
  <si>
    <t xml:space="preserve">Department for Energy Security and Net Zero (DESNZ) and Department for Business, Energy &amp; Industrial Strategy (BEIS) 2023. </t>
  </si>
  <si>
    <t>UK Government Conversion Factors for Company Reporting: Year 2021, Version 1.0. https://www.gov.uk/government/collections/government-conversion-factors-for-company-reporting</t>
  </si>
  <si>
    <r>
      <t xml:space="preserve">WTT- fuels' tab for Table 1; 'WTT- UK &amp; overseas elec' tab; </t>
    </r>
    <r>
      <rPr>
        <i/>
        <sz val="11"/>
        <color theme="1"/>
        <rFont val="Arial"/>
        <family val="2"/>
        <scheme val="major"/>
      </rPr>
      <t>WTT- overseas electricity (generation)</t>
    </r>
    <r>
      <rPr>
        <sz val="11"/>
        <color theme="1"/>
        <rFont val="Arial"/>
        <family val="2"/>
        <scheme val="major"/>
      </rPr>
      <t xml:space="preserve"> for Table 2 and </t>
    </r>
    <r>
      <rPr>
        <i/>
        <sz val="11"/>
        <color theme="1"/>
        <rFont val="Arial"/>
        <family val="2"/>
        <scheme val="major"/>
      </rPr>
      <t>WTT- overseas electricity (T&amp;D)</t>
    </r>
    <r>
      <rPr>
        <sz val="11"/>
        <color theme="1"/>
        <rFont val="Arial"/>
        <family val="2"/>
        <scheme val="major"/>
      </rPr>
      <t xml:space="preserve"> for Table 3.</t>
    </r>
  </si>
  <si>
    <t>WTT = Well-to-tank</t>
  </si>
  <si>
    <t>Table 3 (Generation Emission): IEA (2023), Emission Factors. International Energy Agency (IEA) 2023. IEA GHG Emissions from Electricity Generation (Year 2021 data).</t>
  </si>
  <si>
    <r>
      <t xml:space="preserve">U.S. EPA (2024). United States Environmental Protection Agency, Center for Corporate Climate Leadership. </t>
    </r>
    <r>
      <rPr>
        <i/>
        <sz val="11"/>
        <color theme="1"/>
        <rFont val="Arial"/>
        <family val="2"/>
        <scheme val="major"/>
      </rPr>
      <t>Emission Factors for Greenhouse Gas Inventories</t>
    </r>
    <r>
      <rPr>
        <sz val="11"/>
        <color theme="1"/>
        <rFont val="Arial"/>
        <family val="2"/>
        <scheme val="major"/>
      </rPr>
      <t>. Retrieved February 2024 from https://www.epa.gov/climateleadership/ghg-emission-factors-hub.</t>
    </r>
  </si>
  <si>
    <t>Category 9: Downstream Transportation and Distribution</t>
  </si>
  <si>
    <t>Bureau of Transportation Statistics Commute Mode data by percent by state (2022). Retrieved 2023. https://www.bts.gov/browse-statistical-products-and-data/state-transportation-statistics/commute-mode</t>
  </si>
  <si>
    <t>Commutes Across America (Streetlightdata). Retrieved 2023. https://www.streetlightdata.com/wp-content/uploads/2018/03/Commutes-Across-America_180201.pdf</t>
  </si>
  <si>
    <t>U.S. Energy Information Administration (2018), Commercial Buildings Energy Consumption Survey (CBECS). Retrieved 2023. https://www.eia.gov/consumption/commercial/data/2018/</t>
  </si>
  <si>
    <r>
      <t xml:space="preserve">U.S. EPA (2024). United States Environmental Protection Agency, Center for Corporate Climate Leadership. </t>
    </r>
    <r>
      <rPr>
        <i/>
        <sz val="11"/>
        <color theme="1"/>
        <rFont val="Arial"/>
        <family val="2"/>
        <scheme val="major"/>
      </rPr>
      <t>Emission Factors for Greenhouse Gas Inventories</t>
    </r>
    <r>
      <rPr>
        <sz val="11"/>
        <color theme="1"/>
        <rFont val="Arial"/>
        <family val="2"/>
        <scheme val="major"/>
      </rPr>
      <t>. Retrieved Februrary 2024 from https://www.epa.gov/climateleadership/ghg-emission-factors-hub.</t>
    </r>
  </si>
  <si>
    <t>U.S. EPA (2024). United States Environmental Protection Agency, Emissions &amp; Generation Resource Integrated Database (eGRID 2022). Retrieved Februrary 2024 from https://www.epa.gov/egrid</t>
  </si>
  <si>
    <t>Other General References (Scope 3 Emissions Accounting)</t>
  </si>
  <si>
    <r>
      <t xml:space="preserve">WRI/WBCSD (2011). </t>
    </r>
    <r>
      <rPr>
        <i/>
        <sz val="11"/>
        <color theme="1"/>
        <rFont val="Arial"/>
        <family val="2"/>
        <scheme val="major"/>
      </rPr>
      <t>Corporate Value Chain (Scope 3) Accounting and Reporting Standard.</t>
    </r>
    <r>
      <rPr>
        <sz val="11"/>
        <color theme="1"/>
        <rFont val="Arial"/>
        <family val="2"/>
        <scheme val="major"/>
      </rPr>
      <t xml:space="preserve"> </t>
    </r>
  </si>
  <si>
    <t>http://ghgprotocol.org/sites/default/files/standards/Corporate-Value-Chain-Accounting-Reporing-Standard_041613_2.pdf</t>
  </si>
  <si>
    <r>
      <t xml:space="preserve">WRI/WBCSD (2013). </t>
    </r>
    <r>
      <rPr>
        <i/>
        <sz val="11"/>
        <color theme="1"/>
        <rFont val="Arial"/>
        <family val="2"/>
        <scheme val="major"/>
      </rPr>
      <t xml:space="preserve">Technical Guidance for Calculating Scope 3 Emissions. </t>
    </r>
  </si>
  <si>
    <t>https://ghgprotocol.org/sites/default/files/standards/Scope3_Calculation_Guidance_0.pdf</t>
  </si>
  <si>
    <t>Conversion Factors</t>
  </si>
  <si>
    <t>tonne</t>
  </si>
  <si>
    <t>ton (UK)</t>
  </si>
  <si>
    <t>ton (US)</t>
  </si>
  <si>
    <t>Kilogram, kg</t>
  </si>
  <si>
    <t>tonne, t (metric ton)</t>
  </si>
  <si>
    <t>ton (UK, long ton)</t>
  </si>
  <si>
    <t>ton (US, short ton)</t>
  </si>
  <si>
    <t>Pound, lb</t>
  </si>
  <si>
    <t>L</t>
  </si>
  <si>
    <r>
      <t>m</t>
    </r>
    <r>
      <rPr>
        <b/>
        <vertAlign val="superscript"/>
        <sz val="11"/>
        <color indexed="56"/>
        <rFont val="Calibri"/>
        <family val="2"/>
      </rPr>
      <t>3</t>
    </r>
  </si>
  <si>
    <t>cu ft</t>
  </si>
  <si>
    <t>Imp. gallon</t>
  </si>
  <si>
    <t>Bbl (US,P)</t>
  </si>
  <si>
    <t>Litres, L</t>
  </si>
  <si>
    <r>
      <t>Cubic metres, m</t>
    </r>
    <r>
      <rPr>
        <b/>
        <vertAlign val="superscript"/>
        <sz val="11"/>
        <color indexed="56"/>
        <rFont val="Calibri"/>
        <family val="2"/>
      </rPr>
      <t>3</t>
    </r>
  </si>
  <si>
    <t>Cubic feet, cu ft</t>
  </si>
  <si>
    <t>Imperial gallon</t>
  </si>
  <si>
    <t>Barrel (US, petroleum), bbl</t>
  </si>
  <si>
    <t>GJ</t>
  </si>
  <si>
    <t>kWh</t>
  </si>
  <si>
    <t>therm</t>
  </si>
  <si>
    <t>toe</t>
  </si>
  <si>
    <t>kcal</t>
  </si>
  <si>
    <t>Gigajoule, GJ</t>
  </si>
  <si>
    <t>Kilowatt-hour, kWh</t>
  </si>
  <si>
    <t>Tonne oil equivalent, toe</t>
  </si>
  <si>
    <t>Kilocalorie, kcal</t>
  </si>
  <si>
    <t>Results from Scope 1 &amp; 2 inventory will auto-populate here</t>
  </si>
  <si>
    <r>
      <t>a.</t>
    </r>
    <r>
      <rPr>
        <sz val="7"/>
        <color rgb="FF000000"/>
        <rFont val="Times New Roman"/>
        <family val="1"/>
      </rPr>
      <t xml:space="preserve">     </t>
    </r>
    <r>
      <rPr>
        <sz val="10"/>
        <color rgb="FF000000"/>
        <rFont val="Arial"/>
        <family val="2"/>
      </rPr>
      <t>New Scope 3 tool issues</t>
    </r>
  </si>
  <si>
    <r>
      <t>1.</t>
    </r>
    <r>
      <rPr>
        <sz val="7"/>
        <color rgb="FF000000"/>
        <rFont val="Times New Roman"/>
        <family val="1"/>
      </rPr>
      <t xml:space="preserve">     </t>
    </r>
    <r>
      <rPr>
        <sz val="10"/>
        <color rgb="FF000000"/>
        <rFont val="Arial"/>
        <family val="2"/>
      </rPr>
      <t>Table 1b- No output</t>
    </r>
  </si>
  <si>
    <r>
      <t>2.</t>
    </r>
    <r>
      <rPr>
        <sz val="7"/>
        <color rgb="FF000000"/>
        <rFont val="Times New Roman"/>
        <family val="1"/>
      </rPr>
      <t xml:space="preserve">     </t>
    </r>
    <r>
      <rPr>
        <sz val="10"/>
        <color rgb="FF000000"/>
        <rFont val="Arial"/>
        <family val="2"/>
      </rPr>
      <t>Table 2b- No output</t>
    </r>
  </si>
  <si>
    <t>change to "General" format (from "Number")</t>
  </si>
  <si>
    <t>Done</t>
  </si>
  <si>
    <t>ACTION ITEMS</t>
  </si>
  <si>
    <t>For Adding Custom Data and Custom Emissions Factors Provided by Supply Chain Partner or Other</t>
  </si>
  <si>
    <t>Update with drop-down fuel selection in "Cat 3 Fuel &amp; Energy"</t>
  </si>
  <si>
    <t>widen columns to accommodate
ENGIE to revisit and ensure formulas in all cells
New sub-tables in "Custom Emissions Inputs - other": 1) custom data and EFs; 2) custom emissions totals
Waste as well here</t>
  </si>
  <si>
    <t>Need to fix this</t>
  </si>
  <si>
    <t>Yes, this is in the custom input sheet</t>
  </si>
  <si>
    <t>Need to fix this - all drop-down menus</t>
  </si>
  <si>
    <t>see above</t>
  </si>
  <si>
    <t>add drop-down for countries (and for unknown)
hotel factors are correct</t>
  </si>
  <si>
    <t>Custom Other tab- Column E is ##### if the number is too big. Also, it doesn’t calculate the total. Should it?</t>
  </si>
  <si>
    <t>Cat 1 and 2 slicer is before change log. Seems like it should be farther to the right.</t>
  </si>
  <si>
    <r>
      <t>Custom input if I put in .001, it shows up as .000</t>
    </r>
    <r>
      <rPr>
        <sz val="7"/>
        <color rgb="FF000000"/>
        <rFont val="Times New Roman"/>
        <family val="1"/>
      </rPr>
      <t xml:space="preserve"> </t>
    </r>
  </si>
  <si>
    <t>No total for Waste either.</t>
  </si>
  <si>
    <t>Cat 3- Column D- Should that be a pull down menu? Or should we have a key for types of fuels to input? Also, do we want pull down menu for unit of measurement? Therms, mmbtu, liters?</t>
  </si>
  <si>
    <t>Category 5- Pull down menu for Column C?  and Column D pull down menu is not working</t>
  </si>
  <si>
    <t>Category 4-I thought we were allowing for distance input? Is that to be done on the custom Other tab?</t>
  </si>
  <si>
    <t>Category 6 distance- Column C- do we want pull down menu?</t>
  </si>
  <si>
    <t>Column E- pull down for fuel type?</t>
  </si>
  <si>
    <t>Hotel- Pull down menu for country? And Australia vs Spain emission factor- 35 vs 7? </t>
  </si>
  <si>
    <t>STATUS</t>
  </si>
  <si>
    <t>Global Median</t>
  </si>
  <si>
    <t>done</t>
  </si>
  <si>
    <t>Category 8&amp;13</t>
  </si>
  <si>
    <t>Outpatient type (optional)</t>
  </si>
  <si>
    <t>column C in Tables 1b and 2b must be selected first</t>
  </si>
  <si>
    <t>MixedElectronics</t>
  </si>
  <si>
    <t>For Emissions Totals Provided by Supply Chain Partner (column H only)</t>
  </si>
  <si>
    <r>
      <t>Done (I think this may have been entered as .00</t>
    </r>
    <r>
      <rPr>
        <b/>
        <sz val="11"/>
        <color theme="1"/>
        <rFont val="Arial"/>
        <family val="2"/>
        <scheme val="minor"/>
      </rPr>
      <t>0</t>
    </r>
    <r>
      <rPr>
        <sz val="11"/>
        <color theme="1"/>
        <rFont val="Arial"/>
        <family val="2"/>
        <scheme val="minor"/>
      </rPr>
      <t>1, which is why it showed up as .000)</t>
    </r>
  </si>
  <si>
    <t>Logistics partner</t>
  </si>
  <si>
    <t>Waste management partner</t>
  </si>
  <si>
    <t>WM emissions report</t>
  </si>
  <si>
    <t>Concur emission report</t>
  </si>
  <si>
    <t>Charted flight emission factor</t>
  </si>
  <si>
    <t>Widened; added subtables for custom emissions other - cats 4-6</t>
  </si>
  <si>
    <t>note, drop-down options will appear once Haul length category is selected</t>
  </si>
  <si>
    <t>For "Cars by market segment" selection under Transportation Mode, see table to the right for descriptions to choose from in the Type column</t>
  </si>
  <si>
    <t>Version tracker</t>
  </si>
  <si>
    <t xml:space="preserve"> </t>
  </si>
  <si>
    <t>#</t>
  </si>
  <si>
    <t>Date</t>
  </si>
  <si>
    <t>Description</t>
  </si>
  <si>
    <t>Health Care Emissions Calculator-Facility</t>
  </si>
  <si>
    <t>April 2024</t>
  </si>
  <si>
    <t>June 2023</t>
  </si>
  <si>
    <t>Updated Scope 2 emission factors per region to 2021 EPA data set</t>
  </si>
  <si>
    <t>April 2023</t>
  </si>
  <si>
    <t>Launch of the 1st version of the Health Care Emissions Impact Calculator for US Health Systems</t>
  </si>
  <si>
    <t xml:space="preserve">*Scope 1 and 2 calculations are a part of the Climate Impact Checkup tool. </t>
  </si>
  <si>
    <t xml:space="preserve">*Scope 3 tool was developed by Engie Impact and Health Care Without Harm. </t>
  </si>
  <si>
    <t>ALL INFORMATION BELOW PERTAINS TO UPDATES OR CHANGES TO THE CLIMATE IMPACT CHECKUP TOOL</t>
  </si>
  <si>
    <t>3.3</t>
  </si>
  <si>
    <t>May 2022</t>
  </si>
  <si>
    <t>Second version merged with hotspot/scope3 supply chain tool prepared after pilot feedback.</t>
  </si>
  <si>
    <t>3.2</t>
  </si>
  <si>
    <t>March 2022</t>
  </si>
  <si>
    <t>Steam category inclusion with emission factors for US &amp; Canada. The rest of the countries can estimate the emissions by entering their specific parameters or the emission values.</t>
  </si>
  <si>
    <t>December 2021</t>
  </si>
  <si>
    <t>First version merged with hotspot/scope3 supply chain tool prepared to be pilot for feedback.</t>
  </si>
  <si>
    <t>December 2020</t>
  </si>
  <si>
    <t>This version includes the modifications done after the tool piloting carried out for feedback during the second semester of 2020. Main changes are:
* Waste categories as scope 1 or 3
* New categories of sources (Inhalers and T&amp;D losses)</t>
  </si>
  <si>
    <t>August 2020</t>
  </si>
  <si>
    <t>First global version: incorporation of grid emission factors for all countries, biofuel blends for countries for which information was found, along with the possibility of manual entry, and average values ​​of the waste composition of the IPCC (in the file "countries" there is more information about the literature review carried out to collect these data).
Incorporation of stationary (coal and fuel oil/bunker) and mobile (CNG) combustion fuels. Separation of anesthetic gases. Incorporation of means of transport (private CNG car and private CNG van) in employee transfers and work trips. Incorporation of the patient travel category. Incorporation within the tool of the forms of anesthetics and refrigerant gases.
Incorporation of notation keys and classification of establishments (auxiliary columns with blank content to be able to display and add results). Incorporation of new graphs of results.
Removed linkage with power tool, macros and coverage levels.</t>
  </si>
  <si>
    <t>Health Care Emissions Impact Calculator-Facility</t>
  </si>
  <si>
    <t>Welcome to the GHG calculation tool for healthcare institutions developed by Health Care Without Harm and Practice Greenhealth for a U.S. Health System or Facility. The calculator is going to calculate the GHG emissions for all Scope 1, 2, and 3 activities that fall under an organization's operational, financial or equity boundary.</t>
  </si>
  <si>
    <r>
      <rPr>
        <b/>
        <sz val="11"/>
        <color theme="1"/>
        <rFont val="Arial"/>
        <family val="2"/>
        <scheme val="minor"/>
      </rPr>
      <t>1- Select your US region</t>
    </r>
    <r>
      <rPr>
        <sz val="11"/>
        <color theme="1"/>
        <rFont val="Arial"/>
        <family val="2"/>
        <scheme val="minor"/>
      </rPr>
      <t xml:space="preserve"> </t>
    </r>
    <r>
      <rPr>
        <b/>
        <sz val="11"/>
        <color rgb="FFFF0000"/>
        <rFont val="Arial"/>
        <family val="2"/>
        <scheme val="minor"/>
      </rPr>
      <t>THIS IS REQUIRED TO GET RESULTS</t>
    </r>
  </si>
  <si>
    <t>US-AKMS (ASCC Miscellaneous)</t>
  </si>
  <si>
    <t>For assistance in determining your utility region, go to:</t>
  </si>
  <si>
    <t>2- Select the year of the greenhouse gas (GHG) inventory to be calculated</t>
  </si>
  <si>
    <t>EPA Egrid Power Profiler</t>
  </si>
  <si>
    <t>3- Contact information:</t>
  </si>
  <si>
    <t>Puerto Rico should choose the SPP South region. Other facilities</t>
  </si>
  <si>
    <t>Name</t>
  </si>
  <si>
    <t>outside the US that are uncertain of their region, please select grid MRO East</t>
  </si>
  <si>
    <t>Title</t>
  </si>
  <si>
    <t>Email</t>
  </si>
  <si>
    <t>You are ready to start calculating! Your next steps are:</t>
  </si>
  <si>
    <t>1- Complete the information required for Facility or System Data</t>
  </si>
  <si>
    <t>2- Then complete the information requested in Scope 1, 2 and 3 Data.</t>
  </si>
  <si>
    <t>3- When you have finished completing the Scope 1,2 and 3 Data, you can see the results of the GHG Inventory in the Results &amp; Summary tab and the Scope 3 Summary tab.</t>
  </si>
  <si>
    <t xml:space="preserve">Some clarifications: </t>
  </si>
  <si>
    <t>- Cells where you need to enter data are in green</t>
  </si>
  <si>
    <t xml:space="preserve">- Cells where you do not have to enter data are in grey </t>
  </si>
  <si>
    <t>Scope 1 and 2 Emissions:</t>
  </si>
  <si>
    <t>Scope 1 and 2 Tabs</t>
  </si>
  <si>
    <t>Scope 3 Emissions:</t>
  </si>
  <si>
    <t>Scope 3 Tabs</t>
  </si>
  <si>
    <t>*If you only have system-level data, this calculator will meet all your needs. Simply enter system-level data for each of the activities or categories in this calculator. If you want to track individual facility-level data, duplicate this excel calculator as many as 300 times and store all of your facility-level data files in one folder. You will then be able to import all of your individual facility data files into the Health Care Emissions Impact Calculator- System excel sheet in order to see your total organization's GHG emissions.</t>
  </si>
  <si>
    <t>If you would like to learn more about calculating your GHG emissions, check out these resources:</t>
  </si>
  <si>
    <t>EPA GHG Emissions Overview</t>
  </si>
  <si>
    <t>Greenhouse Gas Protocol</t>
  </si>
  <si>
    <t>If you are still in need of support, resources or guidance in order to develop your GHG inventory or GHG reduction action plan, consider becoming a Practice Greenhealth partner.</t>
  </si>
  <si>
    <t>Practice Greenhealth Membership Info</t>
  </si>
  <si>
    <t>General information</t>
  </si>
  <si>
    <t>Name of Facility</t>
  </si>
  <si>
    <t>Health System</t>
  </si>
  <si>
    <t>State/Province</t>
  </si>
  <si>
    <t>City</t>
  </si>
  <si>
    <t xml:space="preserve">Street Address </t>
  </si>
  <si>
    <t>Zip code/Postal code</t>
  </si>
  <si>
    <t>Type of facility</t>
  </si>
  <si>
    <t>Short description of boundaries defined for this GHG inventory (Equity-financial-operational boundary, facilities included or excluded)</t>
  </si>
  <si>
    <t>Click here for more information on determining an organizational boundary for GHG inventory</t>
  </si>
  <si>
    <t>Annual demographic data for the health care organization</t>
  </si>
  <si>
    <t>Full Time Employees (FTEs)</t>
  </si>
  <si>
    <t>Total Patient Days</t>
  </si>
  <si>
    <t>Total Adjusted Patient Days</t>
  </si>
  <si>
    <t>Total Outpatient Visits</t>
  </si>
  <si>
    <t>Number of Staffed Beds (annual average)</t>
  </si>
  <si>
    <t>Number of Operating Rooms</t>
  </si>
  <si>
    <t>Gross floor area (building square footage)</t>
  </si>
  <si>
    <t>Hours of operation [hrs/ day]</t>
  </si>
  <si>
    <t>GHG Emissions by Source</t>
  </si>
  <si>
    <r>
      <t xml:space="preserve">Before entering the requested data for each source, please indicate the type of data. Emissions will </t>
    </r>
    <r>
      <rPr>
        <b/>
        <i/>
        <sz val="11"/>
        <color theme="1"/>
        <rFont val="Arial"/>
        <family val="2"/>
        <scheme val="minor"/>
      </rPr>
      <t>not</t>
    </r>
    <r>
      <rPr>
        <i/>
        <sz val="11"/>
        <color theme="1"/>
        <rFont val="Arial"/>
        <family val="2"/>
        <scheme val="minor"/>
      </rPr>
      <t xml:space="preserve"> calculate without selecting an option for each source.                                      The possible options and their explanations are detailed below:</t>
    </r>
  </si>
  <si>
    <t>Option 1</t>
  </si>
  <si>
    <t>Actual Data</t>
  </si>
  <si>
    <t>Emissions in this category are from utility bills or invoices.</t>
  </si>
  <si>
    <t>Option 2</t>
  </si>
  <si>
    <t>Estimated / Data not available</t>
  </si>
  <si>
    <t>Emissions in this category are estimated based on extrapolated data. Please indicate estimation methodology in the Parameters tab.</t>
  </si>
  <si>
    <t>Option 3</t>
  </si>
  <si>
    <t>Not Estimated / Complex</t>
  </si>
  <si>
    <t>Emissions not calculated or data is unavailable.</t>
  </si>
  <si>
    <t>Option 4</t>
  </si>
  <si>
    <t>Not Occurring</t>
  </si>
  <si>
    <t>The activity or process does not exist within this facility.</t>
  </si>
  <si>
    <t>Scope 1 emissions are those that occur from sources that are owned or controlled by the health care facility. Examples include: Emissions due to combustion in boilers, water heaters or generators, fleet vehicles fuel use (owned or leased), the use of inhaled anesthetics including nitrous oxide, or refrigerant leaks in air conditioning or refrigeration systems.</t>
  </si>
  <si>
    <t>1.1</t>
  </si>
  <si>
    <t>Stationary Combustion</t>
  </si>
  <si>
    <t>In this section, the GHG emissions resulting from the burning of fossil fuels in stationary processes are calculated. Stationary combustion is that which occurs in devices that do not move, like boilers, hot water tanks, stoves, water heaters, backup generators, onsite waste incineration, autoclaves, etc.</t>
  </si>
  <si>
    <r>
      <rPr>
        <b/>
        <sz val="11"/>
        <color theme="1"/>
        <rFont val="Arial"/>
        <family val="2"/>
        <scheme val="minor"/>
      </rPr>
      <t xml:space="preserve">Clarification. </t>
    </r>
    <r>
      <rPr>
        <sz val="11"/>
        <color theme="1"/>
        <rFont val="Arial"/>
        <family val="2"/>
        <scheme val="minor"/>
      </rPr>
      <t>CO</t>
    </r>
    <r>
      <rPr>
        <vertAlign val="subscript"/>
        <sz val="11"/>
        <color theme="1"/>
        <rFont val="Arial"/>
        <family val="2"/>
        <scheme val="minor"/>
      </rPr>
      <t>2</t>
    </r>
    <r>
      <rPr>
        <sz val="11"/>
        <color theme="1"/>
        <rFont val="Arial"/>
        <family val="2"/>
        <scheme val="minor"/>
      </rPr>
      <t xml:space="preserve"> emissions from biofuels (biodiesel, bioethanol, firewood, etc.) are considered neutral in net terms (the amount of CO</t>
    </r>
    <r>
      <rPr>
        <vertAlign val="subscript"/>
        <sz val="11"/>
        <color theme="1"/>
        <rFont val="Arial"/>
        <family val="2"/>
        <scheme val="minor"/>
      </rPr>
      <t>2</t>
    </r>
    <r>
      <rPr>
        <sz val="11"/>
        <color theme="1"/>
        <rFont val="Arial"/>
        <family val="2"/>
        <scheme val="minor"/>
      </rPr>
      <t xml:space="preserve"> that biomass has captured throughout its life is equal to the amount that it then emits when burned) and that is why they are not counted, but are expressed as zero.</t>
    </r>
  </si>
  <si>
    <t xml:space="preserve">YOU MUST CHOOSE THE TYPE OF DATA IN EVERY SECTION TO GET RESULTS </t>
  </si>
  <si>
    <t>Please indicate the type of data for this source category:</t>
  </si>
  <si>
    <t>Instructions:</t>
  </si>
  <si>
    <t>1 - Enter the amount of fuel used by the facility for each type of fuel in the "Amount Consumed" column. If any type of fuel is not used, leave the respective cell empty.</t>
  </si>
  <si>
    <t>2 - Select the unit for each fuel from the dropdown menu in the "Unit" column.</t>
  </si>
  <si>
    <t>Emissions (kg)</t>
  </si>
  <si>
    <t>Type of fuel</t>
  </si>
  <si>
    <t>Amount Consumed</t>
  </si>
  <si>
    <r>
      <t>CO</t>
    </r>
    <r>
      <rPr>
        <vertAlign val="subscript"/>
        <sz val="11"/>
        <rFont val="Arial"/>
        <family val="2"/>
        <scheme val="minor"/>
      </rPr>
      <t>2</t>
    </r>
  </si>
  <si>
    <r>
      <t>CH</t>
    </r>
    <r>
      <rPr>
        <vertAlign val="subscript"/>
        <sz val="11"/>
        <rFont val="Arial"/>
        <family val="2"/>
        <scheme val="minor"/>
      </rPr>
      <t>4</t>
    </r>
  </si>
  <si>
    <r>
      <t>N</t>
    </r>
    <r>
      <rPr>
        <vertAlign val="subscript"/>
        <sz val="11"/>
        <rFont val="Arial"/>
        <family val="2"/>
        <scheme val="minor"/>
      </rPr>
      <t>2</t>
    </r>
    <r>
      <rPr>
        <sz val="11"/>
        <rFont val="Arial"/>
        <family val="2"/>
        <scheme val="minor"/>
      </rPr>
      <t>O</t>
    </r>
  </si>
  <si>
    <r>
      <t>CO</t>
    </r>
    <r>
      <rPr>
        <vertAlign val="subscript"/>
        <sz val="11"/>
        <rFont val="Arial"/>
        <family val="2"/>
        <scheme val="minor"/>
      </rPr>
      <t>2</t>
    </r>
    <r>
      <rPr>
        <sz val="11"/>
        <rFont val="Arial"/>
        <family val="2"/>
        <scheme val="minor"/>
      </rPr>
      <t>e</t>
    </r>
  </si>
  <si>
    <r>
      <t>m</t>
    </r>
    <r>
      <rPr>
        <vertAlign val="superscript"/>
        <sz val="11"/>
        <color theme="1"/>
        <rFont val="Arial"/>
        <family val="2"/>
        <scheme val="minor"/>
      </rPr>
      <t>3</t>
    </r>
  </si>
  <si>
    <t>Liter</t>
  </si>
  <si>
    <t xml:space="preserve">kg </t>
  </si>
  <si>
    <t>1.2</t>
  </si>
  <si>
    <t>Mobile Combustion</t>
  </si>
  <si>
    <t>In this section, the GHG emissions resulting from fuel combustion for fleet vehicles belonging to (owned or leased) the facility are calculated. These vehicles can be cars, light-duty or heavy-duty trucks, shuttle buses, owned ambulances or helicopters. Note: For contracted services such as ambulance service or medical evacuation helicopter service, emissions should be tracked in Scope 3 Category 4 Upstream Transportation and Distribution. Employee commute to work is tracked in Scope 3 Category 7 and transportation of patients can be tracked in Scope 3 Category 9.</t>
  </si>
  <si>
    <r>
      <t xml:space="preserve">Clarifications: </t>
    </r>
    <r>
      <rPr>
        <sz val="10"/>
        <color theme="1"/>
        <rFont val="Arial"/>
        <family val="2"/>
        <scheme val="minor"/>
      </rPr>
      <t>CO</t>
    </r>
    <r>
      <rPr>
        <vertAlign val="subscript"/>
        <sz val="10"/>
        <color theme="1"/>
        <rFont val="Arial"/>
        <family val="2"/>
        <scheme val="minor"/>
      </rPr>
      <t>2</t>
    </r>
    <r>
      <rPr>
        <sz val="10"/>
        <color theme="1"/>
        <rFont val="Arial"/>
        <family val="2"/>
        <scheme val="minor"/>
      </rPr>
      <t xml:space="preserve"> emissions from biofuels (biodiesel, bioethanol, firewood, etc.) are considered neutral in net terms (the amount of CO</t>
    </r>
    <r>
      <rPr>
        <vertAlign val="subscript"/>
        <sz val="10"/>
        <color theme="1"/>
        <rFont val="Arial"/>
        <family val="2"/>
        <scheme val="minor"/>
      </rPr>
      <t>2</t>
    </r>
    <r>
      <rPr>
        <sz val="10"/>
        <color theme="1"/>
        <rFont val="Arial"/>
        <family val="2"/>
        <scheme val="minor"/>
      </rPr>
      <t xml:space="preserve"> that biomass has captured throughout its life is equal to the amount that it then emits when burned) and for that reason they are not reported and are expressed as zero.On the other hand, if in your region has a mandatory blend of biodiesel and / or bioethanol in fuels, the calculator will automatically divide the amount of fuel entered in each of the parts of the mixture (gasoline / bioethanol; diesel / biodiesel). </t>
    </r>
  </si>
  <si>
    <t>Instructions</t>
  </si>
  <si>
    <t>1 - In the US, the mandatory minimums for 2021 according to the EPA's Renewable Fuel Standard were 5% biodiesel blend and 10% bioethanol blend. If these values ​​do not correspond to the current regulations in your country or you purchase fuels with other higher mixing percentages, you can modify the values manually in the green cells below.</t>
  </si>
  <si>
    <t>2 - Enter the amounts of gasoline and diesel consumed by the organization's vehicles in the column "Amount consumed". If any fuel is not used, leave the respective cell unfilled.</t>
  </si>
  <si>
    <t>3 - If the vehicle uses CNG (Compressed Natural Gas) complete the information in the "Natural Gas" category.</t>
  </si>
  <si>
    <t>4 - Select the unit for each fuel from the dropdown menu in the "Unit" column.</t>
  </si>
  <si>
    <t>Enter below the values you consider correct:</t>
  </si>
  <si>
    <t>Percentage of biodiesel blend in diesel (%)</t>
  </si>
  <si>
    <t>Percentage of bioethanol blend in gasoline (%)</t>
  </si>
  <si>
    <t>Actual quantities considering biofuel percentage blends</t>
  </si>
  <si>
    <t>1.3</t>
  </si>
  <si>
    <t xml:space="preserve">Fugitive Emissions </t>
  </si>
  <si>
    <t>1.3.1</t>
  </si>
  <si>
    <t>Refrigerants and Fire Suppression</t>
  </si>
  <si>
    <t>In this section, the GHG emissions for unintentional (fugitive) emissions (due to charges, recharges (due to leaks) of gases used for cooling (refrigeration, freezers), HVAC equipment and fire surpression devices are calculated.</t>
  </si>
  <si>
    <t>1 - Complete the "Refrigerants" form (by clicking on the gray button on the right) with the information of the refrigeration equipment of your organization. With this information, the calculator will automatically calculate the emissions related to this category.</t>
  </si>
  <si>
    <t>Complete "Refrigerants" sheet</t>
  </si>
  <si>
    <t>Gas or compound</t>
  </si>
  <si>
    <t>Global warming potential (GWP)</t>
  </si>
  <si>
    <t>Total reload (kg)</t>
  </si>
  <si>
    <r>
      <t>Emissions (kgCO</t>
    </r>
    <r>
      <rPr>
        <vertAlign val="subscript"/>
        <sz val="11"/>
        <color theme="1"/>
        <rFont val="Arial"/>
        <family val="2"/>
        <scheme val="minor"/>
      </rPr>
      <t>2</t>
    </r>
    <r>
      <rPr>
        <sz val="11"/>
        <color theme="1"/>
        <rFont val="Arial"/>
        <family val="2"/>
        <scheme val="minor"/>
      </rPr>
      <t>e)</t>
    </r>
  </si>
  <si>
    <t>Type of equipment</t>
  </si>
  <si>
    <t>Emissions (%)</t>
  </si>
  <si>
    <t>1.3.2</t>
  </si>
  <si>
    <t>Inhaled Anesthetic Gases</t>
  </si>
  <si>
    <t>In this section, the GHG emissions for inhaled anesthetic gases are calculated.</t>
  </si>
  <si>
    <t>1 - Complete the "Anesthetic gases" form (by clicking on the gray button on the right). With this information, the calculator will automatically calculate the emissions related to this category.</t>
  </si>
  <si>
    <t>Complete "Anesthetic Gases" sheet</t>
  </si>
  <si>
    <r>
      <t>Emissions in CO</t>
    </r>
    <r>
      <rPr>
        <vertAlign val="subscript"/>
        <sz val="11"/>
        <color theme="1"/>
        <rFont val="Arial"/>
        <family val="2"/>
        <scheme val="minor"/>
      </rPr>
      <t>2</t>
    </r>
    <r>
      <rPr>
        <sz val="11"/>
        <color theme="1"/>
        <rFont val="Arial"/>
        <family val="2"/>
        <scheme val="minor"/>
      </rPr>
      <t>e (kg)</t>
    </r>
  </si>
  <si>
    <t>N2O/O2 - 50/50 vol</t>
  </si>
  <si>
    <t>N2O: 298; O2:0</t>
  </si>
  <si>
    <t xml:space="preserve">Scope 2 emissions are those that result from the generation of energy purchased by the organization. Typically, this category refers to purchased electricity and district fuels such as purchased steam, hot water or chilled water. The energy is produced by a provider (3rd party) at their own location and transported to the healthcare facility.These emissions do not occur physically at the organization, but rather where the energy is generated. </t>
  </si>
  <si>
    <t>2.1</t>
  </si>
  <si>
    <t>Purchased Electricity</t>
  </si>
  <si>
    <t xml:space="preserve">This section estimates the GHG emissions that result from the generation of electricity. It is important to note that this calculator uses the location-based method to calculate Scope 2 emissions. This means that all emissions are related to the utility grid you selected on row 5 of the Instructions tab. Some facilities choose to use a market-based approach for Scope 2 energy and that may result in their Scope 2 emissions having a lower emissions factor than the US region they are located in. </t>
  </si>
  <si>
    <t>1 - Enter the quantity of electricity consumed (in kWh) in the appropriate column.</t>
  </si>
  <si>
    <t>Consumed quantity</t>
  </si>
  <si>
    <t>Emissions (kgCO2e)</t>
  </si>
  <si>
    <t>Grid / Location-Based Electricity (kwh)</t>
  </si>
  <si>
    <t>Market-Based Electricity (kwh)</t>
  </si>
  <si>
    <t>2.2</t>
  </si>
  <si>
    <t>Purchased Steam, Hot and Chilled Water</t>
  </si>
  <si>
    <t xml:space="preserve">This section calculates emissions that result from the production of district steam, hot water or chilled water. </t>
  </si>
  <si>
    <t>1- Please enter data for each type of district energy source.This calculation uses conversion factors specific to the US &amp; Canada .</t>
  </si>
  <si>
    <t>United States &amp; Canada</t>
  </si>
  <si>
    <t>1- Enter the amount of steam, chilled or hot water (in kbtu) in the appropriate row and column.</t>
  </si>
  <si>
    <t>Item</t>
  </si>
  <si>
    <t>Steam</t>
  </si>
  <si>
    <t>kbtu</t>
  </si>
  <si>
    <t>Hot Water</t>
  </si>
  <si>
    <t>Chilled Water- Electric Driven Chiller</t>
  </si>
  <si>
    <t>Chilled Water- Absorption Chiller using Natural Gas</t>
  </si>
  <si>
    <t>Chilled Water- Engine-Driven Chiller using Natural Gas</t>
  </si>
  <si>
    <t>Family/ Type</t>
  </si>
  <si>
    <t>GWP (Global Warming Potential)</t>
  </si>
  <si>
    <t>Classification</t>
  </si>
  <si>
    <t>Density (kg/m3)</t>
  </si>
  <si>
    <t>Comments</t>
  </si>
  <si>
    <t>Fuel oil/Bunker</t>
  </si>
  <si>
    <t>Fuel unit</t>
  </si>
  <si>
    <t>Density [Kg/fuel unit]; LPG [kg/liter]</t>
  </si>
  <si>
    <t>Low heating value [MJ/Kg]</t>
  </si>
  <si>
    <t>EF Stationary Combustion - CO2 [gCO2/MJ]</t>
  </si>
  <si>
    <t>EF Stationary Combustion -  CH4 [gCH4/MJ]</t>
  </si>
  <si>
    <t>EF Stationary Combustion -  N2O [gN2O/MJ]</t>
  </si>
  <si>
    <t>EF Mobile Combustion - CO2 [gCO2/MJ]</t>
  </si>
  <si>
    <t>FE Mobile Combustion  -  CH4 [gCH4/MJ]</t>
  </si>
  <si>
    <t>FE Mobile Combustion  -  N2O [gN2O/MJ]</t>
  </si>
  <si>
    <t>Type of vehicle/transport</t>
  </si>
  <si>
    <t>EF CO2 [gCO2/(passenger*km)] *</t>
  </si>
  <si>
    <t>EF CH4 [gCH4/(passenger*km)] *</t>
  </si>
  <si>
    <t>EF N2O [gN2O/(passenger*km)] *</t>
  </si>
  <si>
    <t>Compost</t>
  </si>
  <si>
    <t>EF [g gas/Kg de desecho húmedo]</t>
  </si>
  <si>
    <t>Vehicles for business trips</t>
  </si>
  <si>
    <t>Vehicles for the transfer of personnel and patients</t>
  </si>
  <si>
    <t>Service hours</t>
  </si>
  <si>
    <t>Type of health care institution</t>
  </si>
  <si>
    <t>Reason to visit</t>
  </si>
  <si>
    <t>Sample period</t>
  </si>
  <si>
    <t>Times factor</t>
  </si>
  <si>
    <t>Type of cooling equipment</t>
  </si>
  <si>
    <t>Grid emission factor</t>
  </si>
  <si>
    <t>T&amp;D losses</t>
  </si>
  <si>
    <t>Biofuel blends</t>
  </si>
  <si>
    <t>Composition of waste by type of material [%]</t>
  </si>
  <si>
    <t>Region</t>
  </si>
  <si>
    <t>GHG sources categories</t>
  </si>
  <si>
    <t>Yes/No</t>
  </si>
  <si>
    <t>SI</t>
  </si>
  <si>
    <t>non SI unit</t>
  </si>
  <si>
    <t>Volume and/or liquid fuels (gasoline, diesel, fuel oil, kerosene, biodiesel)</t>
  </si>
  <si>
    <t>Solid fuels (coal, wood) or activity data (ie. Waste)</t>
  </si>
  <si>
    <t>In situ / Ex situ</t>
  </si>
  <si>
    <t>Inhaler</t>
  </si>
  <si>
    <t>Refrigerant storage capacity / Unit options</t>
  </si>
  <si>
    <t>WIOD Mapping</t>
  </si>
  <si>
    <t>Currency Table</t>
  </si>
  <si>
    <t>District energy</t>
  </si>
  <si>
    <t>District Energy</t>
  </si>
  <si>
    <t>States and Provinces (US and Canada)</t>
  </si>
  <si>
    <t>Continent/Region</t>
  </si>
  <si>
    <t>Sub-region</t>
  </si>
  <si>
    <t>Value (g/kWh)</t>
  </si>
  <si>
    <t>Reference</t>
  </si>
  <si>
    <t>Value (%)</t>
  </si>
  <si>
    <t>Biodiesel (%)</t>
  </si>
  <si>
    <t>Bioethanol (%)</t>
  </si>
  <si>
    <t>Paper/cardboard</t>
  </si>
  <si>
    <t>Textiles</t>
  </si>
  <si>
    <t>Food waste</t>
  </si>
  <si>
    <t>Garden and Park Waste</t>
  </si>
  <si>
    <t>Nappies</t>
  </si>
  <si>
    <t>Other</t>
  </si>
  <si>
    <t>District Steam</t>
  </si>
  <si>
    <t>District Hot Water</t>
  </si>
  <si>
    <t>Pregunto</t>
  </si>
  <si>
    <t>Value</t>
  </si>
  <si>
    <t>non-SI unit</t>
  </si>
  <si>
    <t>Emissiones per dose (kgCO2e/dose)</t>
  </si>
  <si>
    <t>WIOD Country</t>
  </si>
  <si>
    <t>Country  Code</t>
  </si>
  <si>
    <t>Currency Name</t>
  </si>
  <si>
    <t>Code</t>
  </si>
  <si>
    <t>Source options</t>
  </si>
  <si>
    <t>Unit Options</t>
  </si>
  <si>
    <t>CH4</t>
  </si>
  <si>
    <t>-</t>
  </si>
  <si>
    <t>(5)</t>
  </si>
  <si>
    <r>
      <t>m</t>
    </r>
    <r>
      <rPr>
        <vertAlign val="superscript"/>
        <sz val="10"/>
        <color theme="1"/>
        <rFont val="Arial"/>
        <family val="2"/>
        <scheme val="minor"/>
      </rPr>
      <t>3</t>
    </r>
  </si>
  <si>
    <t>Also used as CNG (Compressed Natural Gas) in mobile combustion.</t>
  </si>
  <si>
    <t>Private car (diesel)</t>
  </si>
  <si>
    <t>(8)</t>
  </si>
  <si>
    <t>Administrative-Only</t>
  </si>
  <si>
    <t>Medical consultations and outpatient procedures</t>
  </si>
  <si>
    <t>7 days</t>
  </si>
  <si>
    <t>Centralized equipment</t>
  </si>
  <si>
    <t>Canada-Alberta (AB)</t>
  </si>
  <si>
    <t>Asia</t>
  </si>
  <si>
    <t>(CE#8)</t>
  </si>
  <si>
    <t>(CE#25) Middle East &amp; North Africa value.</t>
  </si>
  <si>
    <t>(12)</t>
  </si>
  <si>
    <t>Eastern Asia</t>
  </si>
  <si>
    <t>Yes</t>
  </si>
  <si>
    <t>m3</t>
  </si>
  <si>
    <t>mmBTU</t>
  </si>
  <si>
    <t>(32)</t>
  </si>
  <si>
    <t>liter</t>
  </si>
  <si>
    <t>In situ</t>
  </si>
  <si>
    <t>MDI</t>
  </si>
  <si>
    <t>(34)</t>
  </si>
  <si>
    <t>Afghanistan afghani</t>
  </si>
  <si>
    <t>AFA</t>
  </si>
  <si>
    <t>Geothermal</t>
  </si>
  <si>
    <t>US - Alabama</t>
  </si>
  <si>
    <t>N2O</t>
  </si>
  <si>
    <t>Anesthetic</t>
  </si>
  <si>
    <t>(30)</t>
  </si>
  <si>
    <t>Density at 15ºC and atmosferic pression (1 bar)</t>
  </si>
  <si>
    <t>liters</t>
  </si>
  <si>
    <t>For generator testing</t>
  </si>
  <si>
    <t>Private car (gasoline)</t>
  </si>
  <si>
    <t>Academic Medical Center</t>
  </si>
  <si>
    <t>Internment</t>
  </si>
  <si>
    <t>1 month</t>
  </si>
  <si>
    <t>Extinguisher</t>
  </si>
  <si>
    <t>Canada-British Columbia (BC)</t>
  </si>
  <si>
    <t>Europe</t>
  </si>
  <si>
    <t xml:space="preserve">(CE#25) </t>
  </si>
  <si>
    <t>South-Central Asia</t>
  </si>
  <si>
    <t>No</t>
  </si>
  <si>
    <t>SCF</t>
  </si>
  <si>
    <t>gallon</t>
  </si>
  <si>
    <t>Ex situ</t>
  </si>
  <si>
    <t>DPI</t>
  </si>
  <si>
    <t>Albanian lek</t>
  </si>
  <si>
    <t>ALL</t>
  </si>
  <si>
    <t>Grid electricity</t>
  </si>
  <si>
    <t>1000 pounds</t>
  </si>
  <si>
    <t>US - Alaska</t>
  </si>
  <si>
    <t>Isoflurane</t>
  </si>
  <si>
    <t>(29)</t>
  </si>
  <si>
    <t>Fuel Oil #2</t>
  </si>
  <si>
    <t>"Residual Fuel Oil" values.</t>
  </si>
  <si>
    <t>Private car (CNG)</t>
  </si>
  <si>
    <t>(24)</t>
  </si>
  <si>
    <t>Se toma "Passenger Car - CNG - Engine Size Unknown". No se encontraron FE para CH4 y N2O.</t>
  </si>
  <si>
    <t>Referencias</t>
  </si>
  <si>
    <t>(16)</t>
  </si>
  <si>
    <t>Academic Medical Center w/ Onsite Research</t>
  </si>
  <si>
    <t>Withdrawal from studies or medication</t>
  </si>
  <si>
    <t>Annual</t>
  </si>
  <si>
    <t>Freezer</t>
  </si>
  <si>
    <t>Canada-Manitoba (MT)</t>
  </si>
  <si>
    <t>Africa</t>
  </si>
  <si>
    <t>South-Eastern Asia</t>
  </si>
  <si>
    <t>metric ton</t>
  </si>
  <si>
    <t>Algerian dinar</t>
  </si>
  <si>
    <t>DZD</t>
  </si>
  <si>
    <t>Incineration - WTE</t>
  </si>
  <si>
    <t>US - Arizona</t>
  </si>
  <si>
    <t>Sevoflurane</t>
  </si>
  <si>
    <t>"Motor gasoline" values.</t>
  </si>
  <si>
    <t>Plane - Short</t>
  </si>
  <si>
    <t>(10)</t>
  </si>
  <si>
    <t>Plane</t>
  </si>
  <si>
    <t>Ambulatory Surgery Center</t>
  </si>
  <si>
    <t>Shift request</t>
  </si>
  <si>
    <t>Freezer / Vaccines</t>
  </si>
  <si>
    <t>Canada-New Brunswick (NB)</t>
  </si>
  <si>
    <t>Oceania</t>
  </si>
  <si>
    <t>(CE#25) East Asia &amp; Pacific value.</t>
  </si>
  <si>
    <t>Western Asia &amp; Middle East</t>
  </si>
  <si>
    <t>therms (US)</t>
  </si>
  <si>
    <t>Angolan kwanza reajustado</t>
  </si>
  <si>
    <t>AOR</t>
  </si>
  <si>
    <t>ton-hour</t>
  </si>
  <si>
    <t>Desflurane</t>
  </si>
  <si>
    <t>Liquefied Petroleum Gases (LPG)</t>
  </si>
  <si>
    <t>Plane - Medium</t>
  </si>
  <si>
    <t>Community Hospital</t>
  </si>
  <si>
    <t>Emergencies</t>
  </si>
  <si>
    <t>Mini split</t>
  </si>
  <si>
    <t>Canada-Newfoundland and Labrador (NL)</t>
  </si>
  <si>
    <t>(CE#25) European Union value.</t>
  </si>
  <si>
    <t>Eastern Africa</t>
  </si>
  <si>
    <t>CCF</t>
  </si>
  <si>
    <t>Argentine peso</t>
  </si>
  <si>
    <t>ARS</t>
  </si>
  <si>
    <t>Solar thermal</t>
  </si>
  <si>
    <t>(31)</t>
  </si>
  <si>
    <t>Kerosene</t>
  </si>
  <si>
    <t>"Other Kerosene" values.</t>
  </si>
  <si>
    <t>Plane - Long</t>
  </si>
  <si>
    <t>Visits</t>
  </si>
  <si>
    <t>Multi Split</t>
  </si>
  <si>
    <t>Canada-Nova Scotia (NS)</t>
  </si>
  <si>
    <t>Middle Africa</t>
  </si>
  <si>
    <t>MCF</t>
  </si>
  <si>
    <t>Armenian dram</t>
  </si>
  <si>
    <t>AMD</t>
  </si>
  <si>
    <t>HFC-23</t>
  </si>
  <si>
    <t>HFC</t>
  </si>
  <si>
    <t>Refrigerant</t>
  </si>
  <si>
    <t>"Other Bituminous Coal" values.</t>
  </si>
  <si>
    <t>(9)</t>
  </si>
  <si>
    <t>Laboratory</t>
  </si>
  <si>
    <t>Others (meetings, payments, etc.)</t>
  </si>
  <si>
    <t>Refrigerator</t>
  </si>
  <si>
    <t>Canada-Northwest Territories (NT)</t>
  </si>
  <si>
    <t>Americas</t>
  </si>
  <si>
    <t>(CE#25) Caribbean small states value.</t>
  </si>
  <si>
    <t>Northern Africa</t>
  </si>
  <si>
    <t>only for LPG (24)</t>
  </si>
  <si>
    <t>Aruban guilder</t>
  </si>
  <si>
    <t>AWG</t>
  </si>
  <si>
    <t>Do not know it</t>
  </si>
  <si>
    <t>HFC-32</t>
  </si>
  <si>
    <t>"Wood/Wood Waste" values.</t>
  </si>
  <si>
    <t>Long distance bus</t>
  </si>
  <si>
    <t>Long-Term Care Hospital</t>
  </si>
  <si>
    <t>Refrigerator / Vaccines</t>
  </si>
  <si>
    <t>Canada-Nunavut (NU)</t>
  </si>
  <si>
    <t>Southern Africa</t>
  </si>
  <si>
    <t>Australian dollar</t>
  </si>
  <si>
    <t>AUD</t>
  </si>
  <si>
    <t>HFC-41</t>
  </si>
  <si>
    <t>Private SUV or truck (diesel)</t>
  </si>
  <si>
    <t>Medical Office Building</t>
  </si>
  <si>
    <t>Vending machine</t>
  </si>
  <si>
    <t>Canada-Ontario (ON)</t>
  </si>
  <si>
    <t>(CE#1)</t>
  </si>
  <si>
    <t>CB#3;CB#4</t>
  </si>
  <si>
    <t>(11)</t>
  </si>
  <si>
    <t>Western Africa</t>
  </si>
  <si>
    <t>Azerbaijanian new manat</t>
  </si>
  <si>
    <t>AZN</t>
  </si>
  <si>
    <t>HFC-125</t>
  </si>
  <si>
    <t>Biogasoline/Bioethanol</t>
  </si>
  <si>
    <t>"Biogasoline" values.</t>
  </si>
  <si>
    <t>Private SUV (gasolina)</t>
  </si>
  <si>
    <t>Outpatient Center</t>
  </si>
  <si>
    <t>Canada-Prince Edward Island (PE)</t>
  </si>
  <si>
    <t>Eastern Europe</t>
  </si>
  <si>
    <t>Bahamian dollar</t>
  </si>
  <si>
    <t>BSD</t>
  </si>
  <si>
    <t>HFC-134</t>
  </si>
  <si>
    <t xml:space="preserve">(24); (25); (26)  </t>
  </si>
  <si>
    <t>(1)</t>
  </si>
  <si>
    <t>(2)</t>
  </si>
  <si>
    <t>(3)</t>
  </si>
  <si>
    <t>(4)</t>
  </si>
  <si>
    <t>Private SUC or truck (CNG)</t>
  </si>
  <si>
    <t>(24); (8); (8)</t>
  </si>
  <si>
    <t>Specialty Hospital</t>
  </si>
  <si>
    <t>Canada-Quebec (QC)</t>
  </si>
  <si>
    <t>Northern Europe</t>
  </si>
  <si>
    <t>Bahraini dinar</t>
  </si>
  <si>
    <t>BHD</t>
  </si>
  <si>
    <t>Subway</t>
  </si>
  <si>
    <t>Canada-Saskatchewan (SK)</t>
  </si>
  <si>
    <t>(CE#22)</t>
  </si>
  <si>
    <t>Southern Europe</t>
  </si>
  <si>
    <t>Bangladeshi taka</t>
  </si>
  <si>
    <t>BDT</t>
  </si>
  <si>
    <t>HFC-143</t>
  </si>
  <si>
    <t>Canada-Yukon Territory (YT)</t>
  </si>
  <si>
    <t>Western Europe</t>
  </si>
  <si>
    <t>Barbados dollar</t>
  </si>
  <si>
    <t>BBD</t>
  </si>
  <si>
    <t>HFC-143a</t>
  </si>
  <si>
    <t>Taxi</t>
  </si>
  <si>
    <t>US-AKGD (ASCC Alaska Grid)</t>
  </si>
  <si>
    <t>Australia and New Zealand</t>
  </si>
  <si>
    <t>Belarusian ruble</t>
  </si>
  <si>
    <t>BYN</t>
  </si>
  <si>
    <t>HFC-152</t>
  </si>
  <si>
    <t>Train</t>
  </si>
  <si>
    <t>Rest of Oceania</t>
  </si>
  <si>
    <t>Belize dollar</t>
  </si>
  <si>
    <t>BZD</t>
  </si>
  <si>
    <t>HFC-152a</t>
  </si>
  <si>
    <t>US-AZNM (WECC Southwest)</t>
  </si>
  <si>
    <t>North America</t>
  </si>
  <si>
    <t>Bermudian dollar</t>
  </si>
  <si>
    <t>BMD</t>
  </si>
  <si>
    <t>HFC-161</t>
  </si>
  <si>
    <t>US-CAMX (WECC California)</t>
  </si>
  <si>
    <t>Central America</t>
  </si>
  <si>
    <t>Bhutan ngultrum</t>
  </si>
  <si>
    <t>BTN</t>
  </si>
  <si>
    <t>Classification of types of flights</t>
  </si>
  <si>
    <t>From (km)</t>
  </si>
  <si>
    <t>To (km)</t>
  </si>
  <si>
    <t>US-ERCT (ERCOT All)</t>
  </si>
  <si>
    <t>South America</t>
  </si>
  <si>
    <t>Bolivian boliviano</t>
  </si>
  <si>
    <t>BOB</t>
  </si>
  <si>
    <t>HFC-236cb</t>
  </si>
  <si>
    <t>(23)</t>
  </si>
  <si>
    <t>US-FRCC (FRCC All)</t>
  </si>
  <si>
    <t>Caribbean</t>
  </si>
  <si>
    <t>Botswana pula</t>
  </si>
  <si>
    <t>BWP</t>
  </si>
  <si>
    <t>HFC-236ea</t>
  </si>
  <si>
    <t>(10) ; (23)</t>
  </si>
  <si>
    <t>US-HIMS (HICC Miscellaneous)</t>
  </si>
  <si>
    <t>Brazilian real</t>
  </si>
  <si>
    <t>BRL</t>
  </si>
  <si>
    <t>HFC-236fa</t>
  </si>
  <si>
    <t>No upper limit</t>
  </si>
  <si>
    <t>US-HIOA (HICC Oahu)</t>
  </si>
  <si>
    <t>(CE#7)</t>
  </si>
  <si>
    <t>CB#1</t>
  </si>
  <si>
    <t>British pound</t>
  </si>
  <si>
    <t>GBP</t>
  </si>
  <si>
    <t>HFC-245ca</t>
  </si>
  <si>
    <t>US-MROE (MRO East)</t>
  </si>
  <si>
    <t>Brunei dollar</t>
  </si>
  <si>
    <t>BND</t>
  </si>
  <si>
    <t>HFC-245fa</t>
  </si>
  <si>
    <t>1 mile =</t>
  </si>
  <si>
    <t>km</t>
  </si>
  <si>
    <t>US-MROW (MRO West)</t>
  </si>
  <si>
    <t>(CE#25) Portugal value.</t>
  </si>
  <si>
    <t>Bulgarian lev</t>
  </si>
  <si>
    <t>BGN</t>
  </si>
  <si>
    <t>HFC-365mfc</t>
  </si>
  <si>
    <t>US-NEWE (NPCC New England)</t>
  </si>
  <si>
    <t>Burundi franc</t>
  </si>
  <si>
    <t>BIF</t>
  </si>
  <si>
    <t>HFC-43-10mee</t>
  </si>
  <si>
    <t>US-NWPP (WECC Northwest)</t>
  </si>
  <si>
    <t>Cambodian riel</t>
  </si>
  <si>
    <t>KHR</t>
  </si>
  <si>
    <t>SF6</t>
  </si>
  <si>
    <t>US-NYCW (NPCC NYC/Westchester)</t>
  </si>
  <si>
    <t>Canadian dollar</t>
  </si>
  <si>
    <t>CAD</t>
  </si>
  <si>
    <t>NF3</t>
  </si>
  <si>
    <t>US-NYLI (NPCC Long Island)</t>
  </si>
  <si>
    <t>Cape Verde escudo</t>
  </si>
  <si>
    <t>CVE</t>
  </si>
  <si>
    <t>PFC-14</t>
  </si>
  <si>
    <t>PFC</t>
  </si>
  <si>
    <t>US-NYUP (NPCC Upstate NY)</t>
  </si>
  <si>
    <t>Cayman Islands dollar</t>
  </si>
  <si>
    <t>KYD</t>
  </si>
  <si>
    <t>PFC-116</t>
  </si>
  <si>
    <t>US-RFCE (RFC East)</t>
  </si>
  <si>
    <t>CFA franc BCEAO</t>
  </si>
  <si>
    <t>XOF</t>
  </si>
  <si>
    <t>PFC-218</t>
  </si>
  <si>
    <t>US-RFCM (RFC Michigan)</t>
  </si>
  <si>
    <t>(CE#25) Latin America &amp; Caribbean value.</t>
  </si>
  <si>
    <t>CFA franc BEAC</t>
  </si>
  <si>
    <t>XAF</t>
  </si>
  <si>
    <t>PFC-318</t>
  </si>
  <si>
    <t>US-RFCW (RFC West)</t>
  </si>
  <si>
    <t>(CE#25) Middle East &amp; North Africa</t>
  </si>
  <si>
    <t>CFP franc</t>
  </si>
  <si>
    <t>XPF</t>
  </si>
  <si>
    <t>PFC-3-1-10</t>
  </si>
  <si>
    <t>US-RMPA (WECC Rockies)</t>
  </si>
  <si>
    <t>Chilean peso</t>
  </si>
  <si>
    <t>CLP</t>
  </si>
  <si>
    <t>PFC-4-1-12</t>
  </si>
  <si>
    <t>US-SPNO (SPP North)</t>
  </si>
  <si>
    <t>(CE#25) South Asia value.</t>
  </si>
  <si>
    <t>Chinese yuan renminbi</t>
  </si>
  <si>
    <t>CNY</t>
  </si>
  <si>
    <t>PFC-5-1-14</t>
  </si>
  <si>
    <t>US-SPSO (SPP South)</t>
  </si>
  <si>
    <t>Colombian peso</t>
  </si>
  <si>
    <t>COP</t>
  </si>
  <si>
    <t>PFC-9-1-18</t>
  </si>
  <si>
    <t>US-SRMV (SERC Mississippi Valley)</t>
  </si>
  <si>
    <t>Comoros franc</t>
  </si>
  <si>
    <t>KMF</t>
  </si>
  <si>
    <t>Trifluoromethyl Sulfur pentafluoride</t>
  </si>
  <si>
    <t>US-SRMW (SERC Midwest)</t>
  </si>
  <si>
    <t>Congolese franc</t>
  </si>
  <si>
    <t>CDF</t>
  </si>
  <si>
    <t>US-SRSO (SERC South)</t>
  </si>
  <si>
    <t>(CE#12)</t>
  </si>
  <si>
    <t>Costa Rican colon</t>
  </si>
  <si>
    <t>CRC</t>
  </si>
  <si>
    <t>R-11</t>
  </si>
  <si>
    <t>CFC</t>
  </si>
  <si>
    <t>US-SRTV (SERC Tennessee Valley)</t>
  </si>
  <si>
    <t>Croatian kuna</t>
  </si>
  <si>
    <t>HRK</t>
  </si>
  <si>
    <t>R-12</t>
  </si>
  <si>
    <t>(5) ; (26)</t>
  </si>
  <si>
    <t>US-SRVC (SERC Virginia/Carolina)</t>
  </si>
  <si>
    <t>Cuban peso</t>
  </si>
  <si>
    <t>CUP</t>
  </si>
  <si>
    <t>R-22</t>
  </si>
  <si>
    <t>HCFC</t>
  </si>
  <si>
    <t>Bulgaria</t>
  </si>
  <si>
    <t>Czech koruna</t>
  </si>
  <si>
    <t>CZK</t>
  </si>
  <si>
    <t>R-44</t>
  </si>
  <si>
    <t>Burkina Faso</t>
  </si>
  <si>
    <t>Danish krone</t>
  </si>
  <si>
    <t>DKK</t>
  </si>
  <si>
    <t>R-123</t>
  </si>
  <si>
    <t>Burundi</t>
  </si>
  <si>
    <t>(CE#25) Sub-Saharan Africa value.</t>
  </si>
  <si>
    <t>Djibouti franc</t>
  </si>
  <si>
    <t>DJF</t>
  </si>
  <si>
    <t>R-290</t>
  </si>
  <si>
    <t>HC</t>
  </si>
  <si>
    <t>(51)</t>
  </si>
  <si>
    <t>Cambodia</t>
  </si>
  <si>
    <t>Dominican peso</t>
  </si>
  <si>
    <t>DOP</t>
  </si>
  <si>
    <t>Compuesto*</t>
  </si>
  <si>
    <t>(5) ; (6)</t>
  </si>
  <si>
    <t>Cameroon</t>
  </si>
  <si>
    <t>East Caribbean dollar</t>
  </si>
  <si>
    <t>XCD</t>
  </si>
  <si>
    <t>R-401A</t>
  </si>
  <si>
    <t>(CE#23)</t>
  </si>
  <si>
    <t>kgCO2e/kbtu</t>
  </si>
  <si>
    <t>CH#1</t>
  </si>
  <si>
    <t>Egyptian pound</t>
  </si>
  <si>
    <t>EGP</t>
  </si>
  <si>
    <t>R-401B</t>
  </si>
  <si>
    <t>El Salvador colon</t>
  </si>
  <si>
    <t>SVC</t>
  </si>
  <si>
    <t>R-401C</t>
  </si>
  <si>
    <t>Eritrean nakfa</t>
  </si>
  <si>
    <t>ERN</t>
  </si>
  <si>
    <t>R-402A</t>
  </si>
  <si>
    <t>Estonian kroon</t>
  </si>
  <si>
    <t>EEK</t>
  </si>
  <si>
    <t>R-402B</t>
  </si>
  <si>
    <t>Ethiopian birr</t>
  </si>
  <si>
    <t>ETB</t>
  </si>
  <si>
    <t>R-403A</t>
  </si>
  <si>
    <t>EU euro</t>
  </si>
  <si>
    <t>EUR</t>
  </si>
  <si>
    <t>R-403B</t>
  </si>
  <si>
    <t>Fiji dollar</t>
  </si>
  <si>
    <t>FJD</t>
  </si>
  <si>
    <t>R-404A</t>
  </si>
  <si>
    <t>Gambian dalasi</t>
  </si>
  <si>
    <t>GMD</t>
  </si>
  <si>
    <t>R-406A</t>
  </si>
  <si>
    <t>Georgian lari</t>
  </si>
  <si>
    <t>GEL</t>
  </si>
  <si>
    <t>R-407A</t>
  </si>
  <si>
    <t>Ghanaian new cedi</t>
  </si>
  <si>
    <t>GHS</t>
  </si>
  <si>
    <t>R-407B</t>
  </si>
  <si>
    <t>Gibraltar pound</t>
  </si>
  <si>
    <t>GIP</t>
  </si>
  <si>
    <t>R-407C</t>
  </si>
  <si>
    <t>Gold franc</t>
  </si>
  <si>
    <t>XFO</t>
  </si>
  <si>
    <t>R-407D</t>
  </si>
  <si>
    <t>Guatemalan quetzal</t>
  </si>
  <si>
    <t>GTQ</t>
  </si>
  <si>
    <t>R-407E</t>
  </si>
  <si>
    <t>Canary Islands (Spain)</t>
  </si>
  <si>
    <t>Guinean franc</t>
  </si>
  <si>
    <t>GNF</t>
  </si>
  <si>
    <t>R-407F</t>
  </si>
  <si>
    <t>Cape Verde</t>
  </si>
  <si>
    <t>Guyana dollar</t>
  </si>
  <si>
    <t>GYD</t>
  </si>
  <si>
    <t>R-408A</t>
  </si>
  <si>
    <t>Cayman Islands</t>
  </si>
  <si>
    <t>Haitian gourde</t>
  </si>
  <si>
    <t>HTG</t>
  </si>
  <si>
    <t>R-409A</t>
  </si>
  <si>
    <t>Central African Republic</t>
  </si>
  <si>
    <t>Honduran lempira</t>
  </si>
  <si>
    <t>HNL</t>
  </si>
  <si>
    <t>R-409B</t>
  </si>
  <si>
    <t>Chad</t>
  </si>
  <si>
    <t>Hong Kong SAR dollar</t>
  </si>
  <si>
    <t>HKD</t>
  </si>
  <si>
    <t>R-410A</t>
  </si>
  <si>
    <t>Channel Islands</t>
  </si>
  <si>
    <t>Hungarian forint</t>
  </si>
  <si>
    <t>HUF</t>
  </si>
  <si>
    <t>R-410B</t>
  </si>
  <si>
    <t>(CE#11)</t>
  </si>
  <si>
    <t>Icelandic krona</t>
  </si>
  <si>
    <t>ISK</t>
  </si>
  <si>
    <t>R-411A</t>
  </si>
  <si>
    <t>(CE#13)</t>
  </si>
  <si>
    <t>CB#5</t>
  </si>
  <si>
    <t>Indian rupee</t>
  </si>
  <si>
    <t>INR</t>
  </si>
  <si>
    <t>R-411B</t>
  </si>
  <si>
    <t>(CE#2)</t>
  </si>
  <si>
    <t>Indonesian rupiah</t>
  </si>
  <si>
    <t>IDR</t>
  </si>
  <si>
    <t>R-412A</t>
  </si>
  <si>
    <t>Comoros</t>
  </si>
  <si>
    <t>Iranian rial</t>
  </si>
  <si>
    <t>IRR</t>
  </si>
  <si>
    <t>Congo. Democratic Republic of</t>
  </si>
  <si>
    <t>Iraqi dinar</t>
  </si>
  <si>
    <t>IQD</t>
  </si>
  <si>
    <t>Congo. Republic of</t>
  </si>
  <si>
    <t>Israeli new shekel</t>
  </si>
  <si>
    <t>ILS</t>
  </si>
  <si>
    <t>Cook Islands</t>
  </si>
  <si>
    <t>Jamaican dollar</t>
  </si>
  <si>
    <t>JMD</t>
  </si>
  <si>
    <t>R-415A</t>
  </si>
  <si>
    <t>(CE#3)</t>
  </si>
  <si>
    <t>(13)</t>
  </si>
  <si>
    <t>Japanese yen</t>
  </si>
  <si>
    <t>JPY</t>
  </si>
  <si>
    <t>R-415B</t>
  </si>
  <si>
    <t>Côte d'Ivoire</t>
  </si>
  <si>
    <t>Jordanian dinar</t>
  </si>
  <si>
    <t>JOD</t>
  </si>
  <si>
    <t>R-416A</t>
  </si>
  <si>
    <t>Croatia</t>
  </si>
  <si>
    <t>Kazakh tenge</t>
  </si>
  <si>
    <t>KZT</t>
  </si>
  <si>
    <t>R-417A</t>
  </si>
  <si>
    <t>Cuba</t>
  </si>
  <si>
    <t>Kenyan shilling</t>
  </si>
  <si>
    <t>KES</t>
  </si>
  <si>
    <t>R-417B</t>
  </si>
  <si>
    <t>Curaçao (Netherlands)</t>
  </si>
  <si>
    <t>Kuwaiti dinar</t>
  </si>
  <si>
    <t>KWD</t>
  </si>
  <si>
    <t>R-417C</t>
  </si>
  <si>
    <t>Cyprus</t>
  </si>
  <si>
    <t>Kyrgyz som</t>
  </si>
  <si>
    <t>KGS</t>
  </si>
  <si>
    <t>R-418A</t>
  </si>
  <si>
    <t>Czechia</t>
  </si>
  <si>
    <t>Lao kip</t>
  </si>
  <si>
    <t>LAK</t>
  </si>
  <si>
    <t>R-419A</t>
  </si>
  <si>
    <t>Denmark</t>
  </si>
  <si>
    <t>Latvian lats</t>
  </si>
  <si>
    <t>LVL</t>
  </si>
  <si>
    <t>R-419B</t>
  </si>
  <si>
    <t>Djibouti</t>
  </si>
  <si>
    <t>Lebanese pound</t>
  </si>
  <si>
    <t>LBP</t>
  </si>
  <si>
    <t>R-420A</t>
  </si>
  <si>
    <t>Dominica</t>
  </si>
  <si>
    <t>Lesotho loti</t>
  </si>
  <si>
    <t>LSL</t>
  </si>
  <si>
    <t>R-421A</t>
  </si>
  <si>
    <t>Dominican Republic</t>
  </si>
  <si>
    <t>Liberian dollar</t>
  </si>
  <si>
    <t>LRD</t>
  </si>
  <si>
    <t>R-421B</t>
  </si>
  <si>
    <t>Ecuador</t>
  </si>
  <si>
    <t>Libyan dinar</t>
  </si>
  <si>
    <t>LYD</t>
  </si>
  <si>
    <t>R-422A</t>
  </si>
  <si>
    <t>Lithuanian litas</t>
  </si>
  <si>
    <t>LTL</t>
  </si>
  <si>
    <t>R-422B</t>
  </si>
  <si>
    <t>El Salvador</t>
  </si>
  <si>
    <t>Macao SAR pataca</t>
  </si>
  <si>
    <t>MOP</t>
  </si>
  <si>
    <t>R-422C</t>
  </si>
  <si>
    <t>Equatorial Guinea</t>
  </si>
  <si>
    <t>Macedonian denar</t>
  </si>
  <si>
    <t>MKD</t>
  </si>
  <si>
    <t>R-422D</t>
  </si>
  <si>
    <t>Eritrea</t>
  </si>
  <si>
    <t>Malagasy ariary</t>
  </si>
  <si>
    <t>MGA</t>
  </si>
  <si>
    <t>R-422E</t>
  </si>
  <si>
    <t>Estonia</t>
  </si>
  <si>
    <t>Malawi kwacha</t>
  </si>
  <si>
    <t>MWK</t>
  </si>
  <si>
    <t>R-423A</t>
  </si>
  <si>
    <t>Eswatini</t>
  </si>
  <si>
    <t>Malaysian ringgit</t>
  </si>
  <si>
    <t>MYR</t>
  </si>
  <si>
    <t>R-424A</t>
  </si>
  <si>
    <t>Ethiopia</t>
  </si>
  <si>
    <t>Maldivian rufiyaa</t>
  </si>
  <si>
    <t>MVR</t>
  </si>
  <si>
    <t>R-425A</t>
  </si>
  <si>
    <t>Faroe Islands (Denmark)</t>
  </si>
  <si>
    <t>Mauritanian ouguiya</t>
  </si>
  <si>
    <t>MRO</t>
  </si>
  <si>
    <t>R-426A</t>
  </si>
  <si>
    <t>Fiji</t>
  </si>
  <si>
    <t>Mauritius rupee</t>
  </si>
  <si>
    <t>MUR</t>
  </si>
  <si>
    <t>R-427A</t>
  </si>
  <si>
    <t>Finland</t>
  </si>
  <si>
    <t>Mexican peso</t>
  </si>
  <si>
    <t>MXN</t>
  </si>
  <si>
    <t>R-428A</t>
  </si>
  <si>
    <t>Moldovan leu</t>
  </si>
  <si>
    <t>MDL</t>
  </si>
  <si>
    <t>R-429A</t>
  </si>
  <si>
    <t>French Guiana</t>
  </si>
  <si>
    <t>Mongolian tugrik</t>
  </si>
  <si>
    <t>MNT</t>
  </si>
  <si>
    <t>R-430A</t>
  </si>
  <si>
    <t>French Polynesia</t>
  </si>
  <si>
    <t>Moroccan dirham</t>
  </si>
  <si>
    <t>MAD</t>
  </si>
  <si>
    <t>R-431A</t>
  </si>
  <si>
    <t>Gabon</t>
  </si>
  <si>
    <t>Mozambique new metical</t>
  </si>
  <si>
    <t>MZN</t>
  </si>
  <si>
    <t>Gambia</t>
  </si>
  <si>
    <t>Myanmar kyat</t>
  </si>
  <si>
    <t>MMK</t>
  </si>
  <si>
    <t>Namibian dollar</t>
  </si>
  <si>
    <t>NAD</t>
  </si>
  <si>
    <t>R-434A</t>
  </si>
  <si>
    <t>Nepalese rupee</t>
  </si>
  <si>
    <t>NPR</t>
  </si>
  <si>
    <t>R-435A</t>
  </si>
  <si>
    <t>Ghana</t>
  </si>
  <si>
    <t>Netherlands Antillian guilder</t>
  </si>
  <si>
    <t>ANG</t>
  </si>
  <si>
    <t>Greece</t>
  </si>
  <si>
    <t>New Zealand dollar</t>
  </si>
  <si>
    <t>NZD</t>
  </si>
  <si>
    <t>Greenland</t>
  </si>
  <si>
    <t>(CE#25) World value.</t>
  </si>
  <si>
    <t>Nicaraguan cordoba oro</t>
  </si>
  <si>
    <t>NIO</t>
  </si>
  <si>
    <t>R-437A</t>
  </si>
  <si>
    <t>Grenada</t>
  </si>
  <si>
    <t>Nigerian naira</t>
  </si>
  <si>
    <t>NGN</t>
  </si>
  <si>
    <t>R-438A</t>
  </si>
  <si>
    <t>Guadeloupe (France)</t>
  </si>
  <si>
    <t>North Korean won</t>
  </si>
  <si>
    <t>KPW</t>
  </si>
  <si>
    <t>R-439A</t>
  </si>
  <si>
    <t>Guam</t>
  </si>
  <si>
    <t>Norwegian krone</t>
  </si>
  <si>
    <t>NOK</t>
  </si>
  <si>
    <t>R-440A</t>
  </si>
  <si>
    <t>Guatemala</t>
  </si>
  <si>
    <t>(CE#4)</t>
  </si>
  <si>
    <t>Omani rial</t>
  </si>
  <si>
    <t>OMR</t>
  </si>
  <si>
    <t>Guinea</t>
  </si>
  <si>
    <t>Pakistani rupee</t>
  </si>
  <si>
    <t>PKR</t>
  </si>
  <si>
    <t>R-442A</t>
  </si>
  <si>
    <t>Guinea-Bissau</t>
  </si>
  <si>
    <t>Panamanian balboa</t>
  </si>
  <si>
    <t>PAB</t>
  </si>
  <si>
    <t>Guyana</t>
  </si>
  <si>
    <t>Papua New Guinea kina</t>
  </si>
  <si>
    <t>PGK</t>
  </si>
  <si>
    <t>R-444A</t>
  </si>
  <si>
    <t>Haiti</t>
  </si>
  <si>
    <t>Paraguayan guarani</t>
  </si>
  <si>
    <t>PYG</t>
  </si>
  <si>
    <t>R-445A</t>
  </si>
  <si>
    <t>Honduras</t>
  </si>
  <si>
    <t>CB#2</t>
  </si>
  <si>
    <t>Peruvian nuevo sol</t>
  </si>
  <si>
    <t>PEN</t>
  </si>
  <si>
    <t>R-500</t>
  </si>
  <si>
    <t>Hong Kong (China)</t>
  </si>
  <si>
    <t>Philippine peso</t>
  </si>
  <si>
    <t>PHP</t>
  </si>
  <si>
    <t>Hungary</t>
  </si>
  <si>
    <t>Polish zloty</t>
  </si>
  <si>
    <t>PLN</t>
  </si>
  <si>
    <t>Iceland</t>
  </si>
  <si>
    <t>Qatari rial</t>
  </si>
  <si>
    <t>QAR</t>
  </si>
  <si>
    <t>R-503</t>
  </si>
  <si>
    <t>(CE#14;CE#10)</t>
  </si>
  <si>
    <t>Romanian new leu</t>
  </si>
  <si>
    <t>RON</t>
  </si>
  <si>
    <t>R-504</t>
  </si>
  <si>
    <t>(CE#15)</t>
  </si>
  <si>
    <t>Russian ruble</t>
  </si>
  <si>
    <t>RUB</t>
  </si>
  <si>
    <t>Iran</t>
  </si>
  <si>
    <t>Rwandan franc</t>
  </si>
  <si>
    <t>RWF</t>
  </si>
  <si>
    <t>Iraq</t>
  </si>
  <si>
    <t>Saint Helena pound</t>
  </si>
  <si>
    <t>SHP</t>
  </si>
  <si>
    <t>R-507 o R-507A</t>
  </si>
  <si>
    <t>Ireland</t>
  </si>
  <si>
    <t>Samoan tala</t>
  </si>
  <si>
    <t>WST</t>
  </si>
  <si>
    <t>Isle of Man</t>
  </si>
  <si>
    <t>Sao Tome and Principe dobra</t>
  </si>
  <si>
    <t>STD</t>
  </si>
  <si>
    <t>Israel</t>
  </si>
  <si>
    <t>Saudi riyal</t>
  </si>
  <si>
    <t>R-509 o R-509A</t>
  </si>
  <si>
    <t>Serbian dinar</t>
  </si>
  <si>
    <t>RSD</t>
  </si>
  <si>
    <t>Jamaica</t>
  </si>
  <si>
    <t>Seychelles rupee</t>
  </si>
  <si>
    <t>SCR</t>
  </si>
  <si>
    <t>(CE#16)</t>
  </si>
  <si>
    <t>Sierra Leone leone</t>
  </si>
  <si>
    <t>SLL</t>
  </si>
  <si>
    <t>R-512A</t>
  </si>
  <si>
    <t>Singapore dollar</t>
  </si>
  <si>
    <t>SGD</t>
  </si>
  <si>
    <t>R-600</t>
  </si>
  <si>
    <t>(28)</t>
  </si>
  <si>
    <t>Butane</t>
  </si>
  <si>
    <t>Kazakhstan</t>
  </si>
  <si>
    <t>Solomon Islands dollar</t>
  </si>
  <si>
    <t>SBD</t>
  </si>
  <si>
    <t>R-600a</t>
  </si>
  <si>
    <t>(27)</t>
  </si>
  <si>
    <t>Kenya</t>
  </si>
  <si>
    <t>Somali shilling</t>
  </si>
  <si>
    <t>SOS</t>
  </si>
  <si>
    <t>R-717</t>
  </si>
  <si>
    <t>Ammonia.</t>
  </si>
  <si>
    <t>Kiribati</t>
  </si>
  <si>
    <t>South African rand</t>
  </si>
  <si>
    <t>ZAR</t>
  </si>
  <si>
    <t>R-718</t>
  </si>
  <si>
    <t>Water. It is not considered as an anthropogenic GHG.</t>
  </si>
  <si>
    <t>Korea (North). Dem. People's Rep. of</t>
  </si>
  <si>
    <t>South Korean won</t>
  </si>
  <si>
    <t>KRW</t>
  </si>
  <si>
    <t>Korea (South). Republic of</t>
  </si>
  <si>
    <t>(CE#17)</t>
  </si>
  <si>
    <t>Korea (the Republic of)</t>
  </si>
  <si>
    <t>Sri Lanka rupee</t>
  </si>
  <si>
    <t>LKR</t>
  </si>
  <si>
    <t>Kosovo</t>
  </si>
  <si>
    <t>Sudanese pound</t>
  </si>
  <si>
    <t>SDG</t>
  </si>
  <si>
    <t>Kuwait</t>
  </si>
  <si>
    <t>Suriname dollar</t>
  </si>
  <si>
    <t>SRD</t>
  </si>
  <si>
    <t>Note: GWP value for 100-years horizon.</t>
  </si>
  <si>
    <t>Kyrgyzstan</t>
  </si>
  <si>
    <t>Swaziland lilangeni</t>
  </si>
  <si>
    <t>SZL</t>
  </si>
  <si>
    <t>Compound of more than one gas.</t>
  </si>
  <si>
    <t>Laos</t>
  </si>
  <si>
    <t>Swedish krona</t>
  </si>
  <si>
    <t>SEK</t>
  </si>
  <si>
    <t>Latvia</t>
  </si>
  <si>
    <t>Swiss franc</t>
  </si>
  <si>
    <t>CHF</t>
  </si>
  <si>
    <t>Lebanon</t>
  </si>
  <si>
    <t>Syrian pound</t>
  </si>
  <si>
    <t>SYP</t>
  </si>
  <si>
    <t>Lesotho</t>
  </si>
  <si>
    <t>Taiwan New dollar</t>
  </si>
  <si>
    <t>TWD</t>
  </si>
  <si>
    <t>Liberia</t>
  </si>
  <si>
    <t>Tajik somoni</t>
  </si>
  <si>
    <t>TJS</t>
  </si>
  <si>
    <t>Libya</t>
  </si>
  <si>
    <t>Tanzanian shilling</t>
  </si>
  <si>
    <t>TZS</t>
  </si>
  <si>
    <t>Liechtenstein</t>
  </si>
  <si>
    <t>Thai baht</t>
  </si>
  <si>
    <t>THB</t>
  </si>
  <si>
    <t>Lithuania</t>
  </si>
  <si>
    <t>Tongan pa'anga</t>
  </si>
  <si>
    <t>TOP</t>
  </si>
  <si>
    <t>Luxembourg</t>
  </si>
  <si>
    <t>Trinidad and Tobago dollar</t>
  </si>
  <si>
    <t>TTD</t>
  </si>
  <si>
    <t>Macao (China)</t>
  </si>
  <si>
    <t>Tunisian dinar</t>
  </si>
  <si>
    <t>TND</t>
  </si>
  <si>
    <t>Macedonia. North</t>
  </si>
  <si>
    <t>Turkish lira</t>
  </si>
  <si>
    <t>TRY</t>
  </si>
  <si>
    <t>Madagascar</t>
  </si>
  <si>
    <t>Turkmen new manat</t>
  </si>
  <si>
    <t>TMT</t>
  </si>
  <si>
    <t>Madeira (Portugal)</t>
  </si>
  <si>
    <t>UAE dirham</t>
  </si>
  <si>
    <t>AED</t>
  </si>
  <si>
    <t>Malawi</t>
  </si>
  <si>
    <t>Uganda new shilling</t>
  </si>
  <si>
    <t>UGX</t>
  </si>
  <si>
    <t>Ukrainian hryvnia</t>
  </si>
  <si>
    <t>UAH</t>
  </si>
  <si>
    <t>Uruguayan peso uruguayo</t>
  </si>
  <si>
    <t>UYU</t>
  </si>
  <si>
    <t>Mali</t>
  </si>
  <si>
    <t>US dollar</t>
  </si>
  <si>
    <t>USD</t>
  </si>
  <si>
    <t>Malta</t>
  </si>
  <si>
    <t>Uzbekistani sum</t>
  </si>
  <si>
    <t>UZS</t>
  </si>
  <si>
    <t>Marshall Islands</t>
  </si>
  <si>
    <t>Vanuatu vatu</t>
  </si>
  <si>
    <t>VUV</t>
  </si>
  <si>
    <t>Martinique (France)</t>
  </si>
  <si>
    <t>Venezuelan bolivar fuerte</t>
  </si>
  <si>
    <t>VEF</t>
  </si>
  <si>
    <t>Mauritania</t>
  </si>
  <si>
    <t>Vietnamese dong</t>
  </si>
  <si>
    <t>VND</t>
  </si>
  <si>
    <t>Mauritius</t>
  </si>
  <si>
    <t>Yemeni rial</t>
  </si>
  <si>
    <t>YER</t>
  </si>
  <si>
    <t>Mayotte (France)</t>
  </si>
  <si>
    <t>Zambian kwacha</t>
  </si>
  <si>
    <t>ZMK</t>
  </si>
  <si>
    <t>(CE#5)</t>
  </si>
  <si>
    <t>(14)</t>
  </si>
  <si>
    <t>Zimbabwe dollar</t>
  </si>
  <si>
    <t>ZWL</t>
  </si>
  <si>
    <t>Micronesia</t>
  </si>
  <si>
    <t>Local currency</t>
  </si>
  <si>
    <t>Moldova</t>
  </si>
  <si>
    <t>Monaco</t>
  </si>
  <si>
    <t>Mongolia</t>
  </si>
  <si>
    <t>Montenegro</t>
  </si>
  <si>
    <t>Montserrat</t>
  </si>
  <si>
    <t>Morocco</t>
  </si>
  <si>
    <t>Mozambique</t>
  </si>
  <si>
    <t>Myanmar</t>
  </si>
  <si>
    <t>Namibia</t>
  </si>
  <si>
    <t>Nauru</t>
  </si>
  <si>
    <t>Nepal</t>
  </si>
  <si>
    <t>Netherlands (the)</t>
  </si>
  <si>
    <t>Netherlands Antilles</t>
  </si>
  <si>
    <t>New Caledonia (France)</t>
  </si>
  <si>
    <t>New Zealand</t>
  </si>
  <si>
    <t>Nicaragua</t>
  </si>
  <si>
    <t>Niger</t>
  </si>
  <si>
    <t>Nigeria</t>
  </si>
  <si>
    <t>Niue</t>
  </si>
  <si>
    <t>Northern Mariana Islands (U.S.)</t>
  </si>
  <si>
    <t>Norway</t>
  </si>
  <si>
    <t>Pakistan</t>
  </si>
  <si>
    <t>Palau</t>
  </si>
  <si>
    <t>Panama</t>
  </si>
  <si>
    <t>Papua New Guinea</t>
  </si>
  <si>
    <t>Paraguay</t>
  </si>
  <si>
    <t>Peru</t>
  </si>
  <si>
    <t>Poland</t>
  </si>
  <si>
    <t>Puerto Rico (U.S.)</t>
  </si>
  <si>
    <t>Reunion (France)</t>
  </si>
  <si>
    <t>Romania</t>
  </si>
  <si>
    <t>(CE#18)</t>
  </si>
  <si>
    <t>Russian Federation (the)</t>
  </si>
  <si>
    <t>Rwanda</t>
  </si>
  <si>
    <t>Saint Helena (U.K.)</t>
  </si>
  <si>
    <t>Saint Kitts and Nevis</t>
  </si>
  <si>
    <t>Saint Lucia</t>
  </si>
  <si>
    <t>Saint Martin (France)</t>
  </si>
  <si>
    <t>Saint Pierre and Miquelon (France)</t>
  </si>
  <si>
    <t>Saint Vincent and Grenadines</t>
  </si>
  <si>
    <t>Samoa</t>
  </si>
  <si>
    <t>San Marino</t>
  </si>
  <si>
    <t>Sao Tomé &amp; Principe</t>
  </si>
  <si>
    <t>(CE#19)</t>
  </si>
  <si>
    <t>Senegal</t>
  </si>
  <si>
    <t>Serbia</t>
  </si>
  <si>
    <t>Seychelles</t>
  </si>
  <si>
    <t>Sierra Leone</t>
  </si>
  <si>
    <t>Sint Martin (Netherlands)</t>
  </si>
  <si>
    <t>Slovakia</t>
  </si>
  <si>
    <t>Slovenia</t>
  </si>
  <si>
    <t>Solomon Islands</t>
  </si>
  <si>
    <t>Somalia</t>
  </si>
  <si>
    <t>(CE#20)</t>
  </si>
  <si>
    <t>South Sudan</t>
  </si>
  <si>
    <t>Sri Lanka</t>
  </si>
  <si>
    <t>Sudan</t>
  </si>
  <si>
    <t>Suriname</t>
  </si>
  <si>
    <t>Sweden</t>
  </si>
  <si>
    <t>Syrian Arab Republic</t>
  </si>
  <si>
    <t>Taiwan</t>
  </si>
  <si>
    <t>Taiwan (Province of China)</t>
  </si>
  <si>
    <t>Tajikistan</t>
  </si>
  <si>
    <t>Tanzania</t>
  </si>
  <si>
    <t>Timor-Leste</t>
  </si>
  <si>
    <t>Togo</t>
  </si>
  <si>
    <t>Tonga</t>
  </si>
  <si>
    <t>Trinidad and Tobago</t>
  </si>
  <si>
    <t>Tunisia</t>
  </si>
  <si>
    <t>(CE#21)</t>
  </si>
  <si>
    <t>Turkmenistan</t>
  </si>
  <si>
    <t>Turks and Caicos Islands (U.K.)</t>
  </si>
  <si>
    <t>Tuvalu</t>
  </si>
  <si>
    <t>Uganda</t>
  </si>
  <si>
    <t>Ukraine</t>
  </si>
  <si>
    <t>United Kingdom</t>
  </si>
  <si>
    <t>(CE#9)</t>
  </si>
  <si>
    <t>United Kingdom of Great Britain and Northern Ireland (the)</t>
  </si>
  <si>
    <t>Uruguay</t>
  </si>
  <si>
    <t>(CE#6)</t>
  </si>
  <si>
    <t>(15)</t>
  </si>
  <si>
    <t>PRMS (Puerto Rico Miscellaneous)</t>
  </si>
  <si>
    <t>(CE#24)</t>
  </si>
  <si>
    <t>Uzbekistan</t>
  </si>
  <si>
    <t>Vanatu</t>
  </si>
  <si>
    <t>Venezuela</t>
  </si>
  <si>
    <t>Virgin Islands (U.S.)</t>
  </si>
  <si>
    <t>West Bank and Gaza</t>
  </si>
  <si>
    <t>Yemen</t>
  </si>
  <si>
    <t>Zambia</t>
  </si>
  <si>
    <t>Zanzibar (Tanzania)</t>
  </si>
  <si>
    <t>(CE#25) Tanzania value.</t>
  </si>
  <si>
    <t>Zimbabwe</t>
  </si>
  <si>
    <t>GHG total emissions (MTCO2e) Scope 1, 2 and 3</t>
  </si>
  <si>
    <t>Aux I</t>
  </si>
  <si>
    <t>Aux II</t>
  </si>
  <si>
    <t>Aux Sunburst</t>
  </si>
  <si>
    <t>Aux total emissions circular</t>
  </si>
  <si>
    <t>Scope 3 Summary</t>
  </si>
  <si>
    <t>Aux Total emissions</t>
  </si>
  <si>
    <t>Scope 3 / Without extra supply chain</t>
  </si>
  <si>
    <t>Scope 3 / Only extra supply chain</t>
  </si>
  <si>
    <t>Total MTCO2e GHG Emissions for Scope 1,2,3</t>
  </si>
  <si>
    <t xml:space="preserve">Below some graphics are presented for Scope 1 and 2 emissions only. </t>
  </si>
  <si>
    <t>Scope 1 and 2 GHG Emissions</t>
  </si>
  <si>
    <t>Graphics</t>
  </si>
  <si>
    <t>Metrics</t>
  </si>
  <si>
    <t>Go back to Scope 1 and 2 Data</t>
  </si>
  <si>
    <t>Instrucciones</t>
  </si>
  <si>
    <t>1 - Complete each of the columns with the requested information. Only data with with a (*) are needed to estimate emissions. The rest of the data will provide you more information on this source to better define mitigation actions afterwards.</t>
  </si>
  <si>
    <t>2 - The columns "Type of equipment", "Gas used", "Was this equipment removed?", "Was this equipment refilled in the reporting year?" and "Unit" are completed through drop-down lists.</t>
  </si>
  <si>
    <r>
      <t>Serial Nº/ Internal ID N</t>
    </r>
    <r>
      <rPr>
        <vertAlign val="superscript"/>
        <sz val="12"/>
        <color theme="1"/>
        <rFont val="Arial"/>
        <family val="2"/>
        <scheme val="minor"/>
      </rPr>
      <t>o</t>
    </r>
  </si>
  <si>
    <t>Type of equipment (select from the list) (*)</t>
  </si>
  <si>
    <t>Location &amp; Description</t>
  </si>
  <si>
    <t>Refrigerator Capacity</t>
  </si>
  <si>
    <t>Date of Service</t>
  </si>
  <si>
    <r>
      <t xml:space="preserve">Type of gas </t>
    </r>
    <r>
      <rPr>
        <sz val="10"/>
        <rFont val="Calibri (Cuerpo)_x0000_"/>
      </rPr>
      <t>(select from the list) (*)</t>
    </r>
  </si>
  <si>
    <t>Number of maintenance visits in the reporting year</t>
  </si>
  <si>
    <t>Was this equipment removed?</t>
  </si>
  <si>
    <t xml:space="preserve">Was this equipment refilled in the reporting year? </t>
  </si>
  <si>
    <t>How much was the recharge in kilograms or lb? If you don't know, find the density and convert from liters/gallons to kilograms/lb</t>
  </si>
  <si>
    <t>Global Warming Potential</t>
  </si>
  <si>
    <t>Emissions in CO2e (kg)</t>
  </si>
  <si>
    <t>Capacity</t>
  </si>
  <si>
    <t>Quantity reloaded  (*)</t>
  </si>
  <si>
    <t>Unit (select from the list) (*)</t>
  </si>
  <si>
    <t>Quantity reloaded</t>
  </si>
  <si>
    <t>Institution / Organization</t>
  </si>
  <si>
    <t>Document / Dataset</t>
  </si>
  <si>
    <t>Section / Table</t>
  </si>
  <si>
    <t>URL</t>
  </si>
  <si>
    <t>IPCC</t>
  </si>
  <si>
    <t>2006 Guidelines. Volume 2. Chapter 1</t>
  </si>
  <si>
    <t>Table 1.2</t>
  </si>
  <si>
    <t>http://www.ipcc-nggip.iges.or.jp/public/2006gl/spanish/index.html</t>
  </si>
  <si>
    <t>2006 Guidelines. Volume 2. Chapter 2</t>
  </si>
  <si>
    <t>Table 2.4</t>
  </si>
  <si>
    <t>2006 Guidelines. Volume 2. Chapter 3</t>
  </si>
  <si>
    <t>Table 3.2.1</t>
  </si>
  <si>
    <t>Table 3.2.2</t>
  </si>
  <si>
    <t>Fourth Assessment Report</t>
  </si>
  <si>
    <t>Table 2.14</t>
  </si>
  <si>
    <t>https://www.ipcc.ch/publications_and_data/ar4/wg1/en/ch2s2-10-2.html</t>
  </si>
  <si>
    <t>Values corresponding to 100 years time horizon.</t>
  </si>
  <si>
    <t>ASHRAE</t>
  </si>
  <si>
    <t>Standard 34 - Designation and Safety Classification of Refrigerants</t>
  </si>
  <si>
    <t>Secretaría de Energía (actualmente Ministerio de Energía y Minería)</t>
  </si>
  <si>
    <t>Resolución 660/2015</t>
  </si>
  <si>
    <t>http://servicios.infoleg.gob.ar/infolegInternet/anexos/250000-254999/251066/norma.htm</t>
  </si>
  <si>
    <t>World Resources Institute / GHG Protocol</t>
  </si>
  <si>
    <t>GHG Emission Factors Compilation</t>
  </si>
  <si>
    <t>Table 14</t>
  </si>
  <si>
    <t>https://ghgprotocol.org/calculation-tools</t>
  </si>
  <si>
    <t>Table 18</t>
  </si>
  <si>
    <t>Department for Environment, Food and Rural Affairs and Department of Energy and Climate Change of UK.</t>
  </si>
  <si>
    <t>Defra Standard Set</t>
  </si>
  <si>
    <t>Business travel- air</t>
  </si>
  <si>
    <t>1. Average passenger values. Uplift effect (8%) was removed.
2. Radiative force effect (+90%) was removed in CO2 emission factor as there are still uncertanties regarding this effect.
3. Global Warming Potential was corrected in Methane and Nitrous Oxide emission factors.
4. Using a conservative approach, as the emission factor for medium trips was zero for Methane, long trips value was adopted.</t>
  </si>
  <si>
    <t>Ministerio de Ambiente y Desarrollo Sustentable</t>
  </si>
  <si>
    <t>Tercera Comunicación Nacional a la Convención Marco de Naciones Unidas sobre Cambio Climático</t>
  </si>
  <si>
    <t>http://unfccc.int/resource/docs/natc/argnc3s.pdf</t>
  </si>
  <si>
    <t>2006 Guidelines. Volume 5. Chapter 2</t>
  </si>
  <si>
    <t>Table 2.3</t>
  </si>
  <si>
    <t>1. As there are not default values for "Como las guías no ofrecen valores por defecto para las fracciones "Nappies" y "Garden and park waste", the average between Argentina, Costa Rica and Mexico values was adopted, unless for Australia and New Zeland where due to the values of the other categories, the remaining percentage had to be divided in equal shares and allocated among the categories without information.
2. When there was not information for a given category, the remaning percetage (to fulfill 100%) was divided in equal shares and allocated to these categories.</t>
  </si>
  <si>
    <t>Ministerio de Ambiente y Energía</t>
  </si>
  <si>
    <t>Inventario Nacional de GEIs y absorción de carbono</t>
  </si>
  <si>
    <t>Table 5.2</t>
  </si>
  <si>
    <t>http://unfccc.int/resource/docs/natc/crinir2.pdf</t>
  </si>
  <si>
    <t>Secretaría de Medio Ambiente y Recursos Naturales</t>
  </si>
  <si>
    <t>Quinta Comunicación Nacional a la Convención Marco de Naciones Unidas sobre Cambio Climático</t>
  </si>
  <si>
    <t>http://unfccc.int/resource/docs/natc/mexnc5s.pdf</t>
  </si>
  <si>
    <t>Ministerio de Vivienda, Ordenamiento Territorial y Medio Ambiente</t>
  </si>
  <si>
    <t>Segundo Informe Bienal a la CMNUCC sobre el Cambio Climático. Anexos al Capítulo 2.</t>
  </si>
  <si>
    <t>Table 36</t>
  </si>
  <si>
    <t>2017</t>
  </si>
  <si>
    <t>http://unfccc.int/files/national_reports/non-annex_i_parties/biennial_update_reports/submitted_burs/application/pdf/43207915_uruguay-bur2-1-2-anexo_capitulo_2_-_bur_2_uy.pdf</t>
  </si>
  <si>
    <t xml:space="preserve">For plastic, department average values (17%) was adopted. </t>
  </si>
  <si>
    <t>2006 Guidelines. Volume 5. Chapter 4</t>
  </si>
  <si>
    <t>Table 4.1</t>
  </si>
  <si>
    <t>Wet weight basis values.</t>
  </si>
  <si>
    <t>2006 Guidelines. Volume 5. Chapter 3</t>
  </si>
  <si>
    <t>Table 3.1</t>
  </si>
  <si>
    <t>Table 3.3</t>
  </si>
  <si>
    <t>For each temperature interval, average default value between wet and dry zone was adopted for the category "Bulk waste".</t>
  </si>
  <si>
    <t>Section 3.2.3</t>
  </si>
  <si>
    <t>Table 2.6</t>
  </si>
  <si>
    <t>Programa Brasileiro GHG Protocol</t>
  </si>
  <si>
    <t>Ferramenta do Programa Brasileiro GHG Protocol. Versão 2016.2</t>
  </si>
  <si>
    <t>Viagens a negocios</t>
  </si>
  <si>
    <t>Tables 1 y 15</t>
  </si>
  <si>
    <t>Resolución 6/2010 - Establécense las especificaciones de calidad que deberá cumplir el biodiesel.</t>
  </si>
  <si>
    <t>Anexo</t>
  </si>
  <si>
    <t>http://servicios.infoleg.gob.ar/infolegInternet/anexos/160000-164999/163911/norma.htm</t>
  </si>
  <si>
    <t>Average value.</t>
  </si>
  <si>
    <t>Green House Gas Protocol</t>
  </si>
  <si>
    <t>Global Warming Potential Values</t>
  </si>
  <si>
    <t>https://www.ghgprotocol.org/sites/default/files/ghgp/Global-Warming-Potential-Values%20%28Feb%2016%202016%29_1.pdf</t>
  </si>
  <si>
    <t>UN Enviroment</t>
  </si>
  <si>
    <t>GWP-ODP Calculator</t>
  </si>
  <si>
    <t>https://www.unenvironment.org/ozonaction/gwp-odp-calculator</t>
  </si>
  <si>
    <t>Cuarto Informe de Evaluación</t>
  </si>
  <si>
    <t>Table 2.15</t>
  </si>
  <si>
    <t>International Anesthesia Research Society</t>
  </si>
  <si>
    <t>Life Cycle Greenhouse Gas Emissions of Anesthetic Drugs</t>
  </si>
  <si>
    <t>BOC</t>
  </si>
  <si>
    <t>Medical nitrous oxide / Medical Gas Data Sheet</t>
  </si>
  <si>
    <t>https://www.boconline.co.uk/en/images/medical_nitrous_oxide_tcm410-55835.pdf</t>
  </si>
  <si>
    <t>Medical carbon dioxide / Medical Gas Data Sheet</t>
  </si>
  <si>
    <t>https://www.bochealthcare.co.uk/en/images/HLC_506810-MGDS%20Medical%20carbon%20dioxide%28web%29_tcm409-61147.pdf</t>
  </si>
  <si>
    <t>EPA</t>
  </si>
  <si>
    <t>Simplified GHG Emissions Calculator Version 5</t>
  </si>
  <si>
    <t>Heat content &amp; Unit Convertions</t>
  </si>
  <si>
    <t>Pound to gram equivalence: 1lb = 453.592g</t>
  </si>
  <si>
    <t>Scope 2 Summary Table (Egrid Power Profiler)</t>
  </si>
  <si>
    <t>Scope 2 emissions</t>
  </si>
  <si>
    <t>Summary Data | US EPA</t>
  </si>
  <si>
    <t>National Institute for Health and Care Excellence</t>
  </si>
  <si>
    <t>Patient decision aid / Inhalers for asthma</t>
  </si>
  <si>
    <t>https://www.nice.org.uk/guidance/ng80/resources/inhalers-for-asthma-patient-decision-aid-pdf-6727144573</t>
  </si>
  <si>
    <t>Ethanol Blend in gasoline</t>
  </si>
  <si>
    <t>Scope 1 Mobile Fleet Combustion</t>
  </si>
  <si>
    <t>Ethanol explained - use of ethanol - U.S. Energy Information Administration (EIA)</t>
  </si>
  <si>
    <t>Biodiesel Blend in Diesel Fuel</t>
  </si>
  <si>
    <t>Biofuels explained - use and supply - U.S. Energy Information Administration (EIA)</t>
  </si>
  <si>
    <t>GWP of Waste Anesthetic Gases</t>
  </si>
  <si>
    <t>Scope 1 Fugitive Emissions / Anesthetic Gases</t>
  </si>
  <si>
    <t>Understanding Global Warming Potentials | US EPA</t>
  </si>
  <si>
    <r>
      <t xml:space="preserve">1 - For each of the anesthetic gases, indicate the number of bottles </t>
    </r>
    <r>
      <rPr>
        <b/>
        <u/>
        <sz val="12"/>
        <color rgb="FFFF0000"/>
        <rFont val="Arial"/>
        <family val="2"/>
        <scheme val="minor"/>
      </rPr>
      <t>purchased</t>
    </r>
    <r>
      <rPr>
        <b/>
        <sz val="12"/>
        <color theme="1"/>
        <rFont val="Arial"/>
        <family val="2"/>
        <scheme val="minor"/>
      </rPr>
      <t xml:space="preserve"> (not administered)</t>
    </r>
    <r>
      <rPr>
        <sz val="12"/>
        <color theme="1"/>
        <rFont val="Arial"/>
        <family val="2"/>
        <scheme val="minor"/>
      </rPr>
      <t xml:space="preserve"> for each container size. </t>
    </r>
    <r>
      <rPr>
        <b/>
        <sz val="12"/>
        <color theme="1"/>
        <rFont val="Arial"/>
        <family val="2"/>
        <scheme val="minor"/>
      </rPr>
      <t>Compare</t>
    </r>
    <r>
      <rPr>
        <sz val="12"/>
        <color theme="1"/>
        <rFont val="Arial"/>
        <family val="2"/>
        <scheme val="minor"/>
      </rPr>
      <t xml:space="preserve"> your purchased gases quantities to administered gases quantities to help identify</t>
    </r>
    <r>
      <rPr>
        <b/>
        <sz val="12"/>
        <color theme="1"/>
        <rFont val="Arial"/>
        <family val="2"/>
        <scheme val="minor"/>
      </rPr>
      <t xml:space="preserve"> gas leakage</t>
    </r>
    <r>
      <rPr>
        <sz val="12"/>
        <color theme="1"/>
        <rFont val="Arial"/>
        <family val="2"/>
        <scheme val="minor"/>
      </rPr>
      <t>.</t>
    </r>
  </si>
  <si>
    <r>
      <t>2- In N</t>
    </r>
    <r>
      <rPr>
        <vertAlign val="subscript"/>
        <sz val="12"/>
        <color theme="1"/>
        <rFont val="Arial"/>
        <family val="2"/>
        <scheme val="minor"/>
      </rPr>
      <t>2</t>
    </r>
    <r>
      <rPr>
        <sz val="12"/>
        <color theme="1"/>
        <rFont val="Arial"/>
        <family val="2"/>
        <scheme val="minor"/>
      </rPr>
      <t>O, N</t>
    </r>
    <r>
      <rPr>
        <vertAlign val="subscript"/>
        <sz val="12"/>
        <color theme="1"/>
        <rFont val="Arial"/>
        <family val="2"/>
        <scheme val="minor"/>
      </rPr>
      <t>2</t>
    </r>
    <r>
      <rPr>
        <sz val="12"/>
        <color theme="1"/>
        <rFont val="Arial"/>
        <family val="2"/>
        <scheme val="minor"/>
      </rPr>
      <t>O/O</t>
    </r>
    <r>
      <rPr>
        <vertAlign val="subscript"/>
        <sz val="12"/>
        <color theme="1"/>
        <rFont val="Arial"/>
        <family val="2"/>
        <scheme val="minor"/>
      </rPr>
      <t>2</t>
    </r>
    <r>
      <rPr>
        <sz val="12"/>
        <color theme="1"/>
        <rFont val="Arial"/>
        <family val="2"/>
        <scheme val="minor"/>
      </rPr>
      <t xml:space="preserve"> and CO</t>
    </r>
    <r>
      <rPr>
        <vertAlign val="subscript"/>
        <sz val="12"/>
        <color theme="1"/>
        <rFont val="Arial"/>
        <family val="2"/>
        <scheme val="minor"/>
      </rPr>
      <t>2</t>
    </r>
    <r>
      <rPr>
        <sz val="12"/>
        <color theme="1"/>
        <rFont val="Arial"/>
        <family val="2"/>
        <scheme val="minor"/>
      </rPr>
      <t xml:space="preserve"> fields, entered directly the total quantity delivered in pounds.</t>
    </r>
  </si>
  <si>
    <t>Calculations</t>
  </si>
  <si>
    <t>Anesthetic Agent</t>
  </si>
  <si>
    <t>Bottle Size (ml)</t>
  </si>
  <si>
    <t>Number of Bottles</t>
  </si>
  <si>
    <t>Gas</t>
  </si>
  <si>
    <t>Amount of Gas</t>
  </si>
  <si>
    <t>ml</t>
  </si>
  <si>
    <t>Density</t>
  </si>
  <si>
    <t>Emissions</t>
  </si>
  <si>
    <t>Bottle Size 1</t>
  </si>
  <si>
    <t>Bottle Size 2</t>
  </si>
  <si>
    <t>Bottle Size 3</t>
  </si>
  <si>
    <t>Density (kg/l)</t>
  </si>
  <si>
    <t>kgCO2e</t>
  </si>
  <si>
    <t>Quantity delivered (pounds)</t>
  </si>
  <si>
    <t>Density (kg/Lb)</t>
  </si>
  <si>
    <t>Completing this sheet is highly recommended, even though the information it requests is not directly used by the calculator to estimate emissions.</t>
  </si>
  <si>
    <t xml:space="preserve">At first it may appear to be a labor intensive activity without any concrete results, but having metadata (unit, year, reference, category) for each value used to estimate GHG footprint will be helpful when repeating this activity in subsequent years in order to ensure transparency and accuracy of calculations. </t>
  </si>
  <si>
    <t>Name of the parameter</t>
  </si>
  <si>
    <t>Source category where this parameter is used</t>
  </si>
  <si>
    <t>Year of the value</t>
  </si>
  <si>
    <t>Additional information (ie. comments, clarifications, etc.)</t>
  </si>
  <si>
    <t>note, outpatient type
must be selected</t>
  </si>
  <si>
    <t>Outpatient type (mandatory)</t>
  </si>
  <si>
    <t>Updated Scope 2 emission factors per region to 2022 EPA data set, Aded Market-Based Electricity input to Scope 2, Updated Waste Anesthetic Gases and Refrigerants to AR6 values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</si>
</sst>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8">
    <numFmt numFmtId="5" formatCode="&quot;$&quot;#,##0_);\(&quot;$&quot;#,##0\)"/>
    <numFmt numFmtId="44" formatCode="_(&quot;$&quot;* #,##0.00_);_(&quot;$&quot;* \(#,##0.00\);_(&quot;$&quot;* &quot;-&quot;??_);_(@_)"/>
    <numFmt numFmtId="43" formatCode="_(* #,##0.00_);_(* \(#,##0.00\);_(* &quot;-&quot;??_);_(@_)"/>
    <numFmt numFmtId="164" formatCode="0.000"/>
    <numFmt numFmtId="165" formatCode="0.000000"/>
    <numFmt numFmtId="166" formatCode="0.0000"/>
    <numFmt numFmtId="167" formatCode="#,##0.000"/>
    <numFmt numFmtId="168" formatCode="0.0"/>
    <numFmt numFmtId="169" formatCode="_(* #,##0.000_);_(* \(#,##0.000\);_(* &quot;-&quot;??_);_(@_)"/>
    <numFmt numFmtId="170" formatCode="_-* #,##0.00_-;\-* #,##0.00_-;_-* &quot;-&quot;??_-;_-@_-"/>
    <numFmt numFmtId="171" formatCode="#,##0.000000"/>
    <numFmt numFmtId="172" formatCode="0.00000"/>
    <numFmt numFmtId="173" formatCode="General_)"/>
    <numFmt numFmtId="174" formatCode="??0.0"/>
    <numFmt numFmtId="175" formatCode="#,##0.0000_);\(#,##0.0000\)"/>
    <numFmt numFmtId="176" formatCode="_(* #,##0.0000_);_(* \(#,##0.0000\);_(* &quot;-&quot;??_);_(@_)"/>
    <numFmt numFmtId="177" formatCode="_(&quot;$&quot;* #,##0_);_(&quot;$&quot;* \(#,##0\);_(&quot;$&quot;* &quot;-&quot;??_);_(@_)"/>
    <numFmt numFmtId="178" formatCode="_(* #,##0_);_(* \(#,##0\);_(* &quot;-&quot;??_);_(@_)"/>
    <numFmt numFmtId="179" formatCode="_(* #,##0.0_);_(* \(#,##0.0\);_(* &quot;-&quot;??_);_(@_)"/>
    <numFmt numFmtId="180" formatCode="#,##0.0000"/>
    <numFmt numFmtId="181" formatCode="#,##0.0"/>
    <numFmt numFmtId="182" formatCode="??0.00"/>
    <numFmt numFmtId="183" formatCode="??0.00000"/>
    <numFmt numFmtId="184" formatCode="0.00000%"/>
    <numFmt numFmtId="185" formatCode="#,##0.0_);\(#,##0.0\)"/>
    <numFmt numFmtId="186" formatCode="0.00000000"/>
    <numFmt numFmtId="187" formatCode="0.0000000"/>
    <numFmt numFmtId="188" formatCode="#,##0.00000"/>
    <numFmt numFmtId="189" formatCode="#,##0.000000000"/>
    <numFmt numFmtId="190" formatCode="#,##0.0000000"/>
    <numFmt numFmtId="191" formatCode="0.0%"/>
    <numFmt numFmtId="192" formatCode="_-* #,##0_-;\-* #,##0_-;_-* &quot;-&quot;??_-;_-@_-"/>
    <numFmt numFmtId="193" formatCode="_-[$$-409]* #,##0_ ;_-[$$-409]* \-#,##0\ ;_-[$$-409]* &quot;-&quot;??_ ;_-@_ "/>
    <numFmt numFmtId="194" formatCode="_-* #,##0.000_-;\-* #,##0.000_-;_-* &quot;-&quot;??_-;_-@_-"/>
    <numFmt numFmtId="195" formatCode="_-* #,##0.0000_-;\-* #,##0.0000_-;_-* &quot;-&quot;??_-;_-@_-"/>
    <numFmt numFmtId="196" formatCode="_-* #,##0.00000_-;\-* #,##0.00000_-;_-* &quot;-&quot;??_-;_-@_-"/>
    <numFmt numFmtId="197" formatCode="_-* #,##0.000_-;\-* #,##0.000_-;_-* &quot;-&quot;???_-;_-@_-"/>
    <numFmt numFmtId="198" formatCode="_-* #,##0.0_-;\-* #,##0.0_-;_-* &quot;-&quot;??_-;_-@_-"/>
  </numFmts>
  <fonts count="204">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i/>
      <sz val="11"/>
      <color theme="1"/>
      <name val="Arial"/>
      <family val="2"/>
      <scheme val="minor"/>
    </font>
    <font>
      <sz val="11"/>
      <color rgb="FFFF0000"/>
      <name val="Arial"/>
      <family val="2"/>
      <scheme val="minor"/>
    </font>
    <font>
      <sz val="11"/>
      <name val="Arial"/>
      <family val="2"/>
      <scheme val="minor"/>
    </font>
    <font>
      <b/>
      <sz val="16"/>
      <color theme="1"/>
      <name val="Arial"/>
      <family val="2"/>
      <scheme val="minor"/>
    </font>
    <font>
      <u/>
      <sz val="11"/>
      <color theme="10"/>
      <name val="Arial"/>
      <family val="2"/>
      <scheme val="minor"/>
    </font>
    <font>
      <b/>
      <sz val="22"/>
      <color theme="0"/>
      <name val="Arial"/>
      <family val="2"/>
      <scheme val="minor"/>
    </font>
    <font>
      <b/>
      <i/>
      <sz val="11"/>
      <color theme="1"/>
      <name val="Arial"/>
      <family val="2"/>
      <scheme val="minor"/>
    </font>
    <font>
      <sz val="10"/>
      <name val="Arial"/>
      <family val="2"/>
    </font>
    <font>
      <b/>
      <sz val="14"/>
      <color theme="1"/>
      <name val="Arial"/>
      <family val="2"/>
      <scheme val="minor"/>
    </font>
    <font>
      <i/>
      <sz val="11"/>
      <color rgb="FFFF00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i/>
      <sz val="11"/>
      <color rgb="FF7F7F7F"/>
      <name val="Arial"/>
      <family val="2"/>
      <scheme val="minor"/>
    </font>
    <font>
      <sz val="11"/>
      <color theme="0"/>
      <name val="Arial"/>
      <family val="2"/>
      <scheme val="minor"/>
    </font>
    <font>
      <sz val="10"/>
      <name val="Verdana"/>
      <family val="2"/>
    </font>
    <font>
      <sz val="9"/>
      <color theme="1"/>
      <name val="Arial"/>
      <family val="2"/>
      <scheme val="minor"/>
    </font>
    <font>
      <sz val="10"/>
      <color theme="1"/>
      <name val="Arial"/>
      <family val="2"/>
      <scheme val="minor"/>
    </font>
    <font>
      <b/>
      <sz val="10"/>
      <color theme="1"/>
      <name val="Arial"/>
      <family val="2"/>
      <scheme val="minor"/>
    </font>
    <font>
      <b/>
      <sz val="12"/>
      <color theme="4"/>
      <name val="Arial"/>
      <family val="2"/>
      <scheme val="minor"/>
    </font>
    <font>
      <u/>
      <sz val="11"/>
      <color theme="6"/>
      <name val="Calibri"/>
      <family val="2"/>
    </font>
    <font>
      <b/>
      <sz val="9"/>
      <color theme="1"/>
      <name val="Arial"/>
      <family val="2"/>
      <scheme val="minor"/>
    </font>
    <font>
      <u/>
      <sz val="10"/>
      <color theme="4"/>
      <name val="Arial"/>
      <family val="2"/>
      <scheme val="minor"/>
    </font>
    <font>
      <sz val="11"/>
      <color rgb="FF9C6500"/>
      <name val="Arial"/>
      <family val="2"/>
      <scheme val="minor"/>
    </font>
    <font>
      <b/>
      <sz val="18"/>
      <color theme="3"/>
      <name val="Arial"/>
      <family val="2"/>
      <scheme val="major"/>
    </font>
    <font>
      <i/>
      <sz val="10"/>
      <color theme="1"/>
      <name val="Arial"/>
      <family val="2"/>
      <scheme val="minor"/>
    </font>
    <font>
      <b/>
      <sz val="11"/>
      <color rgb="FFFF0000"/>
      <name val="Arial"/>
      <family val="2"/>
      <scheme val="minor"/>
    </font>
    <font>
      <b/>
      <sz val="16"/>
      <color theme="0"/>
      <name val="Arial"/>
      <family val="2"/>
      <scheme val="minor"/>
    </font>
    <font>
      <sz val="10"/>
      <color theme="1"/>
      <name val="Calibri"/>
      <family val="2"/>
    </font>
    <font>
      <i/>
      <sz val="10"/>
      <color rgb="FFFF0000"/>
      <name val="Arial"/>
      <family val="2"/>
      <scheme val="minor"/>
    </font>
    <font>
      <sz val="11"/>
      <color rgb="FF000000"/>
      <name val="Calibri"/>
      <family val="2"/>
    </font>
    <font>
      <b/>
      <sz val="12"/>
      <color theme="1"/>
      <name val="Arial"/>
      <family val="2"/>
      <scheme val="minor"/>
    </font>
    <font>
      <sz val="12"/>
      <color theme="1"/>
      <name val="Arial"/>
      <family val="2"/>
      <scheme val="minor"/>
    </font>
    <font>
      <b/>
      <sz val="11"/>
      <name val="Arial"/>
      <family val="2"/>
      <scheme val="minor"/>
    </font>
    <font>
      <sz val="10"/>
      <color theme="1"/>
      <name val="Arial"/>
      <family val="2"/>
    </font>
    <font>
      <u/>
      <sz val="11"/>
      <color indexed="12"/>
      <name val="Calibri"/>
      <family val="2"/>
    </font>
    <font>
      <u/>
      <sz val="10"/>
      <color indexed="12"/>
      <name val="Arial"/>
      <family val="2"/>
    </font>
    <font>
      <sz val="12"/>
      <color theme="1"/>
      <name val="Arial"/>
      <family val="2"/>
      <charset val="129"/>
      <scheme val="minor"/>
    </font>
    <font>
      <sz val="11"/>
      <color theme="1"/>
      <name val="Calibri"/>
      <family val="2"/>
    </font>
    <font>
      <i/>
      <sz val="11"/>
      <name val="Arial"/>
      <family val="2"/>
      <scheme val="minor"/>
    </font>
    <font>
      <sz val="12"/>
      <name val="Arial"/>
      <family val="2"/>
      <scheme val="minor"/>
    </font>
    <font>
      <b/>
      <sz val="14"/>
      <color theme="0"/>
      <name val="Arial"/>
      <family val="2"/>
      <scheme val="minor"/>
    </font>
    <font>
      <sz val="12"/>
      <color rgb="FF000000"/>
      <name val="Arial"/>
      <family val="2"/>
      <scheme val="minor"/>
    </font>
    <font>
      <b/>
      <i/>
      <sz val="12"/>
      <name val="Arial"/>
      <family val="2"/>
      <scheme val="minor"/>
    </font>
    <font>
      <b/>
      <i/>
      <sz val="12"/>
      <color theme="1"/>
      <name val="Arial"/>
      <family val="2"/>
      <scheme val="minor"/>
    </font>
    <font>
      <sz val="11"/>
      <color theme="1"/>
      <name val="Arial"/>
      <family val="2"/>
    </font>
    <font>
      <b/>
      <vertAlign val="subscript"/>
      <sz val="10"/>
      <name val="Arial"/>
      <family val="2"/>
    </font>
    <font>
      <b/>
      <sz val="10"/>
      <name val="Arial"/>
      <family val="2"/>
    </font>
    <font>
      <sz val="10"/>
      <color rgb="FF0070C0"/>
      <name val="Arial"/>
      <family val="2"/>
    </font>
    <font>
      <b/>
      <i/>
      <sz val="11"/>
      <name val="Calibri"/>
      <family val="2"/>
    </font>
    <font>
      <i/>
      <sz val="11"/>
      <name val="Calibri"/>
      <family val="2"/>
    </font>
    <font>
      <i/>
      <sz val="9"/>
      <color theme="1"/>
      <name val="Arial"/>
      <family val="2"/>
      <scheme val="minor"/>
    </font>
    <font>
      <b/>
      <sz val="11"/>
      <color theme="1"/>
      <name val="Arial"/>
      <family val="2"/>
    </font>
    <font>
      <sz val="11"/>
      <color rgb="FF002060"/>
      <name val="Arial"/>
      <family val="2"/>
      <scheme val="minor"/>
    </font>
    <font>
      <vertAlign val="subscript"/>
      <sz val="11"/>
      <color indexed="56"/>
      <name val="Calibri"/>
      <family val="2"/>
    </font>
    <font>
      <sz val="11"/>
      <color indexed="56"/>
      <name val="Calibri"/>
      <family val="2"/>
    </font>
    <font>
      <b/>
      <sz val="11"/>
      <color rgb="FF0000FF"/>
      <name val="Arial"/>
      <family val="2"/>
      <scheme val="minor"/>
    </font>
    <font>
      <sz val="12"/>
      <color theme="0"/>
      <name val="Arial"/>
      <family val="2"/>
      <scheme val="minor"/>
    </font>
    <font>
      <b/>
      <i/>
      <sz val="10"/>
      <name val="Arial"/>
      <family val="2"/>
    </font>
    <font>
      <i/>
      <sz val="10"/>
      <name val="Arial"/>
      <family val="2"/>
    </font>
    <font>
      <b/>
      <i/>
      <u/>
      <sz val="10"/>
      <color theme="3" tint="-0.499984740745262"/>
      <name val="Arial"/>
      <family val="2"/>
    </font>
    <font>
      <sz val="11"/>
      <color rgb="FF0000FF"/>
      <name val="Arial"/>
      <family val="2"/>
      <scheme val="minor"/>
    </font>
    <font>
      <b/>
      <sz val="13.5"/>
      <color rgb="FF0000FF"/>
      <name val="Arial"/>
      <family val="2"/>
      <scheme val="minor"/>
    </font>
    <font>
      <b/>
      <sz val="13.5"/>
      <color theme="7"/>
      <name val="Arial"/>
      <family val="2"/>
      <scheme val="minor"/>
    </font>
    <font>
      <sz val="12"/>
      <color rgb="FF0000FF"/>
      <name val="Arial"/>
      <family val="2"/>
      <scheme val="minor"/>
    </font>
    <font>
      <sz val="18"/>
      <color rgb="FF0000FF"/>
      <name val="Arial"/>
      <family val="2"/>
      <scheme val="minor"/>
    </font>
    <font>
      <i/>
      <sz val="12"/>
      <color theme="1"/>
      <name val="Arial"/>
      <family val="2"/>
      <scheme val="minor"/>
    </font>
    <font>
      <b/>
      <sz val="18"/>
      <color rgb="FF0000FF"/>
      <name val="Arial"/>
      <family val="2"/>
      <scheme val="minor"/>
    </font>
    <font>
      <sz val="14"/>
      <color theme="0"/>
      <name val="Arial"/>
      <family val="2"/>
      <scheme val="minor"/>
    </font>
    <font>
      <b/>
      <u/>
      <sz val="14"/>
      <color theme="0"/>
      <name val="Arial"/>
      <family val="2"/>
      <scheme val="minor"/>
    </font>
    <font>
      <b/>
      <sz val="14"/>
      <color rgb="FFFF0000"/>
      <name val="Arial"/>
      <family val="2"/>
      <scheme val="minor"/>
    </font>
    <font>
      <b/>
      <sz val="13.5"/>
      <color theme="1"/>
      <name val="Arial"/>
      <family val="2"/>
      <scheme val="minor"/>
    </font>
    <font>
      <sz val="11"/>
      <color rgb="FF343A3C"/>
      <name val="Arial"/>
      <family val="2"/>
      <scheme val="minor"/>
    </font>
    <font>
      <i/>
      <sz val="11"/>
      <color rgb="FF343A3C"/>
      <name val="Arial"/>
      <family val="2"/>
      <scheme val="minor"/>
    </font>
    <font>
      <b/>
      <i/>
      <sz val="14"/>
      <color theme="0"/>
      <name val="Arial"/>
      <family val="2"/>
      <scheme val="minor"/>
    </font>
    <font>
      <b/>
      <i/>
      <sz val="20"/>
      <name val="Arial"/>
      <family val="2"/>
      <scheme val="minor"/>
    </font>
    <font>
      <b/>
      <i/>
      <sz val="18"/>
      <color theme="1"/>
      <name val="Arial"/>
      <family val="2"/>
      <scheme val="minor"/>
    </font>
    <font>
      <b/>
      <u/>
      <sz val="11"/>
      <color theme="0"/>
      <name val="Arial"/>
      <family val="2"/>
      <scheme val="minor"/>
    </font>
    <font>
      <b/>
      <sz val="12"/>
      <color theme="0"/>
      <name val="Arial"/>
      <family val="2"/>
      <scheme val="minor"/>
    </font>
    <font>
      <sz val="10"/>
      <color rgb="FFFF0000"/>
      <name val="Arial"/>
      <family val="2"/>
      <scheme val="minor"/>
    </font>
    <font>
      <b/>
      <sz val="14.5"/>
      <color theme="1"/>
      <name val="Arial"/>
      <family val="2"/>
      <scheme val="minor"/>
    </font>
    <font>
      <b/>
      <i/>
      <sz val="14.5"/>
      <color theme="1"/>
      <name val="Arial"/>
      <family val="2"/>
      <scheme val="minor"/>
    </font>
    <font>
      <b/>
      <u/>
      <sz val="11"/>
      <color theme="1"/>
      <name val="Arial"/>
      <family val="2"/>
      <scheme val="minor"/>
    </font>
    <font>
      <b/>
      <i/>
      <sz val="11"/>
      <color rgb="FFFF0000"/>
      <name val="Arial"/>
      <family val="2"/>
      <scheme val="minor"/>
    </font>
    <font>
      <b/>
      <i/>
      <sz val="11"/>
      <color rgb="FF00B0F0"/>
      <name val="Arial"/>
      <family val="2"/>
      <scheme val="minor"/>
    </font>
    <font>
      <u/>
      <sz val="11"/>
      <color theme="1"/>
      <name val="Arial"/>
      <family val="2"/>
      <scheme val="minor"/>
    </font>
    <font>
      <i/>
      <sz val="9"/>
      <color rgb="FF0000FF"/>
      <name val="Arial"/>
      <family val="2"/>
      <scheme val="minor"/>
    </font>
    <font>
      <b/>
      <sz val="12"/>
      <name val="Arial"/>
      <family val="2"/>
      <scheme val="minor"/>
    </font>
    <font>
      <b/>
      <i/>
      <sz val="14"/>
      <color theme="1"/>
      <name val="Arial"/>
      <family val="2"/>
      <scheme val="minor"/>
    </font>
    <font>
      <b/>
      <i/>
      <sz val="11"/>
      <name val="Arial"/>
      <family val="2"/>
      <scheme val="minor"/>
    </font>
    <font>
      <i/>
      <sz val="11"/>
      <color theme="2" tint="-0.499984740745262"/>
      <name val="Arial"/>
      <family val="2"/>
      <scheme val="minor"/>
    </font>
    <font>
      <b/>
      <i/>
      <sz val="11"/>
      <color rgb="FF0070C0"/>
      <name val="Arial"/>
      <family val="2"/>
      <scheme val="minor"/>
    </font>
    <font>
      <b/>
      <sz val="12"/>
      <name val="Arial"/>
      <family val="2"/>
    </font>
    <font>
      <b/>
      <sz val="12"/>
      <color rgb="FFFF0000"/>
      <name val="Calibri"/>
      <family val="2"/>
    </font>
    <font>
      <sz val="12"/>
      <color theme="1"/>
      <name val="Calibri"/>
      <family val="2"/>
    </font>
    <font>
      <b/>
      <u/>
      <sz val="12"/>
      <color theme="1"/>
      <name val="Calibri"/>
      <family val="2"/>
    </font>
    <font>
      <b/>
      <i/>
      <sz val="12"/>
      <color theme="1"/>
      <name val="Calibri"/>
      <family val="2"/>
    </font>
    <font>
      <sz val="12"/>
      <color rgb="FF333333"/>
      <name val="Calibri"/>
      <family val="2"/>
    </font>
    <font>
      <b/>
      <i/>
      <sz val="12"/>
      <color rgb="FF333333"/>
      <name val="Calibri"/>
      <family val="2"/>
    </font>
    <font>
      <b/>
      <u/>
      <sz val="12"/>
      <color rgb="FF333333"/>
      <name val="Calibri"/>
      <family val="2"/>
    </font>
    <font>
      <sz val="12"/>
      <color rgb="FF000000"/>
      <name val="Calibri"/>
      <family val="2"/>
    </font>
    <font>
      <b/>
      <sz val="12"/>
      <color theme="1"/>
      <name val="Calibri"/>
      <family val="2"/>
    </font>
    <font>
      <i/>
      <sz val="12"/>
      <color theme="1"/>
      <name val="Calibri"/>
      <family val="2"/>
    </font>
    <font>
      <u/>
      <sz val="11"/>
      <color theme="1"/>
      <name val="Calibri"/>
      <family val="2"/>
    </font>
    <font>
      <u/>
      <sz val="12"/>
      <color theme="1"/>
      <name val="Calibri"/>
      <family val="2"/>
    </font>
    <font>
      <b/>
      <u/>
      <sz val="10"/>
      <name val="Arial"/>
      <family val="2"/>
    </font>
    <font>
      <b/>
      <sz val="11"/>
      <color rgb="FFFF0000"/>
      <name val="Arial"/>
      <family val="2"/>
      <scheme val="major"/>
    </font>
    <font>
      <sz val="11"/>
      <color theme="2" tint="-0.499984740745262"/>
      <name val="Arial"/>
      <family val="2"/>
      <scheme val="minor"/>
    </font>
    <font>
      <b/>
      <sz val="10"/>
      <color rgb="FF00B0F0"/>
      <name val="Arial"/>
      <family val="2"/>
    </font>
    <font>
      <b/>
      <sz val="10"/>
      <color rgb="FF0000FF"/>
      <name val="Arial"/>
      <family val="2"/>
    </font>
    <font>
      <b/>
      <sz val="10"/>
      <color rgb="FF00B050"/>
      <name val="Arial"/>
      <family val="2"/>
    </font>
    <font>
      <u/>
      <sz val="10"/>
      <name val="Arial"/>
      <family val="2"/>
    </font>
    <font>
      <b/>
      <i/>
      <sz val="14"/>
      <color rgb="FF0000FF"/>
      <name val="Arial"/>
      <family val="2"/>
      <scheme val="minor"/>
    </font>
    <font>
      <b/>
      <i/>
      <sz val="14"/>
      <color rgb="FF00B050"/>
      <name val="Arial"/>
      <family val="2"/>
      <scheme val="minor"/>
    </font>
    <font>
      <b/>
      <sz val="16"/>
      <color rgb="FFFF0000"/>
      <name val="Arial"/>
      <family val="2"/>
      <scheme val="minor"/>
    </font>
    <font>
      <i/>
      <u/>
      <sz val="11"/>
      <color theme="10"/>
      <name val="Arial"/>
      <family val="2"/>
      <scheme val="minor"/>
    </font>
    <font>
      <sz val="8"/>
      <name val="Times New Roman Bold"/>
      <family val="2"/>
    </font>
    <font>
      <sz val="11"/>
      <name val="Calibri"/>
      <family val="2"/>
    </font>
    <font>
      <sz val="11"/>
      <color rgb="FF333333"/>
      <name val="Calibri"/>
      <family val="2"/>
    </font>
    <font>
      <sz val="9"/>
      <name val="Arial"/>
      <family val="2"/>
    </font>
    <font>
      <sz val="10"/>
      <color rgb="FF828386"/>
      <name val="Times New Roman"/>
      <family val="2"/>
    </font>
    <font>
      <b/>
      <sz val="8.5"/>
      <color theme="1"/>
      <name val="Arial"/>
      <family val="2"/>
    </font>
    <font>
      <b/>
      <vertAlign val="subscript"/>
      <sz val="8.5"/>
      <color theme="1"/>
      <name val="Arial"/>
      <family val="2"/>
    </font>
    <font>
      <sz val="8.5"/>
      <color theme="1"/>
      <name val="Arial"/>
      <family val="2"/>
    </font>
    <font>
      <b/>
      <i/>
      <sz val="16"/>
      <color theme="1"/>
      <name val="Arial"/>
      <family val="2"/>
      <scheme val="minor"/>
    </font>
    <font>
      <b/>
      <sz val="14"/>
      <name val="Arial"/>
      <family val="2"/>
      <scheme val="minor"/>
    </font>
    <font>
      <sz val="11"/>
      <color rgb="FF0000FF"/>
      <name val="Calibri"/>
      <family val="2"/>
    </font>
    <font>
      <sz val="11"/>
      <color rgb="FF053D5F"/>
      <name val="Arial"/>
      <family val="2"/>
      <scheme val="minor"/>
    </font>
    <font>
      <b/>
      <sz val="11"/>
      <color rgb="FF053D5F"/>
      <name val="Arial"/>
      <family val="2"/>
      <scheme val="minor"/>
    </font>
    <font>
      <i/>
      <sz val="11"/>
      <color rgb="FF053D5F"/>
      <name val="Arial"/>
      <family val="2"/>
      <scheme val="minor"/>
    </font>
    <font>
      <b/>
      <vertAlign val="superscript"/>
      <sz val="10"/>
      <color theme="1"/>
      <name val="Arial"/>
      <family val="2"/>
      <scheme val="minor"/>
    </font>
    <font>
      <vertAlign val="subscript"/>
      <sz val="11"/>
      <color rgb="FF002060"/>
      <name val="Arial"/>
      <family val="2"/>
      <scheme val="minor"/>
    </font>
    <font>
      <b/>
      <i/>
      <sz val="10"/>
      <color theme="1"/>
      <name val="Arial"/>
      <family val="2"/>
      <scheme val="minor"/>
    </font>
    <font>
      <b/>
      <sz val="9"/>
      <name val="Arial"/>
      <family val="2"/>
    </font>
    <font>
      <b/>
      <sz val="11"/>
      <color rgb="FF002060"/>
      <name val="Arial"/>
      <family val="2"/>
      <scheme val="minor"/>
    </font>
    <font>
      <b/>
      <sz val="8"/>
      <name val="Tahoma"/>
      <family val="2"/>
    </font>
    <font>
      <b/>
      <sz val="9"/>
      <color indexed="81"/>
      <name val="Tahoma"/>
      <family val="2"/>
    </font>
    <font>
      <b/>
      <sz val="18"/>
      <color theme="0"/>
      <name val="Arial"/>
      <family val="2"/>
      <scheme val="major"/>
    </font>
    <font>
      <sz val="11"/>
      <color theme="0"/>
      <name val="Arial"/>
      <family val="2"/>
      <scheme val="major"/>
    </font>
    <font>
      <sz val="11"/>
      <color theme="1"/>
      <name val="Arial"/>
      <family val="2"/>
      <scheme val="major"/>
    </font>
    <font>
      <b/>
      <sz val="11"/>
      <color theme="1"/>
      <name val="Arial"/>
      <family val="2"/>
      <scheme val="major"/>
    </font>
    <font>
      <i/>
      <sz val="11"/>
      <color theme="1"/>
      <name val="Arial"/>
      <family val="2"/>
      <scheme val="major"/>
    </font>
    <font>
      <u/>
      <sz val="11"/>
      <color theme="10"/>
      <name val="Arial"/>
      <family val="2"/>
      <scheme val="major"/>
    </font>
    <font>
      <b/>
      <vertAlign val="superscript"/>
      <sz val="11"/>
      <color indexed="56"/>
      <name val="Calibri"/>
      <family val="2"/>
    </font>
    <font>
      <b/>
      <i/>
      <sz val="12"/>
      <color rgb="FF0000FF"/>
      <name val="Arial"/>
      <family val="2"/>
      <scheme val="minor"/>
    </font>
    <font>
      <sz val="10"/>
      <color rgb="FF000000"/>
      <name val="Arial"/>
      <family val="2"/>
    </font>
    <font>
      <sz val="7"/>
      <color rgb="FF000000"/>
      <name val="Times New Roman"/>
      <family val="1"/>
    </font>
    <font>
      <sz val="11"/>
      <color rgb="FF0070C0"/>
      <name val="Arial"/>
      <family val="2"/>
      <scheme val="minor"/>
    </font>
    <font>
      <b/>
      <sz val="8"/>
      <color rgb="FFFF0000"/>
      <name val="Arial"/>
      <family val="2"/>
      <scheme val="minor"/>
    </font>
    <font>
      <sz val="18"/>
      <color theme="1"/>
      <name val="Arial"/>
      <family val="2"/>
      <scheme val="minor"/>
    </font>
    <font>
      <b/>
      <sz val="20"/>
      <color theme="4" tint="-0.249977111117893"/>
      <name val="Arial"/>
      <family val="2"/>
      <scheme val="minor"/>
    </font>
    <font>
      <sz val="18"/>
      <color theme="0"/>
      <name val="Arial"/>
      <family val="2"/>
      <scheme val="minor"/>
    </font>
    <font>
      <sz val="10"/>
      <color rgb="FF3F3F76"/>
      <name val="Arial"/>
      <family val="2"/>
      <scheme val="minor"/>
    </font>
    <font>
      <b/>
      <u/>
      <sz val="18"/>
      <color theme="10"/>
      <name val="Arial"/>
      <family val="2"/>
      <scheme val="minor"/>
    </font>
    <font>
      <u/>
      <sz val="11"/>
      <color indexed="12"/>
      <name val="Arial"/>
      <family val="2"/>
    </font>
    <font>
      <b/>
      <sz val="12"/>
      <color rgb="FF000000"/>
      <name val="Arial"/>
      <family val="2"/>
      <scheme val="minor"/>
    </font>
    <font>
      <sz val="11"/>
      <color rgb="FF000000"/>
      <name val="Arial"/>
      <family val="2"/>
      <scheme val="minor"/>
    </font>
    <font>
      <b/>
      <u/>
      <sz val="12"/>
      <color theme="10"/>
      <name val="Arial"/>
      <family val="2"/>
      <scheme val="minor"/>
    </font>
    <font>
      <b/>
      <sz val="16"/>
      <color theme="4" tint="-0.249977111117893"/>
      <name val="Arial"/>
      <family val="2"/>
      <scheme val="minor"/>
    </font>
    <font>
      <b/>
      <u/>
      <sz val="11"/>
      <color theme="10"/>
      <name val="Arial"/>
      <family val="2"/>
      <scheme val="minor"/>
    </font>
    <font>
      <b/>
      <sz val="18"/>
      <color rgb="FF0070C0"/>
      <name val="Arial"/>
      <family val="2"/>
      <scheme val="minor"/>
    </font>
    <font>
      <sz val="14"/>
      <color theme="1"/>
      <name val="Arial"/>
      <family val="2"/>
      <scheme val="minor"/>
    </font>
    <font>
      <vertAlign val="subscript"/>
      <sz val="11"/>
      <color theme="1"/>
      <name val="Arial"/>
      <family val="2"/>
      <scheme val="minor"/>
    </font>
    <font>
      <b/>
      <sz val="10"/>
      <color rgb="FFFF0000"/>
      <name val="Arial"/>
      <family val="2"/>
      <scheme val="minor"/>
    </font>
    <font>
      <vertAlign val="subscript"/>
      <sz val="11"/>
      <name val="Arial"/>
      <family val="2"/>
      <scheme val="minor"/>
    </font>
    <font>
      <vertAlign val="superscript"/>
      <sz val="11"/>
      <color theme="1"/>
      <name val="Arial"/>
      <family val="2"/>
      <scheme val="minor"/>
    </font>
    <font>
      <vertAlign val="subscript"/>
      <sz val="10"/>
      <color theme="1"/>
      <name val="Arial"/>
      <family val="2"/>
      <scheme val="minor"/>
    </font>
    <font>
      <sz val="13"/>
      <color theme="1"/>
      <name val="Arial"/>
      <family val="2"/>
      <scheme val="minor"/>
    </font>
    <font>
      <sz val="10"/>
      <name val="Arial"/>
      <family val="2"/>
      <scheme val="minor"/>
    </font>
    <font>
      <sz val="12"/>
      <name val="Calibri"/>
      <family val="2"/>
    </font>
    <font>
      <b/>
      <sz val="11"/>
      <color rgb="FFFF0000"/>
      <name val="Calibri"/>
      <family val="2"/>
    </font>
    <font>
      <b/>
      <sz val="11"/>
      <color rgb="FFFF0000"/>
      <name val="Arial"/>
      <family val="2"/>
    </font>
    <font>
      <b/>
      <sz val="11"/>
      <color rgb="FF3F3F76"/>
      <name val="Arial"/>
      <family val="2"/>
      <scheme val="minor"/>
    </font>
    <font>
      <i/>
      <sz val="11"/>
      <color rgb="FF3F3F76"/>
      <name val="Arial"/>
      <family val="2"/>
      <scheme val="minor"/>
    </font>
    <font>
      <i/>
      <sz val="10"/>
      <name val="Arial"/>
      <family val="2"/>
      <scheme val="minor"/>
    </font>
    <font>
      <b/>
      <sz val="24"/>
      <color theme="0"/>
      <name val="Arial"/>
      <family val="2"/>
      <scheme val="minor"/>
    </font>
    <font>
      <vertAlign val="superscript"/>
      <sz val="10"/>
      <color theme="1"/>
      <name val="Arial"/>
      <family val="2"/>
      <scheme val="minor"/>
    </font>
    <font>
      <sz val="10"/>
      <color rgb="FF000000"/>
      <name val="Calibri"/>
      <family val="2"/>
    </font>
    <font>
      <sz val="10"/>
      <color indexed="8"/>
      <name val="Arial"/>
      <family val="2"/>
      <scheme val="minor"/>
    </font>
    <font>
      <sz val="13"/>
      <name val="Arial"/>
      <family val="2"/>
      <scheme val="minor"/>
    </font>
    <font>
      <sz val="13"/>
      <color theme="0"/>
      <name val="Arial"/>
      <family val="2"/>
      <scheme val="minor"/>
    </font>
    <font>
      <sz val="10"/>
      <color theme="0"/>
      <name val="Arial"/>
      <family val="2"/>
      <scheme val="minor"/>
    </font>
    <font>
      <sz val="12"/>
      <color theme="1" tint="0.249977111117893"/>
      <name val="Arial"/>
      <family val="2"/>
      <scheme val="minor"/>
    </font>
    <font>
      <i/>
      <sz val="12"/>
      <name val="Arial"/>
      <family val="2"/>
      <scheme val="minor"/>
    </font>
    <font>
      <b/>
      <sz val="20"/>
      <color theme="0"/>
      <name val="Arial"/>
      <family val="2"/>
      <scheme val="minor"/>
    </font>
    <font>
      <sz val="20"/>
      <color theme="0"/>
      <name val="Arial"/>
      <family val="2"/>
      <scheme val="minor"/>
    </font>
    <font>
      <sz val="20"/>
      <name val="Arial"/>
      <family val="2"/>
      <scheme val="minor"/>
    </font>
    <font>
      <b/>
      <sz val="17"/>
      <color theme="0"/>
      <name val="Arial"/>
      <family val="2"/>
      <scheme val="minor"/>
    </font>
    <font>
      <b/>
      <sz val="18"/>
      <color theme="4" tint="-0.249977111117893"/>
      <name val="Arial"/>
      <family val="2"/>
      <scheme val="minor"/>
    </font>
    <font>
      <vertAlign val="superscript"/>
      <sz val="12"/>
      <color theme="1"/>
      <name val="Arial"/>
      <family val="2"/>
      <scheme val="minor"/>
    </font>
    <font>
      <sz val="10"/>
      <name val="Calibri (Cuerpo)_x0000_"/>
    </font>
    <font>
      <u/>
      <sz val="10"/>
      <color indexed="12"/>
      <name val="Arial"/>
      <family val="2"/>
      <scheme val="minor"/>
    </font>
    <font>
      <b/>
      <u/>
      <sz val="12"/>
      <color rgb="FFFF0000"/>
      <name val="Arial"/>
      <family val="2"/>
      <scheme val="minor"/>
    </font>
    <font>
      <vertAlign val="subscript"/>
      <sz val="12"/>
      <color theme="1"/>
      <name val="Arial"/>
      <family val="2"/>
      <scheme val="minor"/>
    </font>
  </fonts>
  <fills count="82">
    <fill>
      <patternFill patternType="none"/>
    </fill>
    <fill>
      <patternFill patternType="gray125"/>
    </fill>
    <fill>
      <patternFill patternType="solid">
        <fgColor theme="4" tint="0.79998168889431442"/>
        <bgColor indexed="64"/>
      </patternFill>
    </fill>
    <fill>
      <patternFill patternType="solid">
        <fgColor theme="0" tint="-0.34998626667073579"/>
        <bgColor indexed="64"/>
      </patternFill>
    </fill>
    <fill>
      <patternFill patternType="solid">
        <fgColor theme="0"/>
        <bgColor indexed="64"/>
      </patternFill>
    </fill>
    <fill>
      <patternFill patternType="solid">
        <fgColor theme="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tint="-0.249977111117893"/>
        <bgColor indexed="64"/>
      </patternFill>
    </fill>
    <fill>
      <patternFill patternType="solid">
        <fgColor theme="3"/>
        <bgColor indexed="64"/>
      </patternFill>
    </fill>
    <fill>
      <patternFill patternType="solid">
        <fgColor theme="2"/>
        <bgColor indexed="64"/>
      </patternFill>
    </fill>
    <fill>
      <patternFill patternType="solid">
        <fgColor rgb="FFFFFFFF"/>
        <bgColor rgb="FF000000"/>
      </patternFill>
    </fill>
    <fill>
      <patternFill patternType="solid">
        <fgColor rgb="FF33CCFF"/>
        <bgColor indexed="64"/>
      </patternFill>
    </fill>
    <fill>
      <patternFill patternType="solid">
        <fgColor rgb="FF92D050"/>
        <bgColor indexed="64"/>
      </patternFill>
    </fill>
    <fill>
      <patternFill patternType="solid">
        <fgColor theme="4"/>
        <bgColor theme="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rgb="FFCDF2FF"/>
        <bgColor rgb="FF000000"/>
      </patternFill>
    </fill>
    <fill>
      <patternFill patternType="solid">
        <fgColor rgb="FFD9D9D9"/>
        <bgColor indexed="64"/>
      </patternFill>
    </fill>
    <fill>
      <patternFill patternType="solid">
        <fgColor rgb="FFFFFF00"/>
        <bgColor indexed="64"/>
      </patternFill>
    </fill>
    <fill>
      <patternFill patternType="solid">
        <fgColor indexed="65"/>
        <bgColor indexed="64"/>
      </patternFill>
    </fill>
    <fill>
      <patternFill patternType="solid">
        <fgColor rgb="FF00B0F0"/>
        <bgColor indexed="64"/>
      </patternFill>
    </fill>
    <fill>
      <patternFill patternType="solid">
        <fgColor theme="4"/>
        <bgColor indexed="64"/>
      </patternFill>
    </fill>
    <fill>
      <patternFill patternType="solid">
        <fgColor theme="5"/>
        <bgColor indexed="64"/>
      </patternFill>
    </fill>
    <fill>
      <patternFill patternType="solid">
        <fgColor theme="0" tint="-0.499984740745262"/>
        <bgColor indexed="64"/>
      </patternFill>
    </fill>
    <fill>
      <patternFill patternType="solid">
        <fgColor rgb="FFCDF2FF"/>
        <bgColor indexed="64"/>
      </patternFill>
    </fill>
    <fill>
      <patternFill patternType="mediumGray">
        <bgColor theme="0" tint="-0.14996795556505021"/>
      </patternFill>
    </fill>
    <fill>
      <patternFill patternType="solid">
        <fgColor rgb="FFEBF1DE"/>
        <bgColor indexed="64"/>
      </patternFill>
    </fill>
    <fill>
      <patternFill patternType="solid">
        <fgColor rgb="FFFFFFCC"/>
        <bgColor indexed="64"/>
      </patternFill>
    </fill>
    <fill>
      <patternFill patternType="gray125">
        <bgColor theme="0"/>
      </patternFill>
    </fill>
    <fill>
      <patternFill patternType="solid">
        <fgColor theme="1" tint="-0.249977111117893"/>
        <bgColor indexed="64"/>
      </patternFill>
    </fill>
    <fill>
      <patternFill patternType="solid">
        <fgColor rgb="FFA9D08E"/>
        <bgColor indexed="64"/>
      </patternFill>
    </fill>
    <fill>
      <patternFill patternType="solid">
        <fgColor rgb="FFD2E7D6"/>
        <bgColor indexed="64"/>
      </patternFill>
    </fill>
    <fill>
      <patternFill patternType="darkUp"/>
    </fill>
    <fill>
      <patternFill patternType="solid">
        <fgColor rgb="FF9BE686"/>
        <bgColor indexed="64"/>
      </patternFill>
    </fill>
    <fill>
      <patternFill patternType="solid">
        <fgColor rgb="FF6DCEF9"/>
        <bgColor indexed="64"/>
      </patternFill>
    </fill>
    <fill>
      <patternFill patternType="solid">
        <fgColor rgb="FF007EA7"/>
        <bgColor indexed="64"/>
      </patternFill>
    </fill>
    <fill>
      <patternFill patternType="solid">
        <fgColor rgb="FFDAF6FF"/>
        <bgColor indexed="64"/>
      </patternFill>
    </fill>
    <fill>
      <patternFill patternType="solid">
        <fgColor theme="0" tint="-4.9989318521683403E-2"/>
        <bgColor indexed="64"/>
      </patternFill>
    </fill>
    <fill>
      <patternFill patternType="darkDown"/>
    </fill>
    <fill>
      <patternFill patternType="solid">
        <fgColor rgb="FFFFA101"/>
        <bgColor indexed="64"/>
      </patternFill>
    </fill>
    <fill>
      <patternFill patternType="solid">
        <fgColor rgb="FFFEEAE2"/>
        <bgColor indexed="64"/>
      </patternFill>
    </fill>
    <fill>
      <patternFill patternType="darkUp">
        <bgColor theme="0"/>
      </patternFill>
    </fill>
    <fill>
      <patternFill patternType="solid">
        <fgColor theme="9" tint="0.79998168889431442"/>
        <bgColor indexed="64"/>
      </patternFill>
    </fill>
    <fill>
      <patternFill patternType="solid">
        <fgColor rgb="FFFFC000"/>
        <bgColor indexed="64"/>
      </patternFill>
    </fill>
    <fill>
      <patternFill patternType="solid">
        <fgColor theme="2" tint="-0.249977111117893"/>
        <bgColor indexed="64"/>
      </patternFill>
    </fill>
    <fill>
      <patternFill patternType="solid">
        <fgColor rgb="FFF5F5F5"/>
        <bgColor indexed="64"/>
      </patternFill>
    </fill>
    <fill>
      <patternFill patternType="solid">
        <fgColor rgb="FF679436"/>
        <bgColor indexed="64"/>
      </patternFill>
    </fill>
    <fill>
      <patternFill patternType="solid">
        <fgColor rgb="FFE5F1D8"/>
        <bgColor indexed="64"/>
      </patternFill>
    </fill>
    <fill>
      <patternFill patternType="solid">
        <fgColor rgb="FFCCECFF"/>
        <bgColor indexed="64"/>
      </patternFill>
    </fill>
    <fill>
      <patternFill patternType="solid">
        <fgColor theme="3" tint="0.39997558519241921"/>
        <bgColor indexed="64"/>
      </patternFill>
    </fill>
    <fill>
      <patternFill patternType="solid">
        <fgColor theme="3" tint="0.79998168889431442"/>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dashed">
        <color theme="0" tint="-0.24994659260841701"/>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n">
        <color auto="1"/>
      </left>
      <right/>
      <top style="thin">
        <color auto="1"/>
      </top>
      <bottom/>
      <diagonal/>
    </border>
    <border>
      <left style="thin">
        <color auto="1"/>
      </left>
      <right style="thin">
        <color auto="1"/>
      </right>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auto="1"/>
      </top>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style="thin">
        <color theme="4" tint="0.39997558519241921"/>
      </right>
      <top style="thin">
        <color theme="4" tint="0.39997558519241921"/>
      </top>
      <bottom style="thin">
        <color theme="4" tint="0.39997558519241921"/>
      </bottom>
      <diagonal/>
    </border>
    <border>
      <left style="dashed">
        <color auto="1"/>
      </left>
      <right style="dashed">
        <color auto="1"/>
      </right>
      <top style="dashed">
        <color auto="1"/>
      </top>
      <bottom style="dashed">
        <color auto="1"/>
      </bottom>
      <diagonal/>
    </border>
    <border>
      <left style="medium">
        <color auto="1"/>
      </left>
      <right style="thin">
        <color auto="1"/>
      </right>
      <top/>
      <bottom/>
      <diagonal/>
    </border>
    <border>
      <left style="thin">
        <color theme="4" tint="0.39997558519241921"/>
      </left>
      <right style="thin">
        <color theme="4" tint="0.39997558519241921"/>
      </right>
      <top style="thin">
        <color auto="1"/>
      </top>
      <bottom/>
      <diagonal/>
    </border>
    <border>
      <left style="thin">
        <color theme="4" tint="0.39997558519241921"/>
      </left>
      <right style="thin">
        <color theme="4" tint="0.39997558519241921"/>
      </right>
      <top style="thin">
        <color theme="4" tint="0.39997558519241921"/>
      </top>
      <bottom/>
      <diagonal/>
    </border>
    <border>
      <left style="thin">
        <color rgb="FF053D5F"/>
      </left>
      <right style="thin">
        <color rgb="FF053D5F"/>
      </right>
      <top style="thin">
        <color rgb="FF053D5F"/>
      </top>
      <bottom style="thin">
        <color rgb="FF053D5F"/>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auto="1"/>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hair">
        <color indexed="64"/>
      </right>
      <top style="hair">
        <color indexed="64"/>
      </top>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dotted">
        <color indexed="64"/>
      </left>
      <right style="thin">
        <color indexed="64"/>
      </right>
      <top style="dotted">
        <color indexed="64"/>
      </top>
      <bottom style="dotted">
        <color indexed="64"/>
      </bottom>
      <diagonal/>
    </border>
    <border>
      <left/>
      <right/>
      <top style="dotted">
        <color indexed="64"/>
      </top>
      <bottom style="thin">
        <color auto="1"/>
      </bottom>
      <diagonal/>
    </border>
    <border>
      <left/>
      <right/>
      <top/>
      <bottom style="dotted">
        <color indexed="64"/>
      </bottom>
      <diagonal/>
    </border>
    <border>
      <left/>
      <right/>
      <top style="dotted">
        <color indexed="64"/>
      </top>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right style="double">
        <color indexed="64"/>
      </right>
      <top/>
      <bottom/>
      <diagonal/>
    </border>
    <border>
      <left style="double">
        <color indexed="64"/>
      </left>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hair">
        <color indexed="64"/>
      </left>
      <right/>
      <top/>
      <bottom/>
      <diagonal/>
    </border>
    <border>
      <left style="medium">
        <color indexed="64"/>
      </left>
      <right style="medium">
        <color indexed="64"/>
      </right>
      <top style="medium">
        <color indexed="64"/>
      </top>
      <bottom style="medium">
        <color indexed="64"/>
      </bottom>
      <diagonal/>
    </border>
    <border>
      <left style="hair">
        <color indexed="64"/>
      </left>
      <right/>
      <top/>
      <bottom style="double">
        <color indexed="64"/>
      </bottom>
      <diagonal/>
    </border>
    <border>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bottom style="double">
        <color indexed="64"/>
      </bottom>
      <diagonal/>
    </border>
    <border>
      <left style="hair">
        <color indexed="64"/>
      </left>
      <right/>
      <top style="hair">
        <color indexed="64"/>
      </top>
      <bottom/>
      <diagonal/>
    </border>
    <border>
      <left/>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4" tint="0.39997558519241921"/>
      </left>
      <right/>
      <top style="hair">
        <color indexed="64"/>
      </top>
      <bottom/>
      <diagonal/>
    </border>
    <border>
      <left/>
      <right/>
      <top style="thin">
        <color theme="1"/>
      </top>
      <bottom/>
      <diagonal/>
    </border>
    <border>
      <left style="thin">
        <color theme="1" tint="0.39997558519241921"/>
      </left>
      <right style="thin">
        <color theme="1" tint="0.39997558519241921"/>
      </right>
      <top style="thin">
        <color theme="1" tint="0.39997558519241921"/>
      </top>
      <bottom style="thin">
        <color theme="1" tint="0.39997558519241921"/>
      </bottom>
      <diagonal/>
    </border>
    <border>
      <left style="thick">
        <color rgb="FF053D5F"/>
      </left>
      <right style="thin">
        <color rgb="FF053D5F"/>
      </right>
      <top style="thick">
        <color rgb="FF053D5F"/>
      </top>
      <bottom style="thin">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n">
        <color rgb="FF053D5F"/>
      </left>
      <right style="thick">
        <color rgb="FF053D5F"/>
      </right>
      <top style="thin">
        <color rgb="FF053D5F"/>
      </top>
      <bottom style="thick">
        <color rgb="FF053D5F"/>
      </bottom>
      <diagonal/>
    </border>
    <border>
      <left/>
      <right/>
      <top/>
      <bottom style="thin">
        <color theme="0" tint="-0.24994659260841701"/>
      </bottom>
      <diagonal/>
    </border>
    <border>
      <left style="thick">
        <color theme="0"/>
      </left>
      <right/>
      <top/>
      <bottom style="thin">
        <color theme="0"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rgb="FF053D5F"/>
      </right>
      <top style="thin">
        <color rgb="FF053D5F"/>
      </top>
      <bottom style="thin">
        <color rgb="FF053D5F"/>
      </bottom>
      <diagonal/>
    </border>
    <border>
      <left style="thin">
        <color rgb="FF053D5F"/>
      </left>
      <right style="medium">
        <color indexed="64"/>
      </right>
      <top style="thin">
        <color rgb="FF053D5F"/>
      </top>
      <bottom style="thin">
        <color rgb="FF053D5F"/>
      </bottom>
      <diagonal/>
    </border>
    <border>
      <left style="medium">
        <color indexed="64"/>
      </left>
      <right style="thin">
        <color rgb="FF053D5F"/>
      </right>
      <top style="thin">
        <color rgb="FF053D5F"/>
      </top>
      <bottom/>
      <diagonal/>
    </border>
    <border>
      <left style="medium">
        <color indexed="64"/>
      </left>
      <right style="thin">
        <color rgb="FF053D5F"/>
      </right>
      <top/>
      <bottom/>
      <diagonal/>
    </border>
    <border>
      <left style="medium">
        <color indexed="64"/>
      </left>
      <right style="thin">
        <color rgb="FF053D5F"/>
      </right>
      <top/>
      <bottom style="thin">
        <color rgb="FF053D5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ck">
        <color rgb="FF053D5F"/>
      </left>
      <right style="thick">
        <color rgb="FF053D5F"/>
      </right>
      <top style="thick">
        <color rgb="FF053D5F"/>
      </top>
      <bottom style="thick">
        <color rgb="FF053D5F"/>
      </bottom>
      <diagonal/>
    </border>
    <border>
      <left style="thin">
        <color rgb="FF053D5F"/>
      </left>
      <right style="thin">
        <color rgb="FF053D5F"/>
      </right>
      <top style="thick">
        <color rgb="FF053D5F"/>
      </top>
      <bottom style="thin">
        <color rgb="FF053D5F"/>
      </bottom>
      <diagonal/>
    </border>
    <border>
      <left style="thick">
        <color rgb="FF053D5F"/>
      </left>
      <right style="thin">
        <color rgb="FF053D5F"/>
      </right>
      <top style="thin">
        <color rgb="FF053D5F"/>
      </top>
      <bottom style="thin">
        <color rgb="FF053D5F"/>
      </bottom>
      <diagonal/>
    </border>
    <border>
      <left style="thin">
        <color rgb="FF053D5F"/>
      </left>
      <right style="thick">
        <color rgb="FF053D5F"/>
      </right>
      <top style="thin">
        <color rgb="FF053D5F"/>
      </top>
      <bottom style="thin">
        <color rgb="FF053D5F"/>
      </bottom>
      <diagonal/>
    </border>
    <border>
      <left style="thin">
        <color rgb="FF053D5F"/>
      </left>
      <right style="thin">
        <color rgb="FF053D5F"/>
      </right>
      <top style="thin">
        <color rgb="FF053D5F"/>
      </top>
      <bottom style="thick">
        <color rgb="FF053D5F"/>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right/>
      <top/>
      <bottom style="thin">
        <color theme="0"/>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indexed="64"/>
      </left>
      <right style="thin">
        <color indexed="64"/>
      </right>
      <top style="thin">
        <color indexed="64"/>
      </top>
      <bottom style="thin">
        <color rgb="FF7F7F7F"/>
      </bottom>
      <diagonal/>
    </border>
    <border>
      <left style="thin">
        <color indexed="64"/>
      </left>
      <right style="thin">
        <color indexed="64"/>
      </right>
      <top style="thin">
        <color rgb="FF7F7F7F"/>
      </top>
      <bottom style="thin">
        <color rgb="FF7F7F7F"/>
      </bottom>
      <diagonal/>
    </border>
    <border>
      <left style="thin">
        <color indexed="64"/>
      </left>
      <right style="thin">
        <color indexed="64"/>
      </right>
      <top style="thin">
        <color rgb="FF7F7F7F"/>
      </top>
      <bottom style="thin">
        <color indexed="64"/>
      </bottom>
      <diagonal/>
    </border>
    <border>
      <left/>
      <right style="thin">
        <color rgb="FF7F7F7F"/>
      </right>
      <top/>
      <bottom/>
      <diagonal/>
    </border>
    <border>
      <left style="thin">
        <color rgb="FF000000"/>
      </left>
      <right style="thin">
        <color rgb="FF000000"/>
      </right>
      <top style="thin">
        <color rgb="FF000000"/>
      </top>
      <bottom style="thin">
        <color rgb="FF000000"/>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top style="thin">
        <color theme="0"/>
      </top>
      <bottom style="thin">
        <color theme="0"/>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indexed="64"/>
      </right>
      <top/>
      <bottom/>
      <diagonal/>
    </border>
    <border>
      <left style="medium">
        <color indexed="64"/>
      </left>
      <right style="thin">
        <color indexed="64"/>
      </right>
      <top/>
      <bottom style="medium">
        <color indexed="64"/>
      </bottom>
      <diagonal/>
    </border>
    <border>
      <left/>
      <right/>
      <top style="thin">
        <color theme="0"/>
      </top>
      <bottom/>
      <diagonal/>
    </border>
    <border>
      <left style="thin">
        <color rgb="FF7F7F7F"/>
      </left>
      <right style="thin">
        <color rgb="FF7F7F7F"/>
      </right>
      <top/>
      <bottom style="thin">
        <color rgb="FF7F7F7F"/>
      </bottom>
      <diagonal/>
    </border>
    <border>
      <left style="thin">
        <color rgb="FF7F7F7F"/>
      </left>
      <right/>
      <top/>
      <bottom style="thin">
        <color rgb="FF7F7F7F"/>
      </bottom>
      <diagonal/>
    </border>
    <border>
      <left style="thin">
        <color indexed="64"/>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
      <left style="thin">
        <color theme="1"/>
      </left>
      <right style="thin">
        <color indexed="64"/>
      </right>
      <top style="thin">
        <color indexed="64"/>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theme="1"/>
      </right>
      <top style="thin">
        <color theme="1"/>
      </top>
      <bottom style="thin">
        <color indexed="64"/>
      </bottom>
      <diagonal/>
    </border>
    <border>
      <left style="thin">
        <color theme="1"/>
      </left>
      <right style="thin">
        <color theme="1"/>
      </right>
      <top style="thin">
        <color theme="1"/>
      </top>
      <bottom style="thin">
        <color indexed="64"/>
      </bottom>
      <diagonal/>
    </border>
    <border>
      <left style="thin">
        <color theme="1"/>
      </left>
      <right style="thin">
        <color indexed="64"/>
      </right>
      <top style="thin">
        <color theme="1"/>
      </top>
      <bottom style="thin">
        <color indexed="64"/>
      </bottom>
      <diagonal/>
    </border>
  </borders>
  <cellStyleXfs count="70">
    <xf numFmtId="0" fontId="0" fillId="0" borderId="0"/>
    <xf numFmtId="9" fontId="1" fillId="0" borderId="0" applyFont="0" applyFill="0" applyBorder="0" applyAlignment="0" applyProtection="0"/>
    <xf numFmtId="0" fontId="8" fillId="0" borderId="0" applyNumberFormat="0" applyFill="0" applyBorder="0" applyAlignment="0" applyProtection="0"/>
    <xf numFmtId="0" fontId="11" fillId="0" borderId="0"/>
    <xf numFmtId="0" fontId="14" fillId="0" borderId="5" applyNumberFormat="0" applyFill="0" applyAlignment="0" applyProtection="0"/>
    <xf numFmtId="0" fontId="15" fillId="0" borderId="6" applyNumberFormat="0" applyFill="0" applyAlignment="0" applyProtection="0"/>
    <xf numFmtId="0" fontId="16" fillId="0" borderId="7" applyNumberFormat="0" applyFill="0" applyAlignment="0" applyProtection="0"/>
    <xf numFmtId="0" fontId="16" fillId="0" borderId="0" applyNumberFormat="0" applyFill="0" applyBorder="0" applyAlignment="0" applyProtection="0"/>
    <xf numFmtId="0" fontId="17" fillId="6" borderId="0" applyNumberFormat="0" applyBorder="0" applyAlignment="0" applyProtection="0"/>
    <xf numFmtId="0" fontId="18" fillId="7" borderId="0" applyNumberFormat="0" applyBorder="0" applyAlignment="0" applyProtection="0"/>
    <xf numFmtId="0" fontId="19" fillId="9" borderId="8" applyNumberFormat="0" applyAlignment="0" applyProtection="0"/>
    <xf numFmtId="0" fontId="20" fillId="10" borderId="9" applyNumberFormat="0" applyAlignment="0" applyProtection="0"/>
    <xf numFmtId="0" fontId="21" fillId="10" borderId="8" applyNumberFormat="0" applyAlignment="0" applyProtection="0"/>
    <xf numFmtId="0" fontId="22" fillId="0" borderId="10" applyNumberFormat="0" applyFill="0" applyAlignment="0" applyProtection="0"/>
    <xf numFmtId="0" fontId="2" fillId="11" borderId="11" applyNumberFormat="0" applyAlignment="0" applyProtection="0"/>
    <xf numFmtId="0" fontId="5" fillId="0" borderId="0" applyNumberFormat="0" applyFill="0" applyBorder="0" applyAlignment="0" applyProtection="0"/>
    <xf numFmtId="0" fontId="1" fillId="12" borderId="12" applyNumberFormat="0" applyFont="0" applyAlignment="0" applyProtection="0"/>
    <xf numFmtId="0" fontId="23" fillId="0" borderId="0" applyNumberFormat="0" applyFill="0" applyBorder="0" applyAlignment="0" applyProtection="0"/>
    <xf numFmtId="0" fontId="3" fillId="0" borderId="13" applyNumberFormat="0" applyFill="0" applyAlignment="0" applyProtection="0"/>
    <xf numFmtId="0" fontId="24"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4"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4"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4"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4"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5" fillId="0" borderId="0"/>
    <xf numFmtId="0" fontId="26" fillId="0" borderId="18" applyNumberFormat="0" applyFont="0" applyProtection="0">
      <alignment wrapText="1"/>
    </xf>
    <xf numFmtId="0" fontId="29" fillId="0" borderId="0" applyNumberFormat="0" applyProtection="0">
      <alignment horizontal="left"/>
    </xf>
    <xf numFmtId="0" fontId="24" fillId="16"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30" fillId="0" borderId="0" applyNumberFormat="0" applyFill="0" applyBorder="0" applyAlignment="0" applyProtection="0">
      <alignment vertical="top"/>
      <protection locked="0"/>
    </xf>
    <xf numFmtId="0" fontId="26" fillId="0" borderId="0" applyNumberFormat="0" applyFill="0" applyBorder="0" applyAlignment="0" applyProtection="0"/>
    <xf numFmtId="0" fontId="26" fillId="0" borderId="0" applyNumberFormat="0" applyProtection="0">
      <alignment vertical="top" wrapText="1"/>
    </xf>
    <xf numFmtId="0" fontId="26" fillId="0" borderId="19" applyNumberFormat="0" applyProtection="0">
      <alignment vertical="top" wrapText="1"/>
    </xf>
    <xf numFmtId="0" fontId="31" fillId="0" borderId="5" applyNumberFormat="0" applyProtection="0">
      <alignment wrapText="1"/>
    </xf>
    <xf numFmtId="0" fontId="31" fillId="0" borderId="20" applyNumberFormat="0" applyProtection="0">
      <alignment horizontal="left" wrapText="1"/>
    </xf>
    <xf numFmtId="0" fontId="32" fillId="0" borderId="0" applyNumberFormat="0" applyFill="0" applyBorder="0" applyAlignment="0" applyProtection="0">
      <alignment vertical="top"/>
      <protection locked="0"/>
    </xf>
    <xf numFmtId="0" fontId="33" fillId="8" borderId="0" applyNumberFormat="0" applyBorder="0" applyAlignment="0" applyProtection="0"/>
    <xf numFmtId="0" fontId="11" fillId="0" borderId="0"/>
    <xf numFmtId="0" fontId="31" fillId="0" borderId="21" applyNumberFormat="0" applyProtection="0">
      <alignment wrapText="1"/>
    </xf>
    <xf numFmtId="0" fontId="26" fillId="0" borderId="22" applyNumberFormat="0" applyFont="0" applyFill="0" applyProtection="0">
      <alignment wrapText="1"/>
    </xf>
    <xf numFmtId="0" fontId="31" fillId="0" borderId="23" applyNumberFormat="0" applyFill="0" applyProtection="0">
      <alignment wrapText="1"/>
    </xf>
    <xf numFmtId="0" fontId="34" fillId="0" borderId="0" applyNumberFormat="0" applyFill="0" applyBorder="0" applyAlignment="0" applyProtection="0"/>
    <xf numFmtId="0" fontId="38" fillId="0" borderId="0"/>
    <xf numFmtId="0" fontId="1" fillId="0" borderId="0"/>
    <xf numFmtId="0" fontId="1" fillId="0" borderId="0"/>
    <xf numFmtId="0" fontId="44" fillId="0" borderId="0"/>
    <xf numFmtId="0" fontId="45" fillId="0" borderId="0" applyNumberFormat="0" applyFill="0" applyBorder="0" applyAlignment="0" applyProtection="0">
      <alignment vertical="top"/>
      <protection locked="0"/>
    </xf>
    <xf numFmtId="170" fontId="1" fillId="0" borderId="0" applyFont="0" applyFill="0" applyBorder="0" applyAlignment="0" applyProtection="0"/>
    <xf numFmtId="0" fontId="46" fillId="0" borderId="0" applyNumberFormat="0" applyFill="0" applyBorder="0" applyAlignment="0" applyProtection="0">
      <alignment vertical="top"/>
      <protection locked="0"/>
    </xf>
    <xf numFmtId="0" fontId="42" fillId="0" borderId="0"/>
    <xf numFmtId="0" fontId="47" fillId="0" borderId="0"/>
    <xf numFmtId="43" fontId="1" fillId="0" borderId="0" applyFont="0" applyFill="0" applyBorder="0" applyAlignment="0" applyProtection="0"/>
    <xf numFmtId="44" fontId="1" fillId="0" borderId="0" applyFont="0" applyFill="0" applyBorder="0" applyAlignment="0" applyProtection="0"/>
  </cellStyleXfs>
  <cellXfs count="1361">
    <xf numFmtId="0" fontId="0" fillId="0" borderId="0" xfId="0"/>
    <xf numFmtId="0" fontId="0" fillId="0" borderId="0" xfId="0" applyAlignment="1">
      <alignment wrapText="1"/>
    </xf>
    <xf numFmtId="0" fontId="4" fillId="0" borderId="0" xfId="0" applyFont="1"/>
    <xf numFmtId="0" fontId="3" fillId="0" borderId="0" xfId="0" applyFont="1"/>
    <xf numFmtId="0" fontId="0" fillId="4" borderId="0" xfId="0" applyFill="1"/>
    <xf numFmtId="0" fontId="0" fillId="0" borderId="1" xfId="0" applyBorder="1"/>
    <xf numFmtId="0" fontId="0" fillId="4" borderId="0" xfId="0" applyFill="1" applyAlignment="1">
      <alignment vertical="center"/>
    </xf>
    <xf numFmtId="0" fontId="0" fillId="0" borderId="0" xfId="0" applyAlignment="1">
      <alignment horizontal="center"/>
    </xf>
    <xf numFmtId="164" fontId="0" fillId="0" borderId="0" xfId="0" applyNumberFormat="1" applyAlignment="1">
      <alignment horizontal="center"/>
    </xf>
    <xf numFmtId="0" fontId="8" fillId="0" borderId="0" xfId="2"/>
    <xf numFmtId="0" fontId="27" fillId="0" borderId="0" xfId="0" applyFont="1"/>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0" xfId="0" applyAlignment="1">
      <alignment horizontal="left" vertical="center" wrapText="1"/>
    </xf>
    <xf numFmtId="3" fontId="0" fillId="0" borderId="0" xfId="0" applyNumberFormat="1" applyAlignment="1">
      <alignment horizontal="center"/>
    </xf>
    <xf numFmtId="0" fontId="4" fillId="4" borderId="0" xfId="0" applyFont="1" applyFill="1"/>
    <xf numFmtId="0" fontId="4" fillId="0" borderId="0" xfId="0" applyFont="1" applyAlignment="1">
      <alignment horizontal="left" wrapText="1"/>
    </xf>
    <xf numFmtId="0" fontId="27" fillId="0" borderId="0" xfId="0" applyFont="1" applyAlignment="1">
      <alignment vertical="center" wrapText="1"/>
    </xf>
    <xf numFmtId="0" fontId="27" fillId="43" borderId="0" xfId="0" applyFont="1" applyFill="1"/>
    <xf numFmtId="2" fontId="27" fillId="0" borderId="0" xfId="0" applyNumberFormat="1" applyFont="1"/>
    <xf numFmtId="0" fontId="52" fillId="0" borderId="0" xfId="0" applyFont="1" applyAlignment="1">
      <alignment horizontal="left" wrapText="1"/>
    </xf>
    <xf numFmtId="170" fontId="27" fillId="0" borderId="0" xfId="64" applyFont="1"/>
    <xf numFmtId="0" fontId="42" fillId="0" borderId="0" xfId="0" applyFont="1" applyAlignment="1">
      <alignment horizontal="center"/>
    </xf>
    <xf numFmtId="0" fontId="41" fillId="4" borderId="0" xfId="0" applyFont="1" applyFill="1" applyAlignment="1">
      <alignment vertical="center"/>
    </xf>
    <xf numFmtId="0" fontId="2" fillId="44" borderId="31" xfId="0" applyFont="1" applyFill="1" applyBorder="1"/>
    <xf numFmtId="0" fontId="2" fillId="44" borderId="32" xfId="0" applyFont="1" applyFill="1" applyBorder="1"/>
    <xf numFmtId="0" fontId="2" fillId="44" borderId="33" xfId="0" applyFont="1" applyFill="1" applyBorder="1"/>
    <xf numFmtId="0" fontId="2" fillId="0" borderId="0" xfId="0" applyFont="1"/>
    <xf numFmtId="0" fontId="3" fillId="40" borderId="0" xfId="0" applyFont="1" applyFill="1"/>
    <xf numFmtId="0" fontId="6" fillId="0" borderId="1" xfId="8" applyFont="1" applyFill="1" applyBorder="1" applyAlignment="1" applyProtection="1">
      <alignment horizontal="left"/>
    </xf>
    <xf numFmtId="0" fontId="6" fillId="0" borderId="27" xfId="8" applyFont="1" applyFill="1" applyBorder="1" applyAlignment="1" applyProtection="1">
      <alignment horizontal="left"/>
      <protection locked="0"/>
    </xf>
    <xf numFmtId="172" fontId="6" fillId="0" borderId="27" xfId="8" applyNumberFormat="1" applyFont="1" applyFill="1" applyBorder="1" applyAlignment="1" applyProtection="1">
      <alignment horizontal="left"/>
      <protection locked="0"/>
    </xf>
    <xf numFmtId="0" fontId="6" fillId="0" borderId="1" xfId="8" applyFont="1" applyFill="1" applyBorder="1" applyProtection="1"/>
    <xf numFmtId="0" fontId="6" fillId="0" borderId="27" xfId="8" applyFont="1" applyFill="1" applyBorder="1"/>
    <xf numFmtId="0" fontId="43" fillId="45" borderId="0" xfId="0" applyFont="1" applyFill="1"/>
    <xf numFmtId="2" fontId="11" fillId="37" borderId="0" xfId="37" applyNumberFormat="1" applyFont="1" applyFill="1" applyAlignment="1">
      <alignment vertical="center"/>
    </xf>
    <xf numFmtId="2" fontId="57" fillId="45" borderId="1" xfId="37" applyNumberFormat="1" applyFont="1" applyFill="1" applyBorder="1" applyAlignment="1">
      <alignment horizontal="center" vertical="center" wrapText="1"/>
    </xf>
    <xf numFmtId="0" fontId="0" fillId="46" borderId="1" xfId="0" applyFill="1" applyBorder="1"/>
    <xf numFmtId="43" fontId="0" fillId="46" borderId="1" xfId="68" applyFont="1" applyFill="1" applyBorder="1"/>
    <xf numFmtId="173" fontId="11" fillId="0" borderId="1" xfId="0" applyNumberFormat="1" applyFont="1" applyBorder="1"/>
    <xf numFmtId="43" fontId="11" fillId="0" borderId="1" xfId="68" applyFont="1" applyBorder="1" applyAlignment="1">
      <alignment horizontal="right"/>
    </xf>
    <xf numFmtId="2" fontId="11" fillId="0" borderId="1" xfId="0" applyNumberFormat="1" applyFont="1" applyBorder="1" applyAlignment="1">
      <alignment horizontal="right"/>
    </xf>
    <xf numFmtId="0" fontId="0" fillId="46" borderId="34" xfId="0" applyFill="1" applyBorder="1"/>
    <xf numFmtId="43" fontId="0" fillId="0" borderId="1" xfId="68" applyFont="1" applyBorder="1"/>
    <xf numFmtId="43" fontId="58" fillId="0" borderId="1" xfId="68" applyFont="1" applyFill="1" applyBorder="1" applyAlignment="1">
      <alignment horizontal="right"/>
    </xf>
    <xf numFmtId="0" fontId="59" fillId="47" borderId="35" xfId="0" applyFont="1" applyFill="1" applyBorder="1" applyAlignment="1">
      <alignment horizontal="left" vertical="center"/>
    </xf>
    <xf numFmtId="0" fontId="60" fillId="0" borderId="0" xfId="0" applyFont="1" applyAlignment="1">
      <alignment vertical="center"/>
    </xf>
    <xf numFmtId="0" fontId="40" fillId="41" borderId="0" xfId="0" applyFont="1" applyFill="1"/>
    <xf numFmtId="0" fontId="61" fillId="0" borderId="0" xfId="0" applyFont="1"/>
    <xf numFmtId="43" fontId="58" fillId="0" borderId="1" xfId="68" applyFont="1" applyBorder="1" applyAlignment="1">
      <alignment horizontal="right"/>
    </xf>
    <xf numFmtId="0" fontId="0" fillId="46" borderId="31" xfId="0" applyFill="1" applyBorder="1"/>
    <xf numFmtId="0" fontId="0" fillId="46" borderId="32" xfId="0" applyFill="1" applyBorder="1"/>
    <xf numFmtId="0" fontId="0" fillId="46" borderId="33" xfId="0" applyFill="1" applyBorder="1"/>
    <xf numFmtId="0" fontId="0" fillId="0" borderId="31" xfId="0" applyBorder="1"/>
    <xf numFmtId="0" fontId="0" fillId="0" borderId="32" xfId="0" applyBorder="1"/>
    <xf numFmtId="0" fontId="11" fillId="0" borderId="1" xfId="0" applyFont="1" applyBorder="1" applyAlignment="1">
      <alignment horizontal="right"/>
    </xf>
    <xf numFmtId="173" fontId="57" fillId="44" borderId="36" xfId="0" applyNumberFormat="1" applyFont="1" applyFill="1" applyBorder="1"/>
    <xf numFmtId="0" fontId="0" fillId="46" borderId="37" xfId="0" applyFill="1" applyBorder="1"/>
    <xf numFmtId="0" fontId="0" fillId="0" borderId="38" xfId="0" applyBorder="1"/>
    <xf numFmtId="0" fontId="0" fillId="46" borderId="38" xfId="0" applyFill="1" applyBorder="1"/>
    <xf numFmtId="0" fontId="63" fillId="0" borderId="39" xfId="0" applyFont="1" applyBorder="1" applyAlignment="1">
      <alignment horizontal="left" wrapText="1"/>
    </xf>
    <xf numFmtId="0" fontId="63" fillId="48" borderId="39" xfId="0" applyFont="1" applyFill="1" applyBorder="1" applyAlignment="1">
      <alignment horizontal="left" wrapText="1"/>
    </xf>
    <xf numFmtId="164" fontId="63" fillId="4" borderId="39" xfId="0" applyNumberFormat="1" applyFont="1" applyFill="1" applyBorder="1" applyAlignment="1">
      <alignment horizontal="center" wrapText="1"/>
    </xf>
    <xf numFmtId="0" fontId="0" fillId="46" borderId="40" xfId="0" applyFill="1" applyBorder="1"/>
    <xf numFmtId="0" fontId="0" fillId="46" borderId="41" xfId="0" applyFill="1" applyBorder="1"/>
    <xf numFmtId="174" fontId="63" fillId="4" borderId="39" xfId="0" applyNumberFormat="1" applyFont="1" applyFill="1" applyBorder="1" applyAlignment="1">
      <alignment horizontal="center" wrapText="1"/>
    </xf>
    <xf numFmtId="0" fontId="0" fillId="49" borderId="32" xfId="0" applyFill="1" applyBorder="1"/>
    <xf numFmtId="0" fontId="0" fillId="0" borderId="33" xfId="0" applyBorder="1"/>
    <xf numFmtId="172" fontId="0" fillId="0" borderId="0" xfId="0" applyNumberFormat="1"/>
    <xf numFmtId="10" fontId="3" fillId="0" borderId="0" xfId="1" applyNumberFormat="1" applyFont="1"/>
    <xf numFmtId="0" fontId="3" fillId="45" borderId="0" xfId="0" applyFont="1" applyFill="1"/>
    <xf numFmtId="0" fontId="2" fillId="44" borderId="1" xfId="0" applyFont="1" applyFill="1" applyBorder="1"/>
    <xf numFmtId="0" fontId="2" fillId="44" borderId="0" xfId="0" applyFont="1" applyFill="1"/>
    <xf numFmtId="0" fontId="0" fillId="0" borderId="3" xfId="0" applyBorder="1"/>
    <xf numFmtId="0" fontId="0" fillId="0" borderId="29" xfId="0" applyBorder="1"/>
    <xf numFmtId="0" fontId="0" fillId="0" borderId="28" xfId="0" applyBorder="1"/>
    <xf numFmtId="0" fontId="0" fillId="46" borderId="28" xfId="0" applyFill="1" applyBorder="1"/>
    <xf numFmtId="0" fontId="0" fillId="0" borderId="4" xfId="0" applyBorder="1"/>
    <xf numFmtId="0" fontId="0" fillId="0" borderId="27" xfId="0" applyBorder="1"/>
    <xf numFmtId="0" fontId="0" fillId="0" borderId="1" xfId="0" applyBorder="1" applyAlignment="1">
      <alignment wrapText="1"/>
    </xf>
    <xf numFmtId="172" fontId="6" fillId="50" borderId="1" xfId="68" applyNumberFormat="1" applyFont="1" applyFill="1" applyBorder="1" applyAlignment="1">
      <alignment horizontal="center" wrapText="1"/>
    </xf>
    <xf numFmtId="172" fontId="0" fillId="0" borderId="1" xfId="0" applyNumberFormat="1" applyBorder="1"/>
    <xf numFmtId="0" fontId="0" fillId="45" borderId="1" xfId="0" applyFill="1" applyBorder="1"/>
    <xf numFmtId="0" fontId="0" fillId="45" borderId="1" xfId="0" applyFill="1" applyBorder="1" applyAlignment="1">
      <alignment wrapText="1"/>
    </xf>
    <xf numFmtId="172" fontId="6" fillId="45" borderId="1" xfId="68" applyNumberFormat="1" applyFont="1" applyFill="1" applyBorder="1" applyAlignment="1">
      <alignment horizontal="center" wrapText="1"/>
    </xf>
    <xf numFmtId="172" fontId="0" fillId="45" borderId="1" xfId="0" applyNumberFormat="1" applyFill="1" applyBorder="1"/>
    <xf numFmtId="0" fontId="12" fillId="0" borderId="42" xfId="0" applyFont="1" applyBorder="1" applyAlignment="1">
      <alignment wrapText="1"/>
    </xf>
    <xf numFmtId="0" fontId="12" fillId="0" borderId="43" xfId="0" applyFont="1" applyBorder="1" applyAlignment="1">
      <alignment wrapText="1"/>
    </xf>
    <xf numFmtId="0" fontId="0" fillId="0" borderId="44" xfId="0" applyBorder="1"/>
    <xf numFmtId="0" fontId="0" fillId="0" borderId="44" xfId="0" applyBorder="1" applyAlignment="1">
      <alignment wrapText="1"/>
    </xf>
    <xf numFmtId="172" fontId="6" fillId="50" borderId="44" xfId="68" applyNumberFormat="1" applyFont="1" applyFill="1" applyBorder="1" applyAlignment="1">
      <alignment horizontal="center" wrapText="1"/>
    </xf>
    <xf numFmtId="0" fontId="0" fillId="45" borderId="44" xfId="0" applyFill="1" applyBorder="1"/>
    <xf numFmtId="0" fontId="24" fillId="51" borderId="1" xfId="0" applyFont="1" applyFill="1" applyBorder="1"/>
    <xf numFmtId="0" fontId="0" fillId="0" borderId="4" xfId="0" applyBorder="1" applyAlignment="1">
      <alignment wrapText="1"/>
    </xf>
    <xf numFmtId="0" fontId="0" fillId="0" borderId="3" xfId="0" applyBorder="1" applyAlignment="1">
      <alignment wrapText="1"/>
    </xf>
    <xf numFmtId="0" fontId="0" fillId="0" borderId="29" xfId="0" applyBorder="1" applyAlignment="1">
      <alignment wrapText="1"/>
    </xf>
    <xf numFmtId="0" fontId="0" fillId="0" borderId="28" xfId="0" applyBorder="1" applyAlignment="1">
      <alignment wrapText="1"/>
    </xf>
    <xf numFmtId="0" fontId="37" fillId="39" borderId="0" xfId="0" applyFont="1" applyFill="1" applyAlignment="1" applyProtection="1">
      <alignment vertical="center"/>
      <protection hidden="1"/>
    </xf>
    <xf numFmtId="0" fontId="24" fillId="39" borderId="0" xfId="0" applyFont="1" applyFill="1" applyProtection="1">
      <protection hidden="1"/>
    </xf>
    <xf numFmtId="0" fontId="67" fillId="39" borderId="0" xfId="0" applyFont="1" applyFill="1" applyAlignment="1" applyProtection="1">
      <alignment horizontal="center"/>
      <protection hidden="1"/>
    </xf>
    <xf numFmtId="0" fontId="67" fillId="39" borderId="0" xfId="0" applyFont="1" applyFill="1" applyProtection="1">
      <protection hidden="1"/>
    </xf>
    <xf numFmtId="0" fontId="24" fillId="39" borderId="0" xfId="0" applyFont="1" applyFill="1" applyAlignment="1" applyProtection="1">
      <alignment horizontal="center"/>
      <protection hidden="1"/>
    </xf>
    <xf numFmtId="0" fontId="24" fillId="39" borderId="0" xfId="0" applyFont="1" applyFill="1" applyAlignment="1" applyProtection="1">
      <alignment horizontal="center" wrapText="1"/>
      <protection hidden="1"/>
    </xf>
    <xf numFmtId="0" fontId="67" fillId="39" borderId="0" xfId="0" applyFont="1" applyFill="1" applyAlignment="1" applyProtection="1">
      <alignment horizontal="left"/>
      <protection hidden="1"/>
    </xf>
    <xf numFmtId="0" fontId="0" fillId="0" borderId="0" xfId="0" applyProtection="1">
      <protection hidden="1"/>
    </xf>
    <xf numFmtId="0" fontId="57" fillId="40" borderId="0" xfId="0" applyFont="1" applyFill="1" applyProtection="1">
      <protection hidden="1"/>
    </xf>
    <xf numFmtId="0" fontId="0" fillId="40" borderId="0" xfId="0" applyFill="1" applyProtection="1">
      <protection hidden="1"/>
    </xf>
    <xf numFmtId="0" fontId="42" fillId="40" borderId="0" xfId="0" applyFont="1" applyFill="1" applyAlignment="1" applyProtection="1">
      <alignment horizontal="center"/>
      <protection hidden="1"/>
    </xf>
    <xf numFmtId="0" fontId="42" fillId="40" borderId="0" xfId="0" applyFont="1" applyFill="1" applyProtection="1">
      <protection hidden="1"/>
    </xf>
    <xf numFmtId="0" fontId="0" fillId="40" borderId="0" xfId="0" applyFill="1" applyAlignment="1" applyProtection="1">
      <alignment horizontal="center"/>
      <protection hidden="1"/>
    </xf>
    <xf numFmtId="0" fontId="0" fillId="40" borderId="0" xfId="0" applyFill="1" applyAlignment="1" applyProtection="1">
      <alignment horizontal="center" wrapText="1"/>
      <protection hidden="1"/>
    </xf>
    <xf numFmtId="0" fontId="42" fillId="40" borderId="0" xfId="0" applyFont="1" applyFill="1" applyAlignment="1" applyProtection="1">
      <alignment horizontal="left"/>
      <protection hidden="1"/>
    </xf>
    <xf numFmtId="0" fontId="11" fillId="40" borderId="0" xfId="0" quotePrefix="1" applyFont="1" applyFill="1" applyAlignment="1" applyProtection="1">
      <alignment horizontal="left" indent="1"/>
      <protection hidden="1"/>
    </xf>
    <xf numFmtId="0" fontId="71" fillId="0" borderId="0" xfId="0" quotePrefix="1" applyFont="1" applyProtection="1">
      <protection hidden="1"/>
    </xf>
    <xf numFmtId="0" fontId="11" fillId="40" borderId="0" xfId="0" quotePrefix="1" applyFont="1" applyFill="1" applyAlignment="1" applyProtection="1">
      <alignment vertical="top" wrapText="1"/>
      <protection hidden="1"/>
    </xf>
    <xf numFmtId="0" fontId="0" fillId="0" borderId="0" xfId="0" applyAlignment="1" applyProtection="1">
      <alignment wrapText="1"/>
      <protection hidden="1"/>
    </xf>
    <xf numFmtId="0" fontId="0" fillId="0" borderId="0" xfId="0" applyAlignment="1" applyProtection="1">
      <alignment horizontal="center"/>
      <protection hidden="1"/>
    </xf>
    <xf numFmtId="0" fontId="66" fillId="0" borderId="0" xfId="0" quotePrefix="1" applyFont="1" applyProtection="1">
      <protection hidden="1"/>
    </xf>
    <xf numFmtId="0" fontId="42" fillId="0" borderId="0" xfId="0" applyFont="1" applyAlignment="1" applyProtection="1">
      <alignment horizontal="center"/>
      <protection hidden="1"/>
    </xf>
    <xf numFmtId="0" fontId="42" fillId="0" borderId="0" xfId="0" applyFont="1" applyAlignment="1" applyProtection="1">
      <alignment wrapText="1"/>
      <protection hidden="1"/>
    </xf>
    <xf numFmtId="0" fontId="42" fillId="0" borderId="0" xfId="0" applyFont="1" applyAlignment="1" applyProtection="1">
      <alignment horizontal="left" wrapText="1"/>
      <protection hidden="1"/>
    </xf>
    <xf numFmtId="0" fontId="74" fillId="0" borderId="0" xfId="0" applyFont="1" applyAlignment="1" applyProtection="1">
      <alignment horizontal="center" vertical="center" wrapText="1"/>
      <protection hidden="1"/>
    </xf>
    <xf numFmtId="43" fontId="75" fillId="0" borderId="0" xfId="0" applyNumberFormat="1" applyFont="1" applyAlignment="1" applyProtection="1">
      <alignment horizontal="center" vertical="center" wrapText="1"/>
      <protection hidden="1"/>
    </xf>
    <xf numFmtId="0" fontId="66" fillId="0" borderId="0" xfId="0" applyFont="1" applyAlignment="1" applyProtection="1">
      <alignment horizontal="center" wrapText="1"/>
      <protection hidden="1"/>
    </xf>
    <xf numFmtId="9" fontId="0" fillId="0" borderId="0" xfId="1" applyFont="1" applyAlignment="1" applyProtection="1">
      <alignment horizontal="center"/>
      <protection hidden="1"/>
    </xf>
    <xf numFmtId="0" fontId="0" fillId="0" borderId="0" xfId="0" applyAlignment="1" applyProtection="1">
      <alignment horizontal="left"/>
      <protection hidden="1"/>
    </xf>
    <xf numFmtId="0" fontId="76" fillId="0" borderId="0" xfId="0" applyFont="1" applyAlignment="1" applyProtection="1">
      <alignment horizontal="center"/>
      <protection hidden="1"/>
    </xf>
    <xf numFmtId="0" fontId="4" fillId="0" borderId="0" xfId="0" applyFont="1" applyAlignment="1" applyProtection="1">
      <alignment horizontal="center"/>
      <protection hidden="1"/>
    </xf>
    <xf numFmtId="168" fontId="77" fillId="0" borderId="1" xfId="0" applyNumberFormat="1" applyFont="1" applyBorder="1" applyAlignment="1" applyProtection="1">
      <alignment horizontal="center" vertical="center" wrapText="1"/>
      <protection hidden="1"/>
    </xf>
    <xf numFmtId="0" fontId="3" fillId="0" borderId="0" xfId="0" applyFont="1" applyAlignment="1" applyProtection="1">
      <alignment horizontal="center" vertical="center" wrapText="1"/>
      <protection hidden="1"/>
    </xf>
    <xf numFmtId="0" fontId="0" fillId="0" borderId="1" xfId="0" applyBorder="1" applyProtection="1">
      <protection hidden="1"/>
    </xf>
    <xf numFmtId="0" fontId="75" fillId="0" borderId="0" xfId="0" applyFont="1" applyAlignment="1" applyProtection="1">
      <alignment vertical="center" wrapText="1"/>
      <protection hidden="1"/>
    </xf>
    <xf numFmtId="0" fontId="78" fillId="52" borderId="0" xfId="0" applyFont="1" applyFill="1" applyAlignment="1" applyProtection="1">
      <alignment vertical="top"/>
      <protection hidden="1"/>
    </xf>
    <xf numFmtId="4" fontId="51" fillId="39" borderId="45" xfId="0" applyNumberFormat="1" applyFont="1" applyFill="1" applyBorder="1" applyAlignment="1" applyProtection="1">
      <alignment horizontal="center" vertical="top" wrapText="1"/>
      <protection hidden="1"/>
    </xf>
    <xf numFmtId="4" fontId="51" fillId="39" borderId="45" xfId="0" applyNumberFormat="1" applyFont="1" applyFill="1" applyBorder="1" applyAlignment="1">
      <alignment horizontal="center" vertical="top" wrapText="1"/>
    </xf>
    <xf numFmtId="4" fontId="51" fillId="39" borderId="46" xfId="0" applyNumberFormat="1" applyFont="1" applyFill="1" applyBorder="1" applyAlignment="1" applyProtection="1">
      <alignment horizontal="center" vertical="top" wrapText="1"/>
      <protection hidden="1"/>
    </xf>
    <xf numFmtId="0" fontId="51" fillId="52" borderId="32" xfId="0" applyFont="1" applyFill="1" applyBorder="1" applyAlignment="1" applyProtection="1">
      <alignment horizontal="center" vertical="top" wrapText="1"/>
      <protection hidden="1"/>
    </xf>
    <xf numFmtId="0" fontId="78" fillId="52" borderId="0" xfId="0" applyFont="1" applyFill="1" applyAlignment="1" applyProtection="1">
      <alignment horizontal="center" vertical="top" wrapText="1"/>
      <protection hidden="1"/>
    </xf>
    <xf numFmtId="0" fontId="78" fillId="52" borderId="0" xfId="0" applyFont="1" applyFill="1" applyAlignment="1" applyProtection="1">
      <alignment horizontal="left" vertical="top" wrapText="1"/>
      <protection hidden="1"/>
    </xf>
    <xf numFmtId="0" fontId="78" fillId="52" borderId="0" xfId="0" applyFont="1" applyFill="1" applyAlignment="1" applyProtection="1">
      <alignment vertical="top" wrapText="1"/>
      <protection hidden="1"/>
    </xf>
    <xf numFmtId="0" fontId="24" fillId="52" borderId="0" xfId="0" applyFont="1" applyFill="1" applyProtection="1">
      <protection hidden="1"/>
    </xf>
    <xf numFmtId="0" fontId="24" fillId="52" borderId="0" xfId="0" applyFont="1" applyFill="1" applyAlignment="1" applyProtection="1">
      <alignment wrapText="1"/>
      <protection hidden="1"/>
    </xf>
    <xf numFmtId="0" fontId="0" fillId="0" borderId="47" xfId="0" applyBorder="1" applyAlignment="1" applyProtection="1">
      <alignment horizontal="left" vertical="center" wrapText="1"/>
      <protection hidden="1"/>
    </xf>
    <xf numFmtId="0" fontId="0" fillId="0" borderId="0" xfId="0" applyAlignment="1" applyProtection="1">
      <alignment horizontal="left" vertical="center" wrapText="1"/>
      <protection hidden="1"/>
    </xf>
    <xf numFmtId="176" fontId="0" fillId="0" borderId="0" xfId="68" applyNumberFormat="1" applyFont="1" applyAlignment="1" applyProtection="1">
      <alignment horizontal="left" vertical="center"/>
      <protection hidden="1"/>
    </xf>
    <xf numFmtId="0" fontId="42" fillId="0" borderId="0" xfId="0" applyFont="1" applyProtection="1">
      <protection hidden="1"/>
    </xf>
    <xf numFmtId="0" fontId="75" fillId="0" borderId="0" xfId="0" applyFont="1" applyAlignment="1">
      <alignment vertical="center" wrapText="1"/>
    </xf>
    <xf numFmtId="0" fontId="78" fillId="52" borderId="0" xfId="0" applyFont="1" applyFill="1" applyAlignment="1">
      <alignment vertical="top"/>
    </xf>
    <xf numFmtId="0" fontId="78" fillId="52" borderId="0" xfId="0" applyFont="1" applyFill="1" applyAlignment="1">
      <alignment horizontal="center" vertical="top" wrapText="1"/>
    </xf>
    <xf numFmtId="0" fontId="78" fillId="52" borderId="0" xfId="0" applyFont="1" applyFill="1" applyAlignment="1">
      <alignment vertical="top" wrapText="1"/>
    </xf>
    <xf numFmtId="0" fontId="24" fillId="52" borderId="0" xfId="0" applyFont="1" applyFill="1"/>
    <xf numFmtId="0" fontId="24" fillId="52" borderId="0" xfId="0" applyFont="1" applyFill="1" applyAlignment="1">
      <alignment wrapText="1"/>
    </xf>
    <xf numFmtId="176" fontId="0" fillId="0" borderId="0" xfId="68" applyNumberFormat="1" applyFont="1"/>
    <xf numFmtId="0" fontId="42" fillId="0" borderId="0" xfId="0" applyFont="1"/>
    <xf numFmtId="0" fontId="37" fillId="39" borderId="0" xfId="0" applyFont="1" applyFill="1" applyAlignment="1">
      <alignment vertical="center"/>
    </xf>
    <xf numFmtId="0" fontId="81" fillId="0" borderId="0" xfId="0" applyFont="1"/>
    <xf numFmtId="0" fontId="55" fillId="0" borderId="0" xfId="0" applyFont="1" applyAlignment="1">
      <alignment vertical="center"/>
    </xf>
    <xf numFmtId="0" fontId="0" fillId="0" borderId="0" xfId="0" applyAlignment="1">
      <alignment vertical="center"/>
    </xf>
    <xf numFmtId="0" fontId="62" fillId="0" borderId="0" xfId="0" applyFont="1" applyAlignment="1">
      <alignment vertical="center"/>
    </xf>
    <xf numFmtId="0" fontId="55" fillId="0" borderId="0" xfId="0" quotePrefix="1" applyFont="1" applyAlignment="1">
      <alignment vertical="center"/>
    </xf>
    <xf numFmtId="0" fontId="0" fillId="0" borderId="0" xfId="0" quotePrefix="1"/>
    <xf numFmtId="0" fontId="82" fillId="0" borderId="0" xfId="0" quotePrefix="1" applyFont="1" applyAlignment="1">
      <alignment vertical="top" wrapText="1"/>
    </xf>
    <xf numFmtId="0" fontId="0" fillId="0" borderId="0" xfId="0" quotePrefix="1" applyAlignment="1">
      <alignment horizontal="left" indent="1"/>
    </xf>
    <xf numFmtId="0" fontId="9" fillId="39" borderId="0" xfId="0" applyFont="1" applyFill="1" applyAlignment="1">
      <alignment vertical="center"/>
    </xf>
    <xf numFmtId="0" fontId="0" fillId="39" borderId="0" xfId="0" applyFill="1" applyAlignment="1">
      <alignment vertical="center"/>
    </xf>
    <xf numFmtId="0" fontId="84" fillId="39" borderId="0" xfId="0" applyFont="1" applyFill="1" applyAlignment="1">
      <alignment horizontal="left" vertical="center"/>
    </xf>
    <xf numFmtId="0" fontId="85" fillId="4" borderId="0" xfId="0" applyFont="1" applyFill="1" applyAlignment="1">
      <alignment vertical="center"/>
    </xf>
    <xf numFmtId="0" fontId="27" fillId="4" borderId="0" xfId="0" applyFont="1" applyFill="1"/>
    <xf numFmtId="0" fontId="28" fillId="4" borderId="0" xfId="0" applyFont="1" applyFill="1" applyAlignment="1">
      <alignment vertical="center"/>
    </xf>
    <xf numFmtId="0" fontId="0" fillId="4" borderId="0" xfId="0" applyFill="1" applyAlignment="1">
      <alignment vertical="top"/>
    </xf>
    <xf numFmtId="0" fontId="12" fillId="4" borderId="0" xfId="0" applyFont="1" applyFill="1" applyAlignment="1">
      <alignment vertical="center" wrapText="1"/>
    </xf>
    <xf numFmtId="0" fontId="54" fillId="4" borderId="0" xfId="0" applyFont="1" applyFill="1" applyAlignment="1">
      <alignment horizontal="left" vertical="center" indent="2"/>
    </xf>
    <xf numFmtId="0" fontId="10" fillId="4" borderId="0" xfId="0" applyFont="1" applyFill="1" applyAlignment="1">
      <alignment horizontal="left" vertical="center" indent="2"/>
    </xf>
    <xf numFmtId="0" fontId="87" fillId="53" borderId="51" xfId="2" applyNumberFormat="1" applyFont="1" applyFill="1" applyBorder="1" applyAlignment="1" applyProtection="1">
      <alignment horizontal="left" vertical="center" indent="1"/>
      <protection locked="0"/>
    </xf>
    <xf numFmtId="0" fontId="27" fillId="0" borderId="52" xfId="0" applyFont="1" applyBorder="1" applyAlignment="1">
      <alignment vertical="center"/>
    </xf>
    <xf numFmtId="0" fontId="27" fillId="0" borderId="53" xfId="0" applyFont="1" applyBorder="1" applyAlignment="1">
      <alignment vertical="center" wrapText="1"/>
    </xf>
    <xf numFmtId="0" fontId="27" fillId="0" borderId="54" xfId="0" applyFont="1" applyBorder="1" applyAlignment="1">
      <alignment vertical="center" wrapText="1"/>
    </xf>
    <xf numFmtId="0" fontId="0" fillId="4" borderId="0" xfId="0" applyFill="1" applyAlignment="1">
      <alignment horizontal="left" vertical="center"/>
    </xf>
    <xf numFmtId="0" fontId="87" fillId="53" borderId="55" xfId="2" applyNumberFormat="1" applyFont="1" applyFill="1" applyBorder="1" applyAlignment="1" applyProtection="1">
      <alignment horizontal="left" vertical="center" indent="1"/>
      <protection locked="0"/>
    </xf>
    <xf numFmtId="0" fontId="27" fillId="0" borderId="56" xfId="0" applyFont="1" applyBorder="1" applyAlignment="1">
      <alignment vertical="center"/>
    </xf>
    <xf numFmtId="0" fontId="27" fillId="0" borderId="57" xfId="0" applyFont="1" applyBorder="1" applyAlignment="1">
      <alignment vertical="center" wrapText="1"/>
    </xf>
    <xf numFmtId="0" fontId="27" fillId="0" borderId="58" xfId="0" applyFont="1" applyBorder="1" applyAlignment="1">
      <alignment vertical="center" wrapText="1"/>
    </xf>
    <xf numFmtId="0" fontId="87" fillId="53" borderId="55" xfId="2" applyFont="1" applyFill="1" applyBorder="1" applyAlignment="1">
      <alignment horizontal="left" vertical="center" indent="1"/>
    </xf>
    <xf numFmtId="0" fontId="27" fillId="0" borderId="56" xfId="0" applyFont="1" applyBorder="1" applyAlignment="1">
      <alignment vertical="center" wrapText="1"/>
    </xf>
    <xf numFmtId="0" fontId="27" fillId="0" borderId="59" xfId="0" applyFont="1" applyBorder="1" applyAlignment="1">
      <alignment vertical="center" wrapText="1"/>
    </xf>
    <xf numFmtId="0" fontId="87" fillId="53" borderId="60" xfId="2" applyFont="1" applyFill="1" applyBorder="1" applyAlignment="1">
      <alignment horizontal="left" vertical="center" indent="1"/>
    </xf>
    <xf numFmtId="0" fontId="87" fillId="5" borderId="61" xfId="2" applyFont="1" applyFill="1" applyBorder="1" applyAlignment="1">
      <alignment horizontal="left" vertical="center" wrapText="1" indent="1"/>
    </xf>
    <xf numFmtId="0" fontId="88" fillId="5" borderId="62" xfId="2" applyFont="1" applyFill="1" applyBorder="1" applyAlignment="1">
      <alignment horizontal="left" vertical="center" indent="1"/>
    </xf>
    <xf numFmtId="0" fontId="89" fillId="0" borderId="56" xfId="0" applyFont="1" applyBorder="1" applyAlignment="1">
      <alignment vertical="center" wrapText="1"/>
    </xf>
    <xf numFmtId="0" fontId="89" fillId="0" borderId="59" xfId="0" applyFont="1" applyBorder="1" applyAlignment="1">
      <alignment vertical="center" wrapText="1"/>
    </xf>
    <xf numFmtId="0" fontId="87" fillId="5" borderId="55" xfId="2" applyFont="1" applyFill="1" applyBorder="1" applyAlignment="1">
      <alignment horizontal="left" vertical="center" indent="1"/>
    </xf>
    <xf numFmtId="0" fontId="27" fillId="4" borderId="55" xfId="0" applyFont="1" applyFill="1" applyBorder="1" applyAlignment="1">
      <alignment horizontal="left" vertical="center" wrapText="1"/>
    </xf>
    <xf numFmtId="0" fontId="87" fillId="5" borderId="60" xfId="2" applyFont="1" applyFill="1" applyBorder="1" applyAlignment="1">
      <alignment horizontal="left" vertical="center" indent="1"/>
    </xf>
    <xf numFmtId="0" fontId="27" fillId="0" borderId="63" xfId="0" applyFont="1" applyBorder="1" applyAlignment="1">
      <alignment vertical="center"/>
    </xf>
    <xf numFmtId="0" fontId="27" fillId="0" borderId="63" xfId="0" applyFont="1" applyBorder="1" applyAlignment="1">
      <alignment vertical="center" wrapText="1"/>
    </xf>
    <xf numFmtId="0" fontId="27" fillId="0" borderId="64" xfId="0" applyFont="1" applyBorder="1" applyAlignment="1">
      <alignment vertical="center" wrapText="1"/>
    </xf>
    <xf numFmtId="0" fontId="12" fillId="4" borderId="0" xfId="0" applyFont="1" applyFill="1" applyAlignment="1">
      <alignment vertical="top" wrapText="1"/>
    </xf>
    <xf numFmtId="0" fontId="8" fillId="0" borderId="0" xfId="2" applyAlignment="1">
      <alignment vertical="center"/>
    </xf>
    <xf numFmtId="0" fontId="0" fillId="4" borderId="0" xfId="0" applyFill="1" applyAlignment="1" applyProtection="1">
      <alignment horizontal="left" vertical="top" indent="1"/>
      <protection hidden="1"/>
    </xf>
    <xf numFmtId="0" fontId="0" fillId="4" borderId="0" xfId="0" applyFill="1" applyAlignment="1" applyProtection="1">
      <alignment vertical="top" wrapText="1"/>
      <protection hidden="1"/>
    </xf>
    <xf numFmtId="0" fontId="0" fillId="0" borderId="66" xfId="0" applyBorder="1" applyProtection="1">
      <protection hidden="1"/>
    </xf>
    <xf numFmtId="0" fontId="8" fillId="4" borderId="67" xfId="2" applyFill="1" applyBorder="1" applyAlignment="1" applyProtection="1">
      <alignment horizontal="left" vertical="top" indent="1"/>
      <protection hidden="1"/>
    </xf>
    <xf numFmtId="0" fontId="0" fillId="4" borderId="67" xfId="0" applyFill="1" applyBorder="1" applyAlignment="1" applyProtection="1">
      <alignment vertical="top" wrapText="1"/>
      <protection hidden="1"/>
    </xf>
    <xf numFmtId="0" fontId="0" fillId="4" borderId="0" xfId="0" applyFill="1" applyAlignment="1" applyProtection="1">
      <alignment horizontal="left" vertical="top" wrapText="1"/>
      <protection hidden="1"/>
    </xf>
    <xf numFmtId="0" fontId="92" fillId="0" borderId="68" xfId="0" applyFont="1" applyBorder="1" applyAlignment="1" applyProtection="1">
      <alignment horizontal="left" indent="1"/>
      <protection hidden="1"/>
    </xf>
    <xf numFmtId="4" fontId="92" fillId="0" borderId="69" xfId="0" applyNumberFormat="1" applyFont="1" applyBorder="1" applyAlignment="1" applyProtection="1">
      <alignment horizontal="left"/>
      <protection hidden="1"/>
    </xf>
    <xf numFmtId="0" fontId="0" fillId="0" borderId="69" xfId="0" applyBorder="1" applyAlignment="1" applyProtection="1">
      <alignment wrapText="1"/>
      <protection hidden="1"/>
    </xf>
    <xf numFmtId="0" fontId="0" fillId="0" borderId="70" xfId="0" applyBorder="1" applyAlignment="1" applyProtection="1">
      <alignment wrapText="1"/>
      <protection hidden="1"/>
    </xf>
    <xf numFmtId="4" fontId="92" fillId="0" borderId="71" xfId="0" applyNumberFormat="1" applyFont="1" applyBorder="1" applyAlignment="1" applyProtection="1">
      <alignment horizontal="left" indent="2"/>
      <protection hidden="1"/>
    </xf>
    <xf numFmtId="0" fontId="93" fillId="0" borderId="0" xfId="0" applyFont="1" applyAlignment="1" applyProtection="1">
      <alignment horizontal="right"/>
      <protection hidden="1"/>
    </xf>
    <xf numFmtId="0" fontId="0" fillId="49" borderId="72" xfId="0" applyFill="1" applyBorder="1" applyAlignment="1" applyProtection="1">
      <alignment horizontal="center"/>
      <protection locked="0"/>
    </xf>
    <xf numFmtId="4" fontId="94" fillId="0" borderId="0" xfId="0" applyNumberFormat="1" applyFont="1" applyAlignment="1" applyProtection="1">
      <alignment horizontal="left"/>
      <protection hidden="1"/>
    </xf>
    <xf numFmtId="4" fontId="0" fillId="0" borderId="0" xfId="0" applyNumberFormat="1" applyAlignment="1" applyProtection="1">
      <alignment horizontal="center"/>
      <protection hidden="1"/>
    </xf>
    <xf numFmtId="4" fontId="0" fillId="0" borderId="65" xfId="0" applyNumberFormat="1" applyBorder="1" applyAlignment="1" applyProtection="1">
      <alignment horizontal="center"/>
      <protection hidden="1"/>
    </xf>
    <xf numFmtId="0" fontId="0" fillId="0" borderId="65" xfId="0" applyBorder="1" applyAlignment="1" applyProtection="1">
      <alignment wrapText="1"/>
      <protection hidden="1"/>
    </xf>
    <xf numFmtId="4" fontId="0" fillId="0" borderId="73" xfId="0" applyNumberFormat="1" applyBorder="1" applyAlignment="1" applyProtection="1">
      <alignment horizontal="center"/>
      <protection hidden="1"/>
    </xf>
    <xf numFmtId="0" fontId="0" fillId="0" borderId="67" xfId="0" applyBorder="1" applyAlignment="1" applyProtection="1">
      <alignment wrapText="1"/>
      <protection hidden="1"/>
    </xf>
    <xf numFmtId="0" fontId="0" fillId="0" borderId="67" xfId="0" applyBorder="1" applyProtection="1">
      <protection hidden="1"/>
    </xf>
    <xf numFmtId="4" fontId="0" fillId="0" borderId="67" xfId="0" applyNumberFormat="1" applyBorder="1" applyAlignment="1" applyProtection="1">
      <alignment horizontal="center"/>
      <protection hidden="1"/>
    </xf>
    <xf numFmtId="4" fontId="0" fillId="0" borderId="74" xfId="0" applyNumberFormat="1" applyBorder="1" applyAlignment="1" applyProtection="1">
      <alignment horizontal="center"/>
      <protection hidden="1"/>
    </xf>
    <xf numFmtId="4" fontId="0" fillId="0" borderId="71" xfId="0" applyNumberFormat="1" applyBorder="1" applyAlignment="1" applyProtection="1">
      <alignment horizontal="center"/>
      <protection hidden="1"/>
    </xf>
    <xf numFmtId="4" fontId="6" fillId="0" borderId="71" xfId="0" applyNumberFormat="1" applyFont="1" applyBorder="1" applyAlignment="1" applyProtection="1">
      <alignment horizontal="center"/>
      <protection hidden="1"/>
    </xf>
    <xf numFmtId="0" fontId="6" fillId="0" borderId="0" xfId="0" applyFont="1" applyProtection="1">
      <protection hidden="1"/>
    </xf>
    <xf numFmtId="4" fontId="6" fillId="0" borderId="0" xfId="0" applyNumberFormat="1" applyFont="1" applyAlignment="1" applyProtection="1">
      <alignment horizontal="center"/>
      <protection hidden="1"/>
    </xf>
    <xf numFmtId="4" fontId="6" fillId="0" borderId="65" xfId="0" applyNumberFormat="1" applyFont="1" applyBorder="1" applyAlignment="1" applyProtection="1">
      <alignment horizontal="center"/>
      <protection hidden="1"/>
    </xf>
    <xf numFmtId="0" fontId="8" fillId="0" borderId="0" xfId="2" applyProtection="1">
      <protection hidden="1"/>
    </xf>
    <xf numFmtId="4" fontId="43" fillId="0" borderId="75" xfId="0" applyNumberFormat="1" applyFont="1" applyBorder="1" applyAlignment="1" applyProtection="1">
      <alignment horizontal="right" vertical="center" indent="1"/>
      <protection hidden="1"/>
    </xf>
    <xf numFmtId="0" fontId="6" fillId="0" borderId="75" xfId="0" applyFont="1" applyBorder="1" applyAlignment="1" applyProtection="1">
      <alignment horizontal="left" vertical="center" indent="1"/>
      <protection hidden="1"/>
    </xf>
    <xf numFmtId="0" fontId="6" fillId="0" borderId="75" xfId="0" applyFont="1" applyBorder="1" applyProtection="1">
      <protection hidden="1"/>
    </xf>
    <xf numFmtId="4" fontId="6" fillId="0" borderId="75" xfId="0" applyNumberFormat="1" applyFont="1" applyBorder="1" applyAlignment="1" applyProtection="1">
      <alignment horizontal="center"/>
      <protection hidden="1"/>
    </xf>
    <xf numFmtId="4" fontId="43" fillId="0" borderId="0" xfId="0" applyNumberFormat="1" applyFont="1" applyAlignment="1" applyProtection="1">
      <alignment horizontal="right" vertical="center" indent="1"/>
      <protection hidden="1"/>
    </xf>
    <xf numFmtId="0" fontId="49" fillId="0" borderId="0" xfId="0" applyFont="1" applyAlignment="1" applyProtection="1">
      <alignment horizontal="left" vertical="center" wrapText="1" indent="1"/>
      <protection hidden="1"/>
    </xf>
    <xf numFmtId="0" fontId="49" fillId="0" borderId="65" xfId="0" applyFont="1" applyBorder="1" applyAlignment="1" applyProtection="1">
      <alignment horizontal="left" vertical="center" wrapText="1" indent="1"/>
      <protection hidden="1"/>
    </xf>
    <xf numFmtId="0" fontId="0" fillId="0" borderId="65" xfId="0" applyBorder="1" applyProtection="1">
      <protection hidden="1"/>
    </xf>
    <xf numFmtId="0" fontId="6" fillId="0" borderId="0" xfId="0" applyFont="1" applyAlignment="1" applyProtection="1">
      <alignment vertical="center"/>
      <protection hidden="1"/>
    </xf>
    <xf numFmtId="0" fontId="95" fillId="0" borderId="66" xfId="0" applyFont="1" applyBorder="1" applyAlignment="1">
      <alignment wrapText="1"/>
    </xf>
    <xf numFmtId="0" fontId="95" fillId="0" borderId="0" xfId="0" applyFont="1" applyAlignment="1">
      <alignment wrapText="1"/>
    </xf>
    <xf numFmtId="0" fontId="95" fillId="0" borderId="65" xfId="0" applyFont="1" applyBorder="1" applyAlignment="1">
      <alignment wrapText="1"/>
    </xf>
    <xf numFmtId="4" fontId="4" fillId="0" borderId="67" xfId="0" applyNumberFormat="1" applyFont="1" applyBorder="1" applyAlignment="1" applyProtection="1">
      <alignment horizontal="left" vertical="top"/>
      <protection hidden="1"/>
    </xf>
    <xf numFmtId="0" fontId="0" fillId="0" borderId="74" xfId="0" applyBorder="1" applyProtection="1">
      <protection hidden="1"/>
    </xf>
    <xf numFmtId="0" fontId="0" fillId="0" borderId="76" xfId="0" applyBorder="1" applyProtection="1">
      <protection hidden="1"/>
    </xf>
    <xf numFmtId="0" fontId="0" fillId="4" borderId="0" xfId="0" applyFill="1" applyProtection="1">
      <protection hidden="1"/>
    </xf>
    <xf numFmtId="0" fontId="27" fillId="4" borderId="0" xfId="0" applyFont="1" applyFill="1" applyProtection="1">
      <protection hidden="1"/>
    </xf>
    <xf numFmtId="0" fontId="2" fillId="51" borderId="1" xfId="0" applyFont="1" applyFill="1" applyBorder="1" applyAlignment="1">
      <alignment horizontal="center" wrapText="1"/>
    </xf>
    <xf numFmtId="0" fontId="0" fillId="0" borderId="1" xfId="0" applyBorder="1" applyAlignment="1" applyProtection="1">
      <alignment horizontal="center"/>
      <protection hidden="1"/>
    </xf>
    <xf numFmtId="3" fontId="0" fillId="2" borderId="1" xfId="0" applyNumberFormat="1" applyFill="1" applyBorder="1" applyAlignment="1" applyProtection="1">
      <alignment horizontal="center"/>
      <protection locked="0"/>
    </xf>
    <xf numFmtId="3" fontId="0" fillId="0" borderId="1" xfId="0" applyNumberFormat="1" applyBorder="1" applyAlignment="1" applyProtection="1">
      <alignment horizontal="center"/>
      <protection hidden="1"/>
    </xf>
    <xf numFmtId="0" fontId="3" fillId="0" borderId="1" xfId="0" applyFont="1" applyBorder="1" applyAlignment="1" applyProtection="1">
      <alignment horizontal="right"/>
      <protection hidden="1"/>
    </xf>
    <xf numFmtId="3" fontId="3" fillId="0" borderId="1" xfId="0" applyNumberFormat="1" applyFont="1" applyBorder="1" applyAlignment="1" applyProtection="1">
      <alignment horizontal="center"/>
      <protection hidden="1"/>
    </xf>
    <xf numFmtId="0" fontId="35" fillId="0" borderId="0" xfId="0" applyFont="1" applyProtection="1">
      <protection hidden="1"/>
    </xf>
    <xf numFmtId="0" fontId="97" fillId="0" borderId="1" xfId="2" applyNumberFormat="1" applyFont="1" applyFill="1" applyBorder="1" applyAlignment="1" applyProtection="1">
      <alignment horizontal="center" vertical="center"/>
      <protection locked="0"/>
    </xf>
    <xf numFmtId="3" fontId="0" fillId="0" borderId="0" xfId="0" applyNumberFormat="1" applyProtection="1">
      <protection hidden="1"/>
    </xf>
    <xf numFmtId="0" fontId="97" fillId="0" borderId="1" xfId="2" applyFont="1" applyFill="1" applyBorder="1" applyAlignment="1">
      <alignment horizontal="center" vertical="center"/>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71" fillId="0" borderId="0" xfId="0" applyFont="1" applyProtection="1">
      <protection hidden="1"/>
    </xf>
    <xf numFmtId="3" fontId="5" fillId="0" borderId="1" xfId="0" applyNumberFormat="1" applyFont="1" applyBorder="1" applyAlignment="1" applyProtection="1">
      <alignment horizontal="center"/>
      <protection hidden="1"/>
    </xf>
    <xf numFmtId="0" fontId="2" fillId="51" borderId="1" xfId="0" applyFont="1" applyFill="1" applyBorder="1" applyAlignment="1">
      <alignment horizontal="right" indent="1"/>
    </xf>
    <xf numFmtId="0" fontId="24" fillId="39" borderId="0" xfId="0" applyFont="1" applyFill="1"/>
    <xf numFmtId="4" fontId="24" fillId="39" borderId="0" xfId="0" applyNumberFormat="1" applyFont="1" applyFill="1"/>
    <xf numFmtId="0" fontId="57" fillId="40" borderId="0" xfId="0" applyFont="1" applyFill="1"/>
    <xf numFmtId="0" fontId="0" fillId="40" borderId="0" xfId="0" applyFill="1"/>
    <xf numFmtId="4" fontId="0" fillId="40" borderId="0" xfId="0" applyNumberFormat="1" applyFill="1"/>
    <xf numFmtId="0" fontId="11" fillId="40" borderId="0" xfId="0" quotePrefix="1" applyFont="1" applyFill="1" applyAlignment="1">
      <alignment horizontal="left" indent="1"/>
    </xf>
    <xf numFmtId="4" fontId="0" fillId="0" borderId="0" xfId="0" applyNumberFormat="1"/>
    <xf numFmtId="166" fontId="0" fillId="4" borderId="0" xfId="0" applyNumberFormat="1" applyFill="1"/>
    <xf numFmtId="4" fontId="5" fillId="0" borderId="0" xfId="0" applyNumberFormat="1" applyFont="1"/>
    <xf numFmtId="4" fontId="0" fillId="4" borderId="0" xfId="0" applyNumberFormat="1" applyFill="1"/>
    <xf numFmtId="0" fontId="0" fillId="0" borderId="0" xfId="0" applyProtection="1">
      <protection locked="0"/>
    </xf>
    <xf numFmtId="4" fontId="0" fillId="0" borderId="0" xfId="0" applyNumberFormat="1" applyProtection="1">
      <protection locked="0"/>
    </xf>
    <xf numFmtId="0" fontId="98" fillId="0" borderId="0" xfId="0" applyFont="1" applyProtection="1">
      <protection locked="0"/>
    </xf>
    <xf numFmtId="0" fontId="3" fillId="0" borderId="0" xfId="0" applyFont="1" applyProtection="1">
      <protection locked="0"/>
    </xf>
    <xf numFmtId="0" fontId="99" fillId="0" borderId="0" xfId="0" applyFont="1" applyProtection="1">
      <protection locked="0"/>
    </xf>
    <xf numFmtId="0" fontId="4" fillId="0" borderId="0" xfId="0" applyFont="1" applyProtection="1">
      <protection locked="0"/>
    </xf>
    <xf numFmtId="0" fontId="2" fillId="39" borderId="77" xfId="0" applyFont="1" applyFill="1" applyBorder="1" applyAlignment="1" applyProtection="1">
      <alignment horizontal="center"/>
      <protection locked="0"/>
    </xf>
    <xf numFmtId="0" fontId="2" fillId="39" borderId="78" xfId="0" applyFont="1" applyFill="1" applyBorder="1" applyProtection="1">
      <protection locked="0"/>
    </xf>
    <xf numFmtId="0" fontId="2" fillId="39" borderId="78" xfId="0" applyFont="1" applyFill="1" applyBorder="1" applyAlignment="1" applyProtection="1">
      <alignment wrapText="1"/>
      <protection locked="0"/>
    </xf>
    <xf numFmtId="4" fontId="2" fillId="39" borderId="45" xfId="0" applyNumberFormat="1" applyFont="1" applyFill="1" applyBorder="1" applyAlignment="1" applyProtection="1">
      <alignment horizontal="center" wrapText="1"/>
      <protection locked="0"/>
    </xf>
    <xf numFmtId="0" fontId="3" fillId="0" borderId="79" xfId="0" applyFont="1" applyBorder="1" applyAlignment="1" applyProtection="1">
      <alignment horizontal="center"/>
      <protection locked="0"/>
    </xf>
    <xf numFmtId="0" fontId="100" fillId="40" borderId="79" xfId="0" applyFont="1" applyFill="1" applyBorder="1" applyAlignment="1" applyProtection="1">
      <alignment horizontal="left" vertical="center"/>
      <protection locked="0"/>
    </xf>
    <xf numFmtId="0" fontId="100" fillId="40" borderId="79" xfId="0" applyFont="1" applyFill="1" applyBorder="1" applyAlignment="1" applyProtection="1">
      <alignment horizontal="left" vertical="center" wrapText="1"/>
      <protection locked="0"/>
    </xf>
    <xf numFmtId="177" fontId="100" fillId="40" borderId="79" xfId="0" applyNumberFormat="1" applyFont="1" applyFill="1" applyBorder="1" applyAlignment="1" applyProtection="1">
      <alignment horizontal="center" vertical="center"/>
      <protection locked="0"/>
    </xf>
    <xf numFmtId="164" fontId="100" fillId="40" borderId="79" xfId="0" applyNumberFormat="1" applyFont="1" applyFill="1" applyBorder="1" applyAlignment="1" applyProtection="1">
      <alignment horizontal="center" vertical="center" wrapText="1"/>
      <protection locked="0"/>
    </xf>
    <xf numFmtId="4" fontId="100" fillId="0" borderId="79" xfId="0" applyNumberFormat="1" applyFont="1" applyBorder="1" applyAlignment="1" applyProtection="1">
      <alignment horizontal="center" vertical="center"/>
      <protection locked="0"/>
    </xf>
    <xf numFmtId="0" fontId="6" fillId="40" borderId="79" xfId="0" applyFont="1" applyFill="1" applyBorder="1" applyAlignment="1" applyProtection="1">
      <alignment horizontal="left" vertical="center"/>
      <protection locked="0"/>
    </xf>
    <xf numFmtId="0" fontId="6" fillId="40" borderId="79" xfId="0" applyFont="1" applyFill="1" applyBorder="1" applyAlignment="1" applyProtection="1">
      <alignment horizontal="left" vertical="center" wrapText="1"/>
      <protection locked="0"/>
    </xf>
    <xf numFmtId="177" fontId="6" fillId="40" borderId="79" xfId="0" applyNumberFormat="1" applyFont="1" applyFill="1" applyBorder="1" applyAlignment="1" applyProtection="1">
      <alignment horizontal="center" vertical="center"/>
      <protection locked="0"/>
    </xf>
    <xf numFmtId="164" fontId="6" fillId="40" borderId="79" xfId="0" applyNumberFormat="1" applyFont="1" applyFill="1" applyBorder="1" applyAlignment="1" applyProtection="1">
      <alignment horizontal="center" vertical="center" wrapText="1"/>
      <protection locked="0"/>
    </xf>
    <xf numFmtId="4" fontId="6" fillId="0" borderId="79" xfId="0" applyNumberFormat="1" applyFont="1" applyBorder="1" applyAlignment="1" applyProtection="1">
      <alignment horizontal="center" vertical="center"/>
      <protection locked="0"/>
    </xf>
    <xf numFmtId="0" fontId="0" fillId="0" borderId="48" xfId="0" applyBorder="1" applyProtection="1">
      <protection locked="0"/>
    </xf>
    <xf numFmtId="0" fontId="0" fillId="0" borderId="48" xfId="0" applyBorder="1" applyAlignment="1" applyProtection="1">
      <alignment horizontal="right" vertical="center"/>
      <protection locked="0"/>
    </xf>
    <xf numFmtId="4" fontId="0" fillId="0" borderId="50" xfId="0" applyNumberFormat="1" applyBorder="1" applyAlignment="1" applyProtection="1">
      <alignment horizontal="center" vertical="center"/>
      <protection locked="0"/>
    </xf>
    <xf numFmtId="0" fontId="2" fillId="39" borderId="0" xfId="0" applyFont="1" applyFill="1" applyProtection="1">
      <protection locked="0"/>
    </xf>
    <xf numFmtId="4" fontId="6" fillId="40" borderId="79" xfId="0" applyNumberFormat="1" applyFont="1" applyFill="1" applyBorder="1" applyAlignment="1" applyProtection="1">
      <alignment horizontal="center" vertical="center"/>
      <protection locked="0"/>
    </xf>
    <xf numFmtId="0" fontId="10" fillId="0" borderId="0" xfId="0" applyFont="1" applyProtection="1">
      <protection locked="0"/>
    </xf>
    <xf numFmtId="0" fontId="0" fillId="0" borderId="0" xfId="0" applyAlignment="1" applyProtection="1">
      <alignment horizontal="right"/>
      <protection locked="0"/>
    </xf>
    <xf numFmtId="3" fontId="0" fillId="0" borderId="0" xfId="0" applyNumberFormat="1" applyAlignment="1" applyProtection="1">
      <alignment horizontal="center"/>
      <protection locked="0"/>
    </xf>
    <xf numFmtId="0" fontId="93" fillId="0" borderId="0" xfId="0" applyFont="1" applyProtection="1">
      <protection locked="0"/>
    </xf>
    <xf numFmtId="0" fontId="2" fillId="39" borderId="0" xfId="0" applyFont="1" applyFill="1" applyAlignment="1" applyProtection="1">
      <alignment horizontal="center"/>
      <protection locked="0"/>
    </xf>
    <xf numFmtId="0" fontId="2" fillId="39" borderId="0" xfId="0" applyFont="1" applyFill="1" applyAlignment="1" applyProtection="1">
      <alignment horizontal="center" wrapText="1"/>
      <protection locked="0"/>
    </xf>
    <xf numFmtId="0" fontId="3" fillId="0" borderId="47" xfId="0" applyFont="1" applyBorder="1" applyAlignment="1" applyProtection="1">
      <alignment horizontal="center"/>
      <protection locked="0"/>
    </xf>
    <xf numFmtId="0" fontId="100" fillId="40" borderId="47" xfId="0" applyFont="1" applyFill="1" applyBorder="1" applyProtection="1">
      <protection locked="0"/>
    </xf>
    <xf numFmtId="43" fontId="100" fillId="40" borderId="47" xfId="68" applyFont="1" applyFill="1" applyBorder="1" applyProtection="1">
      <protection locked="0"/>
    </xf>
    <xf numFmtId="43" fontId="100" fillId="40" borderId="47" xfId="68" applyFont="1" applyFill="1" applyBorder="1" applyAlignment="1" applyProtection="1">
      <alignment horizontal="left"/>
      <protection locked="0"/>
    </xf>
    <xf numFmtId="0" fontId="6" fillId="40" borderId="47" xfId="0" applyFont="1" applyFill="1" applyBorder="1" applyProtection="1">
      <protection locked="0"/>
    </xf>
    <xf numFmtId="43" fontId="6" fillId="40" borderId="47" xfId="68" applyFont="1" applyFill="1" applyBorder="1" applyProtection="1">
      <protection locked="0"/>
    </xf>
    <xf numFmtId="164" fontId="6" fillId="40" borderId="47" xfId="0" applyNumberFormat="1" applyFont="1" applyFill="1" applyBorder="1" applyAlignment="1" applyProtection="1">
      <alignment horizontal="center"/>
      <protection locked="0"/>
    </xf>
    <xf numFmtId="43" fontId="6" fillId="40" borderId="47" xfId="68" applyFont="1" applyFill="1" applyBorder="1" applyAlignment="1" applyProtection="1">
      <alignment horizontal="center"/>
      <protection locked="0"/>
    </xf>
    <xf numFmtId="177" fontId="6" fillId="40" borderId="47" xfId="0" applyNumberFormat="1" applyFont="1" applyFill="1" applyBorder="1" applyProtection="1">
      <protection locked="0"/>
    </xf>
    <xf numFmtId="0" fontId="6" fillId="0" borderId="84" xfId="0" applyFont="1" applyBorder="1" applyAlignment="1" applyProtection="1">
      <alignment horizontal="right"/>
      <protection locked="0"/>
    </xf>
    <xf numFmtId="3" fontId="6" fillId="0" borderId="85" xfId="0" applyNumberFormat="1" applyFont="1" applyBorder="1" applyAlignment="1">
      <alignment horizontal="center"/>
    </xf>
    <xf numFmtId="3" fontId="4" fillId="0" borderId="0" xfId="0" applyNumberFormat="1" applyFont="1" applyAlignment="1" applyProtection="1">
      <alignment horizontal="left"/>
      <protection locked="0"/>
    </xf>
    <xf numFmtId="0" fontId="2" fillId="39" borderId="0" xfId="0" applyFont="1" applyFill="1" applyAlignment="1" applyProtection="1">
      <alignment wrapText="1"/>
      <protection locked="0"/>
    </xf>
    <xf numFmtId="0" fontId="0" fillId="40" borderId="47" xfId="0" applyFill="1" applyBorder="1" applyProtection="1">
      <protection locked="0"/>
    </xf>
    <xf numFmtId="4" fontId="6" fillId="40" borderId="47" xfId="0" applyNumberFormat="1" applyFont="1" applyFill="1" applyBorder="1" applyAlignment="1" applyProtection="1">
      <alignment horizontal="center"/>
      <protection locked="0"/>
    </xf>
    <xf numFmtId="3" fontId="6" fillId="40" borderId="47" xfId="0" applyNumberFormat="1" applyFont="1" applyFill="1" applyBorder="1" applyAlignment="1" applyProtection="1">
      <alignment horizontal="center"/>
      <protection locked="0"/>
    </xf>
    <xf numFmtId="0" fontId="3" fillId="0" borderId="0" xfId="0" applyFont="1" applyAlignment="1" applyProtection="1">
      <alignment horizontal="center"/>
      <protection locked="0"/>
    </xf>
    <xf numFmtId="0" fontId="6" fillId="0" borderId="0" xfId="0" applyFont="1" applyProtection="1">
      <protection locked="0"/>
    </xf>
    <xf numFmtId="4" fontId="6" fillId="0" borderId="0" xfId="0" applyNumberFormat="1" applyFont="1" applyAlignment="1" applyProtection="1">
      <alignment horizontal="center"/>
      <protection locked="0"/>
    </xf>
    <xf numFmtId="3" fontId="6" fillId="0" borderId="0" xfId="0" applyNumberFormat="1" applyFont="1" applyAlignment="1" applyProtection="1">
      <alignment horizontal="center"/>
      <protection locked="0"/>
    </xf>
    <xf numFmtId="0" fontId="92" fillId="0" borderId="0" xfId="0" applyFont="1"/>
    <xf numFmtId="44" fontId="6" fillId="40" borderId="47" xfId="0" applyNumberFormat="1" applyFont="1" applyFill="1" applyBorder="1" applyProtection="1">
      <protection locked="0"/>
    </xf>
    <xf numFmtId="0" fontId="6" fillId="40" borderId="47" xfId="0" applyFont="1" applyFill="1" applyBorder="1" applyAlignment="1" applyProtection="1">
      <alignment horizontal="center"/>
      <protection locked="0"/>
    </xf>
    <xf numFmtId="3" fontId="0" fillId="40" borderId="47" xfId="0" applyNumberFormat="1" applyFill="1" applyBorder="1" applyAlignment="1" applyProtection="1">
      <alignment horizontal="center"/>
      <protection locked="0"/>
    </xf>
    <xf numFmtId="0" fontId="6" fillId="0" borderId="0" xfId="0" applyFont="1" applyAlignment="1" applyProtection="1">
      <alignment horizontal="right"/>
      <protection locked="0"/>
    </xf>
    <xf numFmtId="0" fontId="102" fillId="0" borderId="0" xfId="0" quotePrefix="1" applyFont="1" applyProtection="1">
      <protection locked="0"/>
    </xf>
    <xf numFmtId="0" fontId="76" fillId="0" borderId="0" xfId="0" applyFont="1" applyAlignment="1" applyProtection="1">
      <alignment horizontal="center"/>
      <protection locked="0"/>
    </xf>
    <xf numFmtId="43" fontId="100" fillId="0" borderId="47" xfId="68" applyFont="1" applyBorder="1" applyAlignment="1" applyProtection="1">
      <alignment horizontal="center"/>
      <protection hidden="1"/>
    </xf>
    <xf numFmtId="39" fontId="100" fillId="0" borderId="47" xfId="0" applyNumberFormat="1" applyFont="1" applyBorder="1" applyAlignment="1" applyProtection="1">
      <alignment horizontal="center"/>
      <protection hidden="1"/>
    </xf>
    <xf numFmtId="39" fontId="6" fillId="0" borderId="47" xfId="0" applyNumberFormat="1" applyFont="1" applyBorder="1" applyAlignment="1" applyProtection="1">
      <alignment horizontal="center"/>
      <protection hidden="1"/>
    </xf>
    <xf numFmtId="0" fontId="3" fillId="0" borderId="88" xfId="0" applyFont="1" applyBorder="1" applyAlignment="1">
      <alignment horizontal="left"/>
    </xf>
    <xf numFmtId="0" fontId="3" fillId="0" borderId="1" xfId="0" applyFont="1" applyBorder="1" applyAlignment="1">
      <alignment horizontal="left" wrapText="1"/>
    </xf>
    <xf numFmtId="0" fontId="3" fillId="0" borderId="89" xfId="0" applyFont="1" applyBorder="1" applyAlignment="1">
      <alignment horizontal="left"/>
    </xf>
    <xf numFmtId="0" fontId="0" fillId="0" borderId="88" xfId="0" applyBorder="1"/>
    <xf numFmtId="0" fontId="0" fillId="0" borderId="89" xfId="0" applyBorder="1" applyAlignment="1">
      <alignment wrapText="1"/>
    </xf>
    <xf numFmtId="0" fontId="0" fillId="0" borderId="90" xfId="0" applyBorder="1"/>
    <xf numFmtId="0" fontId="0" fillId="0" borderId="14" xfId="0" applyBorder="1" applyAlignment="1">
      <alignment horizontal="center" vertical="center"/>
    </xf>
    <xf numFmtId="0" fontId="0" fillId="0" borderId="15" xfId="0" applyBorder="1" applyAlignment="1">
      <alignment wrapText="1"/>
    </xf>
    <xf numFmtId="0" fontId="0" fillId="0" borderId="84" xfId="0" applyBorder="1" applyAlignment="1" applyProtection="1">
      <alignment horizontal="right"/>
      <protection locked="0"/>
    </xf>
    <xf numFmtId="3" fontId="0" fillId="0" borderId="85" xfId="0" applyNumberFormat="1" applyBorder="1" applyAlignment="1">
      <alignment horizontal="center"/>
    </xf>
    <xf numFmtId="0" fontId="3" fillId="0" borderId="0" xfId="0" applyFont="1" applyAlignment="1" applyProtection="1">
      <alignment horizontal="right"/>
      <protection locked="0"/>
    </xf>
    <xf numFmtId="3" fontId="0" fillId="0" borderId="85" xfId="0" applyNumberFormat="1" applyBorder="1" applyAlignment="1">
      <alignment horizontal="center" vertical="center"/>
    </xf>
    <xf numFmtId="0" fontId="103" fillId="0" borderId="0" xfId="0" applyFont="1"/>
    <xf numFmtId="0" fontId="104" fillId="0" borderId="0" xfId="0" applyFont="1"/>
    <xf numFmtId="0" fontId="105" fillId="0" borderId="0" xfId="0" applyFont="1"/>
    <xf numFmtId="0" fontId="107" fillId="0" borderId="0" xfId="0" applyFont="1"/>
    <xf numFmtId="0" fontId="109" fillId="0" borderId="0" xfId="0" applyFont="1" applyAlignment="1">
      <alignment vertical="center"/>
    </xf>
    <xf numFmtId="0" fontId="107" fillId="0" borderId="0" xfId="0" applyFont="1" applyAlignment="1">
      <alignment vertical="center"/>
    </xf>
    <xf numFmtId="0" fontId="110" fillId="0" borderId="0" xfId="0" applyFont="1" applyAlignment="1">
      <alignment horizontal="left" vertical="center"/>
    </xf>
    <xf numFmtId="0" fontId="104" fillId="0" borderId="0" xfId="0" applyFont="1" applyAlignment="1">
      <alignment horizontal="left" vertical="center"/>
    </xf>
    <xf numFmtId="0" fontId="106" fillId="0" borderId="0" xfId="0" applyFont="1"/>
    <xf numFmtId="0" fontId="105" fillId="0" borderId="0" xfId="0" applyFont="1" applyAlignment="1">
      <alignment vertical="center"/>
    </xf>
    <xf numFmtId="0" fontId="104" fillId="0" borderId="0" xfId="0" applyFont="1" applyAlignment="1">
      <alignment vertical="center"/>
    </xf>
    <xf numFmtId="0" fontId="111" fillId="0" borderId="0" xfId="0" applyFont="1" applyAlignment="1">
      <alignment horizontal="left" vertical="center"/>
    </xf>
    <xf numFmtId="0" fontId="113" fillId="0" borderId="0" xfId="0" applyFont="1" applyAlignment="1">
      <alignment horizontal="left" vertical="center"/>
    </xf>
    <xf numFmtId="0" fontId="104" fillId="0" borderId="0" xfId="0" applyFont="1" applyAlignment="1">
      <alignment horizontal="left" indent="1"/>
    </xf>
    <xf numFmtId="0" fontId="48" fillId="0" borderId="0" xfId="0" applyFont="1" applyAlignment="1">
      <alignment horizontal="left" vertical="center" indent="1"/>
    </xf>
    <xf numFmtId="0" fontId="48" fillId="0" borderId="0" xfId="0" applyFont="1" applyAlignment="1">
      <alignment vertical="center"/>
    </xf>
    <xf numFmtId="0" fontId="48" fillId="0" borderId="0" xfId="0" applyFont="1" applyAlignment="1">
      <alignment horizontal="left" vertical="center"/>
    </xf>
    <xf numFmtId="0" fontId="115" fillId="40" borderId="0" xfId="0" applyFont="1" applyFill="1"/>
    <xf numFmtId="0" fontId="11" fillId="40" borderId="0" xfId="0" quotePrefix="1" applyFont="1" applyFill="1" applyAlignment="1">
      <alignment horizontal="left" indent="2"/>
    </xf>
    <xf numFmtId="0" fontId="57" fillId="4" borderId="0" xfId="0" applyFont="1" applyFill="1"/>
    <xf numFmtId="0" fontId="11" fillId="4" borderId="0" xfId="0" quotePrefix="1" applyFont="1" applyFill="1" applyAlignment="1">
      <alignment horizontal="left" indent="1"/>
    </xf>
    <xf numFmtId="0" fontId="11" fillId="4" borderId="0" xfId="0" quotePrefix="1" applyFont="1" applyFill="1" applyAlignment="1">
      <alignment horizontal="left" indent="3"/>
    </xf>
    <xf numFmtId="0" fontId="98" fillId="0" borderId="0" xfId="0" applyFont="1"/>
    <xf numFmtId="0" fontId="99" fillId="0" borderId="0" xfId="0" applyFont="1"/>
    <xf numFmtId="0" fontId="2" fillId="39" borderId="0" xfId="0" applyFont="1" applyFill="1" applyAlignment="1">
      <alignment horizontal="center"/>
    </xf>
    <xf numFmtId="0" fontId="2" fillId="39" borderId="0" xfId="0" applyFont="1" applyFill="1"/>
    <xf numFmtId="0" fontId="3" fillId="0" borderId="47" xfId="0" applyFont="1" applyBorder="1" applyAlignment="1">
      <alignment horizontal="center"/>
    </xf>
    <xf numFmtId="3" fontId="100" fillId="40" borderId="47" xfId="0" applyNumberFormat="1" applyFont="1" applyFill="1" applyBorder="1" applyProtection="1">
      <protection locked="0"/>
    </xf>
    <xf numFmtId="0" fontId="100" fillId="0" borderId="47" xfId="0" applyFont="1" applyBorder="1" applyProtection="1">
      <protection hidden="1"/>
    </xf>
    <xf numFmtId="164" fontId="100" fillId="0" borderId="47" xfId="0" applyNumberFormat="1" applyFont="1" applyBorder="1" applyAlignment="1" applyProtection="1">
      <alignment horizontal="center"/>
      <protection hidden="1"/>
    </xf>
    <xf numFmtId="4" fontId="100" fillId="0" borderId="47" xfId="0" applyNumberFormat="1" applyFont="1" applyBorder="1" applyAlignment="1" applyProtection="1">
      <alignment horizontal="center"/>
      <protection hidden="1"/>
    </xf>
    <xf numFmtId="3" fontId="6" fillId="40" borderId="47" xfId="0" applyNumberFormat="1" applyFont="1" applyFill="1" applyBorder="1" applyProtection="1">
      <protection locked="0"/>
    </xf>
    <xf numFmtId="0" fontId="6" fillId="0" borderId="47" xfId="0" applyFont="1" applyBorder="1" applyProtection="1">
      <protection hidden="1"/>
    </xf>
    <xf numFmtId="164" fontId="6" fillId="0" borderId="47" xfId="0" applyNumberFormat="1" applyFont="1" applyBorder="1" applyAlignment="1" applyProtection="1">
      <alignment horizontal="center"/>
      <protection hidden="1"/>
    </xf>
    <xf numFmtId="4" fontId="6" fillId="0" borderId="47" xfId="0" applyNumberFormat="1" applyFont="1" applyBorder="1" applyAlignment="1" applyProtection="1">
      <alignment horizontal="center"/>
      <protection hidden="1"/>
    </xf>
    <xf numFmtId="0" fontId="3" fillId="0" borderId="84" xfId="0" applyFont="1" applyBorder="1" applyAlignment="1">
      <alignment horizontal="right"/>
    </xf>
    <xf numFmtId="0" fontId="2" fillId="39" borderId="0" xfId="0" applyFont="1" applyFill="1" applyAlignment="1">
      <alignment wrapText="1"/>
    </xf>
    <xf numFmtId="0" fontId="2" fillId="39" borderId="0" xfId="0" applyFont="1" applyFill="1" applyAlignment="1">
      <alignment horizontal="center" wrapText="1"/>
    </xf>
    <xf numFmtId="178" fontId="6" fillId="0" borderId="47" xfId="68" applyNumberFormat="1" applyFont="1" applyBorder="1" applyAlignment="1" applyProtection="1">
      <alignment horizontal="center"/>
      <protection hidden="1"/>
    </xf>
    <xf numFmtId="178" fontId="100" fillId="0" borderId="47" xfId="68" applyNumberFormat="1" applyFont="1" applyBorder="1" applyAlignment="1" applyProtection="1">
      <alignment horizontal="center"/>
      <protection hidden="1"/>
    </xf>
    <xf numFmtId="3" fontId="6" fillId="0" borderId="47" xfId="0" applyNumberFormat="1" applyFont="1" applyBorder="1" applyAlignment="1" applyProtection="1">
      <alignment horizontal="center"/>
      <protection hidden="1"/>
    </xf>
    <xf numFmtId="0" fontId="3" fillId="0" borderId="47" xfId="0" applyFont="1" applyBorder="1"/>
    <xf numFmtId="3" fontId="100" fillId="0" borderId="47" xfId="0" applyNumberFormat="1" applyFont="1" applyBorder="1" applyProtection="1">
      <protection hidden="1"/>
    </xf>
    <xf numFmtId="3" fontId="6" fillId="0" borderId="47" xfId="0" applyNumberFormat="1" applyFont="1" applyBorder="1" applyProtection="1">
      <protection hidden="1"/>
    </xf>
    <xf numFmtId="0" fontId="0" fillId="0" borderId="84" xfId="0" applyBorder="1" applyAlignment="1">
      <alignment horizontal="right"/>
    </xf>
    <xf numFmtId="0" fontId="0" fillId="40" borderId="0" xfId="0" applyFill="1" applyAlignment="1">
      <alignment horizontal="center"/>
    </xf>
    <xf numFmtId="0" fontId="69" fillId="40" borderId="0" xfId="0" quotePrefix="1" applyFont="1" applyFill="1" applyAlignment="1">
      <alignment horizontal="left" vertical="top" indent="1"/>
    </xf>
    <xf numFmtId="0" fontId="11" fillId="40" borderId="0" xfId="0" quotePrefix="1" applyFont="1" applyFill="1" applyAlignment="1">
      <alignment vertical="top" wrapText="1"/>
    </xf>
    <xf numFmtId="0" fontId="0" fillId="0" borderId="0" xfId="0" applyAlignment="1">
      <alignment horizontal="left"/>
    </xf>
    <xf numFmtId="0" fontId="74" fillId="0" borderId="0" xfId="0" applyFont="1" applyAlignment="1">
      <alignment horizontal="center" vertical="center" wrapText="1"/>
    </xf>
    <xf numFmtId="0" fontId="76" fillId="0" borderId="0" xfId="0" applyFont="1" applyAlignment="1">
      <alignment horizontal="center"/>
    </xf>
    <xf numFmtId="0" fontId="3" fillId="0" borderId="0" xfId="0" applyFont="1" applyAlignment="1">
      <alignment horizontal="center" vertical="center" wrapText="1"/>
    </xf>
    <xf numFmtId="0" fontId="51" fillId="52" borderId="32" xfId="0" applyFont="1" applyFill="1" applyBorder="1"/>
    <xf numFmtId="4" fontId="51" fillId="39" borderId="91" xfId="0" applyNumberFormat="1" applyFont="1" applyFill="1" applyBorder="1" applyAlignment="1">
      <alignment horizontal="center" wrapText="1"/>
    </xf>
    <xf numFmtId="4" fontId="51" fillId="39" borderId="77" xfId="0" applyNumberFormat="1" applyFont="1" applyFill="1" applyBorder="1" applyAlignment="1">
      <alignment horizontal="center" wrapText="1"/>
    </xf>
    <xf numFmtId="0" fontId="51" fillId="52" borderId="41" xfId="0" applyFont="1" applyFill="1" applyBorder="1" applyAlignment="1">
      <alignment horizontal="center" wrapText="1"/>
    </xf>
    <xf numFmtId="0" fontId="51" fillId="52" borderId="32" xfId="0" applyFont="1" applyFill="1" applyBorder="1" applyAlignment="1">
      <alignment wrapText="1"/>
    </xf>
    <xf numFmtId="0" fontId="0" fillId="0" borderId="47" xfId="0" applyBorder="1" applyAlignment="1" applyProtection="1">
      <alignment wrapText="1"/>
      <protection hidden="1"/>
    </xf>
    <xf numFmtId="4" fontId="3" fillId="0" borderId="85" xfId="0" applyNumberFormat="1" applyFont="1" applyBorder="1" applyAlignment="1">
      <alignment horizontal="center"/>
    </xf>
    <xf numFmtId="0" fontId="24" fillId="39" borderId="0" xfId="0" applyFont="1" applyFill="1" applyAlignment="1">
      <alignment vertical="center"/>
    </xf>
    <xf numFmtId="0" fontId="0" fillId="40" borderId="0" xfId="0" applyFill="1" applyAlignment="1">
      <alignment wrapText="1"/>
    </xf>
    <xf numFmtId="39" fontId="0" fillId="0" borderId="0" xfId="0" applyNumberFormat="1"/>
    <xf numFmtId="0" fontId="115" fillId="40" borderId="0" xfId="0" quotePrefix="1" applyFont="1" applyFill="1" applyAlignment="1">
      <alignment horizontal="left" indent="1"/>
    </xf>
    <xf numFmtId="0" fontId="36" fillId="0" borderId="0" xfId="0" quotePrefix="1" applyFont="1"/>
    <xf numFmtId="0" fontId="68" fillId="40" borderId="0" xfId="0" quotePrefix="1" applyFont="1" applyFill="1" applyAlignment="1">
      <alignment horizontal="left" indent="1"/>
    </xf>
    <xf numFmtId="0" fontId="93" fillId="0" borderId="0" xfId="0" applyFont="1"/>
    <xf numFmtId="0" fontId="116" fillId="0" borderId="0" xfId="0" applyFont="1" applyAlignment="1">
      <alignment horizontal="left" indent="2"/>
    </xf>
    <xf numFmtId="0" fontId="116" fillId="0" borderId="0" xfId="0" applyFont="1" applyAlignment="1">
      <alignment horizontal="left" wrapText="1" indent="2"/>
    </xf>
    <xf numFmtId="0" fontId="100" fillId="40" borderId="47" xfId="0" applyFont="1" applyFill="1" applyBorder="1"/>
    <xf numFmtId="4" fontId="100" fillId="40" borderId="47" xfId="0" applyNumberFormat="1" applyFont="1" applyFill="1" applyBorder="1" applyAlignment="1" applyProtection="1">
      <alignment horizontal="center"/>
      <protection locked="0"/>
    </xf>
    <xf numFmtId="3" fontId="100" fillId="0" borderId="47" xfId="0" applyNumberFormat="1" applyFont="1" applyBorder="1" applyAlignment="1" applyProtection="1">
      <alignment horizontal="center"/>
      <protection hidden="1"/>
    </xf>
    <xf numFmtId="4" fontId="0" fillId="40" borderId="47" xfId="0" applyNumberFormat="1" applyFill="1" applyBorder="1" applyAlignment="1" applyProtection="1">
      <alignment horizontal="center"/>
      <protection locked="0"/>
    </xf>
    <xf numFmtId="4" fontId="0" fillId="0" borderId="47" xfId="0" applyNumberFormat="1" applyBorder="1" applyAlignment="1" applyProtection="1">
      <alignment horizontal="center"/>
      <protection hidden="1"/>
    </xf>
    <xf numFmtId="3" fontId="0" fillId="0" borderId="47" xfId="0" applyNumberFormat="1" applyBorder="1" applyAlignment="1" applyProtection="1">
      <alignment horizontal="center"/>
      <protection hidden="1"/>
    </xf>
    <xf numFmtId="171" fontId="100" fillId="0" borderId="47" xfId="0" applyNumberFormat="1" applyFont="1" applyBorder="1" applyAlignment="1" applyProtection="1">
      <alignment horizontal="center"/>
      <protection hidden="1"/>
    </xf>
    <xf numFmtId="167" fontId="0" fillId="0" borderId="85" xfId="0" applyNumberFormat="1" applyBorder="1" applyAlignment="1">
      <alignment horizontal="center"/>
    </xf>
    <xf numFmtId="39" fontId="0" fillId="40" borderId="0" xfId="0" applyNumberFormat="1" applyFill="1"/>
    <xf numFmtId="0" fontId="11" fillId="0" borderId="0" xfId="0" quotePrefix="1" applyFont="1" applyAlignment="1">
      <alignment horizontal="left" indent="1"/>
    </xf>
    <xf numFmtId="0" fontId="102" fillId="0" borderId="0" xfId="0" quotePrefix="1" applyFont="1"/>
    <xf numFmtId="0" fontId="0" fillId="0" borderId="0" xfId="0" applyAlignment="1">
      <alignment horizontal="right"/>
    </xf>
    <xf numFmtId="0" fontId="57" fillId="40" borderId="0" xfId="0" quotePrefix="1" applyFont="1" applyFill="1" applyAlignment="1">
      <alignment horizontal="left" indent="1"/>
    </xf>
    <xf numFmtId="0" fontId="57" fillId="40" borderId="0" xfId="0" quotePrefix="1" applyFont="1" applyFill="1" applyAlignment="1">
      <alignment horizontal="left" indent="2"/>
    </xf>
    <xf numFmtId="169" fontId="100" fillId="0" borderId="47" xfId="68" applyNumberFormat="1" applyFont="1" applyBorder="1" applyAlignment="1" applyProtection="1">
      <alignment horizontal="center"/>
      <protection hidden="1"/>
    </xf>
    <xf numFmtId="169" fontId="6" fillId="0" borderId="47" xfId="68" applyNumberFormat="1" applyFont="1" applyBorder="1" applyAlignment="1" applyProtection="1">
      <alignment horizontal="center"/>
      <protection hidden="1"/>
    </xf>
    <xf numFmtId="0" fontId="6" fillId="0" borderId="47" xfId="0" applyFont="1" applyBorder="1" applyAlignment="1" applyProtection="1">
      <alignment horizontal="center"/>
      <protection hidden="1"/>
    </xf>
    <xf numFmtId="0" fontId="100" fillId="0" borderId="47" xfId="0" applyFont="1" applyBorder="1" applyAlignment="1" applyProtection="1">
      <alignment horizontal="center"/>
      <protection hidden="1"/>
    </xf>
    <xf numFmtId="0" fontId="11" fillId="40" borderId="0" xfId="0" quotePrefix="1" applyFont="1" applyFill="1" applyAlignment="1">
      <alignment horizontal="left" indent="3"/>
    </xf>
    <xf numFmtId="0" fontId="68" fillId="40" borderId="0" xfId="0" quotePrefix="1" applyFont="1" applyFill="1" applyAlignment="1">
      <alignment horizontal="left" indent="3"/>
    </xf>
    <xf numFmtId="3" fontId="100" fillId="40" borderId="47" xfId="0" applyNumberFormat="1" applyFont="1" applyFill="1" applyBorder="1" applyAlignment="1" applyProtection="1">
      <alignment horizontal="center"/>
      <protection locked="0"/>
    </xf>
    <xf numFmtId="0" fontId="100" fillId="40" borderId="47" xfId="0" applyFont="1" applyFill="1" applyBorder="1" applyAlignment="1" applyProtection="1">
      <alignment horizontal="center"/>
      <protection locked="0"/>
    </xf>
    <xf numFmtId="0" fontId="0" fillId="40" borderId="47" xfId="0" applyFill="1" applyBorder="1" applyAlignment="1" applyProtection="1">
      <alignment horizontal="center"/>
      <protection locked="0"/>
    </xf>
    <xf numFmtId="0" fontId="5" fillId="0" borderId="84" xfId="0" applyFont="1" applyBorder="1" applyAlignment="1">
      <alignment horizontal="right"/>
    </xf>
    <xf numFmtId="3" fontId="5" fillId="0" borderId="85" xfId="0" applyNumberFormat="1" applyFont="1" applyBorder="1" applyAlignment="1" applyProtection="1">
      <alignment horizontal="center"/>
      <protection locked="0"/>
    </xf>
    <xf numFmtId="3" fontId="0" fillId="40" borderId="47" xfId="0" applyNumberFormat="1" applyFill="1" applyBorder="1" applyProtection="1">
      <protection locked="0"/>
    </xf>
    <xf numFmtId="0" fontId="5" fillId="0" borderId="0" xfId="0" applyFont="1"/>
    <xf numFmtId="39" fontId="117" fillId="0" borderId="47" xfId="68" applyNumberFormat="1" applyFont="1" applyBorder="1" applyAlignment="1" applyProtection="1">
      <alignment horizontal="center"/>
      <protection hidden="1"/>
    </xf>
    <xf numFmtId="179" fontId="0" fillId="0" borderId="0" xfId="68" applyNumberFormat="1" applyFont="1"/>
    <xf numFmtId="0" fontId="115" fillId="40" borderId="0" xfId="0" applyFont="1" applyFill="1" applyProtection="1">
      <protection hidden="1"/>
    </xf>
    <xf numFmtId="0" fontId="11" fillId="40" borderId="0" xfId="0" quotePrefix="1" applyFont="1" applyFill="1" applyAlignment="1" applyProtection="1">
      <alignment horizontal="left" indent="3"/>
      <protection hidden="1"/>
    </xf>
    <xf numFmtId="0" fontId="68" fillId="40" borderId="0" xfId="0" quotePrefix="1" applyFont="1" applyFill="1" applyAlignment="1" applyProtection="1">
      <alignment horizontal="left" indent="3"/>
      <protection hidden="1"/>
    </xf>
    <xf numFmtId="0" fontId="0" fillId="54" borderId="0" xfId="0" applyFill="1" applyProtection="1">
      <protection hidden="1"/>
    </xf>
    <xf numFmtId="0" fontId="93" fillId="0" borderId="0" xfId="0" applyFont="1" applyProtection="1">
      <protection hidden="1"/>
    </xf>
    <xf numFmtId="0" fontId="98" fillId="0" borderId="0" xfId="0" applyFont="1" applyProtection="1">
      <protection hidden="1"/>
    </xf>
    <xf numFmtId="0" fontId="99" fillId="0" borderId="0" xfId="0" applyFont="1" applyProtection="1">
      <protection hidden="1"/>
    </xf>
    <xf numFmtId="0" fontId="5" fillId="54" borderId="0" xfId="0" applyFont="1" applyFill="1" applyProtection="1">
      <protection hidden="1"/>
    </xf>
    <xf numFmtId="0" fontId="4" fillId="0" borderId="0" xfId="0" applyFont="1" applyProtection="1">
      <protection hidden="1"/>
    </xf>
    <xf numFmtId="0" fontId="2" fillId="39" borderId="0" xfId="0" applyFont="1" applyFill="1" applyAlignment="1" applyProtection="1">
      <alignment horizontal="center"/>
      <protection hidden="1"/>
    </xf>
    <xf numFmtId="0" fontId="2" fillId="39" borderId="0" xfId="0" applyFont="1" applyFill="1" applyProtection="1">
      <protection hidden="1"/>
    </xf>
    <xf numFmtId="0" fontId="3" fillId="0" borderId="47" xfId="0" applyFont="1" applyBorder="1" applyAlignment="1" applyProtection="1">
      <alignment horizontal="center"/>
      <protection hidden="1"/>
    </xf>
    <xf numFmtId="44" fontId="100" fillId="40" borderId="47" xfId="0" applyNumberFormat="1" applyFont="1" applyFill="1" applyBorder="1" applyProtection="1">
      <protection locked="0"/>
    </xf>
    <xf numFmtId="37" fontId="100" fillId="40" borderId="47" xfId="0" applyNumberFormat="1" applyFont="1" applyFill="1" applyBorder="1" applyAlignment="1" applyProtection="1">
      <alignment horizontal="center"/>
      <protection locked="0"/>
    </xf>
    <xf numFmtId="37" fontId="100" fillId="0" borderId="47" xfId="0" applyNumberFormat="1" applyFont="1" applyBorder="1" applyAlignment="1" applyProtection="1">
      <alignment horizontal="center"/>
      <protection hidden="1"/>
    </xf>
    <xf numFmtId="44" fontId="0" fillId="40" borderId="47" xfId="0" applyNumberFormat="1" applyFill="1" applyBorder="1" applyProtection="1">
      <protection locked="0"/>
    </xf>
    <xf numFmtId="37" fontId="0" fillId="40" borderId="47" xfId="0" applyNumberFormat="1" applyFill="1" applyBorder="1" applyAlignment="1" applyProtection="1">
      <alignment horizontal="center"/>
      <protection locked="0"/>
    </xf>
    <xf numFmtId="37" fontId="0" fillId="0" borderId="47" xfId="0" applyNumberFormat="1" applyBorder="1" applyAlignment="1" applyProtection="1">
      <alignment horizontal="center"/>
      <protection hidden="1"/>
    </xf>
    <xf numFmtId="0" fontId="0" fillId="0" borderId="84" xfId="0" applyBorder="1" applyAlignment="1" applyProtection="1">
      <alignment horizontal="right"/>
      <protection hidden="1"/>
    </xf>
    <xf numFmtId="0" fontId="0" fillId="0" borderId="0" xfId="0" applyAlignment="1" applyProtection="1">
      <alignment horizontal="right"/>
      <protection hidden="1"/>
    </xf>
    <xf numFmtId="3" fontId="0" fillId="0" borderId="0" xfId="0" applyNumberFormat="1" applyAlignment="1" applyProtection="1">
      <alignment horizontal="center"/>
      <protection hidden="1"/>
    </xf>
    <xf numFmtId="0" fontId="69" fillId="40" borderId="0" xfId="0" quotePrefix="1" applyFont="1" applyFill="1" applyAlignment="1">
      <alignment horizontal="left" indent="1"/>
    </xf>
    <xf numFmtId="3" fontId="100" fillId="0" borderId="47" xfId="0" applyNumberFormat="1" applyFont="1" applyBorder="1" applyAlignment="1">
      <alignment horizontal="center"/>
    </xf>
    <xf numFmtId="37" fontId="100" fillId="40" borderId="47" xfId="68" applyNumberFormat="1" applyFont="1" applyFill="1" applyBorder="1" applyAlignment="1" applyProtection="1">
      <alignment horizontal="center"/>
      <protection locked="0"/>
    </xf>
    <xf numFmtId="180" fontId="117" fillId="0" borderId="47" xfId="0" applyNumberFormat="1" applyFont="1" applyBorder="1" applyAlignment="1">
      <alignment horizontal="center"/>
    </xf>
    <xf numFmtId="2" fontId="0" fillId="0" borderId="0" xfId="0" applyNumberFormat="1"/>
    <xf numFmtId="0" fontId="124" fillId="0" borderId="0" xfId="0" applyFont="1" applyAlignment="1">
      <alignment horizontal="left" vertical="center" wrapText="1"/>
    </xf>
    <xf numFmtId="0" fontId="7" fillId="0" borderId="0" xfId="0" applyFont="1" applyAlignment="1">
      <alignment horizontal="left" vertical="center"/>
    </xf>
    <xf numFmtId="0" fontId="7" fillId="0" borderId="0" xfId="0" applyFont="1" applyAlignment="1">
      <alignment vertical="center"/>
    </xf>
    <xf numFmtId="0" fontId="125" fillId="0" borderId="0" xfId="2" applyFont="1" applyAlignment="1"/>
    <xf numFmtId="0" fontId="3" fillId="0" borderId="92" xfId="0" applyFont="1" applyBorder="1"/>
    <xf numFmtId="0" fontId="3" fillId="0" borderId="93" xfId="0" applyFont="1" applyBorder="1"/>
    <xf numFmtId="0" fontId="3" fillId="0" borderId="93" xfId="0" applyFont="1" applyBorder="1" applyAlignment="1">
      <alignment wrapText="1"/>
    </xf>
    <xf numFmtId="0" fontId="3" fillId="49" borderId="93" xfId="0" applyFont="1" applyFill="1" applyBorder="1" applyAlignment="1">
      <alignment horizontal="left" wrapText="1"/>
    </xf>
    <xf numFmtId="0" fontId="3" fillId="0" borderId="93" xfId="0" applyFont="1" applyBorder="1" applyAlignment="1">
      <alignment vertical="center"/>
    </xf>
    <xf numFmtId="0" fontId="3" fillId="0" borderId="93" xfId="0" applyFont="1" applyBorder="1" applyAlignment="1">
      <alignment vertical="center" wrapText="1"/>
    </xf>
    <xf numFmtId="0" fontId="3" fillId="0" borderId="93" xfId="3" applyFont="1" applyBorder="1" applyAlignment="1">
      <alignment vertical="center" wrapText="1"/>
    </xf>
    <xf numFmtId="0" fontId="3" fillId="49" borderId="93" xfId="0" applyFont="1" applyFill="1" applyBorder="1" applyAlignment="1">
      <alignment horizontal="center" vertical="center" wrapText="1"/>
    </xf>
    <xf numFmtId="0" fontId="126" fillId="0" borderId="0" xfId="3" applyFont="1"/>
    <xf numFmtId="0" fontId="3" fillId="0" borderId="3" xfId="0" applyFont="1" applyBorder="1" applyAlignment="1">
      <alignment vertical="center"/>
    </xf>
    <xf numFmtId="0" fontId="3" fillId="0" borderId="3" xfId="0" applyFont="1" applyBorder="1" applyAlignment="1">
      <alignment horizontal="center" vertical="center" wrapText="1"/>
    </xf>
    <xf numFmtId="0" fontId="3" fillId="0" borderId="3" xfId="0" applyFont="1" applyBorder="1"/>
    <xf numFmtId="0" fontId="58" fillId="0" borderId="24" xfId="0" applyFont="1" applyBorder="1" applyAlignment="1">
      <alignment horizontal="center" vertical="center" wrapText="1"/>
    </xf>
    <xf numFmtId="0" fontId="0" fillId="0" borderId="28" xfId="0" applyBorder="1" applyAlignment="1">
      <alignment horizontal="center" vertical="center" wrapText="1"/>
    </xf>
    <xf numFmtId="0" fontId="119" fillId="38" borderId="1" xfId="0" applyFont="1" applyFill="1" applyBorder="1" applyAlignment="1">
      <alignment horizontal="center" vertical="center" wrapText="1"/>
    </xf>
    <xf numFmtId="0" fontId="127" fillId="0" borderId="0" xfId="0" applyFont="1"/>
    <xf numFmtId="0" fontId="127" fillId="0" borderId="0" xfId="54" applyFont="1" applyAlignment="1">
      <alignment vertical="top"/>
    </xf>
    <xf numFmtId="0" fontId="127" fillId="0" borderId="93" xfId="54" applyFont="1" applyBorder="1" applyAlignment="1">
      <alignment horizontal="left" vertical="top"/>
    </xf>
    <xf numFmtId="10" fontId="128" fillId="0" borderId="93" xfId="54" applyNumberFormat="1" applyFont="1" applyBorder="1" applyAlignment="1">
      <alignment horizontal="center" vertical="center"/>
    </xf>
    <xf numFmtId="2" fontId="6" fillId="55" borderId="93" xfId="69" applyNumberFormat="1" applyFont="1" applyFill="1" applyBorder="1" applyAlignment="1">
      <alignment horizontal="center" vertical="center"/>
    </xf>
    <xf numFmtId="0" fontId="0" fillId="0" borderId="93" xfId="0" applyBorder="1"/>
    <xf numFmtId="2" fontId="6" fillId="55" borderId="93" xfId="69" applyNumberFormat="1" applyFont="1" applyFill="1" applyBorder="1" applyAlignment="1" applyProtection="1">
      <alignment horizontal="center" vertical="center"/>
    </xf>
    <xf numFmtId="0" fontId="129" fillId="0" borderId="1" xfId="54" applyFont="1" applyBorder="1" applyAlignment="1">
      <alignment horizontal="left" vertical="top"/>
    </xf>
    <xf numFmtId="0" fontId="60" fillId="0" borderId="1" xfId="0" applyFont="1" applyBorder="1" applyAlignment="1">
      <alignment wrapText="1"/>
    </xf>
    <xf numFmtId="164" fontId="0" fillId="56" borderId="1" xfId="0" applyNumberFormat="1" applyFill="1" applyBorder="1" applyAlignment="1">
      <alignment horizontal="center" vertical="center"/>
    </xf>
    <xf numFmtId="164" fontId="0" fillId="0" borderId="1" xfId="0" applyNumberFormat="1" applyBorder="1" applyAlignment="1">
      <alignment horizontal="center" vertical="center"/>
    </xf>
    <xf numFmtId="11" fontId="0" fillId="0" borderId="1" xfId="0" applyNumberFormat="1" applyBorder="1" applyAlignment="1">
      <alignment horizontal="center" vertical="center"/>
    </xf>
    <xf numFmtId="10" fontId="0" fillId="0" borderId="0" xfId="0" applyNumberFormat="1"/>
    <xf numFmtId="0" fontId="71" fillId="0" borderId="93" xfId="0" applyFont="1" applyBorder="1"/>
    <xf numFmtId="168" fontId="71" fillId="0" borderId="93" xfId="0" applyNumberFormat="1" applyFont="1" applyBorder="1"/>
    <xf numFmtId="0" fontId="4" fillId="0" borderId="1" xfId="0" applyFont="1" applyBorder="1" applyAlignment="1">
      <alignment horizontal="left" wrapText="1"/>
    </xf>
    <xf numFmtId="164" fontId="0" fillId="42" borderId="0" xfId="0" applyNumberFormat="1" applyFill="1" applyAlignment="1">
      <alignment horizontal="center"/>
    </xf>
    <xf numFmtId="0" fontId="4" fillId="0" borderId="1" xfId="0" applyFont="1" applyBorder="1" applyAlignment="1">
      <alignment wrapText="1"/>
    </xf>
    <xf numFmtId="0" fontId="129" fillId="0" borderId="0" xfId="54" applyFont="1" applyAlignment="1">
      <alignment horizontal="left" vertical="top"/>
    </xf>
    <xf numFmtId="0" fontId="130" fillId="0" borderId="0" xfId="3" applyFont="1"/>
    <xf numFmtId="0" fontId="129" fillId="0" borderId="0" xfId="0" applyFont="1" applyAlignment="1">
      <alignment vertical="top" wrapText="1"/>
    </xf>
    <xf numFmtId="3" fontId="0" fillId="0" borderId="0" xfId="0" applyNumberFormat="1"/>
    <xf numFmtId="168" fontId="0" fillId="0" borderId="93" xfId="0" applyNumberFormat="1" applyBorder="1"/>
    <xf numFmtId="0" fontId="55" fillId="0" borderId="0" xfId="0" applyFont="1"/>
    <xf numFmtId="181" fontId="131" fillId="57" borderId="1" xfId="0" applyNumberFormat="1" applyFont="1" applyFill="1" applyBorder="1" applyAlignment="1">
      <alignment horizontal="center" vertical="center" wrapText="1"/>
    </xf>
    <xf numFmtId="181" fontId="133" fillId="0" borderId="1" xfId="0" applyNumberFormat="1" applyFont="1" applyBorder="1"/>
    <xf numFmtId="0" fontId="134" fillId="4" borderId="0" xfId="0" applyFont="1" applyFill="1" applyAlignment="1">
      <alignment horizontal="right" vertical="center"/>
    </xf>
    <xf numFmtId="44" fontId="135" fillId="55" borderId="35" xfId="69" applyFont="1" applyFill="1" applyBorder="1" applyAlignment="1">
      <alignment horizontal="center" vertical="center"/>
    </xf>
    <xf numFmtId="0" fontId="12" fillId="4" borderId="0" xfId="0" applyFont="1" applyFill="1" applyAlignment="1">
      <alignment horizontal="center" vertical="center"/>
    </xf>
    <xf numFmtId="0" fontId="0" fillId="4" borderId="0" xfId="0" applyFill="1" applyAlignment="1">
      <alignment horizontal="center"/>
    </xf>
    <xf numFmtId="0" fontId="0" fillId="49" borderId="0" xfId="0" applyFill="1"/>
    <xf numFmtId="0" fontId="136" fillId="0" borderId="1" xfId="0" applyFont="1" applyBorder="1"/>
    <xf numFmtId="1" fontId="136" fillId="0" borderId="1" xfId="0" applyNumberFormat="1" applyFont="1" applyBorder="1" applyAlignment="1">
      <alignment horizontal="center"/>
    </xf>
    <xf numFmtId="0" fontId="3" fillId="4" borderId="3" xfId="0" applyFont="1" applyFill="1" applyBorder="1"/>
    <xf numFmtId="0" fontId="0" fillId="4" borderId="3" xfId="0" applyFill="1" applyBorder="1"/>
    <xf numFmtId="0" fontId="0" fillId="4" borderId="3" xfId="0" applyFill="1" applyBorder="1" applyAlignment="1">
      <alignment horizontal="center"/>
    </xf>
    <xf numFmtId="0" fontId="4" fillId="4" borderId="0" xfId="0" applyFont="1" applyFill="1" applyAlignment="1">
      <alignment horizontal="left" vertical="center"/>
    </xf>
    <xf numFmtId="0" fontId="29" fillId="0" borderId="0" xfId="39" applyAlignment="1"/>
    <xf numFmtId="3" fontId="28" fillId="0" borderId="98" xfId="0" applyNumberFormat="1" applyFont="1" applyBorder="1"/>
    <xf numFmtId="3" fontId="28" fillId="0" borderId="0" xfId="0" applyNumberFormat="1" applyFont="1"/>
    <xf numFmtId="3" fontId="28" fillId="0" borderId="0" xfId="0" applyNumberFormat="1" applyFont="1" applyAlignment="1">
      <alignment horizontal="left"/>
    </xf>
    <xf numFmtId="3" fontId="28" fillId="0" borderId="0" xfId="0" applyNumberFormat="1" applyFont="1" applyAlignment="1">
      <alignment horizontal="left" wrapText="1"/>
    </xf>
    <xf numFmtId="3" fontId="28" fillId="0" borderId="1" xfId="0" applyNumberFormat="1" applyFont="1" applyBorder="1" applyAlignment="1">
      <alignment horizontal="left" wrapText="1"/>
    </xf>
    <xf numFmtId="0" fontId="27" fillId="0" borderId="1" xfId="38" applyFont="1" applyBorder="1">
      <alignment wrapText="1"/>
    </xf>
    <xf numFmtId="181" fontId="27" fillId="0" borderId="1" xfId="38" applyNumberFormat="1" applyFont="1" applyBorder="1" applyAlignment="1">
      <alignment horizontal="right" wrapText="1"/>
    </xf>
    <xf numFmtId="0" fontId="27" fillId="0" borderId="1" xfId="38" applyFont="1" applyBorder="1" applyAlignment="1">
      <alignment horizontal="left" wrapText="1" indent="1"/>
    </xf>
    <xf numFmtId="0" fontId="27" fillId="0" borderId="1" xfId="38" applyFont="1" applyBorder="1" applyAlignment="1">
      <alignment horizontal="left" wrapText="1" indent="2"/>
    </xf>
    <xf numFmtId="3" fontId="28" fillId="0" borderId="99" xfId="0" applyNumberFormat="1" applyFont="1" applyBorder="1"/>
    <xf numFmtId="3" fontId="28" fillId="0" borderId="4" xfId="0" applyNumberFormat="1" applyFont="1" applyBorder="1" applyAlignment="1">
      <alignment horizontal="left" wrapText="1"/>
    </xf>
    <xf numFmtId="0" fontId="27" fillId="0" borderId="1" xfId="0" applyFont="1" applyBorder="1"/>
    <xf numFmtId="0" fontId="13" fillId="0" borderId="0" xfId="0" applyFont="1"/>
    <xf numFmtId="0" fontId="0" fillId="0" borderId="100" xfId="0" applyBorder="1"/>
    <xf numFmtId="0" fontId="0" fillId="0" borderId="101" xfId="0" applyBorder="1"/>
    <xf numFmtId="0" fontId="0" fillId="0" borderId="102" xfId="0" applyBorder="1"/>
    <xf numFmtId="0" fontId="8" fillId="0" borderId="103" xfId="2" applyBorder="1"/>
    <xf numFmtId="0" fontId="0" fillId="0" borderId="104" xfId="0" applyBorder="1"/>
    <xf numFmtId="0" fontId="0" fillId="0" borderId="103" xfId="0" applyBorder="1"/>
    <xf numFmtId="0" fontId="26" fillId="0" borderId="1" xfId="0" applyFont="1" applyBorder="1" applyAlignment="1">
      <alignment wrapText="1"/>
    </xf>
    <xf numFmtId="0" fontId="26" fillId="0" borderId="0" xfId="0" applyFont="1"/>
    <xf numFmtId="0" fontId="63" fillId="0" borderId="105" xfId="0" applyFont="1" applyBorder="1"/>
    <xf numFmtId="0" fontId="63" fillId="0" borderId="39" xfId="0" applyFont="1" applyBorder="1"/>
    <xf numFmtId="0" fontId="63" fillId="48" borderId="39" xfId="0" applyFont="1" applyFill="1" applyBorder="1"/>
    <xf numFmtId="0" fontId="63" fillId="48" borderId="39" xfId="0" applyFont="1" applyFill="1" applyBorder="1" applyAlignment="1">
      <alignment wrapText="1"/>
    </xf>
    <xf numFmtId="0" fontId="63" fillId="48" borderId="106" xfId="0" applyFont="1" applyFill="1" applyBorder="1" applyAlignment="1">
      <alignment horizontal="left" wrapText="1"/>
    </xf>
    <xf numFmtId="0" fontId="142" fillId="0" borderId="0" xfId="0" applyFont="1"/>
    <xf numFmtId="0" fontId="26" fillId="0" borderId="1" xfId="0" applyFont="1" applyBorder="1"/>
    <xf numFmtId="182" fontId="63" fillId="0" borderId="39" xfId="0" applyNumberFormat="1" applyFont="1" applyBorder="1" applyAlignment="1">
      <alignment horizontal="center"/>
    </xf>
    <xf numFmtId="182" fontId="63" fillId="0" borderId="106" xfId="0" applyNumberFormat="1" applyFont="1" applyBorder="1" applyAlignment="1">
      <alignment horizontal="center"/>
    </xf>
    <xf numFmtId="183" fontId="63" fillId="58" borderId="39" xfId="0" applyNumberFormat="1" applyFont="1" applyFill="1" applyBorder="1" applyAlignment="1">
      <alignment horizontal="center"/>
    </xf>
    <xf numFmtId="183" fontId="63" fillId="58" borderId="106" xfId="0" applyNumberFormat="1" applyFont="1" applyFill="1" applyBorder="1" applyAlignment="1">
      <alignment horizontal="center"/>
    </xf>
    <xf numFmtId="183" fontId="63" fillId="0" borderId="39" xfId="0" applyNumberFormat="1" applyFont="1" applyBorder="1" applyAlignment="1">
      <alignment horizontal="center"/>
    </xf>
    <xf numFmtId="183" fontId="63" fillId="0" borderId="106" xfId="0" applyNumberFormat="1" applyFont="1" applyBorder="1" applyAlignment="1">
      <alignment horizontal="center"/>
    </xf>
    <xf numFmtId="0" fontId="31" fillId="0" borderId="1" xfId="0" applyFont="1" applyBorder="1" applyAlignment="1">
      <alignment wrapText="1"/>
    </xf>
    <xf numFmtId="169" fontId="143" fillId="0" borderId="1" xfId="68" applyNumberFormat="1" applyFont="1" applyFill="1" applyBorder="1"/>
    <xf numFmtId="182" fontId="63" fillId="0" borderId="0" xfId="0" applyNumberFormat="1" applyFont="1" applyAlignment="1">
      <alignment horizontal="center"/>
    </xf>
    <xf numFmtId="183" fontId="63" fillId="0" borderId="0" xfId="0" applyNumberFormat="1" applyFont="1" applyAlignment="1">
      <alignment horizontal="center"/>
    </xf>
    <xf numFmtId="183" fontId="63" fillId="0" borderId="104" xfId="0" applyNumberFormat="1" applyFont="1" applyBorder="1" applyAlignment="1">
      <alignment horizontal="center"/>
    </xf>
    <xf numFmtId="0" fontId="63" fillId="48" borderId="39" xfId="0" applyFont="1" applyFill="1" applyBorder="1" applyAlignment="1">
      <alignment horizontal="left"/>
    </xf>
    <xf numFmtId="0" fontId="63" fillId="48" borderId="106" xfId="0" applyFont="1" applyFill="1" applyBorder="1" applyAlignment="1">
      <alignment horizontal="left"/>
    </xf>
    <xf numFmtId="0" fontId="63" fillId="48" borderId="88" xfId="0" applyFont="1" applyFill="1" applyBorder="1"/>
    <xf numFmtId="0" fontId="63" fillId="48" borderId="1" xfId="0" applyFont="1" applyFill="1" applyBorder="1"/>
    <xf numFmtId="182" fontId="63" fillId="58" borderId="1" xfId="0" applyNumberFormat="1" applyFont="1" applyFill="1" applyBorder="1" applyAlignment="1">
      <alignment horizontal="center"/>
    </xf>
    <xf numFmtId="183" fontId="63" fillId="58" borderId="1" xfId="0" applyNumberFormat="1" applyFont="1" applyFill="1" applyBorder="1" applyAlignment="1">
      <alignment horizontal="center"/>
    </xf>
    <xf numFmtId="172" fontId="63" fillId="4" borderId="39" xfId="0" applyNumberFormat="1" applyFont="1" applyFill="1" applyBorder="1" applyAlignment="1">
      <alignment horizontal="center" vertical="center" wrapText="1"/>
    </xf>
    <xf numFmtId="172" fontId="63" fillId="58" borderId="39" xfId="0" applyNumberFormat="1" applyFont="1" applyFill="1" applyBorder="1" applyAlignment="1">
      <alignment horizontal="center" vertical="center" wrapText="1"/>
    </xf>
    <xf numFmtId="0" fontId="0" fillId="0" borderId="103" xfId="0" applyBorder="1" applyAlignment="1">
      <alignment horizontal="right"/>
    </xf>
    <xf numFmtId="0" fontId="8" fillId="0" borderId="110" xfId="2" applyBorder="1"/>
    <xf numFmtId="0" fontId="0" fillId="0" borderId="111" xfId="0" applyBorder="1"/>
    <xf numFmtId="0" fontId="0" fillId="0" borderId="112" xfId="0" applyBorder="1"/>
    <xf numFmtId="0" fontId="69" fillId="40" borderId="0" xfId="0" quotePrefix="1" applyFont="1" applyFill="1" applyAlignment="1" applyProtection="1">
      <alignment horizontal="left" indent="3"/>
      <protection hidden="1"/>
    </xf>
    <xf numFmtId="0" fontId="2" fillId="39" borderId="0" xfId="0" applyFont="1" applyFill="1" applyAlignment="1" applyProtection="1">
      <alignment horizontal="center" wrapText="1"/>
      <protection hidden="1"/>
    </xf>
    <xf numFmtId="1" fontId="0" fillId="40" borderId="47" xfId="0" applyNumberFormat="1" applyFill="1" applyBorder="1" applyAlignment="1" applyProtection="1">
      <alignment horizontal="center"/>
      <protection locked="0"/>
    </xf>
    <xf numFmtId="4" fontId="0" fillId="0" borderId="85" xfId="0" applyNumberFormat="1" applyBorder="1" applyAlignment="1">
      <alignment horizontal="center"/>
    </xf>
    <xf numFmtId="0" fontId="3" fillId="46" borderId="1" xfId="0" applyFont="1" applyFill="1" applyBorder="1" applyAlignment="1">
      <alignment wrapText="1"/>
    </xf>
    <xf numFmtId="0" fontId="3" fillId="0" borderId="0" xfId="0" applyFont="1" applyAlignment="1">
      <alignment horizontal="left"/>
    </xf>
    <xf numFmtId="0" fontId="3" fillId="0" borderId="0" xfId="0" applyFont="1" applyAlignment="1">
      <alignment horizontal="center"/>
    </xf>
    <xf numFmtId="0" fontId="69" fillId="40" borderId="0" xfId="0" quotePrefix="1" applyFont="1" applyFill="1" applyAlignment="1" applyProtection="1">
      <alignment horizontal="left" indent="1"/>
      <protection hidden="1"/>
    </xf>
    <xf numFmtId="0" fontId="57" fillId="40" borderId="0" xfId="0" quotePrefix="1" applyFont="1" applyFill="1" applyAlignment="1" applyProtection="1">
      <alignment horizontal="left" indent="1"/>
      <protection hidden="1"/>
    </xf>
    <xf numFmtId="166" fontId="0" fillId="4" borderId="0" xfId="0" applyNumberFormat="1" applyFill="1" applyProtection="1">
      <protection hidden="1"/>
    </xf>
    <xf numFmtId="0" fontId="2" fillId="39" borderId="0" xfId="0" applyFont="1" applyFill="1" applyAlignment="1" applyProtection="1">
      <alignment wrapText="1"/>
      <protection hidden="1"/>
    </xf>
    <xf numFmtId="5" fontId="100" fillId="40" borderId="47" xfId="0" applyNumberFormat="1" applyFont="1" applyFill="1" applyBorder="1" applyProtection="1">
      <protection locked="0"/>
    </xf>
    <xf numFmtId="9" fontId="100" fillId="40" borderId="47" xfId="1" applyFont="1" applyFill="1" applyBorder="1" applyProtection="1">
      <protection locked="0"/>
    </xf>
    <xf numFmtId="184" fontId="100" fillId="0" borderId="47" xfId="0" applyNumberFormat="1" applyFont="1" applyBorder="1" applyAlignment="1" applyProtection="1">
      <alignment horizontal="center"/>
      <protection hidden="1"/>
    </xf>
    <xf numFmtId="0" fontId="8" fillId="0" borderId="0" xfId="2" applyAlignment="1" applyProtection="1">
      <alignment wrapText="1"/>
      <protection hidden="1"/>
    </xf>
    <xf numFmtId="5" fontId="6" fillId="40" borderId="47" xfId="0" applyNumberFormat="1" applyFont="1" applyFill="1" applyBorder="1" applyProtection="1">
      <protection locked="0"/>
    </xf>
    <xf numFmtId="9" fontId="6" fillId="40" borderId="47" xfId="1" applyFont="1" applyFill="1" applyBorder="1" applyProtection="1">
      <protection locked="0"/>
    </xf>
    <xf numFmtId="10" fontId="6" fillId="0" borderId="47" xfId="1" applyNumberFormat="1" applyFont="1" applyFill="1" applyBorder="1" applyAlignment="1" applyProtection="1">
      <alignment horizontal="center"/>
      <protection hidden="1"/>
    </xf>
    <xf numFmtId="3" fontId="0" fillId="0" borderId="72" xfId="0" applyNumberFormat="1" applyBorder="1" applyAlignment="1">
      <alignment horizontal="center" vertical="center"/>
    </xf>
    <xf numFmtId="0" fontId="3" fillId="45" borderId="30" xfId="0" applyFont="1" applyFill="1" applyBorder="1" applyAlignment="1">
      <alignment horizontal="left" vertical="center" wrapText="1"/>
    </xf>
    <xf numFmtId="0" fontId="3" fillId="45" borderId="113" xfId="0" applyFont="1" applyFill="1" applyBorder="1" applyAlignment="1">
      <alignment horizontal="left" vertical="center"/>
    </xf>
    <xf numFmtId="0" fontId="3" fillId="45" borderId="1" xfId="0" applyFont="1" applyFill="1" applyBorder="1" applyAlignment="1">
      <alignment horizontal="left" vertical="center" wrapText="1"/>
    </xf>
    <xf numFmtId="0" fontId="27" fillId="0" borderId="1" xfId="0" applyFont="1" applyBorder="1" applyAlignment="1">
      <alignment wrapText="1"/>
    </xf>
    <xf numFmtId="0" fontId="27" fillId="0" borderId="0" xfId="0" applyFont="1" applyAlignment="1">
      <alignment wrapText="1"/>
    </xf>
    <xf numFmtId="0" fontId="147" fillId="39" borderId="0" xfId="0" applyFont="1" applyFill="1" applyAlignment="1">
      <alignment vertical="center"/>
    </xf>
    <xf numFmtId="0" fontId="148" fillId="39" borderId="0" xfId="0" applyFont="1" applyFill="1"/>
    <xf numFmtId="0" fontId="149" fillId="39" borderId="0" xfId="0" applyFont="1" applyFill="1"/>
    <xf numFmtId="0" fontId="149" fillId="0" borderId="0" xfId="0" applyFont="1"/>
    <xf numFmtId="0" fontId="150" fillId="0" borderId="0" xfId="0" applyFont="1"/>
    <xf numFmtId="0" fontId="116" fillId="0" borderId="0" xfId="0" applyFont="1"/>
    <xf numFmtId="0" fontId="152" fillId="0" borderId="0" xfId="2" applyFont="1" applyAlignment="1">
      <alignment horizontal="left" indent="1"/>
    </xf>
    <xf numFmtId="0" fontId="149" fillId="0" borderId="0" xfId="0" applyFont="1" applyAlignment="1">
      <alignment horizontal="left" indent="1"/>
    </xf>
    <xf numFmtId="0" fontId="149" fillId="0" borderId="0" xfId="0" quotePrefix="1" applyFont="1" applyAlignment="1">
      <alignment horizontal="left" indent="1"/>
    </xf>
    <xf numFmtId="0" fontId="152" fillId="0" borderId="0" xfId="2" applyFont="1"/>
    <xf numFmtId="185" fontId="99" fillId="55" borderId="35" xfId="68" applyNumberFormat="1" applyFont="1" applyFill="1" applyBorder="1" applyAlignment="1" applyProtection="1">
      <alignment horizontal="center" vertical="center"/>
    </xf>
    <xf numFmtId="0" fontId="138" fillId="4" borderId="2" xfId="0" applyFont="1" applyFill="1" applyBorder="1" applyAlignment="1">
      <alignment horizontal="center"/>
    </xf>
    <xf numFmtId="0" fontId="137" fillId="48" borderId="114" xfId="0" applyFont="1" applyFill="1" applyBorder="1" applyAlignment="1">
      <alignment horizontal="center"/>
    </xf>
    <xf numFmtId="0" fontId="137" fillId="48" borderId="114" xfId="0" applyFont="1" applyFill="1" applyBorder="1"/>
    <xf numFmtId="166" fontId="137" fillId="59" borderId="94" xfId="0" applyNumberFormat="1" applyFont="1" applyFill="1" applyBorder="1" applyAlignment="1">
      <alignment vertical="center"/>
    </xf>
    <xf numFmtId="164" fontId="137" fillId="4" borderId="115" xfId="0" applyNumberFormat="1" applyFont="1" applyFill="1" applyBorder="1" applyAlignment="1">
      <alignment horizontal="center"/>
    </xf>
    <xf numFmtId="172" fontId="137" fillId="4" borderId="115" xfId="0" applyNumberFormat="1" applyFont="1" applyFill="1" applyBorder="1" applyAlignment="1">
      <alignment horizontal="center"/>
    </xf>
    <xf numFmtId="172" fontId="137" fillId="4" borderId="95" xfId="0" applyNumberFormat="1" applyFont="1" applyFill="1" applyBorder="1" applyAlignment="1">
      <alignment horizontal="center"/>
    </xf>
    <xf numFmtId="1" fontId="137" fillId="4" borderId="116" xfId="0" applyNumberFormat="1" applyFont="1" applyFill="1" applyBorder="1" applyAlignment="1">
      <alignment horizontal="center"/>
    </xf>
    <xf numFmtId="166" fontId="137" fillId="59" borderId="39" xfId="0" applyNumberFormat="1" applyFont="1" applyFill="1" applyBorder="1" applyAlignment="1">
      <alignment vertical="center"/>
    </xf>
    <xf numFmtId="172" fontId="137" fillId="4" borderId="39" xfId="0" applyNumberFormat="1" applyFont="1" applyFill="1" applyBorder="1" applyAlignment="1">
      <alignment horizontal="center"/>
    </xf>
    <xf numFmtId="172" fontId="137" fillId="4" borderId="117" xfId="0" applyNumberFormat="1" applyFont="1" applyFill="1" applyBorder="1" applyAlignment="1">
      <alignment horizontal="center"/>
    </xf>
    <xf numFmtId="172" fontId="137" fillId="4" borderId="116" xfId="0" applyNumberFormat="1" applyFont="1" applyFill="1" applyBorder="1" applyAlignment="1">
      <alignment horizontal="center"/>
    </xf>
    <xf numFmtId="1" fontId="137" fillId="4" borderId="117" xfId="0" applyNumberFormat="1" applyFont="1" applyFill="1" applyBorder="1" applyAlignment="1">
      <alignment horizontal="center"/>
    </xf>
    <xf numFmtId="2" fontId="137" fillId="4" borderId="116" xfId="0" applyNumberFormat="1" applyFont="1" applyFill="1" applyBorder="1" applyAlignment="1">
      <alignment horizontal="center"/>
    </xf>
    <xf numFmtId="172" fontId="137" fillId="4" borderId="96" xfId="0" applyNumberFormat="1" applyFont="1" applyFill="1" applyBorder="1" applyAlignment="1">
      <alignment horizontal="center"/>
    </xf>
    <xf numFmtId="186" fontId="137" fillId="4" borderId="118" xfId="0" applyNumberFormat="1" applyFont="1" applyFill="1" applyBorder="1" applyAlignment="1">
      <alignment horizontal="center"/>
    </xf>
    <xf numFmtId="172" fontId="137" fillId="4" borderId="118" xfId="0" applyNumberFormat="1" applyFont="1" applyFill="1" applyBorder="1" applyAlignment="1">
      <alignment horizontal="center"/>
    </xf>
    <xf numFmtId="166" fontId="137" fillId="59" borderId="97" xfId="0" applyNumberFormat="1" applyFont="1" applyFill="1" applyBorder="1" applyAlignment="1">
      <alignment vertical="center"/>
    </xf>
    <xf numFmtId="0" fontId="139" fillId="4" borderId="2" xfId="0" applyFont="1" applyFill="1" applyBorder="1"/>
    <xf numFmtId="187" fontId="137" fillId="4" borderId="95" xfId="0" applyNumberFormat="1" applyFont="1" applyFill="1" applyBorder="1" applyAlignment="1">
      <alignment horizontal="center"/>
    </xf>
    <xf numFmtId="164" fontId="137" fillId="4" borderId="39" xfId="0" applyNumberFormat="1" applyFont="1" applyFill="1" applyBorder="1" applyAlignment="1">
      <alignment horizontal="center"/>
    </xf>
    <xf numFmtId="2" fontId="137" fillId="4" borderId="39" xfId="0" applyNumberFormat="1" applyFont="1" applyFill="1" applyBorder="1" applyAlignment="1">
      <alignment horizontal="center"/>
    </xf>
    <xf numFmtId="166" fontId="137" fillId="4" borderId="117" xfId="0" applyNumberFormat="1" applyFont="1" applyFill="1" applyBorder="1" applyAlignment="1">
      <alignment horizontal="center"/>
    </xf>
    <xf numFmtId="164" fontId="137" fillId="4" borderId="116" xfId="0" applyNumberFormat="1" applyFont="1" applyFill="1" applyBorder="1" applyAlignment="1">
      <alignment horizontal="center"/>
    </xf>
    <xf numFmtId="166" fontId="137" fillId="4" borderId="39" xfId="0" applyNumberFormat="1" applyFont="1" applyFill="1" applyBorder="1" applyAlignment="1">
      <alignment horizontal="center"/>
    </xf>
    <xf numFmtId="166" fontId="137" fillId="4" borderId="116" xfId="0" applyNumberFormat="1" applyFont="1" applyFill="1" applyBorder="1" applyAlignment="1">
      <alignment horizontal="center"/>
    </xf>
    <xf numFmtId="165" fontId="137" fillId="4" borderId="117" xfId="0" applyNumberFormat="1" applyFont="1" applyFill="1" applyBorder="1" applyAlignment="1">
      <alignment horizontal="center"/>
    </xf>
    <xf numFmtId="187" fontId="137" fillId="4" borderId="39" xfId="0" applyNumberFormat="1" applyFont="1" applyFill="1" applyBorder="1" applyAlignment="1">
      <alignment horizontal="center"/>
    </xf>
    <xf numFmtId="2" fontId="137" fillId="4" borderId="96" xfId="0" applyNumberFormat="1" applyFont="1" applyFill="1" applyBorder="1" applyAlignment="1">
      <alignment horizontal="center"/>
    </xf>
    <xf numFmtId="166" fontId="137" fillId="4" borderId="118" xfId="0" applyNumberFormat="1" applyFont="1" applyFill="1" applyBorder="1" applyAlignment="1">
      <alignment horizontal="center"/>
    </xf>
    <xf numFmtId="164" fontId="137" fillId="4" borderId="118" xfId="0" applyNumberFormat="1" applyFont="1" applyFill="1" applyBorder="1" applyAlignment="1">
      <alignment horizontal="center"/>
    </xf>
    <xf numFmtId="1" fontId="137" fillId="4" borderId="118" xfId="0" applyNumberFormat="1" applyFont="1" applyFill="1" applyBorder="1" applyAlignment="1">
      <alignment horizontal="center"/>
    </xf>
    <xf numFmtId="4" fontId="137" fillId="4" borderId="115" xfId="0" applyNumberFormat="1" applyFont="1" applyFill="1" applyBorder="1" applyAlignment="1">
      <alignment horizontal="center"/>
    </xf>
    <xf numFmtId="188" fontId="137" fillId="4" borderId="115" xfId="0" applyNumberFormat="1" applyFont="1" applyFill="1" applyBorder="1" applyAlignment="1">
      <alignment horizontal="center"/>
    </xf>
    <xf numFmtId="3" fontId="137" fillId="4" borderId="95" xfId="0" applyNumberFormat="1" applyFont="1" applyFill="1" applyBorder="1" applyAlignment="1">
      <alignment horizontal="center"/>
    </xf>
    <xf numFmtId="180" fontId="137" fillId="4" borderId="116" xfId="0" applyNumberFormat="1" applyFont="1" applyFill="1" applyBorder="1" applyAlignment="1">
      <alignment horizontal="center"/>
    </xf>
    <xf numFmtId="188" fontId="137" fillId="4" borderId="39" xfId="0" applyNumberFormat="1" applyFont="1" applyFill="1" applyBorder="1" applyAlignment="1">
      <alignment horizontal="center"/>
    </xf>
    <xf numFmtId="4" fontId="137" fillId="4" borderId="117" xfId="0" applyNumberFormat="1" applyFont="1" applyFill="1" applyBorder="1" applyAlignment="1">
      <alignment horizontal="center"/>
    </xf>
    <xf numFmtId="188" fontId="137" fillId="4" borderId="116" xfId="0" applyNumberFormat="1" applyFont="1" applyFill="1" applyBorder="1" applyAlignment="1">
      <alignment horizontal="center"/>
    </xf>
    <xf numFmtId="167" fontId="137" fillId="4" borderId="39" xfId="0" applyNumberFormat="1" applyFont="1" applyFill="1" applyBorder="1" applyAlignment="1">
      <alignment horizontal="center"/>
    </xf>
    <xf numFmtId="3" fontId="137" fillId="4" borderId="117" xfId="0" applyNumberFormat="1" applyFont="1" applyFill="1" applyBorder="1" applyAlignment="1">
      <alignment horizontal="center"/>
    </xf>
    <xf numFmtId="167" fontId="137" fillId="4" borderId="116" xfId="0" applyNumberFormat="1" applyFont="1" applyFill="1" applyBorder="1" applyAlignment="1">
      <alignment horizontal="center"/>
    </xf>
    <xf numFmtId="3" fontId="137" fillId="4" borderId="39" xfId="0" applyNumberFormat="1" applyFont="1" applyFill="1" applyBorder="1" applyAlignment="1">
      <alignment horizontal="center"/>
    </xf>
    <xf numFmtId="4" fontId="137" fillId="4" borderId="39" xfId="0" applyNumberFormat="1" applyFont="1" applyFill="1" applyBorder="1" applyAlignment="1">
      <alignment horizontal="center"/>
    </xf>
    <xf numFmtId="189" fontId="137" fillId="4" borderId="96" xfId="0" applyNumberFormat="1" applyFont="1" applyFill="1" applyBorder="1" applyAlignment="1">
      <alignment horizontal="center"/>
    </xf>
    <xf numFmtId="190" fontId="137" fillId="4" borderId="118" xfId="0" applyNumberFormat="1" applyFont="1" applyFill="1" applyBorder="1" applyAlignment="1">
      <alignment horizontal="center"/>
    </xf>
    <xf numFmtId="189" fontId="137" fillId="4" borderId="118" xfId="0" applyNumberFormat="1" applyFont="1" applyFill="1" applyBorder="1" applyAlignment="1">
      <alignment horizontal="center"/>
    </xf>
    <xf numFmtId="0" fontId="0" fillId="0" borderId="88" xfId="0" applyBorder="1" applyAlignment="1">
      <alignment wrapText="1"/>
    </xf>
    <xf numFmtId="0" fontId="0" fillId="0" borderId="90" xfId="0" applyBorder="1" applyAlignment="1">
      <alignment wrapText="1"/>
    </xf>
    <xf numFmtId="0" fontId="50" fillId="40" borderId="77" xfId="0" applyFont="1" applyFill="1" applyBorder="1" applyAlignment="1" applyProtection="1">
      <alignment horizontal="center" vertical="center"/>
      <protection locked="0"/>
    </xf>
    <xf numFmtId="168" fontId="0" fillId="0" borderId="47" xfId="0" applyNumberFormat="1" applyBorder="1" applyAlignment="1" applyProtection="1">
      <alignment horizontal="center" vertical="center"/>
      <protection hidden="1"/>
    </xf>
    <xf numFmtId="0" fontId="50" fillId="40" borderId="81" xfId="0" applyFont="1" applyFill="1" applyBorder="1" applyAlignment="1" applyProtection="1">
      <alignment horizontal="center" vertical="center"/>
      <protection locked="0"/>
    </xf>
    <xf numFmtId="168" fontId="42" fillId="0" borderId="47" xfId="0" applyNumberFormat="1" applyFont="1" applyBorder="1" applyAlignment="1" applyProtection="1">
      <alignment horizontal="center" vertical="center"/>
      <protection hidden="1"/>
    </xf>
    <xf numFmtId="175" fontId="42" fillId="0" borderId="47" xfId="68" applyNumberFormat="1" applyFont="1" applyFill="1" applyBorder="1" applyAlignment="1" applyProtection="1">
      <alignment horizontal="left" vertical="center"/>
      <protection hidden="1"/>
    </xf>
    <xf numFmtId="0" fontId="42" fillId="0" borderId="47" xfId="0" applyFont="1" applyBorder="1" applyAlignment="1" applyProtection="1">
      <alignment horizontal="left" vertical="center" wrapText="1"/>
      <protection hidden="1"/>
    </xf>
    <xf numFmtId="0" fontId="0" fillId="0" borderId="47" xfId="0" applyBorder="1" applyAlignment="1" applyProtection="1">
      <alignment horizontal="center" vertical="center" wrapText="1"/>
      <protection hidden="1"/>
    </xf>
    <xf numFmtId="175" fontId="0" fillId="0" borderId="47" xfId="68" applyNumberFormat="1" applyFont="1" applyFill="1" applyBorder="1" applyAlignment="1" applyProtection="1">
      <alignment horizontal="center" vertical="center"/>
      <protection hidden="1"/>
    </xf>
    <xf numFmtId="0" fontId="42" fillId="0" borderId="47" xfId="0" applyFont="1" applyBorder="1" applyAlignment="1" applyProtection="1">
      <alignment horizontal="center" vertical="center" wrapText="1"/>
      <protection hidden="1"/>
    </xf>
    <xf numFmtId="0" fontId="50" fillId="40" borderId="47" xfId="0" applyFont="1" applyFill="1" applyBorder="1" applyAlignment="1" applyProtection="1">
      <alignment horizontal="center" vertical="center"/>
      <protection locked="0"/>
    </xf>
    <xf numFmtId="0" fontId="50" fillId="40" borderId="47" xfId="0" applyFont="1" applyFill="1" applyBorder="1" applyAlignment="1">
      <alignment horizontal="center" vertical="center" wrapText="1"/>
    </xf>
    <xf numFmtId="175" fontId="42" fillId="0" borderId="0" xfId="68" applyNumberFormat="1" applyFont="1" applyAlignment="1">
      <alignment horizontal="center" vertical="center"/>
    </xf>
    <xf numFmtId="9" fontId="42" fillId="0" borderId="47" xfId="1" applyFont="1" applyBorder="1" applyAlignment="1" applyProtection="1">
      <alignment horizontal="center" vertical="center"/>
      <protection hidden="1"/>
    </xf>
    <xf numFmtId="0" fontId="50" fillId="40" borderId="47" xfId="0" applyFont="1" applyFill="1" applyBorder="1" applyAlignment="1" applyProtection="1">
      <alignment horizontal="center" vertical="center" wrapText="1"/>
      <protection locked="0"/>
    </xf>
    <xf numFmtId="3" fontId="50" fillId="40" borderId="47" xfId="0" applyNumberFormat="1" applyFont="1" applyFill="1" applyBorder="1" applyAlignment="1" applyProtection="1">
      <alignment horizontal="center" vertical="center"/>
      <protection locked="0"/>
    </xf>
    <xf numFmtId="0" fontId="74" fillId="40" borderId="47" xfId="0" applyFont="1" applyFill="1" applyBorder="1" applyAlignment="1" applyProtection="1">
      <alignment horizontal="center" vertical="center" wrapText="1"/>
      <protection locked="0"/>
    </xf>
    <xf numFmtId="175" fontId="42" fillId="0" borderId="47" xfId="68" applyNumberFormat="1" applyFont="1" applyBorder="1" applyAlignment="1" applyProtection="1">
      <alignment horizontal="center" vertical="center"/>
      <protection hidden="1"/>
    </xf>
    <xf numFmtId="0" fontId="154" fillId="0" borderId="47" xfId="0" applyFont="1" applyBorder="1" applyAlignment="1" applyProtection="1">
      <alignment horizontal="center" vertical="center" wrapText="1"/>
      <protection locked="0"/>
    </xf>
    <xf numFmtId="175" fontId="74" fillId="0" borderId="47" xfId="68" applyNumberFormat="1" applyFont="1" applyBorder="1" applyAlignment="1" applyProtection="1">
      <alignment horizontal="center" vertical="center"/>
      <protection hidden="1"/>
    </xf>
    <xf numFmtId="176" fontId="42" fillId="0" borderId="47" xfId="1" applyNumberFormat="1" applyFont="1" applyBorder="1" applyAlignment="1" applyProtection="1">
      <alignment horizontal="center" vertical="center"/>
      <protection hidden="1"/>
    </xf>
    <xf numFmtId="0" fontId="71" fillId="0" borderId="0" xfId="0" applyFont="1"/>
    <xf numFmtId="0" fontId="155" fillId="0" borderId="1" xfId="0" applyFont="1" applyBorder="1" applyAlignment="1">
      <alignment horizontal="left" vertical="center"/>
    </xf>
    <xf numFmtId="0" fontId="71" fillId="0" borderId="1" xfId="0" applyFont="1" applyBorder="1"/>
    <xf numFmtId="0" fontId="71" fillId="0" borderId="1" xfId="0" applyFont="1" applyBorder="1" applyAlignment="1">
      <alignment wrapText="1"/>
    </xf>
    <xf numFmtId="0" fontId="100" fillId="40" borderId="47" xfId="68" applyNumberFormat="1" applyFont="1" applyFill="1" applyBorder="1" applyProtection="1">
      <protection locked="0"/>
    </xf>
    <xf numFmtId="0" fontId="6" fillId="40" borderId="47" xfId="68" applyNumberFormat="1" applyFont="1" applyFill="1" applyBorder="1" applyProtection="1">
      <protection locked="0"/>
    </xf>
    <xf numFmtId="0" fontId="2" fillId="45" borderId="0" xfId="0" applyFont="1" applyFill="1" applyProtection="1">
      <protection locked="0"/>
    </xf>
    <xf numFmtId="0" fontId="2" fillId="45" borderId="0" xfId="0" applyFont="1" applyFill="1" applyAlignment="1" applyProtection="1">
      <alignment horizontal="center" wrapText="1"/>
      <protection locked="0"/>
    </xf>
    <xf numFmtId="177" fontId="6" fillId="60" borderId="47" xfId="0" applyNumberFormat="1" applyFont="1" applyFill="1" applyBorder="1" applyProtection="1">
      <protection locked="0"/>
    </xf>
    <xf numFmtId="0" fontId="6" fillId="60" borderId="47" xfId="0" applyFont="1" applyFill="1" applyBorder="1" applyProtection="1">
      <protection locked="0"/>
    </xf>
    <xf numFmtId="164" fontId="6" fillId="60" borderId="47" xfId="0" applyNumberFormat="1" applyFont="1" applyFill="1" applyBorder="1" applyAlignment="1" applyProtection="1">
      <alignment horizontal="center"/>
      <protection locked="0"/>
    </xf>
    <xf numFmtId="0" fontId="53" fillId="45" borderId="0" xfId="0" applyFont="1" applyFill="1" applyAlignment="1" applyProtection="1">
      <alignment horizontal="left"/>
      <protection locked="0"/>
    </xf>
    <xf numFmtId="0" fontId="66" fillId="45" borderId="1" xfId="0" applyFont="1" applyFill="1" applyBorder="1"/>
    <xf numFmtId="0" fontId="155" fillId="0" borderId="1" xfId="0" applyFont="1" applyBorder="1" applyAlignment="1">
      <alignment horizontal="left" vertical="center" indent="1"/>
    </xf>
    <xf numFmtId="3" fontId="100" fillId="40" borderId="47" xfId="68" applyNumberFormat="1" applyFont="1" applyFill="1" applyBorder="1" applyProtection="1">
      <protection locked="0"/>
    </xf>
    <xf numFmtId="0" fontId="6" fillId="40" borderId="79" xfId="0" applyFont="1" applyFill="1" applyBorder="1" applyAlignment="1" applyProtection="1">
      <alignment horizontal="center" vertical="center" wrapText="1"/>
      <protection locked="0"/>
    </xf>
    <xf numFmtId="43" fontId="100" fillId="0" borderId="47" xfId="68" applyFont="1" applyFill="1" applyBorder="1" applyAlignment="1" applyProtection="1">
      <alignment horizontal="left"/>
    </xf>
    <xf numFmtId="43" fontId="6" fillId="0" borderId="47" xfId="68" applyFont="1" applyFill="1" applyBorder="1" applyAlignment="1" applyProtection="1">
      <alignment horizontal="center"/>
    </xf>
    <xf numFmtId="0" fontId="4" fillId="45" borderId="0" xfId="0" applyFont="1" applyFill="1" applyProtection="1">
      <protection locked="0"/>
    </xf>
    <xf numFmtId="0" fontId="49" fillId="45" borderId="0" xfId="0" applyFont="1" applyFill="1" applyAlignment="1" applyProtection="1">
      <alignment horizontal="center" wrapText="1"/>
      <protection locked="0"/>
    </xf>
    <xf numFmtId="43" fontId="6" fillId="40" borderId="47" xfId="68" applyFont="1" applyFill="1" applyBorder="1" applyAlignment="1" applyProtection="1">
      <alignment horizontal="left"/>
      <protection locked="0"/>
    </xf>
    <xf numFmtId="0" fontId="0" fillId="0" borderId="0" xfId="0" applyAlignment="1">
      <alignment horizontal="left" vertical="top" wrapText="1"/>
    </xf>
    <xf numFmtId="39" fontId="100" fillId="0" borderId="47" xfId="68" applyNumberFormat="1" applyFont="1" applyBorder="1" applyAlignment="1" applyProtection="1">
      <alignment horizontal="center"/>
      <protection hidden="1"/>
    </xf>
    <xf numFmtId="168" fontId="159" fillId="4" borderId="0" xfId="0" applyNumberFormat="1" applyFont="1" applyFill="1"/>
    <xf numFmtId="0" fontId="10" fillId="4" borderId="0" xfId="0" applyFont="1" applyFill="1"/>
    <xf numFmtId="0" fontId="0" fillId="4" borderId="0" xfId="0" applyFill="1" applyAlignment="1">
      <alignment horizontal="right" vertical="center"/>
    </xf>
    <xf numFmtId="0" fontId="0" fillId="0" borderId="0" xfId="0" applyAlignment="1">
      <alignment horizontal="left" vertical="top"/>
    </xf>
    <xf numFmtId="0" fontId="159" fillId="4" borderId="0" xfId="0" applyFont="1" applyFill="1" applyAlignment="1">
      <alignment horizontal="center"/>
    </xf>
    <xf numFmtId="168" fontId="0" fillId="4" borderId="0" xfId="0" applyNumberFormat="1" applyFill="1" applyAlignment="1">
      <alignment horizontal="center" vertical="center"/>
    </xf>
    <xf numFmtId="0" fontId="0" fillId="4" borderId="0" xfId="0" applyFill="1" applyAlignment="1">
      <alignment horizontal="center" vertical="center"/>
    </xf>
    <xf numFmtId="168" fontId="27" fillId="61" borderId="0" xfId="0" applyNumberFormat="1" applyFont="1" applyFill="1" applyAlignment="1">
      <alignment horizontal="center" vertical="center"/>
    </xf>
    <xf numFmtId="0" fontId="27" fillId="61" borderId="0" xfId="0" applyFont="1" applyFill="1" applyAlignment="1">
      <alignment vertical="center" wrapText="1"/>
    </xf>
    <xf numFmtId="0" fontId="27" fillId="61" borderId="0" xfId="0" applyFont="1" applyFill="1" applyAlignment="1">
      <alignment vertical="center"/>
    </xf>
    <xf numFmtId="0" fontId="27" fillId="61" borderId="0" xfId="0" applyFont="1" applyFill="1" applyAlignment="1">
      <alignment horizontal="center" vertical="center"/>
    </xf>
    <xf numFmtId="0" fontId="27" fillId="4" borderId="0" xfId="0" applyFont="1" applyFill="1" applyAlignment="1">
      <alignment vertical="center"/>
    </xf>
    <xf numFmtId="0" fontId="7" fillId="4" borderId="0" xfId="0" applyFont="1" applyFill="1" applyAlignment="1">
      <alignment vertical="center"/>
    </xf>
    <xf numFmtId="168" fontId="0" fillId="4" borderId="1" xfId="0" applyNumberFormat="1" applyFill="1" applyBorder="1" applyAlignment="1">
      <alignment horizontal="center" vertical="center"/>
    </xf>
    <xf numFmtId="0" fontId="7" fillId="4" borderId="1" xfId="0" applyFont="1" applyFill="1" applyBorder="1" applyAlignment="1">
      <alignment vertical="center"/>
    </xf>
    <xf numFmtId="0" fontId="0" fillId="4" borderId="1" xfId="0" applyFill="1" applyBorder="1" applyAlignment="1">
      <alignment vertical="center"/>
    </xf>
    <xf numFmtId="49" fontId="0" fillId="4" borderId="1" xfId="0" applyNumberFormat="1" applyFill="1" applyBorder="1" applyAlignment="1">
      <alignment horizontal="left" vertical="center"/>
    </xf>
    <xf numFmtId="0" fontId="0" fillId="4" borderId="1" xfId="0" applyFill="1" applyBorder="1" applyAlignment="1">
      <alignment vertical="center" wrapText="1"/>
    </xf>
    <xf numFmtId="17" fontId="0" fillId="4" borderId="1" xfId="0" applyNumberFormat="1" applyFill="1" applyBorder="1" applyAlignment="1">
      <alignment vertical="center"/>
    </xf>
    <xf numFmtId="49" fontId="0" fillId="4" borderId="0" xfId="0" applyNumberFormat="1" applyFill="1" applyAlignment="1">
      <alignment horizontal="left" vertical="center"/>
    </xf>
    <xf numFmtId="0" fontId="3" fillId="4" borderId="0" xfId="0" applyFont="1" applyFill="1" applyAlignment="1">
      <alignment vertical="center"/>
    </xf>
    <xf numFmtId="0" fontId="24" fillId="4" borderId="0" xfId="0" applyFont="1" applyFill="1" applyAlignment="1">
      <alignment vertical="center"/>
    </xf>
    <xf numFmtId="0" fontId="160" fillId="0" borderId="0" xfId="0" applyFont="1" applyAlignment="1">
      <alignment horizontal="center" vertical="center"/>
    </xf>
    <xf numFmtId="0" fontId="160" fillId="0" borderId="0" xfId="0" applyFont="1" applyAlignment="1">
      <alignment vertical="center"/>
    </xf>
    <xf numFmtId="0" fontId="160" fillId="0" borderId="0" xfId="0" applyFont="1"/>
    <xf numFmtId="0" fontId="4" fillId="4" borderId="0" xfId="0" applyFont="1" applyFill="1" applyAlignment="1">
      <alignment horizontal="left" vertical="center" wrapText="1"/>
    </xf>
    <xf numFmtId="0" fontId="161" fillId="4" borderId="0" xfId="0" applyFont="1" applyFill="1" applyAlignment="1">
      <alignment horizontal="center" vertical="center"/>
    </xf>
    <xf numFmtId="0" fontId="3" fillId="4" borderId="0" xfId="0" applyFont="1" applyFill="1" applyAlignment="1">
      <alignment horizontal="center" vertical="center"/>
    </xf>
    <xf numFmtId="0" fontId="162" fillId="62" borderId="1" xfId="10" applyFont="1" applyFill="1" applyBorder="1" applyAlignment="1" applyProtection="1">
      <alignment horizontal="center" vertical="center" wrapText="1"/>
      <protection locked="0"/>
    </xf>
    <xf numFmtId="0" fontId="41" fillId="0" borderId="0" xfId="0" applyFont="1" applyAlignment="1">
      <alignment vertical="top"/>
    </xf>
    <xf numFmtId="0" fontId="0" fillId="4" borderId="0" xfId="0" applyFill="1" applyAlignment="1">
      <alignment vertical="center" wrapText="1"/>
    </xf>
    <xf numFmtId="0" fontId="163" fillId="0" borderId="0" xfId="2" applyFont="1" applyBorder="1"/>
    <xf numFmtId="0" fontId="41" fillId="0" borderId="0" xfId="0" applyFont="1"/>
    <xf numFmtId="0" fontId="10" fillId="4" borderId="0" xfId="0" applyFont="1" applyFill="1" applyAlignment="1">
      <alignment horizontal="right"/>
    </xf>
    <xf numFmtId="0" fontId="19" fillId="62" borderId="8" xfId="10" applyFill="1" applyAlignment="1" applyProtection="1">
      <alignment horizontal="center"/>
      <protection locked="0"/>
    </xf>
    <xf numFmtId="0" fontId="0" fillId="0" borderId="0" xfId="0" applyAlignment="1">
      <alignment vertical="top" wrapText="1"/>
    </xf>
    <xf numFmtId="0" fontId="4" fillId="0" borderId="0" xfId="0" applyFont="1" applyAlignment="1">
      <alignment horizontal="left" vertical="center" wrapText="1"/>
    </xf>
    <xf numFmtId="49" fontId="0" fillId="4" borderId="0" xfId="0" applyNumberFormat="1" applyFill="1"/>
    <xf numFmtId="0" fontId="19" fillId="62" borderId="1" xfId="10" applyFill="1" applyBorder="1"/>
    <xf numFmtId="0" fontId="0" fillId="63" borderId="1" xfId="0" applyFill="1" applyBorder="1"/>
    <xf numFmtId="0" fontId="165" fillId="4" borderId="0" xfId="0" applyFont="1" applyFill="1" applyAlignment="1">
      <alignment horizontal="right"/>
    </xf>
    <xf numFmtId="0" fontId="166" fillId="64" borderId="1" xfId="0" applyFont="1" applyFill="1" applyBorder="1" applyAlignment="1">
      <alignment horizontal="center"/>
    </xf>
    <xf numFmtId="0" fontId="166" fillId="65" borderId="1" xfId="0" applyFont="1" applyFill="1" applyBorder="1" applyAlignment="1">
      <alignment horizontal="center"/>
    </xf>
    <xf numFmtId="0" fontId="41" fillId="4" borderId="0" xfId="0" applyFont="1" applyFill="1" applyAlignment="1">
      <alignment wrapText="1"/>
    </xf>
    <xf numFmtId="0" fontId="167" fillId="4" borderId="0" xfId="2" applyFont="1" applyFill="1" applyAlignment="1">
      <alignment horizontal="left"/>
    </xf>
    <xf numFmtId="0" fontId="167" fillId="4" borderId="0" xfId="2" applyFont="1" applyFill="1"/>
    <xf numFmtId="0" fontId="168" fillId="4" borderId="0" xfId="0" applyFont="1" applyFill="1" applyAlignment="1">
      <alignment vertical="top"/>
    </xf>
    <xf numFmtId="0" fontId="0" fillId="0" borderId="120" xfId="0" applyBorder="1" applyAlignment="1">
      <alignment vertical="center"/>
    </xf>
    <xf numFmtId="0" fontId="19" fillId="62" borderId="121" xfId="10" applyFill="1" applyBorder="1" applyAlignment="1" applyProtection="1">
      <alignment horizontal="left"/>
      <protection locked="0"/>
    </xf>
    <xf numFmtId="0" fontId="3" fillId="4" borderId="122" xfId="0" applyFont="1" applyFill="1" applyBorder="1" applyAlignment="1">
      <alignment horizontal="left" vertical="center" wrapText="1"/>
    </xf>
    <xf numFmtId="0" fontId="0" fillId="0" borderId="123" xfId="0" applyBorder="1" applyAlignment="1">
      <alignment vertical="center"/>
    </xf>
    <xf numFmtId="0" fontId="19" fillId="62" borderId="124" xfId="10" applyFill="1" applyBorder="1" applyAlignment="1" applyProtection="1">
      <alignment horizontal="left"/>
      <protection locked="0"/>
    </xf>
    <xf numFmtId="0" fontId="0" fillId="0" borderId="123" xfId="0" applyBorder="1" applyAlignment="1">
      <alignment vertical="center" wrapText="1"/>
    </xf>
    <xf numFmtId="0" fontId="19" fillId="62" borderId="124" xfId="10" applyFill="1" applyBorder="1" applyAlignment="1" applyProtection="1">
      <alignment horizontal="left" wrapText="1"/>
      <protection locked="0"/>
    </xf>
    <xf numFmtId="0" fontId="19" fillId="62" borderId="124" xfId="10" applyFill="1" applyBorder="1" applyAlignment="1" applyProtection="1">
      <alignment horizontal="center"/>
      <protection locked="0"/>
    </xf>
    <xf numFmtId="0" fontId="40" fillId="0" borderId="0" xfId="10" applyFont="1" applyFill="1" applyBorder="1" applyAlignment="1" applyProtection="1">
      <alignment horizontal="left" vertical="center" wrapText="1" indent="1"/>
      <protection locked="0"/>
    </xf>
    <xf numFmtId="0" fontId="0" fillId="0" borderId="126" xfId="0" applyBorder="1" applyAlignment="1">
      <alignment vertical="center"/>
    </xf>
    <xf numFmtId="0" fontId="19" fillId="62" borderId="127" xfId="10" applyFill="1" applyBorder="1" applyAlignment="1" applyProtection="1">
      <alignment horizontal="center"/>
      <protection locked="0"/>
    </xf>
    <xf numFmtId="0" fontId="3" fillId="4" borderId="0" xfId="0" applyFont="1" applyFill="1" applyAlignment="1">
      <alignment horizontal="left" vertical="center" wrapText="1"/>
    </xf>
    <xf numFmtId="0" fontId="19" fillId="0" borderId="0" xfId="10" applyFill="1" applyBorder="1" applyAlignment="1" applyProtection="1">
      <alignment horizontal="center" vertical="center" wrapText="1"/>
      <protection locked="0"/>
    </xf>
    <xf numFmtId="0" fontId="19" fillId="0" borderId="0" xfId="10" applyFill="1" applyBorder="1" applyAlignment="1" applyProtection="1">
      <alignment horizontal="center" vertical="center"/>
      <protection locked="0"/>
    </xf>
    <xf numFmtId="0" fontId="0" fillId="4" borderId="0" xfId="0" applyFill="1" applyAlignment="1">
      <alignment horizontal="right"/>
    </xf>
    <xf numFmtId="0" fontId="46" fillId="4" borderId="0" xfId="65" applyFill="1" applyAlignment="1" applyProtection="1">
      <protection locked="0"/>
    </xf>
    <xf numFmtId="0" fontId="0" fillId="4" borderId="0" xfId="0" applyFill="1" applyAlignment="1">
      <alignment horizontal="right" wrapText="1"/>
    </xf>
    <xf numFmtId="0" fontId="46" fillId="4" borderId="0" xfId="65" applyFill="1" applyAlignment="1" applyProtection="1">
      <alignment vertical="center"/>
      <protection locked="0"/>
    </xf>
    <xf numFmtId="0" fontId="13" fillId="4" borderId="0" xfId="0" applyFont="1" applyFill="1" applyAlignment="1">
      <alignment horizontal="right" wrapText="1"/>
    </xf>
    <xf numFmtId="0" fontId="16" fillId="4" borderId="0" xfId="0" applyFont="1" applyFill="1" applyAlignment="1">
      <alignment vertical="top"/>
    </xf>
    <xf numFmtId="0" fontId="170" fillId="4" borderId="0" xfId="0" applyFont="1" applyFill="1" applyAlignment="1">
      <alignment vertical="top"/>
    </xf>
    <xf numFmtId="3" fontId="0" fillId="4" borderId="0" xfId="0" applyNumberFormat="1" applyFill="1"/>
    <xf numFmtId="0" fontId="41" fillId="4" borderId="0" xfId="0" applyFont="1" applyFill="1"/>
    <xf numFmtId="0" fontId="4" fillId="4" borderId="0" xfId="0" applyFont="1" applyFill="1" applyAlignment="1">
      <alignment horizontal="center"/>
    </xf>
    <xf numFmtId="0" fontId="3" fillId="2" borderId="0" xfId="0" applyFont="1" applyFill="1" applyAlignment="1">
      <alignment horizontal="center"/>
    </xf>
    <xf numFmtId="0" fontId="7" fillId="66" borderId="0" xfId="0" applyFont="1" applyFill="1"/>
    <xf numFmtId="0" fontId="0" fillId="66" borderId="0" xfId="0" applyFill="1"/>
    <xf numFmtId="0" fontId="7" fillId="0" borderId="0" xfId="0" applyFont="1"/>
    <xf numFmtId="0" fontId="4" fillId="0" borderId="0" xfId="0" applyFont="1" applyAlignment="1">
      <alignment wrapText="1"/>
    </xf>
    <xf numFmtId="0" fontId="171" fillId="67" borderId="128" xfId="0" applyFont="1" applyFill="1" applyBorder="1" applyAlignment="1">
      <alignment horizontal="right"/>
    </xf>
    <xf numFmtId="0" fontId="171" fillId="67" borderId="128" xfId="0" applyFont="1" applyFill="1" applyBorder="1"/>
    <xf numFmtId="0" fontId="0" fillId="67" borderId="128" xfId="0" applyFill="1" applyBorder="1"/>
    <xf numFmtId="0" fontId="27" fillId="0" borderId="0" xfId="0" applyFont="1" applyAlignment="1">
      <alignment horizontal="left" wrapText="1"/>
    </xf>
    <xf numFmtId="0" fontId="173" fillId="0" borderId="0" xfId="0" applyFont="1" applyAlignment="1">
      <alignment horizontal="center"/>
    </xf>
    <xf numFmtId="0" fontId="3" fillId="0" borderId="0" xfId="0" applyFont="1" applyAlignment="1">
      <alignment horizontal="right"/>
    </xf>
    <xf numFmtId="49" fontId="4" fillId="0" borderId="0" xfId="0" applyNumberFormat="1" applyFont="1" applyAlignment="1">
      <alignment horizontal="left" vertical="center" wrapText="1"/>
    </xf>
    <xf numFmtId="0" fontId="0" fillId="67" borderId="16" xfId="0" applyFill="1" applyBorder="1" applyAlignment="1">
      <alignment horizontal="center" vertical="center"/>
    </xf>
    <xf numFmtId="0" fontId="0" fillId="67" borderId="29" xfId="0" applyFill="1" applyBorder="1" applyAlignment="1">
      <alignment horizontal="center" vertical="center"/>
    </xf>
    <xf numFmtId="0" fontId="0" fillId="67" borderId="17" xfId="0" applyFill="1" applyBorder="1" applyAlignment="1">
      <alignment horizontal="center" vertical="center"/>
    </xf>
    <xf numFmtId="0" fontId="0" fillId="67" borderId="1" xfId="0" applyFill="1" applyBorder="1" applyAlignment="1">
      <alignment horizontal="center" vertical="center"/>
    </xf>
    <xf numFmtId="0" fontId="43" fillId="68" borderId="1" xfId="0" applyFont="1" applyFill="1" applyBorder="1" applyAlignment="1">
      <alignment horizontal="left" vertical="center" indent="1"/>
    </xf>
    <xf numFmtId="0" fontId="43" fillId="63" borderId="1" xfId="0" applyFont="1" applyFill="1" applyBorder="1" applyAlignment="1">
      <alignment horizontal="center"/>
    </xf>
    <xf numFmtId="167" fontId="43" fillId="68" borderId="1" xfId="0" applyNumberFormat="1" applyFont="1" applyFill="1" applyBorder="1" applyAlignment="1">
      <alignment horizontal="center" vertical="center"/>
    </xf>
    <xf numFmtId="0" fontId="0" fillId="69" borderId="16" xfId="0" applyFill="1" applyBorder="1"/>
    <xf numFmtId="0" fontId="0" fillId="69" borderId="17" xfId="0" applyFill="1" applyBorder="1"/>
    <xf numFmtId="0" fontId="0" fillId="0" borderId="1" xfId="0" applyBorder="1" applyAlignment="1">
      <alignment vertical="center" wrapText="1"/>
    </xf>
    <xf numFmtId="0" fontId="19" fillId="62" borderId="131" xfId="10" applyFill="1" applyBorder="1" applyAlignment="1" applyProtection="1">
      <alignment horizontal="center" vertical="center"/>
      <protection locked="0"/>
    </xf>
    <xf numFmtId="164" fontId="0" fillId="0" borderId="1" xfId="0" applyNumberFormat="1" applyBorder="1" applyAlignment="1">
      <alignment horizontal="center"/>
    </xf>
    <xf numFmtId="0" fontId="0" fillId="0" borderId="27" xfId="0" applyBorder="1" applyAlignment="1">
      <alignment horizontal="center" vertical="center"/>
    </xf>
    <xf numFmtId="0" fontId="19" fillId="62" borderId="132" xfId="10" applyFill="1" applyBorder="1" applyAlignment="1" applyProtection="1">
      <alignment horizontal="center" vertical="center"/>
      <protection locked="0"/>
    </xf>
    <xf numFmtId="0" fontId="19" fillId="62" borderId="133" xfId="10" applyFill="1" applyBorder="1" applyAlignment="1" applyProtection="1">
      <alignment horizontal="center" vertical="center"/>
      <protection locked="0"/>
    </xf>
    <xf numFmtId="0" fontId="27" fillId="67" borderId="128" xfId="0" applyFont="1" applyFill="1" applyBorder="1" applyAlignment="1">
      <alignment vertical="center" wrapText="1"/>
    </xf>
    <xf numFmtId="0" fontId="27" fillId="0" borderId="0" xfId="0" applyFont="1" applyAlignment="1">
      <alignment horizontal="left" vertical="center" wrapText="1"/>
    </xf>
    <xf numFmtId="0" fontId="3" fillId="0" borderId="0" xfId="0" applyFont="1" applyAlignment="1">
      <alignment horizontal="center" wrapText="1"/>
    </xf>
    <xf numFmtId="0" fontId="10" fillId="0" borderId="0" xfId="0" applyFont="1" applyAlignment="1">
      <alignment horizontal="left" wrapText="1"/>
    </xf>
    <xf numFmtId="0" fontId="10" fillId="0" borderId="0" xfId="0" applyFont="1"/>
    <xf numFmtId="0" fontId="27" fillId="0" borderId="0" xfId="0" applyFont="1" applyAlignment="1">
      <alignment horizontal="center" vertical="center" wrapText="1"/>
    </xf>
    <xf numFmtId="0" fontId="19" fillId="0" borderId="0" xfId="10" applyNumberFormat="1" applyFill="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49" fontId="4" fillId="0" borderId="0" xfId="0" applyNumberFormat="1" applyFont="1" applyAlignment="1">
      <alignment horizontal="center" vertical="center" wrapText="1"/>
    </xf>
    <xf numFmtId="0" fontId="0" fillId="67" borderId="1" xfId="0" applyFill="1" applyBorder="1" applyAlignment="1">
      <alignment horizontal="center" vertical="center" wrapText="1"/>
    </xf>
    <xf numFmtId="0" fontId="0" fillId="67" borderId="1" xfId="0" applyFill="1" applyBorder="1" applyAlignment="1">
      <alignment horizontal="right" vertical="center"/>
    </xf>
    <xf numFmtId="191" fontId="0" fillId="0" borderId="1" xfId="1" applyNumberFormat="1" applyFont="1" applyBorder="1" applyAlignment="1">
      <alignment horizontal="center" vertical="center"/>
    </xf>
    <xf numFmtId="191" fontId="19" fillId="62" borderId="1" xfId="1" applyNumberFormat="1" applyFont="1" applyFill="1" applyBorder="1" applyAlignment="1" applyProtection="1">
      <alignment horizontal="center"/>
      <protection locked="0"/>
    </xf>
    <xf numFmtId="0" fontId="43" fillId="68" borderId="1" xfId="0" applyFont="1" applyFill="1" applyBorder="1" applyAlignment="1">
      <alignment horizontal="right" vertical="center" indent="1"/>
    </xf>
    <xf numFmtId="0" fontId="43" fillId="63" borderId="4" xfId="0" applyFont="1" applyFill="1" applyBorder="1" applyAlignment="1">
      <alignment horizontal="center"/>
    </xf>
    <xf numFmtId="164" fontId="43" fillId="68" borderId="1" xfId="64" applyNumberFormat="1" applyFont="1" applyFill="1" applyBorder="1" applyAlignment="1">
      <alignment horizontal="center" vertical="center"/>
    </xf>
    <xf numFmtId="0" fontId="0" fillId="0" borderId="17" xfId="0" applyBorder="1" applyAlignment="1">
      <alignment horizontal="center"/>
    </xf>
    <xf numFmtId="2" fontId="0" fillId="0" borderId="1" xfId="0" applyNumberFormat="1" applyBorder="1" applyAlignment="1">
      <alignment horizontal="center"/>
    </xf>
    <xf numFmtId="166" fontId="0" fillId="0" borderId="1" xfId="0" applyNumberFormat="1" applyBorder="1" applyAlignment="1">
      <alignment horizontal="center"/>
    </xf>
    <xf numFmtId="0" fontId="177" fillId="67" borderId="128" xfId="0" applyFont="1" applyFill="1" applyBorder="1" applyAlignment="1">
      <alignment horizontal="right"/>
    </xf>
    <xf numFmtId="0" fontId="171" fillId="0" borderId="0" xfId="0" applyFont="1"/>
    <xf numFmtId="0" fontId="19" fillId="62" borderId="8" xfId="10" applyFill="1" applyAlignment="1" applyProtection="1">
      <alignment horizontal="center" vertical="center"/>
      <protection locked="0"/>
    </xf>
    <xf numFmtId="0" fontId="4" fillId="0" borderId="0" xfId="0" applyFont="1" applyAlignment="1">
      <alignment vertical="center" wrapText="1"/>
    </xf>
    <xf numFmtId="0" fontId="24" fillId="11" borderId="11" xfId="2" applyFont="1" applyFill="1" applyBorder="1" applyAlignment="1" applyProtection="1">
      <alignment horizontal="center" vertical="center" wrapText="1"/>
      <protection locked="0"/>
    </xf>
    <xf numFmtId="0" fontId="43" fillId="63" borderId="27" xfId="0" applyFont="1" applyFill="1" applyBorder="1" applyAlignment="1">
      <alignment horizontal="center"/>
    </xf>
    <xf numFmtId="3" fontId="43" fillId="68" borderId="1" xfId="0" applyNumberFormat="1" applyFont="1" applyFill="1" applyBorder="1" applyAlignment="1">
      <alignment horizontal="center" vertical="center"/>
    </xf>
    <xf numFmtId="3" fontId="6" fillId="0" borderId="1" xfId="0" applyNumberFormat="1" applyFont="1" applyBorder="1" applyAlignment="1">
      <alignment horizontal="center" vertical="center"/>
    </xf>
    <xf numFmtId="3" fontId="6" fillId="0" borderId="0" xfId="0" applyNumberFormat="1" applyFont="1" applyAlignment="1">
      <alignment horizontal="center" vertical="center"/>
    </xf>
    <xf numFmtId="9" fontId="43" fillId="68" borderId="1" xfId="1" applyFont="1" applyFill="1" applyBorder="1" applyAlignment="1">
      <alignment horizontal="center" vertical="center"/>
    </xf>
    <xf numFmtId="0" fontId="178" fillId="37" borderId="1" xfId="0" applyFont="1" applyFill="1" applyBorder="1" applyAlignment="1">
      <alignment horizontal="left" vertical="center" wrapText="1"/>
    </xf>
    <xf numFmtId="191" fontId="6" fillId="0" borderId="1" xfId="1" applyNumberFormat="1" applyFont="1" applyBorder="1" applyAlignment="1" applyProtection="1">
      <alignment horizontal="center" vertical="center"/>
    </xf>
    <xf numFmtId="0" fontId="177" fillId="67" borderId="128" xfId="0" applyFont="1" applyFill="1" applyBorder="1" applyAlignment="1">
      <alignment horizontal="left" indent="1"/>
    </xf>
    <xf numFmtId="0" fontId="2" fillId="11" borderId="11" xfId="14" applyAlignment="1" applyProtection="1">
      <alignment horizontal="center" vertical="center" wrapText="1"/>
      <protection locked="0"/>
    </xf>
    <xf numFmtId="49" fontId="4" fillId="0" borderId="0" xfId="0" applyNumberFormat="1" applyFont="1" applyAlignment="1">
      <alignment vertical="center" wrapText="1"/>
    </xf>
    <xf numFmtId="0" fontId="0" fillId="67" borderId="4" xfId="0" applyFill="1" applyBorder="1" applyAlignment="1">
      <alignment horizontal="center" vertical="center"/>
    </xf>
    <xf numFmtId="0" fontId="0" fillId="67" borderId="25" xfId="0" applyFill="1" applyBorder="1" applyAlignment="1">
      <alignment horizontal="center" vertical="center"/>
    </xf>
    <xf numFmtId="0" fontId="0" fillId="67" borderId="27" xfId="0" applyFill="1" applyBorder="1" applyAlignment="1">
      <alignment horizontal="center" vertical="center"/>
    </xf>
    <xf numFmtId="164" fontId="43" fillId="68" borderId="1" xfId="0" applyNumberFormat="1" applyFont="1" applyFill="1" applyBorder="1" applyAlignment="1">
      <alignment horizontal="center" vertical="center"/>
    </xf>
    <xf numFmtId="0" fontId="178" fillId="0" borderId="1" xfId="0" applyFont="1" applyBorder="1" applyAlignment="1">
      <alignment horizontal="left" vertical="center"/>
    </xf>
    <xf numFmtId="167" fontId="6" fillId="0" borderId="1" xfId="64" applyNumberFormat="1" applyFont="1" applyBorder="1" applyAlignment="1">
      <alignment horizontal="center" vertical="center"/>
    </xf>
    <xf numFmtId="0" fontId="7" fillId="5" borderId="0" xfId="0" applyFont="1" applyFill="1"/>
    <xf numFmtId="0" fontId="0" fillId="70" borderId="0" xfId="0" applyFill="1"/>
    <xf numFmtId="0" fontId="0" fillId="5" borderId="0" xfId="0" applyFill="1"/>
    <xf numFmtId="0" fontId="0" fillId="0" borderId="0" xfId="0" applyAlignment="1">
      <alignment horizontal="left" wrapText="1"/>
    </xf>
    <xf numFmtId="0" fontId="171" fillId="71" borderId="0" xfId="0" applyFont="1" applyFill="1" applyAlignment="1">
      <alignment horizontal="right"/>
    </xf>
    <xf numFmtId="0" fontId="171" fillId="71" borderId="0" xfId="0" applyFont="1" applyFill="1"/>
    <xf numFmtId="0" fontId="0" fillId="71" borderId="0" xfId="0" applyFill="1"/>
    <xf numFmtId="0" fontId="0" fillId="71" borderId="1" xfId="0" applyFill="1" applyBorder="1" applyAlignment="1">
      <alignment horizontal="center" vertical="center"/>
    </xf>
    <xf numFmtId="0" fontId="0" fillId="71" borderId="1" xfId="0" applyFill="1" applyBorder="1" applyAlignment="1">
      <alignment horizontal="center" vertical="center" wrapText="1"/>
    </xf>
    <xf numFmtId="0" fontId="19" fillId="62" borderId="1" xfId="10" applyFill="1" applyBorder="1" applyAlignment="1" applyProtection="1">
      <alignment horizontal="center"/>
      <protection locked="0"/>
    </xf>
    <xf numFmtId="0" fontId="0" fillId="0" borderId="1" xfId="0" applyBorder="1" applyAlignment="1">
      <alignment horizontal="center"/>
    </xf>
    <xf numFmtId="164" fontId="0" fillId="0" borderId="1" xfId="0" applyNumberFormat="1" applyBorder="1" applyAlignment="1">
      <alignment horizontal="center" wrapText="1"/>
    </xf>
    <xf numFmtId="0" fontId="4" fillId="0" borderId="0" xfId="0" applyFont="1" applyAlignment="1">
      <alignment horizontal="right" vertical="center" wrapText="1"/>
    </xf>
    <xf numFmtId="49" fontId="10" fillId="0" borderId="0" xfId="0" applyNumberFormat="1" applyFont="1" applyAlignment="1">
      <alignment horizontal="left" vertical="center" wrapText="1"/>
    </xf>
    <xf numFmtId="0" fontId="3" fillId="68" borderId="1" xfId="0" applyFont="1" applyFill="1" applyBorder="1" applyAlignment="1">
      <alignment horizontal="right" vertical="center"/>
    </xf>
    <xf numFmtId="0" fontId="0" fillId="63" borderId="1" xfId="0" applyFill="1" applyBorder="1" applyAlignment="1">
      <alignment horizontal="center" vertical="center"/>
    </xf>
    <xf numFmtId="0" fontId="0" fillId="72" borderId="1" xfId="0" applyFill="1" applyBorder="1" applyAlignment="1">
      <alignment horizontal="center" vertical="center"/>
    </xf>
    <xf numFmtId="164" fontId="48" fillId="68" borderId="135" xfId="0" applyNumberFormat="1" applyFont="1" applyFill="1" applyBorder="1" applyAlignment="1">
      <alignment horizontal="center"/>
    </xf>
    <xf numFmtId="0" fontId="179" fillId="0" borderId="0" xfId="0" applyFont="1" applyAlignment="1">
      <alignment horizontal="left"/>
    </xf>
    <xf numFmtId="0" fontId="0" fillId="0" borderId="1" xfId="0" applyBorder="1" applyAlignment="1">
      <alignment horizontal="left" vertical="center" wrapText="1"/>
    </xf>
    <xf numFmtId="0" fontId="48" fillId="62" borderId="135" xfId="0" applyFont="1" applyFill="1" applyBorder="1" applyAlignment="1" applyProtection="1">
      <alignment horizontal="center"/>
      <protection locked="0"/>
    </xf>
    <xf numFmtId="167" fontId="48" fillId="0" borderId="135" xfId="0" applyNumberFormat="1" applyFont="1" applyBorder="1" applyAlignment="1">
      <alignment horizontal="center"/>
    </xf>
    <xf numFmtId="0" fontId="180" fillId="0" borderId="0" xfId="0" applyFont="1"/>
    <xf numFmtId="0" fontId="48" fillId="0" borderId="0" xfId="0" applyFont="1"/>
    <xf numFmtId="0" fontId="180" fillId="0" borderId="0" xfId="0" applyFont="1" applyAlignment="1">
      <alignment horizontal="center"/>
    </xf>
    <xf numFmtId="164" fontId="48" fillId="0" borderId="0" xfId="0" applyNumberFormat="1" applyFont="1" applyAlignment="1">
      <alignment horizontal="center"/>
    </xf>
    <xf numFmtId="0" fontId="181" fillId="0" borderId="0" xfId="0" applyFont="1"/>
    <xf numFmtId="0" fontId="48" fillId="0" borderId="136" xfId="0" applyFont="1" applyBorder="1"/>
    <xf numFmtId="49" fontId="10" fillId="0" borderId="136" xfId="0" applyNumberFormat="1" applyFont="1" applyBorder="1" applyAlignment="1">
      <alignment horizontal="left" vertical="center" wrapText="1"/>
    </xf>
    <xf numFmtId="0" fontId="180" fillId="0" borderId="136" xfId="0" applyFont="1" applyBorder="1" applyAlignment="1">
      <alignment horizontal="center"/>
    </xf>
    <xf numFmtId="164" fontId="48" fillId="0" borderId="136" xfId="0" applyNumberFormat="1" applyFont="1" applyBorder="1" applyAlignment="1">
      <alignment horizontal="center"/>
    </xf>
    <xf numFmtId="0" fontId="180" fillId="0" borderId="136" xfId="0" applyFont="1" applyBorder="1"/>
    <xf numFmtId="0" fontId="181" fillId="0" borderId="136" xfId="0" applyFont="1" applyBorder="1"/>
    <xf numFmtId="0" fontId="0" fillId="0" borderId="136" xfId="0" applyBorder="1"/>
    <xf numFmtId="0" fontId="4" fillId="0" borderId="136" xfId="0" applyFont="1" applyBorder="1" applyAlignment="1">
      <alignment horizontal="right" vertical="center" wrapText="1"/>
    </xf>
    <xf numFmtId="49" fontId="4" fillId="0" borderId="137" xfId="0" applyNumberFormat="1" applyFont="1" applyBorder="1" applyAlignment="1">
      <alignment horizontal="left" vertical="center" wrapText="1"/>
    </xf>
    <xf numFmtId="49" fontId="4" fillId="0" borderId="138" xfId="0" applyNumberFormat="1" applyFont="1" applyBorder="1" applyAlignment="1">
      <alignment horizontal="left" vertical="center" wrapText="1"/>
    </xf>
    <xf numFmtId="2" fontId="4" fillId="0" borderId="138" xfId="0" applyNumberFormat="1" applyFont="1" applyBorder="1" applyAlignment="1">
      <alignment horizontal="left" vertical="center" wrapText="1"/>
    </xf>
    <xf numFmtId="49" fontId="4" fillId="0" borderId="139" xfId="0" applyNumberFormat="1" applyFont="1" applyBorder="1" applyAlignment="1">
      <alignment horizontal="left" vertical="center" wrapText="1"/>
    </xf>
    <xf numFmtId="49" fontId="4" fillId="0" borderId="136" xfId="0" applyNumberFormat="1" applyFont="1" applyBorder="1" applyAlignment="1">
      <alignment horizontal="left" vertical="center" wrapText="1"/>
    </xf>
    <xf numFmtId="0" fontId="0" fillId="0" borderId="136" xfId="0" applyBorder="1" applyAlignment="1">
      <alignment horizontal="center" vertical="center"/>
    </xf>
    <xf numFmtId="0" fontId="0" fillId="0" borderId="136" xfId="0" applyBorder="1" applyAlignment="1">
      <alignment horizontal="center" vertical="center" wrapText="1"/>
    </xf>
    <xf numFmtId="164" fontId="0" fillId="0" borderId="136" xfId="0" applyNumberFormat="1" applyBorder="1" applyAlignment="1">
      <alignment horizontal="center" vertical="center" wrapText="1"/>
    </xf>
    <xf numFmtId="0" fontId="3" fillId="0" borderId="136" xfId="0" applyFont="1" applyBorder="1" applyAlignment="1">
      <alignment vertical="center"/>
    </xf>
    <xf numFmtId="0" fontId="0" fillId="0" borderId="136" xfId="0" applyBorder="1" applyAlignment="1">
      <alignment horizontal="left" vertical="center" wrapText="1"/>
    </xf>
    <xf numFmtId="49" fontId="19" fillId="0" borderId="136" xfId="10" applyNumberFormat="1" applyFill="1" applyBorder="1" applyAlignment="1" applyProtection="1">
      <alignment horizontal="left" vertical="center" wrapText="1"/>
      <protection locked="0"/>
    </xf>
    <xf numFmtId="1" fontId="19" fillId="0" borderId="136" xfId="10" applyNumberFormat="1" applyFill="1" applyBorder="1" applyAlignment="1" applyProtection="1">
      <alignment horizontal="center" vertical="center"/>
      <protection locked="0"/>
    </xf>
    <xf numFmtId="2" fontId="19" fillId="0" borderId="136" xfId="10" applyNumberFormat="1" applyFill="1" applyBorder="1" applyAlignment="1" applyProtection="1">
      <alignment horizontal="center" vertical="center"/>
      <protection locked="0"/>
    </xf>
    <xf numFmtId="49" fontId="19" fillId="0" borderId="136" xfId="10" applyNumberFormat="1" applyFill="1" applyBorder="1" applyAlignment="1" applyProtection="1">
      <alignment horizontal="center" vertical="center" wrapText="1"/>
      <protection locked="0"/>
    </xf>
    <xf numFmtId="0" fontId="4" fillId="0" borderId="136" xfId="0" applyFont="1" applyBorder="1" applyAlignment="1">
      <alignment horizontal="right" vertical="center"/>
    </xf>
    <xf numFmtId="0" fontId="19" fillId="0" borderId="136" xfId="10" applyFill="1" applyBorder="1" applyProtection="1">
      <protection locked="0"/>
    </xf>
    <xf numFmtId="0" fontId="4" fillId="0" borderId="0" xfId="0" applyFont="1" applyAlignment="1">
      <alignment horizontal="center" wrapText="1"/>
    </xf>
    <xf numFmtId="0" fontId="171" fillId="0" borderId="0" xfId="0" applyFont="1" applyAlignment="1">
      <alignment horizontal="right"/>
    </xf>
    <xf numFmtId="0" fontId="2" fillId="0" borderId="0" xfId="14" applyFill="1" applyBorder="1" applyAlignment="1" applyProtection="1">
      <alignment horizontal="center" vertical="center" wrapText="1"/>
      <protection locked="0"/>
    </xf>
    <xf numFmtId="0" fontId="0" fillId="0" borderId="0" xfId="0" applyAlignment="1">
      <alignment horizontal="center" vertical="center"/>
    </xf>
    <xf numFmtId="0" fontId="0" fillId="0" borderId="0" xfId="0" applyAlignment="1">
      <alignment horizontal="center" vertical="center" wrapText="1"/>
    </xf>
    <xf numFmtId="0" fontId="43" fillId="0" borderId="0" xfId="0" applyFont="1" applyAlignment="1">
      <alignment horizontal="right" vertical="center" indent="1"/>
    </xf>
    <xf numFmtId="2" fontId="43" fillId="0" borderId="0" xfId="0" applyNumberFormat="1" applyFont="1" applyAlignment="1">
      <alignment horizontal="center" vertical="center"/>
    </xf>
    <xf numFmtId="164" fontId="43" fillId="0" borderId="0" xfId="0" applyNumberFormat="1" applyFont="1" applyAlignment="1">
      <alignment horizontal="center" vertical="center"/>
    </xf>
    <xf numFmtId="9" fontId="43" fillId="0" borderId="0" xfId="1" applyFont="1" applyFill="1" applyBorder="1" applyAlignment="1">
      <alignment horizontal="center" vertical="center"/>
    </xf>
    <xf numFmtId="191" fontId="6" fillId="0" borderId="0" xfId="1" applyNumberFormat="1" applyFont="1" applyFill="1" applyBorder="1" applyAlignment="1" applyProtection="1">
      <alignment horizontal="center" vertical="center"/>
    </xf>
    <xf numFmtId="0" fontId="171" fillId="0" borderId="128" xfId="0" applyFont="1" applyBorder="1" applyAlignment="1">
      <alignment horizontal="right"/>
    </xf>
    <xf numFmtId="0" fontId="171" fillId="0" borderId="128" xfId="0" applyFont="1" applyBorder="1"/>
    <xf numFmtId="0" fontId="0" fillId="0" borderId="128" xfId="0" applyBorder="1"/>
    <xf numFmtId="0" fontId="43" fillId="0" borderId="0" xfId="0" applyFont="1" applyAlignment="1">
      <alignment horizontal="center" vertical="center"/>
    </xf>
    <xf numFmtId="49" fontId="27" fillId="0" borderId="0" xfId="0" applyNumberFormat="1" applyFont="1" applyAlignment="1">
      <alignment vertical="center"/>
    </xf>
    <xf numFmtId="9" fontId="0" fillId="0" borderId="0" xfId="1" applyFont="1" applyFill="1" applyBorder="1" applyAlignment="1">
      <alignment horizontal="center"/>
    </xf>
    <xf numFmtId="0" fontId="35" fillId="0" borderId="0" xfId="0" applyFont="1" applyAlignment="1">
      <alignment horizontal="right" vertical="center"/>
    </xf>
    <xf numFmtId="0" fontId="35" fillId="0" borderId="0" xfId="0" applyFont="1" applyAlignment="1">
      <alignment vertical="center"/>
    </xf>
    <xf numFmtId="0" fontId="49" fillId="0" borderId="0" xfId="0" applyFont="1" applyAlignment="1">
      <alignment horizontal="right"/>
    </xf>
    <xf numFmtId="0" fontId="39" fillId="0" borderId="0" xfId="0" applyFont="1" applyAlignment="1">
      <alignment horizontal="right" vertical="center"/>
    </xf>
    <xf numFmtId="0" fontId="19" fillId="0" borderId="0" xfId="10" applyFill="1" applyBorder="1" applyAlignment="1" applyProtection="1">
      <alignment horizontal="center"/>
      <protection locked="0"/>
    </xf>
    <xf numFmtId="0" fontId="4" fillId="0" borderId="0" xfId="0" applyFont="1" applyAlignment="1">
      <alignment horizontal="right"/>
    </xf>
    <xf numFmtId="9" fontId="19" fillId="0" borderId="0" xfId="10" applyNumberFormat="1" applyFill="1" applyBorder="1" applyAlignment="1" applyProtection="1">
      <alignment horizontal="center"/>
      <protection locked="0"/>
    </xf>
    <xf numFmtId="0" fontId="35" fillId="0" borderId="0" xfId="0" applyFont="1" applyAlignment="1">
      <alignment horizontal="right"/>
    </xf>
    <xf numFmtId="9" fontId="0" fillId="0" borderId="0" xfId="1" applyFont="1" applyFill="1" applyBorder="1" applyAlignment="1" applyProtection="1">
      <alignment horizontal="center"/>
    </xf>
    <xf numFmtId="192" fontId="0" fillId="0" borderId="0" xfId="64" applyNumberFormat="1" applyFont="1" applyFill="1" applyBorder="1"/>
    <xf numFmtId="193" fontId="0" fillId="0" borderId="0" xfId="0" applyNumberFormat="1"/>
    <xf numFmtId="0" fontId="19" fillId="0" borderId="0" xfId="10" applyFill="1" applyBorder="1" applyProtection="1">
      <protection locked="0"/>
    </xf>
    <xf numFmtId="0" fontId="177" fillId="0" borderId="0" xfId="0" applyFont="1" applyAlignment="1">
      <alignment horizontal="left" indent="1"/>
    </xf>
    <xf numFmtId="0" fontId="182" fillId="0" borderId="0" xfId="10" applyFont="1" applyFill="1" applyBorder="1" applyAlignment="1" applyProtection="1">
      <alignment horizontal="center" vertical="center"/>
      <protection locked="0"/>
    </xf>
    <xf numFmtId="0" fontId="27" fillId="0" borderId="0" xfId="0" applyFont="1" applyAlignment="1">
      <alignment horizontal="center"/>
    </xf>
    <xf numFmtId="0" fontId="36" fillId="0" borderId="0" xfId="0" applyFont="1" applyAlignment="1">
      <alignment vertical="center" wrapText="1"/>
    </xf>
    <xf numFmtId="0" fontId="0" fillId="0" borderId="0" xfId="0" applyAlignment="1" applyProtection="1">
      <alignment horizontal="center"/>
      <protection locked="0"/>
    </xf>
    <xf numFmtId="0" fontId="177" fillId="0" borderId="128" xfId="0" applyFont="1" applyBorder="1" applyAlignment="1">
      <alignment horizontal="left" indent="1"/>
    </xf>
    <xf numFmtId="0" fontId="0" fillId="0" borderId="140" xfId="0" applyBorder="1"/>
    <xf numFmtId="0" fontId="0" fillId="0" borderId="0" xfId="0" applyAlignment="1">
      <alignment horizontal="left" vertical="center"/>
    </xf>
    <xf numFmtId="0" fontId="177" fillId="0" borderId="0" xfId="0" applyFont="1"/>
    <xf numFmtId="164" fontId="0" fillId="0" borderId="0" xfId="0" applyNumberFormat="1" applyAlignment="1">
      <alignment horizontal="center" vertical="center"/>
    </xf>
    <xf numFmtId="0" fontId="4" fillId="0" borderId="0" xfId="0" applyFont="1" applyAlignment="1">
      <alignment horizontal="left"/>
    </xf>
    <xf numFmtId="169" fontId="6" fillId="0" borderId="0" xfId="64" applyNumberFormat="1" applyFont="1" applyFill="1" applyBorder="1" applyAlignment="1" applyProtection="1">
      <alignment horizontal="center" vertical="center"/>
    </xf>
    <xf numFmtId="0" fontId="0" fillId="0" borderId="0" xfId="0" applyAlignment="1">
      <alignment horizontal="left" indent="1"/>
    </xf>
    <xf numFmtId="0" fontId="0" fillId="0" borderId="0" xfId="0" applyAlignment="1">
      <alignment vertical="center" wrapText="1"/>
    </xf>
    <xf numFmtId="0" fontId="183" fillId="0" borderId="0" xfId="10" applyFont="1" applyFill="1" applyBorder="1"/>
    <xf numFmtId="0" fontId="4" fillId="0" borderId="0" xfId="0" applyFont="1" applyAlignment="1">
      <alignment horizontal="center" vertical="center" wrapText="1"/>
    </xf>
    <xf numFmtId="49" fontId="184" fillId="0" borderId="0" xfId="0" applyNumberFormat="1" applyFont="1" applyAlignment="1">
      <alignment horizontal="center" vertical="center" wrapText="1"/>
    </xf>
    <xf numFmtId="0" fontId="43" fillId="0" borderId="0" xfId="0" applyFont="1" applyAlignment="1">
      <alignment horizontal="center"/>
    </xf>
    <xf numFmtId="49" fontId="35" fillId="0" borderId="0" xfId="0" applyNumberFormat="1" applyFont="1" applyAlignment="1">
      <alignment horizontal="center" vertical="center" wrapText="1"/>
    </xf>
    <xf numFmtId="0" fontId="27" fillId="38" borderId="25" xfId="0" applyFont="1" applyFill="1" applyBorder="1" applyAlignment="1">
      <alignment horizontal="center" vertical="center"/>
    </xf>
    <xf numFmtId="0" fontId="35" fillId="61" borderId="1" xfId="0" applyFont="1" applyFill="1" applyBorder="1" applyAlignment="1">
      <alignment horizontal="center" vertical="center" wrapText="1"/>
    </xf>
    <xf numFmtId="0" fontId="27" fillId="61" borderId="1" xfId="0" applyFont="1" applyFill="1" applyBorder="1" applyAlignment="1">
      <alignment horizontal="center" vertical="center"/>
    </xf>
    <xf numFmtId="0" fontId="27" fillId="38" borderId="26" xfId="0" applyFont="1" applyFill="1" applyBorder="1" applyAlignment="1">
      <alignment horizontal="center" vertical="center"/>
    </xf>
    <xf numFmtId="0" fontId="27" fillId="38" borderId="146" xfId="0" applyFont="1" applyFill="1" applyBorder="1" applyAlignment="1">
      <alignment horizontal="center" vertical="center"/>
    </xf>
    <xf numFmtId="0" fontId="27" fillId="61" borderId="4" xfId="0" applyFont="1" applyFill="1" applyBorder="1" applyAlignment="1">
      <alignment horizontal="center" vertical="center" wrapText="1"/>
    </xf>
    <xf numFmtId="49" fontId="184" fillId="61" borderId="4" xfId="0" applyNumberFormat="1" applyFont="1" applyFill="1" applyBorder="1" applyAlignment="1">
      <alignment horizontal="center" vertical="center" wrapText="1"/>
    </xf>
    <xf numFmtId="0" fontId="27" fillId="0" borderId="0" xfId="0" applyFont="1" applyAlignment="1">
      <alignment horizontal="center" vertical="center"/>
    </xf>
    <xf numFmtId="0" fontId="27" fillId="38" borderId="25" xfId="0" applyFont="1" applyFill="1" applyBorder="1" applyAlignment="1">
      <alignment horizontal="center" vertical="center" wrapText="1"/>
    </xf>
    <xf numFmtId="0" fontId="27" fillId="61" borderId="1" xfId="0" applyFont="1" applyFill="1" applyBorder="1" applyAlignment="1">
      <alignment horizontal="center" vertical="center" wrapText="1"/>
    </xf>
    <xf numFmtId="0" fontId="27" fillId="61" borderId="16" xfId="0" applyFont="1" applyFill="1" applyBorder="1" applyAlignment="1">
      <alignment horizontal="center" vertical="center"/>
    </xf>
    <xf numFmtId="0" fontId="27" fillId="38" borderId="26" xfId="0" applyFont="1" applyFill="1" applyBorder="1" applyAlignment="1">
      <alignment horizontal="center" vertical="center" wrapText="1"/>
    </xf>
    <xf numFmtId="0" fontId="27" fillId="61" borderId="14" xfId="0" applyFont="1" applyFill="1" applyBorder="1" applyAlignment="1">
      <alignment horizontal="center" vertical="center" wrapText="1"/>
    </xf>
    <xf numFmtId="0" fontId="27" fillId="61" borderId="15" xfId="0" applyFont="1" applyFill="1" applyBorder="1" applyAlignment="1">
      <alignment horizontal="center" vertical="center" wrapText="1"/>
    </xf>
    <xf numFmtId="0" fontId="27" fillId="38" borderId="146" xfId="0" applyFont="1" applyFill="1" applyBorder="1" applyAlignment="1">
      <alignment horizontal="center" vertical="center" wrapText="1"/>
    </xf>
    <xf numFmtId="49" fontId="184" fillId="61" borderId="25" xfId="0" applyNumberFormat="1" applyFont="1" applyFill="1" applyBorder="1" applyAlignment="1">
      <alignment horizontal="center" vertical="center" wrapText="1"/>
    </xf>
    <xf numFmtId="0" fontId="27" fillId="0" borderId="1" xfId="0" applyFont="1" applyBorder="1" applyAlignment="1">
      <alignment horizontal="center" vertical="center"/>
    </xf>
    <xf numFmtId="0" fontId="27" fillId="38" borderId="25" xfId="0" applyFont="1" applyFill="1" applyBorder="1" applyAlignment="1">
      <alignment vertical="center"/>
    </xf>
    <xf numFmtId="0" fontId="178" fillId="0" borderId="1" xfId="0" applyFont="1" applyBorder="1" applyAlignment="1">
      <alignment horizontal="center" vertical="center"/>
    </xf>
    <xf numFmtId="3" fontId="178" fillId="41" borderId="1" xfId="0" applyNumberFormat="1" applyFont="1" applyFill="1" applyBorder="1" applyAlignment="1">
      <alignment horizontal="right" vertical="center" wrapText="1"/>
    </xf>
    <xf numFmtId="3" fontId="178" fillId="41" borderId="16" xfId="0" applyNumberFormat="1" applyFont="1" applyFill="1" applyBorder="1" applyAlignment="1">
      <alignment horizontal="center" vertical="center" wrapText="1"/>
    </xf>
    <xf numFmtId="49" fontId="184" fillId="68" borderId="16" xfId="0" applyNumberFormat="1" applyFont="1" applyFill="1" applyBorder="1" applyAlignment="1">
      <alignment horizontal="center" vertical="center"/>
    </xf>
    <xf numFmtId="0" fontId="27" fillId="0" borderId="1" xfId="0" applyFont="1" applyBorder="1" applyAlignment="1">
      <alignment vertical="center" wrapText="1"/>
    </xf>
    <xf numFmtId="0" fontId="27" fillId="0" borderId="1" xfId="0" applyFont="1" applyBorder="1" applyAlignment="1">
      <alignment horizontal="center" vertical="center" wrapText="1"/>
    </xf>
    <xf numFmtId="0" fontId="27" fillId="0" borderId="1" xfId="0" applyFont="1" applyBorder="1" applyAlignment="1">
      <alignment horizontal="left" vertical="center"/>
    </xf>
    <xf numFmtId="1" fontId="27" fillId="0" borderId="1" xfId="0" applyNumberFormat="1" applyFont="1" applyBorder="1" applyAlignment="1">
      <alignment horizontal="center" vertical="center"/>
    </xf>
    <xf numFmtId="164" fontId="27" fillId="0" borderId="1" xfId="0" applyNumberFormat="1" applyFont="1" applyBorder="1" applyAlignment="1">
      <alignment horizontal="center" vertical="center"/>
    </xf>
    <xf numFmtId="49" fontId="35" fillId="68" borderId="1" xfId="0" applyNumberFormat="1" applyFont="1" applyFill="1" applyBorder="1" applyAlignment="1">
      <alignment horizontal="center" vertical="center"/>
    </xf>
    <xf numFmtId="0" fontId="27" fillId="0" borderId="1" xfId="0" applyFont="1" applyBorder="1" applyAlignment="1">
      <alignment vertical="center"/>
    </xf>
    <xf numFmtId="0" fontId="166" fillId="0" borderId="0" xfId="0" applyFont="1" applyAlignment="1">
      <alignment vertical="center"/>
    </xf>
    <xf numFmtId="49" fontId="27" fillId="0" borderId="1" xfId="0" applyNumberFormat="1" applyFont="1" applyBorder="1" applyAlignment="1">
      <alignment vertical="center"/>
    </xf>
    <xf numFmtId="49" fontId="27" fillId="0" borderId="1" xfId="0" applyNumberFormat="1" applyFont="1" applyBorder="1" applyAlignment="1">
      <alignment horizontal="center" vertical="center"/>
    </xf>
    <xf numFmtId="0" fontId="38" fillId="73" borderId="1" xfId="0" applyFont="1" applyFill="1" applyBorder="1" applyAlignment="1">
      <alignment horizontal="center" vertical="center" wrapText="1"/>
    </xf>
    <xf numFmtId="0" fontId="187" fillId="0" borderId="1" xfId="0" applyFont="1" applyBorder="1" applyAlignment="1">
      <alignment horizontal="center" vertical="center" wrapText="1"/>
    </xf>
    <xf numFmtId="4" fontId="187" fillId="0" borderId="1" xfId="0" applyNumberFormat="1" applyFont="1" applyBorder="1" applyAlignment="1">
      <alignment horizontal="center" vertical="center" wrapText="1"/>
    </xf>
    <xf numFmtId="49" fontId="35" fillId="68" borderId="1" xfId="0" applyNumberFormat="1" applyFont="1" applyFill="1" applyBorder="1" applyAlignment="1">
      <alignment horizontal="center" vertical="center" wrapText="1"/>
    </xf>
    <xf numFmtId="2" fontId="187" fillId="0" borderId="1" xfId="0" applyNumberFormat="1" applyFont="1" applyBorder="1" applyAlignment="1">
      <alignment horizontal="center" vertical="center" wrapText="1"/>
    </xf>
    <xf numFmtId="0" fontId="44" fillId="0" borderId="1" xfId="0" applyFont="1" applyBorder="1" applyAlignment="1">
      <alignment horizontal="center" vertical="center" wrapText="1"/>
    </xf>
    <xf numFmtId="4" fontId="27" fillId="0" borderId="1" xfId="0" applyNumberFormat="1" applyFont="1" applyBorder="1" applyAlignment="1">
      <alignment horizontal="center" vertical="center"/>
    </xf>
    <xf numFmtId="49" fontId="35" fillId="0" borderId="25" xfId="0" applyNumberFormat="1" applyFont="1" applyBorder="1" applyAlignment="1">
      <alignment horizontal="center" vertical="center" wrapText="1"/>
    </xf>
    <xf numFmtId="4" fontId="27" fillId="0" borderId="1" xfId="0" applyNumberFormat="1" applyFont="1" applyBorder="1" applyAlignment="1">
      <alignment horizontal="center" vertical="center" wrapText="1"/>
    </xf>
    <xf numFmtId="0" fontId="27" fillId="0" borderId="0" xfId="0" applyFont="1" applyAlignment="1">
      <alignment vertical="center"/>
    </xf>
    <xf numFmtId="194" fontId="27" fillId="0" borderId="0" xfId="0" applyNumberFormat="1" applyFont="1" applyAlignment="1">
      <alignment horizontal="center" vertical="center"/>
    </xf>
    <xf numFmtId="0" fontId="27" fillId="61" borderId="1" xfId="0" applyFont="1" applyFill="1" applyBorder="1" applyAlignment="1">
      <alignment horizontal="left" vertical="center" wrapText="1"/>
    </xf>
    <xf numFmtId="167" fontId="178" fillId="41" borderId="16" xfId="0" applyNumberFormat="1" applyFont="1" applyFill="1" applyBorder="1" applyAlignment="1">
      <alignment horizontal="center" vertical="center" wrapText="1"/>
    </xf>
    <xf numFmtId="195" fontId="27" fillId="0" borderId="0" xfId="64" applyNumberFormat="1" applyFont="1" applyAlignment="1">
      <alignment horizontal="center" vertical="center"/>
    </xf>
    <xf numFmtId="0" fontId="27" fillId="61" borderId="1" xfId="0" applyFont="1" applyFill="1" applyBorder="1" applyAlignment="1">
      <alignment vertical="center"/>
    </xf>
    <xf numFmtId="164" fontId="27" fillId="0" borderId="1" xfId="0" applyNumberFormat="1" applyFont="1" applyBorder="1" applyAlignment="1">
      <alignment horizontal="center" vertical="center" wrapText="1"/>
    </xf>
    <xf numFmtId="166" fontId="27" fillId="0" borderId="1" xfId="0" applyNumberFormat="1" applyFont="1" applyBorder="1" applyAlignment="1">
      <alignment horizontal="center" vertical="center"/>
    </xf>
    <xf numFmtId="170" fontId="27" fillId="0" borderId="0" xfId="0" applyNumberFormat="1" applyFont="1" applyAlignment="1">
      <alignment horizontal="center" vertical="center"/>
    </xf>
    <xf numFmtId="0" fontId="178" fillId="0" borderId="4" xfId="0" applyFont="1" applyBorder="1" applyAlignment="1">
      <alignment horizontal="center" vertical="center"/>
    </xf>
    <xf numFmtId="0" fontId="38" fillId="0" borderId="1" xfId="0" applyFont="1" applyBorder="1" applyAlignment="1">
      <alignment horizontal="center" vertical="center" wrapText="1"/>
    </xf>
    <xf numFmtId="196" fontId="27" fillId="0" borderId="0" xfId="0" applyNumberFormat="1" applyFont="1" applyAlignment="1">
      <alignment horizontal="center" vertical="center"/>
    </xf>
    <xf numFmtId="197" fontId="27" fillId="0" borderId="0" xfId="0" applyNumberFormat="1" applyFont="1" applyAlignment="1">
      <alignment horizontal="center" vertical="center"/>
    </xf>
    <xf numFmtId="164" fontId="27" fillId="0" borderId="0" xfId="0" applyNumberFormat="1" applyFont="1" applyAlignment="1">
      <alignment horizontal="center" vertical="center"/>
    </xf>
    <xf numFmtId="4" fontId="38" fillId="0" borderId="1" xfId="0" applyNumberFormat="1" applyFont="1" applyBorder="1" applyAlignment="1">
      <alignment horizontal="center" vertical="center" wrapText="1"/>
    </xf>
    <xf numFmtId="2" fontId="38" fillId="0" borderId="1" xfId="0" applyNumberFormat="1" applyFont="1" applyBorder="1" applyAlignment="1">
      <alignment horizontal="center" vertical="center" wrapText="1"/>
    </xf>
    <xf numFmtId="0" fontId="35" fillId="68" borderId="1" xfId="0" applyFont="1" applyFill="1" applyBorder="1" applyAlignment="1">
      <alignment horizontal="right" vertical="center"/>
    </xf>
    <xf numFmtId="0" fontId="35" fillId="68" borderId="1" xfId="0" applyFont="1" applyFill="1" applyBorder="1" applyAlignment="1">
      <alignment horizontal="center" vertical="center" wrapText="1"/>
    </xf>
    <xf numFmtId="168" fontId="38" fillId="74" borderId="1" xfId="0" applyNumberFormat="1" applyFont="1" applyFill="1" applyBorder="1" applyAlignment="1">
      <alignment horizontal="center" vertical="center" wrapText="1"/>
    </xf>
    <xf numFmtId="49" fontId="184" fillId="61" borderId="1" xfId="0" applyNumberFormat="1" applyFont="1" applyFill="1" applyBorder="1" applyAlignment="1">
      <alignment horizontal="center" vertical="center" wrapText="1"/>
    </xf>
    <xf numFmtId="0" fontId="27" fillId="0" borderId="0" xfId="0" applyFont="1" applyAlignment="1">
      <alignment horizontal="left" vertical="center"/>
    </xf>
    <xf numFmtId="0" fontId="178" fillId="0" borderId="1" xfId="0" applyFont="1" applyBorder="1" applyAlignment="1">
      <alignment horizontal="left" vertical="center" wrapText="1"/>
    </xf>
    <xf numFmtId="2" fontId="35" fillId="0" borderId="25" xfId="0" applyNumberFormat="1" applyFont="1" applyBorder="1" applyAlignment="1">
      <alignment horizontal="center" vertical="center" wrapText="1"/>
    </xf>
    <xf numFmtId="166" fontId="27" fillId="0" borderId="1" xfId="0" applyNumberFormat="1" applyFont="1" applyBorder="1" applyAlignment="1">
      <alignment horizontal="center" vertical="center" wrapText="1"/>
    </xf>
    <xf numFmtId="171" fontId="27" fillId="0" borderId="1" xfId="0" applyNumberFormat="1" applyFont="1" applyBorder="1" applyAlignment="1">
      <alignment horizontal="center" vertical="center"/>
    </xf>
    <xf numFmtId="49" fontId="35" fillId="0" borderId="25" xfId="0" applyNumberFormat="1" applyFont="1" applyBorder="1" applyAlignment="1">
      <alignment horizontal="center" vertical="center"/>
    </xf>
    <xf numFmtId="0" fontId="188" fillId="0" borderId="0" xfId="0" applyFont="1" applyAlignment="1">
      <alignment horizontal="left" vertical="center"/>
    </xf>
    <xf numFmtId="0" fontId="178" fillId="0" borderId="0" xfId="0" applyFont="1" applyAlignment="1">
      <alignment horizontal="left" vertical="center"/>
    </xf>
    <xf numFmtId="3" fontId="178" fillId="0" borderId="0" xfId="0" applyNumberFormat="1" applyFont="1" applyAlignment="1">
      <alignment horizontal="center" vertical="center" wrapText="1"/>
    </xf>
    <xf numFmtId="0" fontId="35" fillId="0" borderId="0" xfId="0" applyFont="1" applyAlignment="1">
      <alignment horizontal="center" vertical="center"/>
    </xf>
    <xf numFmtId="0" fontId="6" fillId="4" borderId="0" xfId="0" applyFont="1" applyFill="1" applyAlignment="1">
      <alignment horizontal="right" vertical="center"/>
    </xf>
    <xf numFmtId="0" fontId="24" fillId="4" borderId="0" xfId="0" applyFont="1" applyFill="1"/>
    <xf numFmtId="0" fontId="160" fillId="0" borderId="0" xfId="0" applyFont="1" applyAlignment="1">
      <alignment horizontal="right" vertical="center"/>
    </xf>
    <xf numFmtId="0" fontId="6" fillId="75" borderId="0" xfId="0" applyFont="1" applyFill="1" applyAlignment="1">
      <alignment horizontal="right" vertical="center"/>
    </xf>
    <xf numFmtId="0" fontId="37" fillId="75" borderId="0" xfId="0" applyFont="1" applyFill="1" applyAlignment="1">
      <alignment vertical="center"/>
    </xf>
    <xf numFmtId="0" fontId="24" fillId="75" borderId="0" xfId="0" applyFont="1" applyFill="1" applyAlignment="1">
      <alignment vertical="center"/>
    </xf>
    <xf numFmtId="0" fontId="24" fillId="0" borderId="0" xfId="0" applyFont="1"/>
    <xf numFmtId="0" fontId="189" fillId="76" borderId="128" xfId="0" applyFont="1" applyFill="1" applyBorder="1" applyAlignment="1">
      <alignment horizontal="right" vertical="center"/>
    </xf>
    <xf numFmtId="0" fontId="190" fillId="0" borderId="0" xfId="0" applyFont="1"/>
    <xf numFmtId="192" fontId="12" fillId="76" borderId="128" xfId="0" applyNumberFormat="1" applyFont="1" applyFill="1" applyBorder="1" applyAlignment="1">
      <alignment vertical="center"/>
    </xf>
    <xf numFmtId="0" fontId="12" fillId="76" borderId="128" xfId="0" applyFont="1" applyFill="1" applyBorder="1" applyAlignment="1">
      <alignment horizontal="right" vertical="center"/>
    </xf>
    <xf numFmtId="37" fontId="12" fillId="76" borderId="128" xfId="64" applyNumberFormat="1" applyFont="1" applyFill="1" applyBorder="1" applyAlignment="1">
      <alignment vertical="center"/>
    </xf>
    <xf numFmtId="9" fontId="12" fillId="76" borderId="128" xfId="1" applyFont="1" applyFill="1" applyBorder="1" applyAlignment="1">
      <alignment vertical="center"/>
    </xf>
    <xf numFmtId="0" fontId="190" fillId="4" borderId="0" xfId="0" applyFont="1" applyFill="1"/>
    <xf numFmtId="0" fontId="6" fillId="66" borderId="140" xfId="0" applyFont="1" applyFill="1" applyBorder="1" applyAlignment="1">
      <alignment horizontal="right" vertical="center"/>
    </xf>
    <xf numFmtId="0" fontId="41" fillId="66" borderId="140" xfId="0" applyFont="1" applyFill="1" applyBorder="1" applyAlignment="1">
      <alignment vertical="center"/>
    </xf>
    <xf numFmtId="192" fontId="42" fillId="66" borderId="140" xfId="64" applyNumberFormat="1" applyFont="1" applyFill="1" applyBorder="1" applyAlignment="1">
      <alignment vertical="center"/>
    </xf>
    <xf numFmtId="170" fontId="42" fillId="66" borderId="140" xfId="64" applyFont="1" applyFill="1" applyBorder="1" applyAlignment="1">
      <alignment vertical="center"/>
    </xf>
    <xf numFmtId="191" fontId="42" fillId="66" borderId="140" xfId="1" applyNumberFormat="1" applyFont="1" applyFill="1" applyBorder="1" applyAlignment="1">
      <alignment vertical="center"/>
    </xf>
    <xf numFmtId="0" fontId="191" fillId="4" borderId="0" xfId="0" applyFont="1" applyFill="1" applyAlignment="1">
      <alignment horizontal="center" vertical="center"/>
    </xf>
    <xf numFmtId="0" fontId="42" fillId="67" borderId="140" xfId="0" applyFont="1" applyFill="1" applyBorder="1" applyAlignment="1">
      <alignment horizontal="right" vertical="center"/>
    </xf>
    <xf numFmtId="0" fontId="42" fillId="67" borderId="140" xfId="0" applyFont="1" applyFill="1" applyBorder="1" applyAlignment="1">
      <alignment horizontal="left" vertical="center" wrapText="1"/>
    </xf>
    <xf numFmtId="192" fontId="42" fillId="67" borderId="140" xfId="64" applyNumberFormat="1" applyFont="1" applyFill="1" applyBorder="1" applyAlignment="1">
      <alignment vertical="center"/>
    </xf>
    <xf numFmtId="170" fontId="42" fillId="67" borderId="140" xfId="64" applyFont="1" applyFill="1" applyBorder="1" applyAlignment="1">
      <alignment horizontal="right" vertical="center"/>
    </xf>
    <xf numFmtId="191" fontId="42" fillId="67" borderId="140" xfId="1" applyNumberFormat="1" applyFont="1" applyFill="1" applyBorder="1" applyAlignment="1">
      <alignment vertical="center"/>
    </xf>
    <xf numFmtId="0" fontId="24" fillId="4" borderId="0" xfId="0" applyFont="1" applyFill="1" applyAlignment="1">
      <alignment wrapText="1"/>
    </xf>
    <xf numFmtId="0" fontId="50" fillId="67" borderId="140" xfId="0" applyFont="1" applyFill="1" applyBorder="1" applyAlignment="1">
      <alignment horizontal="right" vertical="center"/>
    </xf>
    <xf numFmtId="0" fontId="6" fillId="67" borderId="140" xfId="0" applyFont="1" applyFill="1" applyBorder="1" applyAlignment="1">
      <alignment horizontal="right" vertical="center"/>
    </xf>
    <xf numFmtId="0" fontId="6" fillId="67" borderId="140" xfId="0" applyFont="1" applyFill="1" applyBorder="1" applyAlignment="1">
      <alignment horizontal="left" vertical="center" wrapText="1" indent="1"/>
    </xf>
    <xf numFmtId="192" fontId="192" fillId="67" borderId="140" xfId="64" applyNumberFormat="1" applyFont="1" applyFill="1" applyBorder="1" applyAlignment="1">
      <alignment vertical="center"/>
    </xf>
    <xf numFmtId="170" fontId="1" fillId="67" borderId="140" xfId="64" applyFont="1" applyFill="1" applyBorder="1" applyAlignment="1">
      <alignment horizontal="right" vertical="center"/>
    </xf>
    <xf numFmtId="191" fontId="1" fillId="67" borderId="140" xfId="1" applyNumberFormat="1" applyFont="1" applyFill="1" applyBorder="1" applyAlignment="1">
      <alignment vertical="center"/>
    </xf>
    <xf numFmtId="0" fontId="0" fillId="67" borderId="140" xfId="0" applyFill="1" applyBorder="1" applyAlignment="1">
      <alignment horizontal="left" vertical="center" wrapText="1" indent="1"/>
    </xf>
    <xf numFmtId="198" fontId="1" fillId="67" borderId="140" xfId="64" applyNumberFormat="1" applyFont="1" applyFill="1" applyBorder="1" applyAlignment="1">
      <alignment horizontal="right" vertical="center"/>
    </xf>
    <xf numFmtId="0" fontId="0" fillId="67" borderId="140" xfId="0" quotePrefix="1" applyFill="1" applyBorder="1" applyAlignment="1">
      <alignment horizontal="left" vertical="center" wrapText="1" indent="1"/>
    </xf>
    <xf numFmtId="0" fontId="27" fillId="67" borderId="0" xfId="0" applyFont="1" applyFill="1" applyAlignment="1">
      <alignment horizontal="left" vertical="center" wrapText="1" indent="2"/>
    </xf>
    <xf numFmtId="198" fontId="27" fillId="67" borderId="140" xfId="64" applyNumberFormat="1" applyFont="1" applyFill="1" applyBorder="1" applyAlignment="1">
      <alignment horizontal="right" vertical="center"/>
    </xf>
    <xf numFmtId="191" fontId="27" fillId="67" borderId="140" xfId="1" applyNumberFormat="1" applyFont="1" applyFill="1" applyBorder="1" applyAlignment="1">
      <alignment vertical="center"/>
    </xf>
    <xf numFmtId="0" fontId="27" fillId="67" borderId="140" xfId="0" applyFont="1" applyFill="1" applyBorder="1" applyAlignment="1">
      <alignment horizontal="left" vertical="center" wrapText="1" indent="2"/>
    </xf>
    <xf numFmtId="192" fontId="42" fillId="67" borderId="0" xfId="64" applyNumberFormat="1" applyFont="1" applyFill="1" applyBorder="1" applyAlignment="1">
      <alignment vertical="center"/>
    </xf>
    <xf numFmtId="198" fontId="27" fillId="67" borderId="0" xfId="64" applyNumberFormat="1" applyFont="1" applyFill="1" applyBorder="1" applyAlignment="1">
      <alignment horizontal="right" vertical="center"/>
    </xf>
    <xf numFmtId="0" fontId="6" fillId="70" borderId="140" xfId="0" applyFont="1" applyFill="1" applyBorder="1" applyAlignment="1">
      <alignment horizontal="right" vertical="center"/>
    </xf>
    <xf numFmtId="0" fontId="41" fillId="70" borderId="140" xfId="0" applyFont="1" applyFill="1" applyBorder="1" applyAlignment="1">
      <alignment vertical="center" wrapText="1"/>
    </xf>
    <xf numFmtId="192" fontId="42" fillId="70" borderId="140" xfId="64" applyNumberFormat="1" applyFont="1" applyFill="1" applyBorder="1" applyAlignment="1">
      <alignment vertical="center"/>
    </xf>
    <xf numFmtId="170" fontId="42" fillId="70" borderId="140" xfId="64" applyFont="1" applyFill="1" applyBorder="1" applyAlignment="1">
      <alignment horizontal="right" vertical="center"/>
    </xf>
    <xf numFmtId="191" fontId="42" fillId="70" borderId="140" xfId="1" applyNumberFormat="1" applyFont="1" applyFill="1" applyBorder="1" applyAlignment="1">
      <alignment vertical="center"/>
    </xf>
    <xf numFmtId="0" fontId="42" fillId="71" borderId="140" xfId="0" applyFont="1" applyFill="1" applyBorder="1" applyAlignment="1">
      <alignment horizontal="right" vertical="center"/>
    </xf>
    <xf numFmtId="0" fontId="42" fillId="71" borderId="140" xfId="0" applyFont="1" applyFill="1" applyBorder="1" applyAlignment="1">
      <alignment horizontal="left" vertical="center" wrapText="1"/>
    </xf>
    <xf numFmtId="192" fontId="42" fillId="71" borderId="140" xfId="64" applyNumberFormat="1" applyFont="1" applyFill="1" applyBorder="1" applyAlignment="1">
      <alignment vertical="center"/>
    </xf>
    <xf numFmtId="170" fontId="42" fillId="71" borderId="140" xfId="64" applyFont="1" applyFill="1" applyBorder="1" applyAlignment="1">
      <alignment horizontal="right" vertical="center"/>
    </xf>
    <xf numFmtId="191" fontId="42" fillId="71" borderId="140" xfId="1" applyNumberFormat="1" applyFont="1" applyFill="1" applyBorder="1" applyAlignment="1">
      <alignment vertical="center"/>
    </xf>
    <xf numFmtId="0" fontId="6" fillId="77" borderId="140" xfId="0" applyFont="1" applyFill="1" applyBorder="1" applyAlignment="1">
      <alignment horizontal="right" vertical="center"/>
    </xf>
    <xf numFmtId="0" fontId="41" fillId="77" borderId="140" xfId="0" applyFont="1" applyFill="1" applyBorder="1" applyAlignment="1">
      <alignment vertical="center" wrapText="1"/>
    </xf>
    <xf numFmtId="192" fontId="42" fillId="77" borderId="140" xfId="64" applyNumberFormat="1" applyFont="1" applyFill="1" applyBorder="1" applyAlignment="1">
      <alignment vertical="center"/>
    </xf>
    <xf numFmtId="170" fontId="42" fillId="77" borderId="140" xfId="64" applyFont="1" applyFill="1" applyBorder="1" applyAlignment="1">
      <alignment horizontal="right" vertical="center"/>
    </xf>
    <xf numFmtId="191" fontId="42" fillId="77" borderId="140" xfId="1" applyNumberFormat="1" applyFont="1" applyFill="1" applyBorder="1" applyAlignment="1">
      <alignment vertical="center"/>
    </xf>
    <xf numFmtId="0" fontId="42" fillId="78" borderId="140" xfId="0" applyFont="1" applyFill="1" applyBorder="1" applyAlignment="1">
      <alignment horizontal="right" vertical="center"/>
    </xf>
    <xf numFmtId="0" fontId="42" fillId="78" borderId="140" xfId="0" applyFont="1" applyFill="1" applyBorder="1" applyAlignment="1">
      <alignment horizontal="left" vertical="center" wrapText="1"/>
    </xf>
    <xf numFmtId="192" fontId="42" fillId="78" borderId="140" xfId="64" applyNumberFormat="1" applyFont="1" applyFill="1" applyBorder="1" applyAlignment="1">
      <alignment vertical="center"/>
    </xf>
    <xf numFmtId="191" fontId="42" fillId="78" borderId="140" xfId="1" applyNumberFormat="1" applyFont="1" applyFill="1" applyBorder="1" applyAlignment="1">
      <alignment vertical="center"/>
    </xf>
    <xf numFmtId="0" fontId="42" fillId="78" borderId="0" xfId="0" applyFont="1" applyFill="1" applyAlignment="1">
      <alignment horizontal="right" vertical="center"/>
    </xf>
    <xf numFmtId="192" fontId="42" fillId="78" borderId="0" xfId="64" applyNumberFormat="1" applyFont="1" applyFill="1" applyBorder="1" applyAlignment="1">
      <alignment vertical="center"/>
    </xf>
    <xf numFmtId="0" fontId="6" fillId="78" borderId="140" xfId="0" applyFont="1" applyFill="1" applyBorder="1" applyAlignment="1">
      <alignment horizontal="right" vertical="center"/>
    </xf>
    <xf numFmtId="0" fontId="42" fillId="78" borderId="0" xfId="0" applyFont="1" applyFill="1" applyAlignment="1">
      <alignment horizontal="left" vertical="center" wrapText="1"/>
    </xf>
    <xf numFmtId="191" fontId="1" fillId="78" borderId="140" xfId="1" applyNumberFormat="1" applyFont="1" applyFill="1" applyBorder="1" applyAlignment="1">
      <alignment vertical="center"/>
    </xf>
    <xf numFmtId="170" fontId="24" fillId="4" borderId="0" xfId="0" applyNumberFormat="1" applyFont="1" applyFill="1"/>
    <xf numFmtId="191" fontId="27" fillId="78" borderId="140" xfId="1" applyNumberFormat="1" applyFont="1" applyFill="1" applyBorder="1" applyAlignment="1">
      <alignment vertical="center"/>
    </xf>
    <xf numFmtId="192" fontId="42" fillId="78" borderId="148" xfId="64" applyNumberFormat="1" applyFont="1" applyFill="1" applyBorder="1" applyAlignment="1">
      <alignment vertical="center"/>
    </xf>
    <xf numFmtId="0" fontId="0" fillId="4" borderId="0" xfId="0" applyFill="1" applyAlignment="1">
      <alignment horizontal="left" vertical="center" wrapText="1" indent="2"/>
    </xf>
    <xf numFmtId="192" fontId="42" fillId="4" borderId="0" xfId="64" applyNumberFormat="1" applyFont="1" applyFill="1" applyBorder="1" applyAlignment="1">
      <alignment vertical="center"/>
    </xf>
    <xf numFmtId="192" fontId="41" fillId="4" borderId="0" xfId="64" applyNumberFormat="1" applyFont="1" applyFill="1" applyBorder="1" applyAlignment="1">
      <alignment horizontal="right" vertical="center"/>
    </xf>
    <xf numFmtId="37" fontId="41" fillId="4" borderId="0" xfId="64" applyNumberFormat="1" applyFont="1" applyFill="1" applyBorder="1" applyAlignment="1">
      <alignment horizontal="right" vertical="center"/>
    </xf>
    <xf numFmtId="191" fontId="27" fillId="4" borderId="0" xfId="1" applyNumberFormat="1" applyFont="1" applyFill="1" applyBorder="1" applyAlignment="1">
      <alignment vertical="center"/>
    </xf>
    <xf numFmtId="0" fontId="193" fillId="4" borderId="0" xfId="0" applyFont="1" applyFill="1" applyAlignment="1">
      <alignment horizontal="left" vertical="center" wrapText="1"/>
    </xf>
    <xf numFmtId="170" fontId="27" fillId="4" borderId="0" xfId="64" applyFont="1" applyFill="1" applyBorder="1" applyAlignment="1">
      <alignment horizontal="right" vertical="center"/>
    </xf>
    <xf numFmtId="0" fontId="194" fillId="75" borderId="0" xfId="33" applyFont="1" applyFill="1" applyAlignment="1">
      <alignment horizontal="center" vertical="center"/>
    </xf>
    <xf numFmtId="0" fontId="9" fillId="75" borderId="0" xfId="33" applyFont="1" applyFill="1" applyAlignment="1">
      <alignment vertical="center"/>
    </xf>
    <xf numFmtId="0" fontId="194" fillId="75" borderId="0" xfId="0" applyFont="1" applyFill="1" applyAlignment="1">
      <alignment horizontal="center" vertical="center"/>
    </xf>
    <xf numFmtId="0" fontId="159" fillId="4" borderId="0" xfId="0" applyFont="1" applyFill="1" applyAlignment="1">
      <alignment vertical="center"/>
    </xf>
    <xf numFmtId="0" fontId="161" fillId="0" borderId="0" xfId="36" applyFont="1" applyFill="1" applyAlignment="1">
      <alignment horizontal="center" vertical="center" wrapText="1"/>
    </xf>
    <xf numFmtId="0" fontId="194" fillId="0" borderId="0" xfId="33" applyFont="1" applyFill="1" applyAlignment="1">
      <alignment horizontal="center" vertical="center"/>
    </xf>
    <xf numFmtId="0" fontId="194" fillId="0" borderId="0" xfId="0" applyFont="1" applyAlignment="1">
      <alignment horizontal="center" vertical="center"/>
    </xf>
    <xf numFmtId="0" fontId="195" fillId="0" borderId="0" xfId="44" applyFont="1" applyFill="1" applyAlignment="1">
      <alignment horizontal="center" vertical="center"/>
    </xf>
    <xf numFmtId="0" fontId="6" fillId="0" borderId="0" xfId="0" applyFont="1" applyAlignment="1">
      <alignment horizontal="right" vertical="center"/>
    </xf>
    <xf numFmtId="0" fontId="196" fillId="0" borderId="0" xfId="44" applyFont="1" applyFill="1" applyAlignment="1">
      <alignment horizontal="center" vertical="center"/>
    </xf>
    <xf numFmtId="3" fontId="24" fillId="4" borderId="0" xfId="0" applyNumberFormat="1" applyFont="1" applyFill="1" applyAlignment="1">
      <alignment horizontal="center" vertical="center"/>
    </xf>
    <xf numFmtId="9" fontId="24" fillId="4" borderId="0" xfId="1" applyFont="1" applyFill="1"/>
    <xf numFmtId="3" fontId="24" fillId="0" borderId="0" xfId="0" applyNumberFormat="1" applyFont="1" applyAlignment="1">
      <alignment horizontal="center" vertical="center"/>
    </xf>
    <xf numFmtId="9" fontId="24" fillId="0" borderId="0" xfId="1" applyFont="1" applyFill="1"/>
    <xf numFmtId="0" fontId="0" fillId="4" borderId="24" xfId="0" applyFill="1" applyBorder="1"/>
    <xf numFmtId="0" fontId="12" fillId="4" borderId="28" xfId="0" applyFont="1" applyFill="1" applyBorder="1" applyAlignment="1">
      <alignment vertical="center"/>
    </xf>
    <xf numFmtId="0" fontId="0" fillId="4" borderId="28" xfId="0" applyFill="1" applyBorder="1"/>
    <xf numFmtId="0" fontId="3" fillId="4" borderId="28" xfId="0" applyFont="1" applyFill="1" applyBorder="1" applyAlignment="1">
      <alignment horizontal="center" vertical="center" wrapText="1"/>
    </xf>
    <xf numFmtId="0" fontId="3" fillId="4" borderId="28" xfId="0" applyFont="1" applyFill="1" applyBorder="1" applyAlignment="1">
      <alignment horizontal="center" vertical="center"/>
    </xf>
    <xf numFmtId="0" fontId="2" fillId="4" borderId="0" xfId="0" applyFont="1" applyFill="1" applyAlignment="1">
      <alignment vertical="center"/>
    </xf>
    <xf numFmtId="0" fontId="2" fillId="4" borderId="0" xfId="0" applyFont="1" applyFill="1" applyAlignment="1">
      <alignment horizontal="center" vertical="center" wrapText="1"/>
    </xf>
    <xf numFmtId="3" fontId="0" fillId="4" borderId="0" xfId="0" applyNumberFormat="1" applyFill="1" applyAlignment="1">
      <alignment horizontal="center" vertical="center"/>
    </xf>
    <xf numFmtId="9" fontId="0" fillId="4" borderId="0" xfId="1" applyFont="1" applyFill="1" applyAlignment="1" applyProtection="1">
      <alignment horizontal="center" vertical="center"/>
    </xf>
    <xf numFmtId="0" fontId="197" fillId="0" borderId="0" xfId="34" applyFont="1" applyFill="1" applyAlignment="1">
      <alignment horizontal="center" vertical="center" wrapText="1"/>
    </xf>
    <xf numFmtId="0" fontId="9" fillId="0" borderId="0" xfId="33" applyFont="1" applyFill="1" applyAlignment="1">
      <alignment horizontal="center" vertical="center"/>
    </xf>
    <xf numFmtId="0" fontId="37" fillId="0" borderId="0" xfId="0" applyFont="1" applyAlignment="1">
      <alignment horizontal="center" vertical="center"/>
    </xf>
    <xf numFmtId="0" fontId="42" fillId="0" borderId="0" xfId="66"/>
    <xf numFmtId="0" fontId="42" fillId="0" borderId="0" xfId="66" applyAlignment="1">
      <alignment horizontal="center" wrapText="1"/>
    </xf>
    <xf numFmtId="0" fontId="42" fillId="0" borderId="0" xfId="66" applyAlignment="1">
      <alignment horizontal="center"/>
    </xf>
    <xf numFmtId="0" fontId="198" fillId="0" borderId="0" xfId="66" applyFont="1" applyAlignment="1">
      <alignment horizontal="left" vertical="top"/>
    </xf>
    <xf numFmtId="0" fontId="42" fillId="0" borderId="0" xfId="66" applyAlignment="1">
      <alignment horizontal="center" vertical="top"/>
    </xf>
    <xf numFmtId="0" fontId="42" fillId="0" borderId="0" xfId="66" applyAlignment="1" applyProtection="1">
      <alignment horizontal="center"/>
      <protection hidden="1"/>
    </xf>
    <xf numFmtId="0" fontId="171" fillId="67" borderId="0" xfId="0" applyFont="1" applyFill="1" applyAlignment="1">
      <alignment horizontal="right"/>
    </xf>
    <xf numFmtId="0" fontId="171" fillId="67" borderId="0" xfId="0" applyFont="1" applyFill="1"/>
    <xf numFmtId="0" fontId="171" fillId="67" borderId="0" xfId="0" applyFont="1" applyFill="1" applyAlignment="1">
      <alignment wrapText="1"/>
    </xf>
    <xf numFmtId="0" fontId="171" fillId="67" borderId="0" xfId="0" applyFont="1" applyFill="1" applyProtection="1">
      <protection hidden="1"/>
    </xf>
    <xf numFmtId="0" fontId="171" fillId="67" borderId="0" xfId="66" applyFont="1" applyFill="1"/>
    <xf numFmtId="0" fontId="42" fillId="67" borderId="1" xfId="66" applyFill="1" applyBorder="1" applyAlignment="1">
      <alignment horizontal="center" vertical="center" wrapText="1"/>
    </xf>
    <xf numFmtId="0" fontId="41" fillId="0" borderId="0" xfId="66" applyFont="1" applyAlignment="1">
      <alignment horizontal="center" vertical="center" wrapText="1"/>
    </xf>
    <xf numFmtId="0" fontId="41" fillId="0" borderId="0" xfId="66" applyFont="1" applyAlignment="1" applyProtection="1">
      <alignment horizontal="center" vertical="center" wrapText="1"/>
      <protection hidden="1"/>
    </xf>
    <xf numFmtId="0" fontId="42" fillId="67" borderId="1" xfId="66" applyFill="1" applyBorder="1" applyAlignment="1">
      <alignment vertical="center" wrapText="1"/>
    </xf>
    <xf numFmtId="0" fontId="42" fillId="67" borderId="1" xfId="66" applyFill="1" applyBorder="1" applyAlignment="1" applyProtection="1">
      <alignment horizontal="center" vertical="center" wrapText="1"/>
      <protection hidden="1"/>
    </xf>
    <xf numFmtId="0" fontId="183" fillId="62" borderId="149" xfId="10" applyFont="1" applyFill="1" applyBorder="1" applyAlignment="1" applyProtection="1">
      <alignment horizontal="center" vertical="center"/>
      <protection locked="0"/>
    </xf>
    <xf numFmtId="0" fontId="183" fillId="62" borderId="149" xfId="10" applyFont="1" applyFill="1" applyBorder="1" applyAlignment="1" applyProtection="1">
      <alignment horizontal="center" vertical="center" wrapText="1"/>
      <protection locked="0"/>
    </xf>
    <xf numFmtId="14" fontId="183" fillId="62" borderId="149" xfId="10" applyNumberFormat="1" applyFont="1" applyFill="1" applyBorder="1" applyAlignment="1" applyProtection="1">
      <alignment horizontal="center" vertical="center"/>
      <protection locked="0"/>
    </xf>
    <xf numFmtId="0" fontId="183" fillId="62" borderId="150" xfId="10" applyFont="1" applyFill="1" applyBorder="1" applyAlignment="1" applyProtection="1">
      <alignment horizontal="center" vertical="center"/>
      <protection locked="0"/>
    </xf>
    <xf numFmtId="0" fontId="27" fillId="0" borderId="1" xfId="66" applyFont="1" applyBorder="1" applyAlignment="1">
      <alignment horizontal="center" vertical="center"/>
    </xf>
    <xf numFmtId="0" fontId="27" fillId="0" borderId="0" xfId="66" applyFont="1" applyAlignment="1">
      <alignment horizontal="center" vertical="center"/>
    </xf>
    <xf numFmtId="164" fontId="0" fillId="0" borderId="27" xfId="0" applyNumberFormat="1" applyBorder="1" applyAlignment="1" applyProtection="1">
      <alignment horizontal="center"/>
      <protection hidden="1"/>
    </xf>
    <xf numFmtId="0" fontId="19" fillId="62" borderId="8" xfId="10" applyFill="1" applyAlignment="1" applyProtection="1">
      <alignment horizontal="center" vertical="center" wrapText="1"/>
      <protection locked="0"/>
    </xf>
    <xf numFmtId="0" fontId="19" fillId="62" borderId="149" xfId="10" applyFill="1" applyBorder="1" applyAlignment="1" applyProtection="1">
      <alignment horizontal="center" vertical="center"/>
      <protection locked="0"/>
    </xf>
    <xf numFmtId="14" fontId="19" fillId="62" borderId="8" xfId="10" applyNumberFormat="1" applyFill="1" applyAlignment="1" applyProtection="1">
      <alignment horizontal="center" vertical="center"/>
      <protection locked="0"/>
    </xf>
    <xf numFmtId="0" fontId="19" fillId="62" borderId="149" xfId="10" applyFill="1" applyBorder="1" applyAlignment="1" applyProtection="1">
      <alignment horizontal="center" vertical="center" wrapText="1"/>
      <protection locked="0"/>
    </xf>
    <xf numFmtId="0" fontId="19" fillId="62" borderId="129" xfId="10" applyFill="1" applyBorder="1" applyAlignment="1" applyProtection="1">
      <alignment vertical="center" wrapText="1"/>
      <protection locked="0"/>
    </xf>
    <xf numFmtId="0" fontId="159" fillId="4" borderId="0" xfId="0" applyFont="1" applyFill="1"/>
    <xf numFmtId="0" fontId="170" fillId="0" borderId="0" xfId="0" applyFont="1" applyAlignment="1">
      <alignment horizontal="left" vertical="top"/>
    </xf>
    <xf numFmtId="0" fontId="27" fillId="61" borderId="151" xfId="0" applyFont="1" applyFill="1" applyBorder="1" applyAlignment="1">
      <alignment horizontal="center" vertical="center"/>
    </xf>
    <xf numFmtId="0" fontId="27" fillId="61" borderId="152" xfId="0" applyFont="1" applyFill="1" applyBorder="1" applyAlignment="1">
      <alignment vertical="center" wrapText="1"/>
    </xf>
    <xf numFmtId="0" fontId="27" fillId="61" borderId="152" xfId="0" applyFont="1" applyFill="1" applyBorder="1" applyAlignment="1">
      <alignment vertical="center"/>
    </xf>
    <xf numFmtId="0" fontId="27" fillId="61" borderId="152" xfId="0" applyFont="1" applyFill="1" applyBorder="1" applyAlignment="1">
      <alignment horizontal="center" vertical="center"/>
    </xf>
    <xf numFmtId="0" fontId="27" fillId="61" borderId="153" xfId="0" applyFont="1" applyFill="1" applyBorder="1" applyAlignment="1">
      <alignment vertical="center"/>
    </xf>
    <xf numFmtId="0" fontId="27" fillId="4" borderId="154" xfId="0" applyFont="1" applyFill="1" applyBorder="1" applyAlignment="1">
      <alignment horizontal="center" vertical="center"/>
    </xf>
    <xf numFmtId="0" fontId="27" fillId="4" borderId="123" xfId="0" applyFont="1" applyFill="1" applyBorder="1" applyAlignment="1">
      <alignment horizontal="left" vertical="center" wrapText="1"/>
    </xf>
    <xf numFmtId="0" fontId="27" fillId="4" borderId="123" xfId="0" applyFont="1" applyFill="1" applyBorder="1" applyAlignment="1">
      <alignment vertical="center"/>
    </xf>
    <xf numFmtId="0" fontId="27" fillId="4" borderId="123" xfId="0" applyFont="1" applyFill="1" applyBorder="1" applyAlignment="1">
      <alignment horizontal="center" vertical="center"/>
    </xf>
    <xf numFmtId="0" fontId="27" fillId="4" borderId="123" xfId="0" applyFont="1" applyFill="1" applyBorder="1" applyAlignment="1" applyProtection="1">
      <alignment vertical="center"/>
      <protection locked="0"/>
    </xf>
    <xf numFmtId="0" fontId="27" fillId="4" borderId="155" xfId="0" applyFont="1" applyFill="1" applyBorder="1" applyAlignment="1">
      <alignment vertical="center"/>
    </xf>
    <xf numFmtId="0" fontId="27" fillId="4" borderId="123" xfId="0" applyFont="1" applyFill="1" applyBorder="1" applyAlignment="1">
      <alignment vertical="center" wrapText="1"/>
    </xf>
    <xf numFmtId="0" fontId="201" fillId="4" borderId="123" xfId="65" applyFont="1" applyFill="1" applyBorder="1" applyAlignment="1" applyProtection="1">
      <alignment vertical="center"/>
      <protection locked="0"/>
    </xf>
    <xf numFmtId="0" fontId="178" fillId="0" borderId="155" xfId="0" applyFont="1" applyBorder="1" applyAlignment="1">
      <alignment horizontal="left" vertical="center"/>
    </xf>
    <xf numFmtId="15" fontId="27" fillId="4" borderId="123" xfId="0" applyNumberFormat="1" applyFont="1" applyFill="1" applyBorder="1" applyAlignment="1">
      <alignment horizontal="center" vertical="center"/>
    </xf>
    <xf numFmtId="17" fontId="27" fillId="4" borderId="123" xfId="0" applyNumberFormat="1" applyFont="1" applyFill="1" applyBorder="1" applyAlignment="1">
      <alignment horizontal="center" vertical="center"/>
    </xf>
    <xf numFmtId="0" fontId="27" fillId="4" borderId="155" xfId="0" applyFont="1" applyFill="1" applyBorder="1" applyAlignment="1">
      <alignment vertical="center" wrapText="1"/>
    </xf>
    <xf numFmtId="1" fontId="27" fillId="4" borderId="123" xfId="0" applyNumberFormat="1" applyFont="1" applyFill="1" applyBorder="1" applyAlignment="1">
      <alignment horizontal="center" vertical="center"/>
    </xf>
    <xf numFmtId="14" fontId="27" fillId="4" borderId="123" xfId="0" applyNumberFormat="1" applyFont="1" applyFill="1" applyBorder="1" applyAlignment="1">
      <alignment horizontal="center" vertical="center" wrapText="1"/>
    </xf>
    <xf numFmtId="0" fontId="27" fillId="4" borderId="123" xfId="0" applyFont="1" applyFill="1" applyBorder="1" applyAlignment="1" applyProtection="1">
      <alignment vertical="center" wrapText="1"/>
      <protection locked="0"/>
    </xf>
    <xf numFmtId="0" fontId="27" fillId="4" borderId="123" xfId="0" applyFont="1" applyFill="1" applyBorder="1" applyAlignment="1">
      <alignment horizontal="center" vertical="center" wrapText="1"/>
    </xf>
    <xf numFmtId="17" fontId="27" fillId="4" borderId="123" xfId="0" applyNumberFormat="1" applyFont="1" applyFill="1" applyBorder="1" applyAlignment="1">
      <alignment horizontal="center" vertical="center" wrapText="1"/>
    </xf>
    <xf numFmtId="0" fontId="27" fillId="4" borderId="154" xfId="0" applyFont="1" applyFill="1" applyBorder="1" applyAlignment="1">
      <alignment horizontal="center" vertical="center" wrapText="1"/>
    </xf>
    <xf numFmtId="14" fontId="27" fillId="4" borderId="123" xfId="0" applyNumberFormat="1" applyFont="1" applyFill="1" applyBorder="1" applyAlignment="1">
      <alignment horizontal="center" vertical="center"/>
    </xf>
    <xf numFmtId="0" fontId="201" fillId="4" borderId="123" xfId="65" applyFont="1" applyFill="1" applyBorder="1" applyAlignment="1" applyProtection="1">
      <alignment vertical="center" wrapText="1"/>
    </xf>
    <xf numFmtId="0" fontId="0" fillId="4" borderId="154" xfId="0" applyFill="1" applyBorder="1" applyAlignment="1">
      <alignment horizontal="center" vertical="center"/>
    </xf>
    <xf numFmtId="0" fontId="0" fillId="4" borderId="123" xfId="0" applyFill="1" applyBorder="1" applyAlignment="1">
      <alignment vertical="center"/>
    </xf>
    <xf numFmtId="0" fontId="0" fillId="4" borderId="123" xfId="0" applyFill="1" applyBorder="1" applyAlignment="1">
      <alignment vertical="center" wrapText="1"/>
    </xf>
    <xf numFmtId="0" fontId="0" fillId="4" borderId="123" xfId="0" applyFill="1" applyBorder="1" applyAlignment="1">
      <alignment horizontal="center" vertical="center"/>
    </xf>
    <xf numFmtId="0" fontId="8" fillId="0" borderId="123" xfId="2" applyBorder="1"/>
    <xf numFmtId="0" fontId="0" fillId="4" borderId="155" xfId="0" applyFill="1" applyBorder="1" applyAlignment="1">
      <alignment vertical="center"/>
    </xf>
    <xf numFmtId="0" fontId="0" fillId="4" borderId="156" xfId="0" applyFill="1" applyBorder="1" applyAlignment="1">
      <alignment horizontal="center" vertical="center"/>
    </xf>
    <xf numFmtId="0" fontId="0" fillId="4" borderId="157" xfId="0" applyFill="1" applyBorder="1" applyAlignment="1">
      <alignment vertical="center"/>
    </xf>
    <xf numFmtId="0" fontId="0" fillId="4" borderId="157" xfId="0" applyFill="1" applyBorder="1" applyAlignment="1">
      <alignment horizontal="center" vertical="center"/>
    </xf>
    <xf numFmtId="0" fontId="0" fillId="4" borderId="158" xfId="0" applyFill="1" applyBorder="1" applyAlignment="1">
      <alignment vertical="center"/>
    </xf>
    <xf numFmtId="0" fontId="47" fillId="0" borderId="0" xfId="67"/>
    <xf numFmtId="0" fontId="198" fillId="0" borderId="0" xfId="67" applyFont="1" applyAlignment="1">
      <alignment vertical="top"/>
    </xf>
    <xf numFmtId="0" fontId="171" fillId="80" borderId="0" xfId="0" applyFont="1" applyFill="1" applyAlignment="1">
      <alignment horizontal="right"/>
    </xf>
    <xf numFmtId="0" fontId="171" fillId="80" borderId="0" xfId="0" applyFont="1" applyFill="1"/>
    <xf numFmtId="0" fontId="171" fillId="0" borderId="0" xfId="66" applyFont="1"/>
    <xf numFmtId="0" fontId="42" fillId="0" borderId="0" xfId="67" applyFont="1"/>
    <xf numFmtId="0" fontId="41" fillId="81" borderId="1" xfId="67" applyFont="1" applyFill="1" applyBorder="1"/>
    <xf numFmtId="0" fontId="47" fillId="81" borderId="1" xfId="67" applyFill="1" applyBorder="1"/>
    <xf numFmtId="0" fontId="41" fillId="0" borderId="0" xfId="67" applyFont="1"/>
    <xf numFmtId="0" fontId="42" fillId="81" borderId="1" xfId="67" applyFont="1" applyFill="1" applyBorder="1"/>
    <xf numFmtId="0" fontId="171" fillId="80" borderId="1" xfId="0" applyFont="1" applyFill="1" applyBorder="1"/>
    <xf numFmtId="0" fontId="47" fillId="0" borderId="1" xfId="67" applyBorder="1"/>
    <xf numFmtId="0" fontId="19" fillId="62" borderId="1" xfId="10" applyFill="1" applyBorder="1" applyProtection="1">
      <protection locked="0"/>
    </xf>
    <xf numFmtId="0" fontId="171" fillId="0" borderId="0" xfId="67" applyFont="1"/>
    <xf numFmtId="0" fontId="171" fillId="42" borderId="1" xfId="0" applyFont="1" applyFill="1" applyBorder="1"/>
    <xf numFmtId="165" fontId="42" fillId="81" borderId="1" xfId="67" applyNumberFormat="1" applyFont="1" applyFill="1" applyBorder="1"/>
    <xf numFmtId="3" fontId="42" fillId="81" borderId="1" xfId="67" applyNumberFormat="1" applyFont="1" applyFill="1" applyBorder="1"/>
    <xf numFmtId="166" fontId="42" fillId="81" borderId="1" xfId="67" applyNumberFormat="1" applyFont="1" applyFill="1" applyBorder="1"/>
    <xf numFmtId="0" fontId="42" fillId="81" borderId="0" xfId="67" applyFont="1" applyFill="1"/>
    <xf numFmtId="0" fontId="42" fillId="81" borderId="26" xfId="67" applyFont="1" applyFill="1" applyBorder="1"/>
    <xf numFmtId="0" fontId="170" fillId="0" borderId="0" xfId="0" applyFont="1"/>
    <xf numFmtId="0" fontId="3" fillId="0" borderId="0" xfId="0" applyFont="1" applyAlignment="1">
      <alignment horizontal="left" vertical="center" wrapText="1"/>
    </xf>
    <xf numFmtId="0" fontId="28" fillId="61" borderId="1" xfId="0" applyFont="1" applyFill="1" applyBorder="1" applyAlignment="1">
      <alignment horizontal="center" vertical="center" wrapText="1"/>
    </xf>
    <xf numFmtId="0" fontId="3" fillId="4" borderId="0" xfId="0" applyFont="1" applyFill="1" applyAlignment="1">
      <alignment horizontal="center" vertical="center" wrapText="1"/>
    </xf>
    <xf numFmtId="0" fontId="27" fillId="4" borderId="1" xfId="0" applyFont="1" applyFill="1" applyBorder="1" applyAlignment="1" applyProtection="1">
      <alignment horizontal="center" vertical="center" wrapText="1"/>
      <protection locked="0"/>
    </xf>
    <xf numFmtId="0" fontId="27" fillId="4" borderId="1" xfId="0" applyFont="1" applyFill="1" applyBorder="1" applyAlignment="1" applyProtection="1">
      <alignment vertical="center" wrapText="1"/>
      <protection locked="0"/>
    </xf>
    <xf numFmtId="15" fontId="27" fillId="4" borderId="1" xfId="0" applyNumberFormat="1" applyFont="1" applyFill="1" applyBorder="1" applyAlignment="1" applyProtection="1">
      <alignment horizontal="center" vertical="center" wrapText="1"/>
      <protection locked="0"/>
    </xf>
    <xf numFmtId="0" fontId="0" fillId="4" borderId="0" xfId="0" applyFill="1" applyAlignment="1" applyProtection="1">
      <alignment vertical="center" wrapText="1"/>
      <protection locked="0"/>
    </xf>
    <xf numFmtId="0" fontId="0" fillId="0" borderId="1" xfId="0" applyBorder="1" applyAlignment="1" applyProtection="1">
      <alignment wrapText="1"/>
      <protection locked="0"/>
    </xf>
    <xf numFmtId="0" fontId="0" fillId="0" borderId="0" xfId="0" applyAlignment="1" applyProtection="1">
      <alignment wrapText="1"/>
      <protection locked="0"/>
    </xf>
    <xf numFmtId="3" fontId="2" fillId="51" borderId="1" xfId="0" applyNumberFormat="1" applyFont="1" applyFill="1" applyBorder="1" applyAlignment="1">
      <alignment horizontal="center"/>
    </xf>
    <xf numFmtId="2" fontId="0" fillId="49" borderId="72" xfId="0" applyNumberFormat="1" applyFill="1" applyBorder="1" applyAlignment="1" applyProtection="1">
      <alignment horizontal="center" vertical="center"/>
      <protection locked="0"/>
    </xf>
    <xf numFmtId="0" fontId="158" fillId="0" borderId="0" xfId="0" applyFont="1" applyAlignment="1">
      <alignment wrapText="1"/>
    </xf>
    <xf numFmtId="0" fontId="173" fillId="0" borderId="0" xfId="0" applyFont="1" applyAlignment="1">
      <alignment horizontal="center" wrapText="1"/>
    </xf>
    <xf numFmtId="3" fontId="42" fillId="78" borderId="140" xfId="0" applyNumberFormat="1" applyFont="1" applyFill="1" applyBorder="1" applyAlignment="1">
      <alignment horizontal="right" vertical="center" wrapText="1"/>
    </xf>
    <xf numFmtId="0" fontId="67" fillId="11" borderId="11" xfId="2" applyFont="1" applyFill="1" applyBorder="1" applyAlignment="1" applyProtection="1">
      <alignment horizontal="center" vertical="center" wrapText="1"/>
      <protection locked="0"/>
    </xf>
    <xf numFmtId="0" fontId="78" fillId="11" borderId="11" xfId="2" applyFont="1" applyFill="1" applyBorder="1" applyAlignment="1" applyProtection="1">
      <alignment horizontal="center" vertical="center" wrapText="1"/>
      <protection locked="0"/>
    </xf>
    <xf numFmtId="177" fontId="6" fillId="60" borderId="47" xfId="0" applyNumberFormat="1" applyFont="1" applyFill="1" applyBorder="1"/>
    <xf numFmtId="0" fontId="6" fillId="60" borderId="47" xfId="0" applyFont="1" applyFill="1" applyBorder="1"/>
    <xf numFmtId="164" fontId="6" fillId="60" borderId="47" xfId="0" applyNumberFormat="1" applyFont="1" applyFill="1" applyBorder="1" applyAlignment="1">
      <alignment horizontal="center"/>
    </xf>
    <xf numFmtId="43" fontId="100" fillId="40" borderId="47" xfId="68" applyFont="1" applyFill="1" applyBorder="1" applyAlignment="1" applyProtection="1">
      <alignment horizontal="left"/>
    </xf>
    <xf numFmtId="3" fontId="6" fillId="0" borderId="85" xfId="0" applyNumberFormat="1" applyFont="1" applyBorder="1" applyAlignment="1" applyProtection="1">
      <alignment horizontal="center"/>
      <protection hidden="1"/>
    </xf>
    <xf numFmtId="43" fontId="100" fillId="40" borderId="47" xfId="68" applyFont="1" applyFill="1" applyBorder="1" applyProtection="1"/>
    <xf numFmtId="0" fontId="100" fillId="40" borderId="47" xfId="0" applyFont="1" applyFill="1" applyBorder="1" applyAlignment="1">
      <alignment wrapText="1"/>
    </xf>
    <xf numFmtId="4" fontId="100" fillId="40" borderId="47" xfId="0" applyNumberFormat="1" applyFont="1" applyFill="1" applyBorder="1" applyAlignment="1">
      <alignment horizontal="center" wrapText="1"/>
    </xf>
    <xf numFmtId="0" fontId="4" fillId="0" borderId="0" xfId="0" applyFont="1" applyAlignment="1">
      <alignment horizontal="left" vertical="center" wrapText="1"/>
    </xf>
    <xf numFmtId="0" fontId="54" fillId="4" borderId="0" xfId="0" applyFont="1" applyFill="1" applyAlignment="1">
      <alignment horizontal="left" wrapText="1"/>
    </xf>
    <xf numFmtId="0" fontId="10" fillId="4" borderId="0" xfId="0" applyFont="1" applyFill="1" applyAlignment="1">
      <alignment horizontal="left" vertical="center" wrapText="1"/>
    </xf>
    <xf numFmtId="0" fontId="4" fillId="4" borderId="0" xfId="0" applyFont="1" applyFill="1" applyAlignment="1">
      <alignment horizontal="left" vertical="center" wrapText="1"/>
    </xf>
    <xf numFmtId="0" fontId="19" fillId="62" borderId="8" xfId="10" applyFill="1" applyAlignment="1" applyProtection="1">
      <alignment horizontal="center"/>
      <protection locked="0"/>
    </xf>
    <xf numFmtId="0" fontId="164" fillId="62" borderId="8" xfId="65" applyFont="1" applyFill="1" applyBorder="1" applyAlignment="1" applyProtection="1">
      <alignment horizontal="center"/>
      <protection locked="0"/>
    </xf>
    <xf numFmtId="0" fontId="3" fillId="4" borderId="119" xfId="0" applyFont="1" applyFill="1" applyBorder="1" applyAlignment="1">
      <alignment horizontal="left" vertical="center" wrapText="1"/>
    </xf>
    <xf numFmtId="0" fontId="3" fillId="4" borderId="122" xfId="0" applyFont="1" applyFill="1" applyBorder="1" applyAlignment="1">
      <alignment horizontal="left" vertical="center" wrapText="1"/>
    </xf>
    <xf numFmtId="0" fontId="169" fillId="2" borderId="1" xfId="2" applyFont="1" applyFill="1" applyBorder="1" applyAlignment="1">
      <alignment horizontal="left" wrapText="1"/>
    </xf>
    <xf numFmtId="0" fontId="3" fillId="4" borderId="125" xfId="0" applyFont="1" applyFill="1" applyBorder="1" applyAlignment="1">
      <alignment horizontal="left" vertical="center" wrapText="1"/>
    </xf>
    <xf numFmtId="0" fontId="0" fillId="0" borderId="0" xfId="0" applyAlignment="1">
      <alignment horizontal="center" vertical="center" wrapText="1"/>
    </xf>
    <xf numFmtId="0" fontId="19" fillId="0" borderId="0" xfId="10" applyFill="1" applyBorder="1" applyAlignment="1" applyProtection="1">
      <alignment horizontal="center" vertical="center"/>
      <protection locked="0"/>
    </xf>
    <xf numFmtId="0" fontId="185" fillId="0" borderId="0" xfId="65" applyFont="1" applyFill="1" applyBorder="1" applyAlignment="1" applyProtection="1">
      <alignment horizontal="center" vertical="center"/>
      <protection locked="0"/>
    </xf>
    <xf numFmtId="170" fontId="19" fillId="0" borderId="0" xfId="64" applyFont="1" applyFill="1" applyBorder="1" applyAlignment="1" applyProtection="1">
      <alignment horizontal="center" vertical="center"/>
      <protection locked="0"/>
    </xf>
    <xf numFmtId="0" fontId="0" fillId="0" borderId="0" xfId="0" applyAlignment="1">
      <alignment horizontal="center"/>
    </xf>
    <xf numFmtId="49" fontId="4" fillId="0" borderId="0" xfId="0" applyNumberFormat="1" applyFont="1" applyAlignment="1">
      <alignment horizontal="left" vertical="center" wrapText="1"/>
    </xf>
    <xf numFmtId="0" fontId="3" fillId="0" borderId="136" xfId="0" applyFont="1" applyBorder="1" applyAlignment="1">
      <alignment horizontal="right" vertical="center"/>
    </xf>
    <xf numFmtId="0" fontId="3" fillId="0" borderId="0" xfId="0" applyFont="1" applyAlignment="1">
      <alignment horizontal="center" wrapText="1"/>
    </xf>
    <xf numFmtId="0" fontId="3" fillId="0" borderId="134" xfId="0" applyFont="1" applyBorder="1" applyAlignment="1">
      <alignment horizontal="center" wrapText="1"/>
    </xf>
    <xf numFmtId="0" fontId="19" fillId="62" borderId="8" xfId="10" applyFill="1" applyAlignment="1" applyProtection="1">
      <alignment horizontal="center" vertical="center"/>
      <protection locked="0"/>
    </xf>
    <xf numFmtId="0" fontId="4" fillId="0" borderId="0" xfId="0" applyFont="1" applyAlignment="1">
      <alignment horizontal="left" wrapText="1"/>
    </xf>
    <xf numFmtId="0" fontId="0" fillId="67" borderId="4" xfId="0" applyFill="1" applyBorder="1" applyAlignment="1">
      <alignment horizontal="center" vertical="center" wrapText="1"/>
    </xf>
    <xf numFmtId="0" fontId="0" fillId="67" borderId="25" xfId="0" applyFill="1" applyBorder="1" applyAlignment="1">
      <alignment horizontal="center" vertical="center" wrapText="1"/>
    </xf>
    <xf numFmtId="0" fontId="0" fillId="67" borderId="27" xfId="0" applyFill="1" applyBorder="1" applyAlignment="1">
      <alignment horizontal="center" vertical="center" wrapText="1"/>
    </xf>
    <xf numFmtId="0" fontId="0" fillId="0" borderId="0" xfId="0" applyAlignment="1">
      <alignment horizontal="left" wrapText="1"/>
    </xf>
    <xf numFmtId="0" fontId="4" fillId="0" borderId="0" xfId="0" applyFont="1" applyAlignment="1">
      <alignment horizontal="left" vertical="center"/>
    </xf>
    <xf numFmtId="0" fontId="0" fillId="67" borderId="16" xfId="0" applyFill="1" applyBorder="1" applyAlignment="1">
      <alignment horizontal="center" vertical="center"/>
    </xf>
    <xf numFmtId="0" fontId="0" fillId="67" borderId="29" xfId="0" applyFill="1" applyBorder="1" applyAlignment="1">
      <alignment horizontal="center" vertical="center"/>
    </xf>
    <xf numFmtId="0" fontId="0" fillId="67" borderId="17" xfId="0" applyFill="1" applyBorder="1" applyAlignment="1">
      <alignment horizontal="center" vertical="center"/>
    </xf>
    <xf numFmtId="0" fontId="28" fillId="0" borderId="0" xfId="0" applyFont="1" applyAlignment="1">
      <alignment horizontal="left" vertical="center" wrapText="1"/>
    </xf>
    <xf numFmtId="0" fontId="27" fillId="0" borderId="0" xfId="0" applyFont="1" applyAlignment="1">
      <alignment horizontal="left" vertical="center" wrapText="1"/>
    </xf>
    <xf numFmtId="0" fontId="19" fillId="62" borderId="129" xfId="10" applyFill="1" applyBorder="1" applyAlignment="1" applyProtection="1">
      <alignment horizontal="center" vertical="center"/>
      <protection locked="0"/>
    </xf>
    <xf numFmtId="0" fontId="19" fillId="62" borderId="130" xfId="10" applyFill="1" applyBorder="1" applyAlignment="1" applyProtection="1">
      <alignment horizontal="center" vertical="center"/>
      <protection locked="0"/>
    </xf>
    <xf numFmtId="0" fontId="171" fillId="67" borderId="0" xfId="0" applyFont="1" applyFill="1" applyAlignment="1">
      <alignment horizontal="left" vertical="center" wrapText="1"/>
    </xf>
    <xf numFmtId="0" fontId="10" fillId="0" borderId="0" xfId="0" applyFont="1" applyAlignment="1">
      <alignment horizontal="left" vertical="center" wrapText="1"/>
    </xf>
    <xf numFmtId="0" fontId="4" fillId="4" borderId="0" xfId="0" applyFont="1" applyFill="1" applyAlignment="1">
      <alignment horizontal="left" wrapText="1"/>
    </xf>
    <xf numFmtId="0" fontId="0" fillId="0" borderId="0" xfId="0" applyAlignment="1">
      <alignment horizontal="left" vertical="center" wrapText="1"/>
    </xf>
    <xf numFmtId="0" fontId="19" fillId="62" borderId="129" xfId="10" applyNumberFormat="1" applyFill="1" applyBorder="1" applyAlignment="1" applyProtection="1">
      <alignment horizontal="center" vertical="center"/>
      <protection locked="0"/>
    </xf>
    <xf numFmtId="0" fontId="19" fillId="62" borderId="130" xfId="10" applyNumberFormat="1" applyFill="1" applyBorder="1" applyAlignment="1" applyProtection="1">
      <alignment horizontal="center" vertical="center"/>
      <protection locked="0"/>
    </xf>
    <xf numFmtId="0" fontId="27" fillId="61" borderId="24" xfId="0" applyFont="1" applyFill="1" applyBorder="1" applyAlignment="1">
      <alignment horizontal="center" vertical="center" wrapText="1"/>
    </xf>
    <xf numFmtId="0" fontId="27" fillId="61" borderId="142" xfId="0" applyFont="1" applyFill="1" applyBorder="1" applyAlignment="1">
      <alignment horizontal="center" vertical="center" wrapText="1"/>
    </xf>
    <xf numFmtId="0" fontId="28" fillId="61" borderId="16" xfId="0" applyFont="1" applyFill="1" applyBorder="1" applyAlignment="1">
      <alignment horizontal="center" vertical="center"/>
    </xf>
    <xf numFmtId="0" fontId="28" fillId="61" borderId="29" xfId="0" applyFont="1" applyFill="1" applyBorder="1" applyAlignment="1">
      <alignment horizontal="center" vertical="center"/>
    </xf>
    <xf numFmtId="0" fontId="27" fillId="61" borderId="26" xfId="0" applyFont="1" applyFill="1" applyBorder="1" applyAlignment="1">
      <alignment horizontal="center" vertical="center" wrapText="1"/>
    </xf>
    <xf numFmtId="0" fontId="27" fillId="0" borderId="24" xfId="0" applyFont="1" applyBorder="1" applyAlignment="1">
      <alignment horizontal="left" vertical="center" wrapText="1"/>
    </xf>
    <xf numFmtId="0" fontId="27" fillId="0" borderId="28" xfId="0" applyFont="1" applyBorder="1" applyAlignment="1">
      <alignment horizontal="left" vertical="center" wrapText="1"/>
    </xf>
    <xf numFmtId="0" fontId="27" fillId="0" borderId="141" xfId="0" applyFont="1" applyBorder="1" applyAlignment="1">
      <alignment horizontal="left" vertical="center" wrapText="1"/>
    </xf>
    <xf numFmtId="0" fontId="27" fillId="61" borderId="4" xfId="0" applyFont="1" applyFill="1" applyBorder="1" applyAlignment="1">
      <alignment horizontal="center" vertical="center" wrapText="1"/>
    </xf>
    <xf numFmtId="0" fontId="27" fillId="61" borderId="27" xfId="0" applyFont="1" applyFill="1" applyBorder="1" applyAlignment="1">
      <alignment horizontal="center" vertical="center" wrapText="1"/>
    </xf>
    <xf numFmtId="49" fontId="184" fillId="61" borderId="26" xfId="0" applyNumberFormat="1" applyFont="1" applyFill="1" applyBorder="1" applyAlignment="1">
      <alignment horizontal="center" vertical="center" wrapText="1"/>
    </xf>
    <xf numFmtId="49" fontId="184" fillId="61" borderId="4" xfId="0" applyNumberFormat="1" applyFont="1" applyFill="1" applyBorder="1" applyAlignment="1">
      <alignment horizontal="center" vertical="center" wrapText="1"/>
    </xf>
    <xf numFmtId="49" fontId="184" fillId="61" borderId="25" xfId="0" applyNumberFormat="1" applyFont="1" applyFill="1" applyBorder="1" applyAlignment="1">
      <alignment horizontal="center" vertical="center" wrapText="1"/>
    </xf>
    <xf numFmtId="49" fontId="184" fillId="61" borderId="16" xfId="0" applyNumberFormat="1" applyFont="1" applyFill="1" applyBorder="1" applyAlignment="1">
      <alignment horizontal="center" vertical="center"/>
    </xf>
    <xf numFmtId="49" fontId="184" fillId="61" borderId="29" xfId="0" applyNumberFormat="1" applyFont="1" applyFill="1" applyBorder="1" applyAlignment="1">
      <alignment horizontal="center" vertical="center"/>
    </xf>
    <xf numFmtId="49" fontId="184" fillId="61" borderId="17" xfId="0" applyNumberFormat="1" applyFont="1" applyFill="1" applyBorder="1" applyAlignment="1">
      <alignment horizontal="center" vertical="center"/>
    </xf>
    <xf numFmtId="0" fontId="28" fillId="61" borderId="143" xfId="0" applyFont="1" applyFill="1" applyBorder="1" applyAlignment="1">
      <alignment horizontal="center" vertical="center"/>
    </xf>
    <xf numFmtId="0" fontId="28" fillId="61" borderId="144" xfId="0" applyFont="1" applyFill="1" applyBorder="1" applyAlignment="1">
      <alignment horizontal="center" vertical="center"/>
    </xf>
    <xf numFmtId="0" fontId="28" fillId="61" borderId="145" xfId="0" applyFont="1" applyFill="1" applyBorder="1" applyAlignment="1">
      <alignment horizontal="center" vertical="center"/>
    </xf>
    <xf numFmtId="49" fontId="184" fillId="61" borderId="24" xfId="0" applyNumberFormat="1" applyFont="1" applyFill="1" applyBorder="1" applyAlignment="1">
      <alignment horizontal="center" vertical="center"/>
    </xf>
    <xf numFmtId="49" fontId="184" fillId="61" borderId="141" xfId="0" applyNumberFormat="1" applyFont="1" applyFill="1" applyBorder="1" applyAlignment="1">
      <alignment horizontal="center" vertical="center"/>
    </xf>
    <xf numFmtId="49" fontId="184" fillId="61" borderId="26" xfId="0" applyNumberFormat="1" applyFont="1" applyFill="1" applyBorder="1" applyAlignment="1">
      <alignment horizontal="center" vertical="center"/>
    </xf>
    <xf numFmtId="0" fontId="27" fillId="61" borderId="30" xfId="0" applyFont="1" applyFill="1" applyBorder="1" applyAlignment="1">
      <alignment horizontal="center" vertical="center" wrapText="1"/>
    </xf>
    <xf numFmtId="0" fontId="27" fillId="61" borderId="147" xfId="0" applyFont="1" applyFill="1" applyBorder="1" applyAlignment="1">
      <alignment horizontal="center" vertical="center" wrapText="1"/>
    </xf>
    <xf numFmtId="0" fontId="28" fillId="61" borderId="17" xfId="0" applyFont="1" applyFill="1" applyBorder="1" applyAlignment="1">
      <alignment horizontal="center" vertical="center"/>
    </xf>
    <xf numFmtId="0" fontId="28" fillId="61" borderId="142" xfId="0" applyFont="1" applyFill="1" applyBorder="1" applyAlignment="1">
      <alignment horizontal="center" vertical="center"/>
    </xf>
    <xf numFmtId="0" fontId="28" fillId="61" borderId="3" xfId="0" applyFont="1" applyFill="1" applyBorder="1" applyAlignment="1">
      <alignment horizontal="center" vertical="center"/>
    </xf>
    <xf numFmtId="0" fontId="28" fillId="61" borderId="2" xfId="0" applyFont="1" applyFill="1" applyBorder="1" applyAlignment="1">
      <alignment horizontal="center" vertical="center"/>
    </xf>
    <xf numFmtId="0" fontId="35" fillId="61" borderId="1" xfId="0" applyFont="1" applyFill="1" applyBorder="1" applyAlignment="1">
      <alignment horizontal="center" vertical="center" wrapText="1"/>
    </xf>
    <xf numFmtId="49" fontId="184" fillId="61" borderId="28" xfId="0" applyNumberFormat="1" applyFont="1" applyFill="1" applyBorder="1" applyAlignment="1">
      <alignment horizontal="center" vertical="center" wrapText="1"/>
    </xf>
    <xf numFmtId="49" fontId="184" fillId="61" borderId="3" xfId="0" applyNumberFormat="1" applyFont="1" applyFill="1" applyBorder="1" applyAlignment="1">
      <alignment horizontal="center" vertical="center" wrapText="1"/>
    </xf>
    <xf numFmtId="0" fontId="27" fillId="61" borderId="141" xfId="0" applyFont="1" applyFill="1" applyBorder="1" applyAlignment="1">
      <alignment horizontal="center" vertical="center"/>
    </xf>
    <xf numFmtId="0" fontId="27" fillId="61" borderId="2" xfId="0" applyFont="1" applyFill="1" applyBorder="1" applyAlignment="1">
      <alignment horizontal="center" vertical="center"/>
    </xf>
    <xf numFmtId="0" fontId="161" fillId="75" borderId="0" xfId="45" applyFont="1" applyFill="1" applyAlignment="1">
      <alignment horizontal="center" vertical="center" wrapText="1"/>
    </xf>
    <xf numFmtId="0" fontId="161" fillId="75" borderId="0" xfId="36" applyFont="1" applyFill="1" applyAlignment="1">
      <alignment horizontal="center" vertical="center" wrapText="1"/>
    </xf>
    <xf numFmtId="0" fontId="161" fillId="3" borderId="0" xfId="0" applyFont="1" applyFill="1" applyAlignment="1">
      <alignment horizontal="center" vertical="center" wrapText="1"/>
    </xf>
    <xf numFmtId="0" fontId="161" fillId="75" borderId="0" xfId="34" applyFont="1" applyFill="1" applyAlignment="1">
      <alignment horizontal="center" vertical="center" wrapText="1"/>
    </xf>
    <xf numFmtId="0" fontId="42" fillId="4" borderId="0" xfId="0" applyFont="1" applyFill="1" applyAlignment="1">
      <alignment horizontal="right" vertical="center" wrapText="1"/>
    </xf>
    <xf numFmtId="0" fontId="53" fillId="4" borderId="0" xfId="0" applyFont="1" applyFill="1" applyAlignment="1">
      <alignment horizontal="left" vertical="center" wrapText="1"/>
    </xf>
    <xf numFmtId="0" fontId="194" fillId="75" borderId="0" xfId="33" applyFont="1" applyFill="1" applyAlignment="1">
      <alignment horizontal="center" vertical="center"/>
    </xf>
    <xf numFmtId="0" fontId="194" fillId="75" borderId="0" xfId="0" applyFont="1" applyFill="1" applyAlignment="1">
      <alignment horizontal="center" vertical="center"/>
    </xf>
    <xf numFmtId="0" fontId="195" fillId="39" borderId="0" xfId="44" applyFont="1" applyFill="1" applyBorder="1" applyAlignment="1">
      <alignment horizontal="center" vertical="center"/>
    </xf>
    <xf numFmtId="0" fontId="42" fillId="67" borderId="1" xfId="66" applyFill="1" applyBorder="1" applyAlignment="1">
      <alignment horizontal="center" vertical="center" wrapText="1"/>
    </xf>
    <xf numFmtId="49" fontId="0" fillId="0" borderId="0" xfId="0" applyNumberFormat="1" applyAlignment="1">
      <alignment horizontal="left" vertical="center" wrapText="1"/>
    </xf>
    <xf numFmtId="0" fontId="42" fillId="67" borderId="4" xfId="66" applyFill="1" applyBorder="1" applyAlignment="1">
      <alignment horizontal="center" vertical="center" wrapText="1"/>
    </xf>
    <xf numFmtId="0" fontId="42" fillId="67" borderId="27" xfId="66" applyFill="1" applyBorder="1" applyAlignment="1">
      <alignment horizontal="center" vertical="center" wrapText="1"/>
    </xf>
    <xf numFmtId="0" fontId="42" fillId="79" borderId="1" xfId="66" applyFill="1" applyBorder="1" applyAlignment="1">
      <alignment horizontal="center" vertical="center" wrapText="1"/>
    </xf>
    <xf numFmtId="0" fontId="50" fillId="67" borderId="1" xfId="66" applyFont="1" applyFill="1" applyBorder="1" applyAlignment="1">
      <alignment horizontal="center" vertical="center" wrapText="1"/>
    </xf>
    <xf numFmtId="0" fontId="42" fillId="0" borderId="0" xfId="0" applyFont="1" applyAlignment="1">
      <alignment horizontal="left" vertical="center" wrapText="1"/>
    </xf>
    <xf numFmtId="0" fontId="42" fillId="0" borderId="0" xfId="67" applyFont="1" applyAlignment="1">
      <alignment horizontal="left" vertical="center" wrapText="1"/>
    </xf>
    <xf numFmtId="0" fontId="0" fillId="0" borderId="0" xfId="0" applyAlignment="1">
      <alignment horizontal="left" vertical="center"/>
    </xf>
    <xf numFmtId="0" fontId="0" fillId="40" borderId="48" xfId="0" applyFill="1" applyBorder="1" applyAlignment="1">
      <alignment horizontal="left" vertical="center" wrapText="1"/>
    </xf>
    <xf numFmtId="0" fontId="0" fillId="40" borderId="49" xfId="0" applyFill="1" applyBorder="1" applyAlignment="1">
      <alignment horizontal="left" vertical="center" wrapText="1"/>
    </xf>
    <xf numFmtId="0" fontId="0" fillId="40" borderId="50" xfId="0" applyFill="1" applyBorder="1" applyAlignment="1">
      <alignment horizontal="left" vertical="center" wrapText="1"/>
    </xf>
    <xf numFmtId="0" fontId="86" fillId="45" borderId="4" xfId="0" applyFont="1" applyFill="1" applyBorder="1" applyAlignment="1">
      <alignment horizontal="center" vertical="center" textRotation="90"/>
    </xf>
    <xf numFmtId="0" fontId="86" fillId="45" borderId="25" xfId="0" applyFont="1" applyFill="1" applyBorder="1" applyAlignment="1">
      <alignment horizontal="center" vertical="center" textRotation="90"/>
    </xf>
    <xf numFmtId="0" fontId="86" fillId="45" borderId="27" xfId="0" applyFont="1" applyFill="1" applyBorder="1" applyAlignment="1">
      <alignment horizontal="center" vertical="center" textRotation="90"/>
    </xf>
    <xf numFmtId="0" fontId="90" fillId="51" borderId="0" xfId="0" applyFont="1" applyFill="1" applyAlignment="1" applyProtection="1">
      <alignment horizontal="center" vertical="center"/>
      <protection hidden="1"/>
    </xf>
    <xf numFmtId="0" fontId="90" fillId="51" borderId="65" xfId="0" applyFont="1" applyFill="1" applyBorder="1" applyAlignment="1" applyProtection="1">
      <alignment horizontal="center" vertical="center"/>
      <protection hidden="1"/>
    </xf>
    <xf numFmtId="0" fontId="49" fillId="0" borderId="75" xfId="0" applyFont="1" applyBorder="1" applyAlignment="1" applyProtection="1">
      <alignment horizontal="left" vertical="center" wrapText="1" indent="1"/>
      <protection hidden="1"/>
    </xf>
    <xf numFmtId="0" fontId="8" fillId="0" borderId="66" xfId="2" applyBorder="1" applyAlignment="1">
      <alignment horizontal="left" wrapText="1" indent="1"/>
    </xf>
    <xf numFmtId="0" fontId="8" fillId="0" borderId="0" xfId="2" applyBorder="1" applyAlignment="1">
      <alignment horizontal="left" wrapText="1" indent="1"/>
    </xf>
    <xf numFmtId="0" fontId="8" fillId="0" borderId="65" xfId="2" applyBorder="1" applyAlignment="1">
      <alignment horizontal="left" wrapText="1" indent="1"/>
    </xf>
    <xf numFmtId="0" fontId="96" fillId="0" borderId="26" xfId="0" applyFont="1" applyBorder="1" applyAlignment="1" applyProtection="1">
      <alignment horizontal="center" vertical="center" wrapText="1"/>
      <protection hidden="1"/>
    </xf>
    <xf numFmtId="0" fontId="88" fillId="51" borderId="1" xfId="2" applyNumberFormat="1" applyFont="1" applyFill="1" applyBorder="1" applyAlignment="1" applyProtection="1">
      <alignment horizontal="center" vertical="center" textRotation="90"/>
      <protection locked="0"/>
    </xf>
    <xf numFmtId="0" fontId="88" fillId="51" borderId="1" xfId="2" applyFont="1" applyFill="1" applyBorder="1" applyAlignment="1">
      <alignment horizontal="center" vertical="center" textRotation="90"/>
    </xf>
    <xf numFmtId="0" fontId="69" fillId="40" borderId="0" xfId="0" quotePrefix="1" applyFont="1" applyFill="1" applyAlignment="1" applyProtection="1">
      <alignment horizontal="left" vertical="top" wrapText="1" indent="1"/>
      <protection hidden="1"/>
    </xf>
    <xf numFmtId="0" fontId="72" fillId="0" borderId="0" xfId="0" applyFont="1" applyAlignment="1" applyProtection="1">
      <alignment horizontal="center" vertical="center" wrapText="1"/>
      <protection hidden="1"/>
    </xf>
    <xf numFmtId="0" fontId="11" fillId="40" borderId="0" xfId="0" quotePrefix="1" applyFont="1" applyFill="1" applyAlignment="1" applyProtection="1">
      <alignment horizontal="left" vertical="top" wrapText="1" indent="1"/>
      <protection hidden="1"/>
    </xf>
    <xf numFmtId="0" fontId="6" fillId="40" borderId="81" xfId="0" applyFont="1" applyFill="1" applyBorder="1" applyAlignment="1" applyProtection="1">
      <alignment horizontal="center"/>
      <protection locked="0"/>
    </xf>
    <xf numFmtId="0" fontId="6" fillId="40" borderId="82" xfId="0" applyFont="1" applyFill="1" applyBorder="1" applyAlignment="1" applyProtection="1">
      <alignment horizontal="center"/>
      <protection locked="0"/>
    </xf>
    <xf numFmtId="0" fontId="6" fillId="40" borderId="83" xfId="0" applyFont="1" applyFill="1" applyBorder="1" applyAlignment="1" applyProtection="1">
      <alignment horizontal="center"/>
      <protection locked="0"/>
    </xf>
    <xf numFmtId="0" fontId="4" fillId="0" borderId="0" xfId="0" applyFont="1" applyAlignment="1" applyProtection="1">
      <alignment horizontal="center"/>
      <protection locked="0"/>
    </xf>
    <xf numFmtId="0" fontId="2" fillId="39" borderId="80" xfId="0" applyFont="1" applyFill="1" applyBorder="1" applyAlignment="1" applyProtection="1">
      <alignment horizontal="left"/>
      <protection locked="0"/>
    </xf>
    <xf numFmtId="0" fontId="11" fillId="40" borderId="0" xfId="0" quotePrefix="1" applyFont="1" applyFill="1" applyAlignment="1">
      <alignment horizontal="left" wrapText="1" indent="1"/>
    </xf>
    <xf numFmtId="0" fontId="43" fillId="0" borderId="86" xfId="0" applyFont="1" applyBorder="1" applyAlignment="1">
      <alignment horizontal="center"/>
    </xf>
    <xf numFmtId="0" fontId="43" fillId="0" borderId="44" xfId="0" applyFont="1" applyBorder="1" applyAlignment="1">
      <alignment horizontal="center"/>
    </xf>
    <xf numFmtId="0" fontId="43" fillId="0" borderId="87" xfId="0" applyFont="1" applyBorder="1" applyAlignment="1">
      <alignment horizontal="center"/>
    </xf>
    <xf numFmtId="0" fontId="116" fillId="0" borderId="0" xfId="0" applyFont="1" applyAlignment="1">
      <alignment horizontal="left" vertical="top" wrapText="1" indent="2"/>
    </xf>
    <xf numFmtId="0" fontId="12" fillId="0" borderId="16" xfId="0" applyFont="1" applyBorder="1" applyAlignment="1">
      <alignment horizontal="center"/>
    </xf>
    <xf numFmtId="0" fontId="12" fillId="0" borderId="29" xfId="0" applyFont="1" applyBorder="1" applyAlignment="1">
      <alignment horizontal="center"/>
    </xf>
    <xf numFmtId="0" fontId="12" fillId="0" borderId="17" xfId="0" applyFont="1" applyBorder="1" applyAlignment="1">
      <alignment horizontal="center"/>
    </xf>
    <xf numFmtId="0" fontId="3" fillId="40" borderId="0" xfId="0" applyFont="1" applyFill="1" applyAlignment="1">
      <alignment horizontal="center" vertical="center" textRotation="90"/>
    </xf>
    <xf numFmtId="0" fontId="3" fillId="45" borderId="4" xfId="0" applyFont="1" applyFill="1" applyBorder="1" applyAlignment="1">
      <alignment horizontal="center"/>
    </xf>
    <xf numFmtId="0" fontId="62" fillId="3" borderId="16" xfId="0" applyFont="1" applyFill="1" applyBorder="1" applyAlignment="1">
      <alignment horizontal="center"/>
    </xf>
    <xf numFmtId="0" fontId="62" fillId="3" borderId="17" xfId="0" applyFont="1" applyFill="1" applyBorder="1" applyAlignment="1">
      <alignment horizontal="center"/>
    </xf>
    <xf numFmtId="0" fontId="62" fillId="3" borderId="1" xfId="0" applyFont="1" applyFill="1" applyBorder="1" applyAlignment="1">
      <alignment horizontal="center"/>
    </xf>
    <xf numFmtId="0" fontId="63" fillId="48" borderId="39" xfId="0" applyFont="1" applyFill="1" applyBorder="1" applyAlignment="1">
      <alignment horizontal="left" vertical="center" wrapText="1"/>
    </xf>
    <xf numFmtId="0" fontId="3" fillId="0" borderId="86" xfId="0" applyFont="1" applyBorder="1" applyAlignment="1">
      <alignment horizontal="center"/>
    </xf>
    <xf numFmtId="0" fontId="3" fillId="0" borderId="87" xfId="0" applyFont="1" applyBorder="1" applyAlignment="1">
      <alignment horizontal="center"/>
    </xf>
    <xf numFmtId="0" fontId="0" fillId="0" borderId="0" xfId="0" applyAlignment="1">
      <alignment horizontal="left" vertical="top" wrapText="1"/>
    </xf>
    <xf numFmtId="0" fontId="158" fillId="0" borderId="0" xfId="0" applyFont="1" applyAlignment="1">
      <alignment horizontal="center" wrapText="1"/>
    </xf>
    <xf numFmtId="0" fontId="63" fillId="48" borderId="107" xfId="0" applyFont="1" applyFill="1" applyBorder="1" applyAlignment="1">
      <alignment vertical="center"/>
    </xf>
    <xf numFmtId="0" fontId="63" fillId="48" borderId="108" xfId="0" applyFont="1" applyFill="1" applyBorder="1" applyAlignment="1">
      <alignment vertical="center"/>
    </xf>
    <xf numFmtId="0" fontId="63" fillId="48" borderId="109" xfId="0" applyFont="1" applyFill="1" applyBorder="1" applyAlignment="1">
      <alignment vertical="center"/>
    </xf>
    <xf numFmtId="0" fontId="63" fillId="48" borderId="107" xfId="0" applyFont="1" applyFill="1" applyBorder="1" applyAlignment="1">
      <alignment vertical="center" wrapText="1"/>
    </xf>
    <xf numFmtId="0" fontId="63" fillId="48" borderId="108" xfId="0" applyFont="1" applyFill="1" applyBorder="1" applyAlignment="1">
      <alignment vertical="center" wrapText="1"/>
    </xf>
    <xf numFmtId="0" fontId="63" fillId="48" borderId="109" xfId="0" applyFont="1" applyFill="1" applyBorder="1" applyAlignment="1">
      <alignment vertical="center" wrapText="1"/>
    </xf>
    <xf numFmtId="0" fontId="63" fillId="48" borderId="105" xfId="0" applyFont="1" applyFill="1" applyBorder="1" applyAlignment="1">
      <alignment vertical="center" wrapText="1"/>
    </xf>
    <xf numFmtId="0" fontId="63" fillId="48" borderId="105" xfId="0" applyFont="1" applyFill="1" applyBorder="1" applyAlignment="1">
      <alignment vertical="center"/>
    </xf>
    <xf numFmtId="0" fontId="157" fillId="0" borderId="4" xfId="0" applyFont="1" applyBorder="1" applyAlignment="1">
      <alignment horizontal="left" wrapText="1"/>
    </xf>
    <xf numFmtId="0" fontId="157" fillId="0" borderId="25" xfId="0" applyFont="1" applyBorder="1" applyAlignment="1">
      <alignment horizontal="left" wrapText="1"/>
    </xf>
    <xf numFmtId="0" fontId="157" fillId="0" borderId="27" xfId="0" applyFont="1" applyBorder="1" applyAlignment="1">
      <alignment horizontal="left" wrapText="1"/>
    </xf>
    <xf numFmtId="0" fontId="7" fillId="0" borderId="0" xfId="0" applyFont="1" applyAlignment="1">
      <alignment horizontal="left" vertical="center" wrapText="1"/>
    </xf>
  </cellXfs>
  <cellStyles count="70">
    <cellStyle name="20% - Accent1" xfId="20" builtinId="30" customBuiltin="1"/>
    <cellStyle name="20% - Accent2" xfId="23" builtinId="34" customBuiltin="1"/>
    <cellStyle name="20% - Accent3" xfId="26" builtinId="38" customBuiltin="1"/>
    <cellStyle name="20% - Accent4" xfId="29" builtinId="42" customBuiltin="1"/>
    <cellStyle name="20% - Accent5" xfId="32" builtinId="46" customBuiltin="1"/>
    <cellStyle name="20% - Accent6" xfId="35" builtinId="50" customBuiltin="1"/>
    <cellStyle name="40% - Accent1" xfId="21" builtinId="31" customBuiltin="1"/>
    <cellStyle name="40% - Accent2" xfId="24" builtinId="35" customBuiltin="1"/>
    <cellStyle name="40% - Accent3" xfId="27" builtinId="39" customBuiltin="1"/>
    <cellStyle name="40% - Accent4" xfId="30" builtinId="43" customBuiltin="1"/>
    <cellStyle name="40% - Accent5" xfId="33" builtinId="47" customBuiltin="1"/>
    <cellStyle name="40% - Accent6" xfId="36" builtinId="51" customBuiltin="1"/>
    <cellStyle name="60% - Accent1 2" xfId="40" xr:uid="{00000000-0005-0000-0000-00000C000000}"/>
    <cellStyle name="60% - Accent2 2" xfId="41" xr:uid="{00000000-0005-0000-0000-00000D000000}"/>
    <cellStyle name="60% - Accent3 2" xfId="42" xr:uid="{00000000-0005-0000-0000-00000E000000}"/>
    <cellStyle name="60% - Accent4 2" xfId="43" xr:uid="{00000000-0005-0000-0000-00000F000000}"/>
    <cellStyle name="60% - Accent5 2" xfId="44" xr:uid="{00000000-0005-0000-0000-000010000000}"/>
    <cellStyle name="60% - Accent6 2" xfId="45" xr:uid="{00000000-0005-0000-0000-000011000000}"/>
    <cellStyle name="Accent1" xfId="19" builtinId="29" customBuiltin="1"/>
    <cellStyle name="Accent2" xfId="22" builtinId="33" customBuiltin="1"/>
    <cellStyle name="Accent3" xfId="25" builtinId="37" customBuiltin="1"/>
    <cellStyle name="Accent4" xfId="28" builtinId="41" customBuiltin="1"/>
    <cellStyle name="Accent5" xfId="31" builtinId="45" customBuiltin="1"/>
    <cellStyle name="Accent6" xfId="34" builtinId="49" customBuiltin="1"/>
    <cellStyle name="Bad" xfId="9" builtinId="27" customBuiltin="1"/>
    <cellStyle name="Body: normal cell" xfId="38" xr:uid="{00000000-0005-0000-0000-000019000000}"/>
    <cellStyle name="Calculation" xfId="12" builtinId="22" customBuiltin="1"/>
    <cellStyle name="Check Cell" xfId="14" builtinId="23" customBuiltin="1"/>
    <cellStyle name="Comma" xfId="68" builtinId="3"/>
    <cellStyle name="Comma 2" xfId="64" xr:uid="{00000000-0005-0000-0000-00001D000000}"/>
    <cellStyle name="Currency" xfId="69" builtinId="4"/>
    <cellStyle name="Explanatory Text" xfId="17" builtinId="53" customBuiltin="1"/>
    <cellStyle name="Followed Hyperlink 2" xfId="46" xr:uid="{00000000-0005-0000-0000-000020000000}"/>
    <cellStyle name="Font: Calibri, 9pt regular" xfId="47" xr:uid="{00000000-0005-0000-0000-000021000000}"/>
    <cellStyle name="Footnotes: all except top row" xfId="48" xr:uid="{00000000-0005-0000-0000-000022000000}"/>
    <cellStyle name="Footnotes: top row" xfId="49" xr:uid="{00000000-0005-0000-0000-000023000000}"/>
    <cellStyle name="Good" xfId="8" builtinId="26" customBuiltin="1"/>
    <cellStyle name="Header: bottom row" xfId="50" xr:uid="{00000000-0005-0000-0000-000025000000}"/>
    <cellStyle name="Header: top rows" xfId="51" xr:uid="{00000000-0005-0000-0000-000026000000}"/>
    <cellStyle name="Heading 1" xfId="4" builtinId="16" customBuiltin="1"/>
    <cellStyle name="Heading 2" xfId="5" builtinId="17" customBuiltin="1"/>
    <cellStyle name="Heading 3" xfId="6" builtinId="18" customBuiltin="1"/>
    <cellStyle name="Heading 4" xfId="7" builtinId="19" customBuiltin="1"/>
    <cellStyle name="Hyperlink" xfId="2" builtinId="8"/>
    <cellStyle name="Hyperlink 2" xfId="52" xr:uid="{00000000-0005-0000-0000-00002C000000}"/>
    <cellStyle name="Hyperlink 3" xfId="63" xr:uid="{00000000-0005-0000-0000-00002D000000}"/>
    <cellStyle name="Hyperlink 4" xfId="65" xr:uid="{00000000-0005-0000-0000-00002E000000}"/>
    <cellStyle name="Input" xfId="10" builtinId="20" customBuiltin="1"/>
    <cellStyle name="Linked Cell" xfId="13" builtinId="24" customBuiltin="1"/>
    <cellStyle name="Neutral 2" xfId="53" xr:uid="{00000000-0005-0000-0000-000031000000}"/>
    <cellStyle name="Normal" xfId="0" builtinId="0"/>
    <cellStyle name="Normal 128" xfId="37" xr:uid="{00000000-0005-0000-0000-000033000000}"/>
    <cellStyle name="Normal 2" xfId="54" xr:uid="{00000000-0005-0000-0000-000034000000}"/>
    <cellStyle name="Normal 2 2" xfId="3" xr:uid="{00000000-0005-0000-0000-000035000000}"/>
    <cellStyle name="Normal 2 3" xfId="59" xr:uid="{00000000-0005-0000-0000-000036000000}"/>
    <cellStyle name="Normal 3" xfId="60" xr:uid="{00000000-0005-0000-0000-000037000000}"/>
    <cellStyle name="Normal 3 2" xfId="61" xr:uid="{00000000-0005-0000-0000-000038000000}"/>
    <cellStyle name="Normal 3 3" xfId="66" xr:uid="{00000000-0005-0000-0000-000039000000}"/>
    <cellStyle name="Normal 4" xfId="62" xr:uid="{00000000-0005-0000-0000-00003A000000}"/>
    <cellStyle name="Normal 4 2" xfId="67" xr:uid="{00000000-0005-0000-0000-00003B000000}"/>
    <cellStyle name="Note" xfId="16" builtinId="10" customBuiltin="1"/>
    <cellStyle name="Output" xfId="11" builtinId="21" customBuiltin="1"/>
    <cellStyle name="Parent row" xfId="55" xr:uid="{00000000-0005-0000-0000-00003E000000}"/>
    <cellStyle name="Percent" xfId="1" builtinId="5"/>
    <cellStyle name="Section Break" xfId="56" xr:uid="{00000000-0005-0000-0000-000040000000}"/>
    <cellStyle name="Section Break: parent row" xfId="57" xr:uid="{00000000-0005-0000-0000-000041000000}"/>
    <cellStyle name="Table title" xfId="39" xr:uid="{00000000-0005-0000-0000-000042000000}"/>
    <cellStyle name="Title 2" xfId="58" xr:uid="{00000000-0005-0000-0000-000043000000}"/>
    <cellStyle name="Total" xfId="18" builtinId="25" customBuiltin="1"/>
    <cellStyle name="Warning Text" xfId="15" builtinId="11" customBuiltin="1"/>
  </cellStyles>
  <dxfs count="91">
    <dxf>
      <fill>
        <patternFill patternType="lightGray"/>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ont>
        <b val="0"/>
        <i val="0"/>
        <strike val="0"/>
        <condense val="0"/>
        <extend val="0"/>
        <outline val="0"/>
        <shadow val="0"/>
        <u val="none"/>
        <vertAlign val="baseline"/>
        <sz val="11"/>
        <color theme="1"/>
        <name val="Arial"/>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indexed="64"/>
        </left>
        <top style="thin">
          <color auto="1"/>
        </top>
        <bottom style="thin">
          <color indexed="64"/>
        </bottom>
      </border>
    </dxf>
    <dxf>
      <font>
        <b val="0"/>
        <i val="0"/>
        <strike val="0"/>
        <condense val="0"/>
        <extend val="0"/>
        <outline val="0"/>
        <shadow val="0"/>
        <u val="none"/>
        <vertAlign val="baseline"/>
        <sz val="11"/>
        <color theme="1"/>
        <name val="Arial"/>
        <family val="2"/>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Arial"/>
        <family val="2"/>
        <scheme val="minor"/>
      </font>
      <fill>
        <patternFill patternType="solid">
          <fgColor theme="4"/>
          <bgColor theme="4"/>
        </patternFill>
      </fill>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alignment horizontal="general" vertical="bottom" textRotation="0" wrapText="1" indent="0" justifyLastLine="0" shrinkToFit="0" readingOrder="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alignment horizontal="general" vertical="bottom" textRotation="0" wrapText="1" indent="0" justifyLastLine="0" shrinkToFit="0" readingOrder="0"/>
    </dxf>
    <dxf>
      <alignment horizontal="general" vertical="bottom" textRotation="0" wrapText="1" indent="0" justifyLastLine="0" shrinkToFit="0" readingOrder="0"/>
      <border diagonalUp="0" diagonalDown="0">
        <left style="thin">
          <color indexed="64"/>
        </left>
        <right style="thin">
          <color indexed="64"/>
        </right>
        <top style="thin">
          <color indexed="64"/>
        </top>
        <bottom/>
        <vertical/>
        <horizontal/>
      </border>
    </dxf>
    <dxf>
      <border outline="0">
        <bottom style="thin">
          <color indexed="64"/>
        </bottom>
      </border>
    </dxf>
    <dxf>
      <alignment horizontal="general"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border outline="0">
        <top style="thin">
          <color auto="1"/>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left/>
        <right/>
        <top style="thin">
          <color indexed="64"/>
        </top>
        <bottom style="thin">
          <color indexed="64"/>
        </bottom>
        <vertical/>
        <horizontal/>
      </border>
    </dxf>
    <dxf>
      <border outline="0">
        <top style="thin">
          <color auto="1"/>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left/>
        <right/>
        <top style="thin">
          <color indexed="64"/>
        </top>
        <bottom style="thin">
          <color indexed="64"/>
        </bottom>
        <vertical/>
        <horizontal/>
      </border>
    </dxf>
    <dxf>
      <border outline="0">
        <top style="thin">
          <color auto="1"/>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left/>
        <right/>
        <top style="thin">
          <color indexed="64"/>
        </top>
        <bottom style="thin">
          <color indexed="64"/>
        </bottom>
        <vertical/>
        <horizontal/>
      </border>
    </dxf>
    <dxf>
      <border outline="0">
        <top style="thin">
          <color auto="1"/>
        </top>
      </border>
    </dxf>
    <dxf>
      <border outline="0">
        <left style="thin">
          <color indexed="64"/>
        </left>
        <right style="thin">
          <color indexed="64"/>
        </right>
        <top style="thin">
          <color indexed="64"/>
        </top>
        <bottom style="thin">
          <color indexed="64"/>
        </bottom>
      </border>
    </dxf>
    <dxf>
      <border outline="0">
        <bottom style="thin">
          <color indexed="64"/>
        </bottom>
      </border>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dxf>
    <dxf>
      <border outline="0">
        <top style="thin">
          <color auto="1"/>
        </top>
        <bottom style="thin">
          <color theme="4" tint="0.39997558519241921"/>
        </bottom>
      </border>
    </dxf>
    <dxf>
      <font>
        <b/>
        <i val="0"/>
        <strike val="0"/>
        <condense val="0"/>
        <extend val="0"/>
        <outline val="0"/>
        <shadow val="0"/>
        <u val="none"/>
        <vertAlign val="baseline"/>
        <sz val="10"/>
        <color auto="1"/>
        <name val="Arial"/>
        <scheme val="none"/>
      </font>
      <numFmt numFmtId="173" formatCode="General_)"/>
      <fill>
        <patternFill patternType="solid">
          <fgColor theme="4"/>
          <bgColor theme="4"/>
        </patternFill>
      </fill>
    </dxf>
    <dxf>
      <numFmt numFmtId="176" formatCode="_(* #,##0.0000_);_(* \(#,##0.0000\);_(* &quot;-&quot;??_);_(@_)"/>
    </dxf>
    <dxf>
      <numFmt numFmtId="176" formatCode="_(* #,##0.0000_);_(* \(#,##0.0000\);_(* &quot;-&quot;??_);_(@_)"/>
    </dxf>
    <dxf>
      <numFmt numFmtId="176" formatCode="_(* #,##0.0000_);_(* \(#,##0.0000\);_(* &quot;-&quot;??_);_(@_)"/>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left"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1" hidden="1"/>
    </dxf>
    <dxf>
      <font>
        <b val="0"/>
        <i val="0"/>
        <strike val="0"/>
        <condense val="0"/>
        <extend val="0"/>
        <outline val="0"/>
        <shadow val="0"/>
        <u val="none"/>
        <vertAlign val="baseline"/>
        <sz val="12"/>
        <color theme="1"/>
        <name val="Arial"/>
        <family val="2"/>
        <scheme val="minor"/>
      </font>
      <numFmt numFmtId="176" formatCode="_(* #,##0.0000_);_(* \(#,##0.0000\);_(* &quot;-&quot;??_);_(@_)"/>
      <alignment horizontal="center" vertical="center" textRotation="0" wrapText="0" indent="0" justifyLastLine="0" shrinkToFit="0" readingOrder="0"/>
      <border diagonalUp="0" diagonalDown="0" outline="0">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numFmt numFmtId="175" formatCode="#,##0.0000_);\(#,##0.0000\)"/>
      <alignment horizontal="center" vertical="center" textRotation="0" wrapText="0" indent="0" justifyLastLine="0" shrinkToFit="0" readingOrder="0"/>
      <border diagonalUp="0" diagonalDown="0" outline="0">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numFmt numFmtId="175" formatCode="#,##0.0000_);\(#,##0.0000\)"/>
      <alignment horizontal="center" vertical="center" textRotation="0" wrapText="0" indent="0" justifyLastLine="0" shrinkToFit="0" readingOrder="0"/>
      <border diagonalUp="0" diagonalDown="0" outline="0">
        <left style="hair">
          <color indexed="64"/>
        </left>
        <right/>
        <top style="hair">
          <color indexed="64"/>
        </top>
        <bottom style="hair">
          <color indexed="64"/>
        </bottom>
      </border>
      <protection locked="1" hidden="1"/>
    </dxf>
    <dxf>
      <font>
        <strike val="0"/>
        <outline val="0"/>
        <shadow val="0"/>
        <u val="none"/>
        <vertAlign val="baseline"/>
        <sz val="12"/>
        <name val="Arial"/>
        <family val="2"/>
        <scheme val="minor"/>
      </font>
      <numFmt numFmtId="168" formatCode="0.0"/>
      <alignment horizontal="center" vertical="center" textRotation="0" indent="0" justifyLastLine="0" shrinkToFit="0" readingOrder="0"/>
      <border diagonalUp="0" diagonalDown="0" outline="0">
        <left style="hair">
          <color indexed="64"/>
        </left>
        <right/>
        <top style="hair">
          <color indexed="64"/>
        </top>
        <bottom style="hair">
          <color indexed="64"/>
        </bottom>
      </border>
      <protection locked="1" hidden="1"/>
    </dxf>
    <dxf>
      <font>
        <strike val="0"/>
        <outline val="0"/>
        <shadow val="0"/>
        <u val="none"/>
        <vertAlign val="baseline"/>
        <sz val="12"/>
        <name val="Arial"/>
        <family val="2"/>
        <scheme val="minor"/>
      </font>
      <alignment horizontal="center" vertical="center" textRotation="0" indent="0" justifyLastLine="0" shrinkToFit="0" readingOrder="0"/>
      <border diagonalUp="0" diagonalDown="0" outline="0">
        <left style="hair">
          <color indexed="64"/>
        </left>
        <right style="hair">
          <color indexed="64"/>
        </right>
        <top style="hair">
          <color indexed="64"/>
        </top>
        <bottom style="hair">
          <color indexed="64"/>
        </bottom>
      </border>
    </dxf>
    <dxf>
      <font>
        <strike val="0"/>
        <outline val="0"/>
        <shadow val="0"/>
        <u val="none"/>
        <vertAlign val="baseline"/>
        <sz val="12"/>
        <name val="Arial"/>
        <family val="2"/>
        <scheme val="minor"/>
      </font>
      <alignment horizontal="center" vertical="center" textRotation="0" indent="0" justifyLastLine="0" shrinkToFit="0" readingOrder="0"/>
      <border diagonalUp="0" diagonalDown="0" outline="0">
        <left style="hair">
          <color indexed="64"/>
        </left>
        <right style="hair">
          <color indexed="64"/>
        </right>
        <top style="hair">
          <color indexed="64"/>
        </top>
        <bottom style="hair">
          <color indexed="64"/>
        </bottom>
      </border>
    </dxf>
    <dxf>
      <font>
        <strike val="0"/>
        <outline val="0"/>
        <shadow val="0"/>
        <u val="none"/>
        <vertAlign val="baseline"/>
        <sz val="12"/>
        <name val="Arial"/>
        <family val="2"/>
        <scheme val="minor"/>
      </font>
      <alignment horizontal="center" vertical="center" textRotation="0" indent="0" justifyLastLine="0" shrinkToFit="0" readingOrder="0"/>
      <border diagonalUp="0" diagonalDown="0" outline="0">
        <left style="hair">
          <color indexed="64"/>
        </left>
        <right style="hair">
          <color indexed="64"/>
        </right>
        <top style="hair">
          <color indexed="64"/>
        </top>
        <bottom style="hair">
          <color indexed="64"/>
        </bottom>
      </border>
    </dxf>
    <dxf>
      <font>
        <strike val="0"/>
        <outline val="0"/>
        <shadow val="0"/>
        <u val="none"/>
        <vertAlign val="baseline"/>
        <sz val="12"/>
        <name val="Arial"/>
        <family val="2"/>
        <scheme val="minor"/>
      </font>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bottom" textRotation="0" wrapText="1" indent="0" justifyLastLine="0" shrinkToFit="0" readingOrder="0"/>
    </dxf>
    <dxf>
      <numFmt numFmtId="176" formatCode="_(* #,##0.0000_);_(* \(#,##0.0000\);_(* &quot;-&quot;??_);_(@_)"/>
      <alignment horizontal="left" vertical="center" textRotation="0" indent="0" justifyLastLine="0" shrinkToFit="0" readingOrder="0"/>
      <protection locked="1" hidden="1"/>
    </dxf>
    <dxf>
      <numFmt numFmtId="176" formatCode="_(* #,##0.0000_);_(* \(#,##0.0000\);_(* &quot;-&quot;??_);_(@_)"/>
      <alignment horizontal="left" vertical="center" textRotation="0" indent="0" justifyLastLine="0" shrinkToFit="0" readingOrder="0"/>
      <protection locked="1" hidden="1"/>
    </dxf>
    <dxf>
      <numFmt numFmtId="176" formatCode="_(* #,##0.0000_);_(* \(#,##0.0000\);_(* &quot;-&quot;??_);_(@_)"/>
      <alignment horizontal="left" vertical="center" textRotation="0" indent="0" justifyLastLine="0" shrinkToFit="0" readingOrder="0"/>
      <protection locked="1" hidden="1"/>
    </dxf>
    <dxf>
      <alignment horizontal="left" vertical="center" textRotation="0" wrapText="1" indent="0" justifyLastLine="0" shrinkToFit="0" readingOrder="0"/>
      <protection locked="1" hidden="1"/>
    </dxf>
    <dxf>
      <alignment horizontal="left" vertical="center" textRotation="0" wrapText="1" indent="0" justifyLastLine="0" shrinkToFit="0" readingOrder="0"/>
      <protection locked="1" hidden="1"/>
    </dxf>
    <dxf>
      <alignment horizontal="left"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1" hidden="1"/>
    </dxf>
    <dxf>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b val="0"/>
        <i val="0"/>
        <strike val="0"/>
        <condense val="0"/>
        <extend val="0"/>
        <outline val="0"/>
        <shadow val="0"/>
        <u val="none"/>
        <vertAlign val="baseline"/>
        <sz val="12"/>
        <color theme="1"/>
        <name val="Arial"/>
        <family val="2"/>
        <scheme val="minor"/>
      </font>
      <numFmt numFmtId="176" formatCode="_(* #,##0.0000_);_(* \(#,##0.0000\);_(* &quot;-&quot;??_);_(@_)"/>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numFmt numFmtId="175" formatCode="#,##0.0000_);\(#,##0.0000\)"/>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numFmt numFmtId="175" formatCode="#,##0.0000_);\(#,##0.0000\)"/>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numFmt numFmtId="168" formatCode="0.0"/>
      <alignment horizontal="center" vertical="center" textRotation="0"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font>
        <strike val="0"/>
        <outline val="0"/>
        <shadow val="0"/>
        <u val="none"/>
        <vertAlign val="baseline"/>
        <sz val="12"/>
        <name val="Arial"/>
        <family val="2"/>
        <scheme val="minor"/>
      </font>
      <alignment horizontal="center" vertical="center" textRotation="0" indent="0" justifyLastLine="0" shrinkToFit="0" readingOrder="0"/>
      <border diagonalUp="0" diagonalDown="0" outline="0">
        <left style="hair">
          <color indexed="64"/>
        </left>
        <right style="hair">
          <color indexed="64"/>
        </right>
        <top style="hair">
          <color indexed="64"/>
        </top>
        <bottom style="hair">
          <color indexed="64"/>
        </bottom>
      </border>
      <protection locked="0" hidden="0"/>
    </dxf>
    <dxf>
      <font>
        <strike val="0"/>
        <outline val="0"/>
        <shadow val="0"/>
        <u val="none"/>
        <vertAlign val="baseline"/>
        <sz val="12"/>
        <name val="Arial"/>
        <family val="2"/>
        <scheme val="minor"/>
      </font>
      <alignment horizontal="center" vertical="center" textRotation="0" indent="0" justifyLastLine="0" shrinkToFit="0" readingOrder="0"/>
      <border diagonalUp="0" diagonalDown="0" outline="0">
        <left style="hair">
          <color indexed="64"/>
        </left>
        <right style="hair">
          <color indexed="64"/>
        </right>
        <top style="hair">
          <color indexed="64"/>
        </top>
        <bottom style="hair">
          <color indexed="64"/>
        </bottom>
      </border>
      <protection locked="0" hidden="0"/>
    </dxf>
    <dxf>
      <font>
        <strike val="0"/>
        <outline val="0"/>
        <shadow val="0"/>
        <u val="none"/>
        <vertAlign val="baseline"/>
        <sz val="12"/>
        <name val="Arial"/>
        <family val="2"/>
        <scheme val="minor"/>
      </font>
      <alignment horizontal="center" vertical="center" textRotation="0" indent="0" justifyLastLine="0" shrinkToFit="0" readingOrder="0"/>
      <border diagonalUp="0" diagonalDown="0" outline="0">
        <left style="hair">
          <color indexed="64"/>
        </left>
        <right style="hair">
          <color indexed="64"/>
        </right>
        <top style="hair">
          <color indexed="64"/>
        </top>
        <bottom style="hair">
          <color indexed="64"/>
        </bottom>
      </border>
      <protection locked="0" hidden="0"/>
    </dxf>
    <dxf>
      <font>
        <strike val="0"/>
        <outline val="0"/>
        <shadow val="0"/>
        <u val="none"/>
        <vertAlign val="baseline"/>
        <sz val="12"/>
        <name val="Arial"/>
        <family val="2"/>
        <scheme val="minor"/>
      </font>
      <alignment horizontal="center"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protection locked="1" hidden="1"/>
    </dxf>
    <dxf>
      <alignment horizontal="left" vertical="center" textRotation="0" indent="0" justifyLastLine="0" shrinkToFit="0" readingOrder="0"/>
      <protection locked="1" hidden="1"/>
    </dxf>
    <dxf>
      <font>
        <b val="0"/>
        <i val="0"/>
        <strike val="0"/>
        <condense val="0"/>
        <extend val="0"/>
        <outline val="0"/>
        <shadow val="0"/>
        <u val="none"/>
        <vertAlign val="baseline"/>
        <sz val="11"/>
        <color theme="0"/>
        <name val="Arial"/>
        <family val="2"/>
        <scheme val="minor"/>
      </font>
      <fill>
        <patternFill patternType="solid">
          <fgColor indexed="64"/>
          <bgColor theme="4"/>
        </patternFill>
      </fill>
      <alignment horizontal="general" vertical="bottom" textRotation="0" wrapText="1" indent="0" justifyLastLine="0" shrinkToFit="0" readingOrder="0"/>
      <protection locked="1" hidden="1"/>
    </dxf>
    <dxf>
      <border>
        <left/>
        <right/>
        <top/>
        <bottom style="thick">
          <color theme="4"/>
        </bottom>
        <vertical/>
        <horizontal/>
      </border>
    </dxf>
    <dxf>
      <border>
        <left/>
        <right/>
        <top/>
        <bottom/>
        <vertical/>
        <horizontal style="dotted">
          <color theme="0" tint="-0.24994659260841701"/>
        </horizontal>
      </border>
    </dxf>
  </dxfs>
  <tableStyles count="2" defaultTableStyle="TableStyleMedium2" defaultPivotStyle="PivotStyleLight16">
    <tableStyle name="Invisible" pivot="0" table="0" count="0" xr9:uid="{00000000-0011-0000-FFFF-FFFF00000000}"/>
    <tableStyle name="Table Style 1" pivot="0" count="2" xr9:uid="{00000000-0011-0000-FFFF-FFFF01000000}">
      <tableStyleElement type="wholeTable" dxfId="90"/>
      <tableStyleElement type="headerRow" dxfId="89"/>
    </tableStyle>
  </tableStyles>
  <colors>
    <mruColors>
      <color rgb="FFD2E7D6"/>
      <color rgb="FF6DCEF9"/>
      <color rgb="FF71CCF5"/>
      <color rgb="FF9BE686"/>
      <color rgb="FFC2DE91"/>
      <color rgb="FF679436"/>
      <color rgb="FFFFA101"/>
      <color rgb="FFDAF6FF"/>
      <color rgb="FF94E494"/>
      <color rgb="FFA9D0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07/relationships/slicerCache" Target="slicerCaches/slicerCache2.xml"/><Relationship Id="rId47" Type="http://schemas.openxmlformats.org/officeDocument/2006/relationships/sheetMetadata" Target="metadata.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3"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07/relationships/slicerCache" Target="slicerCaches/slicerCache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s-AR" sz="1600" b="1" i="0" u="none" strike="noStrike" kern="1200" cap="none" spc="50" baseline="0">
                <a:solidFill>
                  <a:sysClr val="windowText" lastClr="000000">
                    <a:lumMod val="65000"/>
                    <a:lumOff val="35000"/>
                  </a:sysClr>
                </a:solidFill>
                <a:effectLst/>
                <a:latin typeface="+mn-lt"/>
                <a:ea typeface="+mn-ea"/>
                <a:cs typeface="+mn-cs"/>
              </a:defRPr>
            </a:pPr>
            <a:r>
              <a:rPr lang="es-AR" sz="1600" b="1" i="0" u="none" strike="noStrike" kern="1200" cap="none" spc="50" baseline="0">
                <a:solidFill>
                  <a:sysClr val="windowText" lastClr="000000">
                    <a:lumMod val="65000"/>
                    <a:lumOff val="35000"/>
                  </a:sysClr>
                </a:solidFill>
                <a:effectLst/>
                <a:latin typeface="+mn-lt"/>
                <a:ea typeface="+mn-ea"/>
                <a:cs typeface="+mn-cs"/>
              </a:rPr>
              <a:t>Total Scope 1 and 2 GHG Emissions</a:t>
            </a:r>
          </a:p>
        </c:rich>
      </c:tx>
      <c:layout>
        <c:manualLayout>
          <c:xMode val="edge"/>
          <c:yMode val="edge"/>
          <c:x val="0.13379453387825996"/>
          <c:y val="3.4748335854988599E-2"/>
        </c:manualLayout>
      </c:layout>
      <c:overlay val="0"/>
    </c:title>
    <c:autoTitleDeleted val="0"/>
    <c:plotArea>
      <c:layout/>
      <c:barChart>
        <c:barDir val="col"/>
        <c:grouping val="percentStacked"/>
        <c:varyColors val="0"/>
        <c:ser>
          <c:idx val="0"/>
          <c:order val="0"/>
          <c:tx>
            <c:strRef>
              <c:f>'Results &amp; Summary'!$L$34</c:f>
              <c:strCache>
                <c:ptCount val="1"/>
                <c:pt idx="0">
                  <c:v>Scope 1</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Instructions!$C$6</c:f>
              <c:numCache>
                <c:formatCode>General</c:formatCode>
                <c:ptCount val="1"/>
              </c:numCache>
            </c:numRef>
          </c:cat>
          <c:val>
            <c:numRef>
              <c:f>'Results &amp; Summary'!$M$34</c:f>
              <c:numCache>
                <c:formatCode>_-* #,##0.00_-;\-* #,##0.00_-;_-* "-"??_-;_-@_-</c:formatCode>
                <c:ptCount val="1"/>
                <c:pt idx="0">
                  <c:v>0</c:v>
                </c:pt>
              </c:numCache>
            </c:numRef>
          </c:val>
          <c:extLst>
            <c:ext xmlns:c16="http://schemas.microsoft.com/office/drawing/2014/chart" uri="{C3380CC4-5D6E-409C-BE32-E72D297353CC}">
              <c16:uniqueId val="{00000000-706F-4C61-9159-84D80B6B78E6}"/>
            </c:ext>
          </c:extLst>
        </c:ser>
        <c:ser>
          <c:idx val="1"/>
          <c:order val="1"/>
          <c:tx>
            <c:strRef>
              <c:f>'Results &amp; Summary'!$L$35</c:f>
              <c:strCache>
                <c:ptCount val="1"/>
                <c:pt idx="0">
                  <c:v>Scope 2</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Instructions!$C$6</c:f>
              <c:numCache>
                <c:formatCode>General</c:formatCode>
                <c:ptCount val="1"/>
              </c:numCache>
            </c:numRef>
          </c:cat>
          <c:val>
            <c:numRef>
              <c:f>'Results &amp; Summary'!$M$35</c:f>
              <c:numCache>
                <c:formatCode>_-* #,##0.00_-;\-* #,##0.00_-;_-* "-"??_-;_-@_-</c:formatCode>
                <c:ptCount val="1"/>
                <c:pt idx="0">
                  <c:v>0</c:v>
                </c:pt>
              </c:numCache>
            </c:numRef>
          </c:val>
          <c:extLst>
            <c:ext xmlns:c16="http://schemas.microsoft.com/office/drawing/2014/chart" uri="{C3380CC4-5D6E-409C-BE32-E72D297353CC}">
              <c16:uniqueId val="{00000001-706F-4C61-9159-84D80B6B78E6}"/>
            </c:ext>
          </c:extLst>
        </c:ser>
        <c:dLbls>
          <c:showLegendKey val="0"/>
          <c:showVal val="0"/>
          <c:showCatName val="0"/>
          <c:showSerName val="0"/>
          <c:showPercent val="0"/>
          <c:showBubbleSize val="0"/>
        </c:dLbls>
        <c:gapWidth val="150"/>
        <c:overlap val="100"/>
        <c:axId val="205998336"/>
        <c:axId val="206004224"/>
      </c:barChart>
      <c:catAx>
        <c:axId val="205998336"/>
        <c:scaling>
          <c:orientation val="minMax"/>
        </c:scaling>
        <c:delete val="0"/>
        <c:axPos val="b"/>
        <c:numFmt formatCode="General" sourceLinked="0"/>
        <c:majorTickMark val="out"/>
        <c:minorTickMark val="none"/>
        <c:tickLblPos val="nextTo"/>
        <c:txPr>
          <a:bodyPr/>
          <a:lstStyle/>
          <a:p>
            <a:pPr>
              <a:defRPr sz="1200" b="1"/>
            </a:pPr>
            <a:endParaRPr lang="en-US"/>
          </a:p>
        </c:txPr>
        <c:crossAx val="206004224"/>
        <c:crosses val="autoZero"/>
        <c:auto val="1"/>
        <c:lblAlgn val="ctr"/>
        <c:lblOffset val="100"/>
        <c:noMultiLvlLbl val="0"/>
      </c:catAx>
      <c:valAx>
        <c:axId val="206004224"/>
        <c:scaling>
          <c:orientation val="minMax"/>
        </c:scaling>
        <c:delete val="0"/>
        <c:axPos val="l"/>
        <c:majorGridlines/>
        <c:numFmt formatCode="0%" sourceLinked="1"/>
        <c:majorTickMark val="out"/>
        <c:minorTickMark val="none"/>
        <c:tickLblPos val="nextTo"/>
        <c:crossAx val="205998336"/>
        <c:crosses val="autoZero"/>
        <c:crossBetween val="between"/>
      </c:valAx>
    </c:plotArea>
    <c:legend>
      <c:legendPos val="r"/>
      <c:layout>
        <c:manualLayout>
          <c:xMode val="edge"/>
          <c:yMode val="edge"/>
          <c:x val="0.82768011319964052"/>
          <c:y val="8.6233976955638378E-2"/>
          <c:w val="0.15664405971436654"/>
          <c:h val="0.83495154889315526"/>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s-AR" sz="1400" b="1" i="0" u="none" strike="noStrike" kern="1200" cap="none" spc="50" baseline="0">
                <a:solidFill>
                  <a:sysClr val="windowText" lastClr="000000">
                    <a:lumMod val="65000"/>
                    <a:lumOff val="35000"/>
                  </a:sysClr>
                </a:solidFill>
                <a:effectLst/>
                <a:latin typeface="+mn-lt"/>
                <a:ea typeface="+mn-ea"/>
                <a:cs typeface="+mn-cs"/>
              </a:defRPr>
            </a:pPr>
            <a:r>
              <a:rPr lang="es-AR" sz="1400" b="1" i="0" baseline="0">
                <a:effectLst/>
              </a:rPr>
              <a:t>Total emissions per source </a:t>
            </a:r>
            <a:endParaRPr lang="en-US" sz="1400">
              <a:effectLst/>
            </a:endParaRPr>
          </a:p>
        </c:rich>
      </c:tx>
      <c:layout>
        <c:manualLayout>
          <c:xMode val="edge"/>
          <c:yMode val="edge"/>
          <c:x val="6.452105577200283E-2"/>
          <c:y val="2.0109426509801506E-2"/>
        </c:manualLayout>
      </c:layout>
      <c:overlay val="0"/>
    </c:title>
    <c:autoTitleDeleted val="0"/>
    <c:plotArea>
      <c:layout/>
      <c:barChart>
        <c:barDir val="col"/>
        <c:grouping val="percentStacked"/>
        <c:varyColors val="0"/>
        <c:ser>
          <c:idx val="0"/>
          <c:order val="0"/>
          <c:tx>
            <c:strRef>
              <c:f>'Results &amp; Summary'!$B$8</c:f>
              <c:strCache>
                <c:ptCount val="1"/>
                <c:pt idx="0">
                  <c:v>Stationary Combustion</c:v>
                </c:pt>
              </c:strCache>
            </c:strRef>
          </c:tx>
          <c:spPr>
            <a:solidFill>
              <a:srgbClr val="007EA7"/>
            </a:solidFill>
          </c:spPr>
          <c:invertIfNegative val="0"/>
          <c:cat>
            <c:numRef>
              <c:f>Instructions!$C$6</c:f>
              <c:numCache>
                <c:formatCode>General</c:formatCode>
                <c:ptCount val="1"/>
              </c:numCache>
            </c:numRef>
          </c:cat>
          <c:val>
            <c:numRef>
              <c:f>'Results &amp; Summary'!$H$8</c:f>
              <c:numCache>
                <c:formatCode>General</c:formatCode>
                <c:ptCount val="1"/>
                <c:pt idx="0">
                  <c:v>0</c:v>
                </c:pt>
              </c:numCache>
            </c:numRef>
          </c:val>
          <c:extLst>
            <c:ext xmlns:c16="http://schemas.microsoft.com/office/drawing/2014/chart" uri="{C3380CC4-5D6E-409C-BE32-E72D297353CC}">
              <c16:uniqueId val="{00000000-3FB9-40E6-8F99-CCD089BC621F}"/>
            </c:ext>
          </c:extLst>
        </c:ser>
        <c:ser>
          <c:idx val="1"/>
          <c:order val="1"/>
          <c:tx>
            <c:strRef>
              <c:f>'Results &amp; Summary'!$B$9</c:f>
              <c:strCache>
                <c:ptCount val="1"/>
                <c:pt idx="0">
                  <c:v>Mobile Combustion</c:v>
                </c:pt>
              </c:strCache>
            </c:strRef>
          </c:tx>
          <c:spPr>
            <a:solidFill>
              <a:srgbClr val="0096FF"/>
            </a:solidFill>
          </c:spPr>
          <c:invertIfNegative val="0"/>
          <c:cat>
            <c:numRef>
              <c:f>Instructions!$C$6</c:f>
              <c:numCache>
                <c:formatCode>General</c:formatCode>
                <c:ptCount val="1"/>
              </c:numCache>
            </c:numRef>
          </c:cat>
          <c:val>
            <c:numRef>
              <c:f>'Results &amp; Summary'!$H$9</c:f>
              <c:numCache>
                <c:formatCode>General</c:formatCode>
                <c:ptCount val="1"/>
                <c:pt idx="0">
                  <c:v>0</c:v>
                </c:pt>
              </c:numCache>
            </c:numRef>
          </c:val>
          <c:extLst>
            <c:ext xmlns:c16="http://schemas.microsoft.com/office/drawing/2014/chart" uri="{C3380CC4-5D6E-409C-BE32-E72D297353CC}">
              <c16:uniqueId val="{00000001-3FB9-40E6-8F99-CCD089BC621F}"/>
            </c:ext>
          </c:extLst>
        </c:ser>
        <c:ser>
          <c:idx val="2"/>
          <c:order val="2"/>
          <c:tx>
            <c:strRef>
              <c:f>'Results &amp; Summary'!$B$11</c:f>
              <c:strCache>
                <c:ptCount val="1"/>
                <c:pt idx="0">
                  <c:v>Refrigerants and Fire Suppression</c:v>
                </c:pt>
              </c:strCache>
            </c:strRef>
          </c:tx>
          <c:spPr>
            <a:solidFill>
              <a:srgbClr val="0C8B6A"/>
            </a:solidFill>
          </c:spPr>
          <c:invertIfNegative val="0"/>
          <c:cat>
            <c:numRef>
              <c:f>Instructions!$C$6</c:f>
              <c:numCache>
                <c:formatCode>General</c:formatCode>
                <c:ptCount val="1"/>
              </c:numCache>
            </c:numRef>
          </c:cat>
          <c:val>
            <c:numRef>
              <c:f>'Results &amp; Summary'!$H$11</c:f>
              <c:numCache>
                <c:formatCode>General</c:formatCode>
                <c:ptCount val="1"/>
                <c:pt idx="0">
                  <c:v>0</c:v>
                </c:pt>
              </c:numCache>
            </c:numRef>
          </c:val>
          <c:extLst>
            <c:ext xmlns:c16="http://schemas.microsoft.com/office/drawing/2014/chart" uri="{C3380CC4-5D6E-409C-BE32-E72D297353CC}">
              <c16:uniqueId val="{00000002-3FB9-40E6-8F99-CCD089BC621F}"/>
            </c:ext>
          </c:extLst>
        </c:ser>
        <c:ser>
          <c:idx val="3"/>
          <c:order val="3"/>
          <c:tx>
            <c:strRef>
              <c:f>'Results &amp; Summary'!$B$12</c:f>
              <c:strCache>
                <c:ptCount val="1"/>
                <c:pt idx="0">
                  <c:v>Inhaled Anesthetic Gases</c:v>
                </c:pt>
              </c:strCache>
            </c:strRef>
          </c:tx>
          <c:spPr>
            <a:solidFill>
              <a:srgbClr val="76D6FF"/>
            </a:solidFill>
          </c:spPr>
          <c:invertIfNegative val="0"/>
          <c:cat>
            <c:numRef>
              <c:f>Instructions!$C$6</c:f>
              <c:numCache>
                <c:formatCode>General</c:formatCode>
                <c:ptCount val="1"/>
              </c:numCache>
            </c:numRef>
          </c:cat>
          <c:val>
            <c:numRef>
              <c:f>'Results &amp; Summary'!$H$12</c:f>
              <c:numCache>
                <c:formatCode>General</c:formatCode>
                <c:ptCount val="1"/>
                <c:pt idx="0">
                  <c:v>0</c:v>
                </c:pt>
              </c:numCache>
            </c:numRef>
          </c:val>
          <c:extLst>
            <c:ext xmlns:c16="http://schemas.microsoft.com/office/drawing/2014/chart" uri="{C3380CC4-5D6E-409C-BE32-E72D297353CC}">
              <c16:uniqueId val="{00000003-3FB9-40E6-8F99-CCD089BC621F}"/>
            </c:ext>
          </c:extLst>
        </c:ser>
        <c:ser>
          <c:idx val="4"/>
          <c:order val="4"/>
          <c:tx>
            <c:strRef>
              <c:f>'Results &amp; Summary'!$B$21</c:f>
              <c:strCache>
                <c:ptCount val="1"/>
                <c:pt idx="0">
                  <c:v>Purchased Electricity</c:v>
                </c:pt>
              </c:strCache>
            </c:strRef>
          </c:tx>
          <c:spPr>
            <a:solidFill>
              <a:srgbClr val="DC4405"/>
            </a:solidFill>
          </c:spPr>
          <c:invertIfNegative val="0"/>
          <c:cat>
            <c:numRef>
              <c:f>Instructions!$C$6</c:f>
              <c:numCache>
                <c:formatCode>General</c:formatCode>
                <c:ptCount val="1"/>
              </c:numCache>
            </c:numRef>
          </c:cat>
          <c:val>
            <c:numRef>
              <c:f>'Results &amp; Summary'!$H$21</c:f>
              <c:numCache>
                <c:formatCode>General</c:formatCode>
                <c:ptCount val="1"/>
                <c:pt idx="0">
                  <c:v>0</c:v>
                </c:pt>
              </c:numCache>
            </c:numRef>
          </c:val>
          <c:extLst>
            <c:ext xmlns:c16="http://schemas.microsoft.com/office/drawing/2014/chart" uri="{C3380CC4-5D6E-409C-BE32-E72D297353CC}">
              <c16:uniqueId val="{00000004-3FB9-40E6-8F99-CCD089BC621F}"/>
            </c:ext>
          </c:extLst>
        </c:ser>
        <c:ser>
          <c:idx val="11"/>
          <c:order val="5"/>
          <c:tx>
            <c:strRef>
              <c:f>'Results &amp; Summary'!$B$22</c:f>
              <c:strCache>
                <c:ptCount val="1"/>
                <c:pt idx="0">
                  <c:v>Purchased Steam, Hot and Chilled Water</c:v>
                </c:pt>
              </c:strCache>
            </c:strRef>
          </c:tx>
          <c:spPr>
            <a:solidFill>
              <a:srgbClr val="F89614"/>
            </a:solidFill>
          </c:spPr>
          <c:invertIfNegative val="0"/>
          <c:cat>
            <c:numRef>
              <c:f>Instructions!$C$6</c:f>
              <c:numCache>
                <c:formatCode>General</c:formatCode>
                <c:ptCount val="1"/>
              </c:numCache>
            </c:numRef>
          </c:cat>
          <c:val>
            <c:numRef>
              <c:f>'Results &amp; Summary'!$H$22</c:f>
              <c:numCache>
                <c:formatCode>General</c:formatCode>
                <c:ptCount val="1"/>
                <c:pt idx="0">
                  <c:v>0</c:v>
                </c:pt>
              </c:numCache>
            </c:numRef>
          </c:val>
          <c:extLst>
            <c:ext xmlns:c16="http://schemas.microsoft.com/office/drawing/2014/chart" uri="{C3380CC4-5D6E-409C-BE32-E72D297353CC}">
              <c16:uniqueId val="{00000005-3FB9-40E6-8F99-CCD089BC621F}"/>
            </c:ext>
          </c:extLst>
        </c:ser>
        <c:dLbls>
          <c:showLegendKey val="0"/>
          <c:showVal val="0"/>
          <c:showCatName val="0"/>
          <c:showSerName val="0"/>
          <c:showPercent val="0"/>
          <c:showBubbleSize val="0"/>
        </c:dLbls>
        <c:gapWidth val="150"/>
        <c:overlap val="100"/>
        <c:axId val="205998336"/>
        <c:axId val="206004224"/>
        <c:extLst>
          <c:ext xmlns:c15="http://schemas.microsoft.com/office/drawing/2012/chart" uri="{02D57815-91ED-43cb-92C2-25804820EDAC}">
            <c15:filteredBarSeries>
              <c15:ser>
                <c:idx val="8"/>
                <c:order val="6"/>
                <c:tx>
                  <c:strRef>
                    <c:extLst>
                      <c:ext uri="{02D57815-91ED-43cb-92C2-25804820EDAC}">
                        <c15:formulaRef>
                          <c15:sqref>'Results &amp; Summary'!$B$25</c15:sqref>
                        </c15:formulaRef>
                      </c:ext>
                    </c:extLst>
                    <c:strCache>
                      <c:ptCount val="1"/>
                      <c:pt idx="0">
                        <c:v>Capital goods</c:v>
                      </c:pt>
                    </c:strCache>
                  </c:strRef>
                </c:tx>
                <c:spPr>
                  <a:solidFill>
                    <a:srgbClr val="A5A5A5"/>
                  </a:solidFill>
                </c:spPr>
                <c:invertIfNegative val="0"/>
                <c:cat>
                  <c:numRef>
                    <c:extLst>
                      <c:ext uri="{02D57815-91ED-43cb-92C2-25804820EDAC}">
                        <c15:formulaRef>
                          <c15:sqref>Instructions!$C$6</c15:sqref>
                        </c15:formulaRef>
                      </c:ext>
                    </c:extLst>
                    <c:numCache>
                      <c:formatCode>General</c:formatCode>
                      <c:ptCount val="1"/>
                    </c:numCache>
                  </c:numRef>
                </c:cat>
                <c:val>
                  <c:numRef>
                    <c:extLst>
                      <c:ext uri="{02D57815-91ED-43cb-92C2-25804820EDAC}">
                        <c15:formulaRef>
                          <c15:sqref>'Results &amp; Summary'!$H$25</c15:sqref>
                        </c15:formulaRef>
                      </c:ext>
                    </c:extLst>
                    <c:numCache>
                      <c:formatCode>General</c:formatCode>
                      <c:ptCount val="1"/>
                    </c:numCache>
                  </c:numRef>
                </c:val>
                <c:extLst>
                  <c:ext xmlns:c16="http://schemas.microsoft.com/office/drawing/2014/chart" uri="{C3380CC4-5D6E-409C-BE32-E72D297353CC}">
                    <c16:uniqueId val="{00000006-3FB9-40E6-8F99-CCD089BC621F}"/>
                  </c:ext>
                </c:extLst>
              </c15:ser>
            </c15:filteredBarSeries>
            <c15:filteredBarSeries>
              <c15:ser>
                <c:idx val="9"/>
                <c:order val="7"/>
                <c:tx>
                  <c:strRef>
                    <c:extLst xmlns:c15="http://schemas.microsoft.com/office/drawing/2012/chart">
                      <c:ext xmlns:c15="http://schemas.microsoft.com/office/drawing/2012/chart" uri="{02D57815-91ED-43cb-92C2-25804820EDAC}">
                        <c15:formulaRef>
                          <c15:sqref>'Results &amp; Summary'!$B$26</c15:sqref>
                        </c15:formulaRef>
                      </c:ext>
                    </c:extLst>
                    <c:strCache>
                      <c:ptCount val="1"/>
                      <c:pt idx="0">
                        <c:v>Fuel- &amp; energy-related emissions</c:v>
                      </c:pt>
                    </c:strCache>
                  </c:strRef>
                </c:tx>
                <c:spPr>
                  <a:solidFill>
                    <a:srgbClr val="D5FC79"/>
                  </a:solidFill>
                </c:spPr>
                <c:invertIfNegative val="0"/>
                <c:cat>
                  <c:numRef>
                    <c:extLst xmlns:c15="http://schemas.microsoft.com/office/drawing/2012/chart">
                      <c:ext xmlns:c15="http://schemas.microsoft.com/office/drawing/2012/chart" uri="{02D57815-91ED-43cb-92C2-25804820EDAC}">
                        <c15:formulaRef>
                          <c15:sqref>Instructions!$C$6</c15:sqref>
                        </c15:formulaRef>
                      </c:ext>
                    </c:extLst>
                    <c:numCache>
                      <c:formatCode>General</c:formatCode>
                      <c:ptCount val="1"/>
                    </c:numCache>
                  </c:numRef>
                </c:cat>
                <c:val>
                  <c:numRef>
                    <c:extLst xmlns:c15="http://schemas.microsoft.com/office/drawing/2012/chart">
                      <c:ext xmlns:c15="http://schemas.microsoft.com/office/drawing/2012/chart" uri="{02D57815-91ED-43cb-92C2-25804820EDAC}">
                        <c15:formulaRef>
                          <c15:sqref>'Results &amp; Summary'!$H$26</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7-3FB9-40E6-8F99-CCD089BC621F}"/>
                  </c:ext>
                </c:extLst>
              </c15:ser>
            </c15:filteredBarSeries>
            <c15:filteredBarSeries>
              <c15:ser>
                <c:idx val="10"/>
                <c:order val="8"/>
                <c:tx>
                  <c:strRef>
                    <c:extLst xmlns:c15="http://schemas.microsoft.com/office/drawing/2012/chart">
                      <c:ext xmlns:c15="http://schemas.microsoft.com/office/drawing/2012/chart" uri="{02D57815-91ED-43cb-92C2-25804820EDAC}">
                        <c15:formulaRef>
                          <c15:sqref>'Results &amp; Summary'!$B$27</c15:sqref>
                        </c15:formulaRef>
                      </c:ext>
                    </c:extLst>
                    <c:strCache>
                      <c:ptCount val="1"/>
                      <c:pt idx="0">
                        <c:v>Upstream transportation &amp; distribution</c:v>
                      </c:pt>
                    </c:strCache>
                  </c:strRef>
                </c:tx>
                <c:spPr>
                  <a:solidFill>
                    <a:srgbClr val="4E8F00"/>
                  </a:solidFill>
                </c:spPr>
                <c:invertIfNegative val="0"/>
                <c:cat>
                  <c:numRef>
                    <c:extLst xmlns:c15="http://schemas.microsoft.com/office/drawing/2012/chart">
                      <c:ext xmlns:c15="http://schemas.microsoft.com/office/drawing/2012/chart" uri="{02D57815-91ED-43cb-92C2-25804820EDAC}">
                        <c15:formulaRef>
                          <c15:sqref>Instructions!$C$6</c15:sqref>
                        </c15:formulaRef>
                      </c:ext>
                    </c:extLst>
                    <c:numCache>
                      <c:formatCode>General</c:formatCode>
                      <c:ptCount val="1"/>
                    </c:numCache>
                  </c:numRef>
                </c:cat>
                <c:val>
                  <c:numRef>
                    <c:extLst xmlns:c15="http://schemas.microsoft.com/office/drawing/2012/chart">
                      <c:ext xmlns:c15="http://schemas.microsoft.com/office/drawing/2012/chart" uri="{02D57815-91ED-43cb-92C2-25804820EDAC}">
                        <c15:formulaRef>
                          <c15:sqref>'Results &amp; Summary'!$H$27</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8-3FB9-40E6-8F99-CCD089BC621F}"/>
                  </c:ext>
                </c:extLst>
              </c15:ser>
            </c15:filteredBarSeries>
            <c15:filteredBarSeries>
              <c15:ser>
                <c:idx val="14"/>
                <c:order val="9"/>
                <c:tx>
                  <c:strRef>
                    <c:extLst xmlns:c15="http://schemas.microsoft.com/office/drawing/2012/chart">
                      <c:ext xmlns:c15="http://schemas.microsoft.com/office/drawing/2012/chart" uri="{02D57815-91ED-43cb-92C2-25804820EDAC}">
                        <c15:formulaRef>
                          <c15:sqref>'Results &amp; Summary'!$B$28</c15:sqref>
                        </c15:formulaRef>
                      </c:ext>
                    </c:extLst>
                    <c:strCache>
                      <c:ptCount val="1"/>
                      <c:pt idx="0">
                        <c:v>Waste generated in operations</c:v>
                      </c:pt>
                    </c:strCache>
                  </c:strRef>
                </c:tx>
                <c:spPr>
                  <a:solidFill>
                    <a:srgbClr val="00C04C"/>
                  </a:solidFill>
                </c:spPr>
                <c:invertIfNegative val="0"/>
                <c:cat>
                  <c:numRef>
                    <c:extLst xmlns:c15="http://schemas.microsoft.com/office/drawing/2012/chart">
                      <c:ext xmlns:c15="http://schemas.microsoft.com/office/drawing/2012/chart" uri="{02D57815-91ED-43cb-92C2-25804820EDAC}">
                        <c15:formulaRef>
                          <c15:sqref>Instructions!$C$6</c15:sqref>
                        </c15:formulaRef>
                      </c:ext>
                    </c:extLst>
                    <c:numCache>
                      <c:formatCode>General</c:formatCode>
                      <c:ptCount val="1"/>
                    </c:numCache>
                  </c:numRef>
                </c:cat>
                <c:val>
                  <c:numRef>
                    <c:extLst xmlns:c15="http://schemas.microsoft.com/office/drawing/2012/chart">
                      <c:ext xmlns:c15="http://schemas.microsoft.com/office/drawing/2012/chart" uri="{02D57815-91ED-43cb-92C2-25804820EDAC}">
                        <c15:formulaRef>
                          <c15:sqref>'Results &amp; Summary'!$H$28</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9-3FB9-40E6-8F99-CCD089BC621F}"/>
                  </c:ext>
                </c:extLst>
              </c15:ser>
            </c15:filteredBarSeries>
            <c15:filteredBarSeries>
              <c15:ser>
                <c:idx val="15"/>
                <c:order val="10"/>
                <c:tx>
                  <c:strRef>
                    <c:extLst xmlns:c15="http://schemas.microsoft.com/office/drawing/2012/chart">
                      <c:ext xmlns:c15="http://schemas.microsoft.com/office/drawing/2012/chart" uri="{02D57815-91ED-43cb-92C2-25804820EDAC}">
                        <c15:formulaRef>
                          <c15:sqref>'Results &amp; Summary'!$B$31</c15:sqref>
                        </c15:formulaRef>
                      </c:ext>
                    </c:extLst>
                    <c:strCache>
                      <c:ptCount val="1"/>
                      <c:pt idx="0">
                        <c:v>Upstream leased assets</c:v>
                      </c:pt>
                    </c:strCache>
                  </c:strRef>
                </c:tx>
                <c:spPr>
                  <a:solidFill>
                    <a:srgbClr val="77A1E5"/>
                  </a:solidFill>
                </c:spPr>
                <c:invertIfNegative val="0"/>
                <c:cat>
                  <c:numRef>
                    <c:extLst xmlns:c15="http://schemas.microsoft.com/office/drawing/2012/chart">
                      <c:ext xmlns:c15="http://schemas.microsoft.com/office/drawing/2012/chart" uri="{02D57815-91ED-43cb-92C2-25804820EDAC}">
                        <c15:formulaRef>
                          <c15:sqref>Instructions!$C$6</c15:sqref>
                        </c15:formulaRef>
                      </c:ext>
                    </c:extLst>
                    <c:numCache>
                      <c:formatCode>General</c:formatCode>
                      <c:ptCount val="1"/>
                    </c:numCache>
                  </c:numRef>
                </c:cat>
                <c:val>
                  <c:numRef>
                    <c:extLst xmlns:c15="http://schemas.microsoft.com/office/drawing/2012/chart">
                      <c:ext xmlns:c15="http://schemas.microsoft.com/office/drawing/2012/chart" uri="{02D57815-91ED-43cb-92C2-25804820EDAC}">
                        <c15:formulaRef>
                          <c15:sqref>'Results &amp; Summary'!$H$31</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A-3FB9-40E6-8F99-CCD089BC621F}"/>
                  </c:ext>
                </c:extLst>
              </c15:ser>
            </c15:filteredBarSeries>
            <c15:filteredBarSeries>
              <c15:ser>
                <c:idx val="5"/>
                <c:order val="11"/>
                <c:tx>
                  <c:strRef>
                    <c:extLst xmlns:c15="http://schemas.microsoft.com/office/drawing/2012/chart">
                      <c:ext xmlns:c15="http://schemas.microsoft.com/office/drawing/2012/chart" uri="{02D57815-91ED-43cb-92C2-25804820EDAC}">
                        <c15:formulaRef>
                          <c15:sqref>'Results &amp; Summary'!$L$29</c15:sqref>
                        </c15:formulaRef>
                      </c:ext>
                    </c:extLst>
                    <c:strCache>
                      <c:ptCount val="1"/>
                    </c:strCache>
                  </c:strRef>
                </c:tx>
                <c:spPr>
                  <a:solidFill>
                    <a:srgbClr val="800080"/>
                  </a:solidFill>
                </c:spPr>
                <c:invertIfNegative val="0"/>
                <c:cat>
                  <c:numRef>
                    <c:extLst xmlns:c15="http://schemas.microsoft.com/office/drawing/2012/chart">
                      <c:ext xmlns:c15="http://schemas.microsoft.com/office/drawing/2012/chart" uri="{02D57815-91ED-43cb-92C2-25804820EDAC}">
                        <c15:formulaRef>
                          <c15:sqref>Instructions!$C$6</c15:sqref>
                        </c15:formulaRef>
                      </c:ext>
                    </c:extLst>
                    <c:numCache>
                      <c:formatCode>General</c:formatCode>
                      <c:ptCount val="1"/>
                    </c:numCache>
                  </c:numRef>
                </c:cat>
                <c:val>
                  <c:numRef>
                    <c:extLst xmlns:c15="http://schemas.microsoft.com/office/drawing/2012/chart">
                      <c:ext xmlns:c15="http://schemas.microsoft.com/office/drawing/2012/chart" uri="{02D57815-91ED-43cb-92C2-25804820EDAC}">
                        <c15:formulaRef>
                          <c15:sqref>'Results &amp; Summary'!$M$29</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B-3FB9-40E6-8F99-CCD089BC621F}"/>
                  </c:ext>
                </c:extLst>
              </c15:ser>
            </c15:filteredBarSeries>
            <c15:filteredBarSeries>
              <c15:ser>
                <c:idx val="6"/>
                <c:order val="12"/>
                <c:tx>
                  <c:strRef>
                    <c:extLst xmlns:c15="http://schemas.microsoft.com/office/drawing/2012/chart">
                      <c:ext xmlns:c15="http://schemas.microsoft.com/office/drawing/2012/chart" uri="{02D57815-91ED-43cb-92C2-25804820EDAC}">
                        <c15:formulaRef>
                          <c15:sqref>'Results &amp; Summary'!$L$30</c15:sqref>
                        </c15:formulaRef>
                      </c:ext>
                    </c:extLst>
                    <c:strCache>
                      <c:ptCount val="1"/>
                    </c:strCache>
                  </c:strRef>
                </c:tx>
                <c:spPr>
                  <a:solidFill>
                    <a:srgbClr val="9999FF"/>
                  </a:solidFill>
                </c:spPr>
                <c:invertIfNegative val="0"/>
                <c:cat>
                  <c:numRef>
                    <c:extLst xmlns:c15="http://schemas.microsoft.com/office/drawing/2012/chart">
                      <c:ext xmlns:c15="http://schemas.microsoft.com/office/drawing/2012/chart" uri="{02D57815-91ED-43cb-92C2-25804820EDAC}">
                        <c15:formulaRef>
                          <c15:sqref>Instructions!$C$6</c15:sqref>
                        </c15:formulaRef>
                      </c:ext>
                    </c:extLst>
                    <c:numCache>
                      <c:formatCode>General</c:formatCode>
                      <c:ptCount val="1"/>
                    </c:numCache>
                  </c:numRef>
                </c:cat>
                <c:val>
                  <c:numRef>
                    <c:extLst xmlns:c15="http://schemas.microsoft.com/office/drawing/2012/chart">
                      <c:ext xmlns:c15="http://schemas.microsoft.com/office/drawing/2012/chart" uri="{02D57815-91ED-43cb-92C2-25804820EDAC}">
                        <c15:formulaRef>
                          <c15:sqref>'Results &amp; Summary'!$M$30</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C-3FB9-40E6-8F99-CCD089BC621F}"/>
                  </c:ext>
                </c:extLst>
              </c15:ser>
            </c15:filteredBarSeries>
            <c15:filteredBarSeries>
              <c15:ser>
                <c:idx val="7"/>
                <c:order val="13"/>
                <c:tx>
                  <c:strRef>
                    <c:extLst xmlns:c15="http://schemas.microsoft.com/office/drawing/2012/chart">
                      <c:ext xmlns:c15="http://schemas.microsoft.com/office/drawing/2012/chart" uri="{02D57815-91ED-43cb-92C2-25804820EDAC}">
                        <c15:formulaRef>
                          <c15:sqref>'Results &amp; Summary'!$L$31</c15:sqref>
                        </c15:formulaRef>
                      </c:ext>
                    </c:extLst>
                    <c:strCache>
                      <c:ptCount val="1"/>
                    </c:strCache>
                  </c:strRef>
                </c:tx>
                <c:spPr>
                  <a:solidFill>
                    <a:srgbClr val="DDA0DD"/>
                  </a:solidFill>
                </c:spPr>
                <c:invertIfNegative val="0"/>
                <c:cat>
                  <c:numRef>
                    <c:extLst xmlns:c15="http://schemas.microsoft.com/office/drawing/2012/chart">
                      <c:ext xmlns:c15="http://schemas.microsoft.com/office/drawing/2012/chart" uri="{02D57815-91ED-43cb-92C2-25804820EDAC}">
                        <c15:formulaRef>
                          <c15:sqref>Instructions!$C$6</c15:sqref>
                        </c15:formulaRef>
                      </c:ext>
                    </c:extLst>
                    <c:numCache>
                      <c:formatCode>General</c:formatCode>
                      <c:ptCount val="1"/>
                    </c:numCache>
                  </c:numRef>
                </c:cat>
                <c:val>
                  <c:numRef>
                    <c:extLst xmlns:c15="http://schemas.microsoft.com/office/drawing/2012/chart">
                      <c:ext xmlns:c15="http://schemas.microsoft.com/office/drawing/2012/chart" uri="{02D57815-91ED-43cb-92C2-25804820EDAC}">
                        <c15:formulaRef>
                          <c15:sqref>'Results &amp; Summary'!$M$31</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D-3FB9-40E6-8F99-CCD089BC621F}"/>
                  </c:ext>
                </c:extLst>
              </c15:ser>
            </c15:filteredBarSeries>
          </c:ext>
        </c:extLst>
      </c:barChart>
      <c:catAx>
        <c:axId val="205998336"/>
        <c:scaling>
          <c:orientation val="minMax"/>
        </c:scaling>
        <c:delete val="0"/>
        <c:axPos val="b"/>
        <c:numFmt formatCode="General" sourceLinked="0"/>
        <c:majorTickMark val="out"/>
        <c:minorTickMark val="none"/>
        <c:tickLblPos val="nextTo"/>
        <c:txPr>
          <a:bodyPr/>
          <a:lstStyle/>
          <a:p>
            <a:pPr>
              <a:defRPr sz="1200" b="1"/>
            </a:pPr>
            <a:endParaRPr lang="en-US"/>
          </a:p>
        </c:txPr>
        <c:crossAx val="206004224"/>
        <c:crosses val="autoZero"/>
        <c:auto val="1"/>
        <c:lblAlgn val="ctr"/>
        <c:lblOffset val="100"/>
        <c:noMultiLvlLbl val="0"/>
      </c:catAx>
      <c:valAx>
        <c:axId val="206004224"/>
        <c:scaling>
          <c:orientation val="minMax"/>
        </c:scaling>
        <c:delete val="0"/>
        <c:axPos val="l"/>
        <c:majorGridlines/>
        <c:numFmt formatCode="0%" sourceLinked="1"/>
        <c:majorTickMark val="out"/>
        <c:minorTickMark val="none"/>
        <c:tickLblPos val="nextTo"/>
        <c:crossAx val="205998336"/>
        <c:crosses val="autoZero"/>
        <c:crossBetween val="between"/>
      </c:valAx>
    </c:plotArea>
    <c:legend>
      <c:legendPos val="r"/>
      <c:layout>
        <c:manualLayout>
          <c:xMode val="edge"/>
          <c:yMode val="edge"/>
          <c:x val="0.66651728809374078"/>
          <c:y val="2.1695798616545761E-2"/>
          <c:w val="0.33348271190625917"/>
          <c:h val="0.9601042367523993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AR" sz="1800" b="1" i="0" baseline="0">
                <a:effectLst/>
              </a:rPr>
              <a:t>Total emissions per source</a:t>
            </a:r>
            <a:endParaRPr lang="en-US">
              <a:effectLst/>
            </a:endParaRPr>
          </a:p>
        </c:rich>
      </c:tx>
      <c:layout>
        <c:manualLayout>
          <c:xMode val="edge"/>
          <c:yMode val="edge"/>
          <c:x val="0.2324701278308777"/>
          <c:y val="1.4871705195182348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6059946857601229E-2"/>
          <c:y val="0.36826206364621422"/>
          <c:w val="0.91862609223909875"/>
          <c:h val="0.6101120959658255"/>
        </c:manualLayout>
      </c:layout>
      <c:ofPieChart>
        <c:ofPieType val="pie"/>
        <c:varyColors val="1"/>
        <c:ser>
          <c:idx val="0"/>
          <c:order val="0"/>
          <c:dPt>
            <c:idx val="0"/>
            <c:bubble3D val="0"/>
            <c:spPr>
              <a:solidFill>
                <a:srgbClr val="007EA7"/>
              </a:solidFill>
              <a:ln w="19050">
                <a:solidFill>
                  <a:schemeClr val="lt1"/>
                </a:solidFill>
              </a:ln>
              <a:effectLst/>
            </c:spPr>
            <c:extLst>
              <c:ext xmlns:c16="http://schemas.microsoft.com/office/drawing/2014/chart" uri="{C3380CC4-5D6E-409C-BE32-E72D297353CC}">
                <c16:uniqueId val="{00000001-5714-4FEA-BE60-2573B6CF3E97}"/>
              </c:ext>
            </c:extLst>
          </c:dPt>
          <c:dPt>
            <c:idx val="1"/>
            <c:bubble3D val="0"/>
            <c:spPr>
              <a:solidFill>
                <a:srgbClr val="0096FF"/>
              </a:solidFill>
              <a:ln w="19050">
                <a:solidFill>
                  <a:schemeClr val="lt1"/>
                </a:solidFill>
              </a:ln>
              <a:effectLst/>
            </c:spPr>
            <c:extLst>
              <c:ext xmlns:c16="http://schemas.microsoft.com/office/drawing/2014/chart" uri="{C3380CC4-5D6E-409C-BE32-E72D297353CC}">
                <c16:uniqueId val="{00000003-5714-4FEA-BE60-2573B6CF3E97}"/>
              </c:ext>
            </c:extLst>
          </c:dPt>
          <c:dPt>
            <c:idx val="2"/>
            <c:bubble3D val="0"/>
            <c:spPr>
              <a:solidFill>
                <a:srgbClr val="0C8B6A"/>
              </a:solidFill>
              <a:ln w="19050">
                <a:solidFill>
                  <a:schemeClr val="lt1"/>
                </a:solidFill>
              </a:ln>
              <a:effectLst/>
            </c:spPr>
            <c:extLst>
              <c:ext xmlns:c16="http://schemas.microsoft.com/office/drawing/2014/chart" uri="{C3380CC4-5D6E-409C-BE32-E72D297353CC}">
                <c16:uniqueId val="{00000005-5714-4FEA-BE60-2573B6CF3E97}"/>
              </c:ext>
            </c:extLst>
          </c:dPt>
          <c:dPt>
            <c:idx val="3"/>
            <c:bubble3D val="0"/>
            <c:spPr>
              <a:solidFill>
                <a:srgbClr val="76D6FF"/>
              </a:solidFill>
              <a:ln w="19050">
                <a:solidFill>
                  <a:schemeClr val="lt1"/>
                </a:solidFill>
              </a:ln>
              <a:effectLst/>
            </c:spPr>
            <c:extLst>
              <c:ext xmlns:c16="http://schemas.microsoft.com/office/drawing/2014/chart" uri="{C3380CC4-5D6E-409C-BE32-E72D297353CC}">
                <c16:uniqueId val="{00000007-5714-4FEA-BE60-2573B6CF3E97}"/>
              </c:ext>
            </c:extLst>
          </c:dPt>
          <c:dPt>
            <c:idx val="4"/>
            <c:bubble3D val="0"/>
            <c:spPr>
              <a:solidFill>
                <a:srgbClr val="DC4405"/>
              </a:solidFill>
              <a:ln w="19050">
                <a:solidFill>
                  <a:schemeClr val="lt1"/>
                </a:solidFill>
              </a:ln>
              <a:effectLst/>
            </c:spPr>
            <c:extLst>
              <c:ext xmlns:c16="http://schemas.microsoft.com/office/drawing/2014/chart" uri="{C3380CC4-5D6E-409C-BE32-E72D297353CC}">
                <c16:uniqueId val="{00000009-5714-4FEA-BE60-2573B6CF3E97}"/>
              </c:ext>
            </c:extLst>
          </c:dPt>
          <c:dPt>
            <c:idx val="5"/>
            <c:bubble3D val="0"/>
            <c:spPr>
              <a:solidFill>
                <a:srgbClr val="F89614"/>
              </a:solidFill>
              <a:ln w="19050">
                <a:solidFill>
                  <a:schemeClr val="lt1"/>
                </a:solidFill>
              </a:ln>
              <a:effectLst/>
            </c:spPr>
            <c:extLst>
              <c:ext xmlns:c16="http://schemas.microsoft.com/office/drawing/2014/chart" uri="{C3380CC4-5D6E-409C-BE32-E72D297353CC}">
                <c16:uniqueId val="{0000000B-5714-4FEA-BE60-2573B6CF3E9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714-4FEA-BE60-2573B6CF3E9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'Results &amp; Summary'!$P$8:$P$22</c15:sqref>
                  </c15:fullRef>
                </c:ext>
              </c:extLst>
              <c:f>'Results &amp; Summary'!$P$8:$P$13</c:f>
              <c:strCache>
                <c:ptCount val="6"/>
                <c:pt idx="0">
                  <c:v>Stationary Combustion</c:v>
                </c:pt>
                <c:pt idx="1">
                  <c:v>Mobile Combustion</c:v>
                </c:pt>
                <c:pt idx="2">
                  <c:v>Refrigerants and Fire Suppression</c:v>
                </c:pt>
                <c:pt idx="3">
                  <c:v>Inhaled Anesthetic Gases</c:v>
                </c:pt>
                <c:pt idx="4">
                  <c:v>Purchased Electricity</c:v>
                </c:pt>
                <c:pt idx="5">
                  <c:v>Purchased Steam, Hot and Chilled Water</c:v>
                </c:pt>
              </c:strCache>
            </c:strRef>
          </c:cat>
          <c:val>
            <c:numRef>
              <c:extLst>
                <c:ext xmlns:c15="http://schemas.microsoft.com/office/drawing/2012/chart" uri="{02D57815-91ED-43cb-92C2-25804820EDAC}">
                  <c15:fullRef>
                    <c15:sqref>'Results &amp; Summary'!$Q$8:$Q$22</c15:sqref>
                  </c15:fullRef>
                </c:ext>
              </c:extLst>
              <c:f>'Results &amp; Summary'!$Q$8:$Q$13</c:f>
              <c:numCache>
                <c:formatCode>General</c:formatCode>
                <c:ptCount val="6"/>
                <c:pt idx="0">
                  <c:v>0</c:v>
                </c:pt>
                <c:pt idx="1">
                  <c:v>0</c:v>
                </c:pt>
                <c:pt idx="2">
                  <c:v>0</c:v>
                </c:pt>
                <c:pt idx="3">
                  <c:v>0</c:v>
                </c:pt>
                <c:pt idx="4">
                  <c:v>0</c:v>
                </c:pt>
                <c:pt idx="5">
                  <c:v>0</c:v>
                </c:pt>
              </c:numCache>
            </c:numRef>
          </c:val>
          <c:extLst>
            <c:ext xmlns:c15="http://schemas.microsoft.com/office/drawing/2012/chart" uri="{02D57815-91ED-43cb-92C2-25804820EDAC}">
              <c15:categoryFilterExceptions>
                <c15:categoryFilterException>
                  <c15:sqref>'Results &amp; Summary'!$Q$14</c15:sqref>
                  <c15:spPr xmlns:c15="http://schemas.microsoft.com/office/drawing/2012/chart">
                    <a:solidFill>
                      <a:schemeClr val="accent1">
                        <a:lumMod val="60000"/>
                      </a:schemeClr>
                    </a:solidFill>
                    <a:ln w="19050">
                      <a:solidFill>
                        <a:schemeClr val="lt1"/>
                      </a:solidFill>
                    </a:ln>
                    <a:effectLst/>
                  </c15:spPr>
                  <c15:bubble3D val="0"/>
                </c15:categoryFilterException>
                <c15:categoryFilterException>
                  <c15:sqref>'Results &amp; Summary'!$Q$15</c15:sqref>
                  <c15:spPr xmlns:c15="http://schemas.microsoft.com/office/drawing/2012/chart">
                    <a:solidFill>
                      <a:srgbClr val="A5A5A5"/>
                    </a:solidFill>
                    <a:ln w="19050">
                      <a:solidFill>
                        <a:schemeClr val="lt1"/>
                      </a:solidFill>
                    </a:ln>
                    <a:effectLst/>
                  </c15:spPr>
                  <c15:bubble3D val="0"/>
                </c15:categoryFilterException>
                <c15:categoryFilterException>
                  <c15:sqref>'Results &amp; Summary'!$Q$16</c15:sqref>
                  <c15:spPr xmlns:c15="http://schemas.microsoft.com/office/drawing/2012/chart">
                    <a:solidFill>
                      <a:srgbClr val="D5FC79"/>
                    </a:solidFill>
                    <a:ln w="19050">
                      <a:solidFill>
                        <a:schemeClr val="lt1"/>
                      </a:solidFill>
                    </a:ln>
                    <a:effectLst/>
                  </c15:spPr>
                  <c15:bubble3D val="0"/>
                </c15:categoryFilterException>
                <c15:categoryFilterException>
                  <c15:sqref>'Results &amp; Summary'!$Q$17</c15:sqref>
                  <c15:spPr xmlns:c15="http://schemas.microsoft.com/office/drawing/2012/chart">
                    <a:solidFill>
                      <a:srgbClr val="4E8F00"/>
                    </a:solidFill>
                    <a:ln w="19050">
                      <a:solidFill>
                        <a:schemeClr val="lt1"/>
                      </a:solidFill>
                    </a:ln>
                    <a:effectLst/>
                  </c15:spPr>
                  <c15:bubble3D val="0"/>
                </c15:categoryFilterException>
                <c15:categoryFilterException>
                  <c15:sqref>'Results &amp; Summary'!$Q$18</c15:sqref>
                  <c15:spPr xmlns:c15="http://schemas.microsoft.com/office/drawing/2012/chart">
                    <a:solidFill>
                      <a:srgbClr val="00C04C"/>
                    </a:solidFill>
                    <a:ln w="19050">
                      <a:solidFill>
                        <a:schemeClr val="lt1"/>
                      </a:solidFill>
                    </a:ln>
                    <a:effectLst/>
                  </c15:spPr>
                  <c15:bubble3D val="0"/>
                </c15:categoryFilterException>
                <c15:categoryFilterException>
                  <c15:sqref>'Results &amp; Summary'!$Q$19</c15:sqref>
                  <c15:spPr xmlns:c15="http://schemas.microsoft.com/office/drawing/2012/chart">
                    <a:solidFill>
                      <a:srgbClr val="77A1E5"/>
                    </a:solidFill>
                    <a:ln w="19050">
                      <a:solidFill>
                        <a:schemeClr val="lt1"/>
                      </a:solidFill>
                    </a:ln>
                    <a:effectLst/>
                  </c15:spPr>
                  <c15:bubble3D val="0"/>
                </c15:categoryFilterException>
                <c15:categoryFilterException>
                  <c15:sqref>'Results &amp; Summary'!$Q$20</c15:sqref>
                  <c15:spPr xmlns:c15="http://schemas.microsoft.com/office/drawing/2012/chart">
                    <a:solidFill>
                      <a:srgbClr val="800080"/>
                    </a:solidFill>
                    <a:ln w="19050">
                      <a:solidFill>
                        <a:schemeClr val="lt1"/>
                      </a:solidFill>
                    </a:ln>
                    <a:effectLst/>
                  </c15:spPr>
                  <c15:bubble3D val="0"/>
                </c15:categoryFilterException>
                <c15:categoryFilterException>
                  <c15:sqref>'Results &amp; Summary'!$Q$21</c15:sqref>
                  <c15:spPr xmlns:c15="http://schemas.microsoft.com/office/drawing/2012/chart">
                    <a:solidFill>
                      <a:srgbClr val="9999FF"/>
                    </a:solidFill>
                    <a:ln w="19050">
                      <a:solidFill>
                        <a:schemeClr val="lt1"/>
                      </a:solidFill>
                    </a:ln>
                    <a:effectLst/>
                  </c15:spPr>
                  <c15:bubble3D val="0"/>
                </c15:categoryFilterException>
                <c15:categoryFilterException>
                  <c15:sqref>'Results &amp; Summary'!$Q$22</c15:sqref>
                  <c15:spPr xmlns:c15="http://schemas.microsoft.com/office/drawing/2012/chart">
                    <a:solidFill>
                      <a:srgbClr val="DDA0DD"/>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E-5714-4FEA-BE60-2573B6CF3E97}"/>
            </c:ext>
          </c:extLst>
        </c:ser>
        <c:dLbls>
          <c:dLblPos val="outEnd"/>
          <c:showLegendKey val="0"/>
          <c:showVal val="0"/>
          <c:showCatName val="0"/>
          <c:showSerName val="0"/>
          <c:showPercent val="1"/>
          <c:showBubbleSize val="0"/>
          <c:showLeaderLines val="1"/>
        </c:dLbls>
        <c:gapWidth val="100"/>
        <c:splitType val="percent"/>
        <c:splitPos val="8"/>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t"/>
      <c:layout>
        <c:manualLayout>
          <c:xMode val="edge"/>
          <c:yMode val="edge"/>
          <c:x val="0"/>
          <c:y val="0.10183156173982558"/>
          <c:w val="1"/>
          <c:h val="0.2272496296296296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Scope 3 GHG Emissions by Category</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c:spPr>
          <c:invertIfNegative val="0"/>
          <c:dPt>
            <c:idx val="0"/>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1-F545-48CE-A5C7-76FD62DFB124}"/>
              </c:ext>
            </c:extLst>
          </c:dPt>
          <c:dPt>
            <c:idx val="1"/>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3-F545-48CE-A5C7-76FD62DFB124}"/>
              </c:ext>
            </c:extLst>
          </c:dPt>
          <c:dPt>
            <c:idx val="2"/>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5-F545-48CE-A5C7-76FD62DFB124}"/>
              </c:ext>
            </c:extLst>
          </c:dPt>
          <c:dPt>
            <c:idx val="3"/>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7-F545-48CE-A5C7-76FD62DFB124}"/>
              </c:ext>
            </c:extLst>
          </c:dPt>
          <c:dPt>
            <c:idx val="4"/>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9-F545-48CE-A5C7-76FD62DFB124}"/>
              </c:ext>
            </c:extLst>
          </c:dPt>
          <c:dPt>
            <c:idx val="5"/>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B-F545-48CE-A5C7-76FD62DFB124}"/>
              </c:ext>
            </c:extLst>
          </c:dPt>
          <c:dPt>
            <c:idx val="6"/>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D-F545-48CE-A5C7-76FD62DFB124}"/>
              </c:ext>
            </c:extLst>
          </c:dPt>
          <c:dPt>
            <c:idx val="7"/>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0F-F545-48CE-A5C7-76FD62DFB124}"/>
              </c:ext>
            </c:extLst>
          </c:dPt>
          <c:dPt>
            <c:idx val="8"/>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1-F545-48CE-A5C7-76FD62DFB124}"/>
              </c:ext>
            </c:extLst>
          </c:dPt>
          <c:dPt>
            <c:idx val="9"/>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3-F545-48CE-A5C7-76FD62DFB124}"/>
              </c:ext>
            </c:extLst>
          </c:dPt>
          <c:dPt>
            <c:idx val="10"/>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5-F545-48CE-A5C7-76FD62DFB124}"/>
              </c:ext>
            </c:extLst>
          </c:dPt>
          <c:dPt>
            <c:idx val="11"/>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7-F545-48CE-A5C7-76FD62DFB124}"/>
              </c:ext>
            </c:extLst>
          </c:dPt>
          <c:dPt>
            <c:idx val="12"/>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9-F545-48CE-A5C7-76FD62DFB124}"/>
              </c:ext>
            </c:extLst>
          </c:dPt>
          <c:dPt>
            <c:idx val="13"/>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B-F545-48CE-A5C7-76FD62DFB124}"/>
              </c:ext>
            </c:extLst>
          </c:dPt>
          <c:dPt>
            <c:idx val="14"/>
            <c:invertIfNegative val="0"/>
            <c:bubble3D val="0"/>
            <c:spPr>
              <a:gradFill flip="none" rotWithShape="1">
                <a:gsLst>
                  <a:gs pos="0">
                    <a:srgbClr val="00B0F0"/>
                  </a:gs>
                  <a:gs pos="74000">
                    <a:schemeClr val="accent1">
                      <a:lumMod val="45000"/>
                      <a:lumOff val="55000"/>
                    </a:schemeClr>
                  </a:gs>
                  <a:gs pos="83000">
                    <a:schemeClr val="accent1">
                      <a:lumMod val="45000"/>
                      <a:lumOff val="55000"/>
                    </a:schemeClr>
                  </a:gs>
                  <a:gs pos="100000">
                    <a:schemeClr val="accent1">
                      <a:lumMod val="30000"/>
                      <a:lumOff val="70000"/>
                    </a:schemeClr>
                  </a:gs>
                </a:gsLst>
                <a:lin ang="10800000" scaled="1"/>
                <a:tileRect/>
              </a:gradFill>
              <a:ln>
                <a:noFill/>
              </a:ln>
              <a:effectLst/>
            </c:spPr>
            <c:extLst>
              <c:ext xmlns:c16="http://schemas.microsoft.com/office/drawing/2014/chart" uri="{C3380CC4-5D6E-409C-BE32-E72D297353CC}">
                <c16:uniqueId val="{0000001D-F545-48CE-A5C7-76FD62DFB124}"/>
              </c:ext>
            </c:extLst>
          </c:dPt>
          <c:cat>
            <c:strRef>
              <c:f>'Scope 3 Summary'!$D$20:$D$34</c:f>
              <c:strCache>
                <c:ptCount val="15"/>
                <c:pt idx="0">
                  <c:v>Purchased goods &amp; services</c:v>
                </c:pt>
                <c:pt idx="1">
                  <c:v>Capital goods</c:v>
                </c:pt>
                <c:pt idx="2">
                  <c:v>Fuel- &amp; energy-related emissions</c:v>
                </c:pt>
                <c:pt idx="3">
                  <c:v>Upstream transportation &amp; distribution</c:v>
                </c:pt>
                <c:pt idx="4">
                  <c:v>Waste generated in operations</c:v>
                </c:pt>
                <c:pt idx="5">
                  <c:v>Business travel</c:v>
                </c:pt>
                <c:pt idx="6">
                  <c:v>Employee commuting</c:v>
                </c:pt>
                <c:pt idx="7">
                  <c:v>Upstream leased assets</c:v>
                </c:pt>
                <c:pt idx="8">
                  <c:v>Downstream transportation &amp; distribution
[Patient Visits &amp; Telehealth]</c:v>
                </c:pt>
                <c:pt idx="9">
                  <c:v>Processing of sold products</c:v>
                </c:pt>
                <c:pt idx="10">
                  <c:v>Use of sold products</c:v>
                </c:pt>
                <c:pt idx="11">
                  <c:v>End-of-life treatment of sold products</c:v>
                </c:pt>
                <c:pt idx="12">
                  <c:v>Downstream leased assets</c:v>
                </c:pt>
                <c:pt idx="13">
                  <c:v>Franchises</c:v>
                </c:pt>
                <c:pt idx="14">
                  <c:v>Investments</c:v>
                </c:pt>
              </c:strCache>
            </c:strRef>
          </c:cat>
          <c:val>
            <c:numRef>
              <c:f>'Scope 3 Summary'!$E$20:$E$34</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E-F545-48CE-A5C7-76FD62DFB124}"/>
            </c:ext>
          </c:extLst>
        </c:ser>
        <c:dLbls>
          <c:showLegendKey val="0"/>
          <c:showVal val="0"/>
          <c:showCatName val="0"/>
          <c:showSerName val="0"/>
          <c:showPercent val="0"/>
          <c:showBubbleSize val="0"/>
        </c:dLbls>
        <c:gapWidth val="30"/>
        <c:axId val="1051930632"/>
        <c:axId val="1051926040"/>
      </c:barChart>
      <c:catAx>
        <c:axId val="1051930632"/>
        <c:scaling>
          <c:orientation val="maxMin"/>
        </c:scaling>
        <c:delete val="0"/>
        <c:axPos val="l"/>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Scope 3 Category</a:t>
                </a:r>
              </a:p>
            </c:rich>
          </c:tx>
          <c:layout>
            <c:manualLayout>
              <c:xMode val="edge"/>
              <c:yMode val="edge"/>
              <c:x val="7.7339511075444267E-3"/>
              <c:y val="0.3734455606842248"/>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1051926040"/>
        <c:crosses val="autoZero"/>
        <c:auto val="1"/>
        <c:lblAlgn val="ctr"/>
        <c:lblOffset val="100"/>
        <c:noMultiLvlLbl val="0"/>
      </c:catAx>
      <c:valAx>
        <c:axId val="1051926040"/>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n-US" sz="1100" b="1">
                    <a:solidFill>
                      <a:sysClr val="windowText" lastClr="000000"/>
                    </a:solidFill>
                  </a:rPr>
                  <a:t>Scope 3 GHG emissions (MTCO2e)</a:t>
                </a:r>
              </a:p>
            </c:rich>
          </c:tx>
          <c:layout>
            <c:manualLayout>
              <c:xMode val="edge"/>
              <c:yMode val="edge"/>
              <c:x val="0.5237200280468387"/>
              <c:y val="0.14871294580824457"/>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solidFill>
              <a:schemeClr val="tx2">
                <a:alpha val="95000"/>
              </a:schemeClr>
            </a:solid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1051930632"/>
        <c:crosses val="autoZero"/>
        <c:crossBetween val="between"/>
        <c:dispUnits>
          <c:builtInUnit val="thousand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inventory year and inflation'!A1"/><Relationship Id="rId2" Type="http://schemas.openxmlformats.org/officeDocument/2006/relationships/hyperlink" Target="#'Scope 3 Summary'!A1"/><Relationship Id="rId1" Type="http://schemas.openxmlformats.org/officeDocument/2006/relationships/hyperlink" Target="#Summary!A1"/><Relationship Id="rId6" Type="http://schemas.openxmlformats.org/officeDocument/2006/relationships/image" Target="../media/image19.jpeg"/><Relationship Id="rId5" Type="http://schemas.openxmlformats.org/officeDocument/2006/relationships/image" Target="../media/image18.png"/><Relationship Id="rId4" Type="http://schemas.openxmlformats.org/officeDocument/2006/relationships/hyperlink" Target="#'Inventory Settings'!A1"/></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Summary!A1"/><Relationship Id="rId1" Type="http://schemas.openxmlformats.org/officeDocument/2006/relationships/chart" Target="../charts/chart4.xml"/><Relationship Id="rId4" Type="http://schemas.openxmlformats.org/officeDocument/2006/relationships/image" Target="../media/image2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5" Type="http://schemas.openxmlformats.org/officeDocument/2006/relationships/image" Target="../media/image26.png"/><Relationship Id="rId4" Type="http://schemas.openxmlformats.org/officeDocument/2006/relationships/image" Target="../media/image25.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jpg"/><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hyperlink" Target="#Introduction!A1"/></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jp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8.jpeg"/><Relationship Id="rId7" Type="http://schemas.openxmlformats.org/officeDocument/2006/relationships/image" Target="../media/image9.jpe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chart" Target="../charts/chart3.xml"/><Relationship Id="rId11" Type="http://schemas.openxmlformats.org/officeDocument/2006/relationships/image" Target="../media/image13.jpeg"/><Relationship Id="rId5" Type="http://schemas.openxmlformats.org/officeDocument/2006/relationships/chart" Target="../charts/chart2.xml"/><Relationship Id="rId10" Type="http://schemas.openxmlformats.org/officeDocument/2006/relationships/image" Target="../media/image12.jpeg"/><Relationship Id="rId4" Type="http://schemas.openxmlformats.org/officeDocument/2006/relationships/chart" Target="../charts/chart1.xml"/><Relationship Id="rId9"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jp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2.jpg"/><Relationship Id="rId1" Type="http://schemas.openxmlformats.org/officeDocument/2006/relationships/image" Target="../media/image1.jpeg"/><Relationship Id="rId4"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jp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e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1717863</xdr:colOff>
      <xdr:row>0</xdr:row>
      <xdr:rowOff>49737</xdr:rowOff>
    </xdr:from>
    <xdr:to>
      <xdr:col>2</xdr:col>
      <xdr:colOff>1763557</xdr:colOff>
      <xdr:row>0</xdr:row>
      <xdr:rowOff>1246841</xdr:rowOff>
    </xdr:to>
    <xdr:pic>
      <xdr:nvPicPr>
        <xdr:cNvPr id="2" name="Imagen 1">
          <a:extLst>
            <a:ext uri="{FF2B5EF4-FFF2-40B4-BE49-F238E27FC236}">
              <a16:creationId xmlns:a16="http://schemas.microsoft.com/office/drawing/2014/main" id="{8274735B-8C6A-459E-879C-CDA0C4DDD4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22688" y="49737"/>
          <a:ext cx="1998319" cy="1197104"/>
        </a:xfrm>
        <a:prstGeom prst="rect">
          <a:avLst/>
        </a:prstGeom>
      </xdr:spPr>
    </xdr:pic>
    <xdr:clientData/>
  </xdr:twoCellAnchor>
  <xdr:twoCellAnchor editAs="oneCell">
    <xdr:from>
      <xdr:col>1</xdr:col>
      <xdr:colOff>97117</xdr:colOff>
      <xdr:row>0</xdr:row>
      <xdr:rowOff>13074</xdr:rowOff>
    </xdr:from>
    <xdr:to>
      <xdr:col>1</xdr:col>
      <xdr:colOff>1326897</xdr:colOff>
      <xdr:row>0</xdr:row>
      <xdr:rowOff>1236504</xdr:rowOff>
    </xdr:to>
    <xdr:pic>
      <xdr:nvPicPr>
        <xdr:cNvPr id="3" name="Imagen 2">
          <a:extLst>
            <a:ext uri="{FF2B5EF4-FFF2-40B4-BE49-F238E27FC236}">
              <a16:creationId xmlns:a16="http://schemas.microsoft.com/office/drawing/2014/main" id="{46FAEA96-304C-463A-8A44-50FA3FE974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1942" y="13074"/>
          <a:ext cx="1229780" cy="1223430"/>
        </a:xfrm>
        <a:prstGeom prst="rect">
          <a:avLst/>
        </a:prstGeom>
      </xdr:spPr>
    </xdr:pic>
    <xdr:clientData/>
  </xdr:twoCellAnchor>
  <xdr:twoCellAnchor editAs="oneCell">
    <xdr:from>
      <xdr:col>2</xdr:col>
      <xdr:colOff>1893095</xdr:colOff>
      <xdr:row>0</xdr:row>
      <xdr:rowOff>83346</xdr:rowOff>
    </xdr:from>
    <xdr:to>
      <xdr:col>2</xdr:col>
      <xdr:colOff>3131721</xdr:colOff>
      <xdr:row>0</xdr:row>
      <xdr:rowOff>1143001</xdr:rowOff>
    </xdr:to>
    <xdr:pic>
      <xdr:nvPicPr>
        <xdr:cNvPr id="4" name="Picture 3">
          <a:extLst>
            <a:ext uri="{FF2B5EF4-FFF2-40B4-BE49-F238E27FC236}">
              <a16:creationId xmlns:a16="http://schemas.microsoft.com/office/drawing/2014/main" id="{04F02F08-0A64-4366-8623-7EFE603533C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50545" y="83346"/>
          <a:ext cx="1238626" cy="10596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1</xdr:row>
      <xdr:rowOff>152400</xdr:rowOff>
    </xdr:from>
    <xdr:to>
      <xdr:col>4</xdr:col>
      <xdr:colOff>0</xdr:colOff>
      <xdr:row>7</xdr:row>
      <xdr:rowOff>76199</xdr:rowOff>
    </xdr:to>
    <xdr:sp macro="" textlink="">
      <xdr:nvSpPr>
        <xdr:cNvPr id="2" name="Rectangle: Rounded Corners 4">
          <a:hlinkClick xmlns:r="http://schemas.openxmlformats.org/officeDocument/2006/relationships" r:id="rId1"/>
          <a:extLst>
            <a:ext uri="{FF2B5EF4-FFF2-40B4-BE49-F238E27FC236}">
              <a16:creationId xmlns:a16="http://schemas.microsoft.com/office/drawing/2014/main" id="{6BBEE006-A4E2-44BC-B5BA-D5B81E676E4D}"/>
            </a:ext>
          </a:extLst>
        </xdr:cNvPr>
        <xdr:cNvSpPr/>
      </xdr:nvSpPr>
      <xdr:spPr>
        <a:xfrm>
          <a:off x="6905625" y="333375"/>
          <a:ext cx="0" cy="1009649"/>
        </a:xfrm>
        <a:prstGeom prst="roundRect">
          <a:avLst/>
        </a:prstGeom>
        <a:ln>
          <a:solidFill>
            <a:schemeClr val="accent3">
              <a:lumMod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800" b="1" i="1">
              <a:solidFill>
                <a:sysClr val="windowText" lastClr="000000"/>
              </a:solidFill>
            </a:rPr>
            <a:t>Summary  of Results</a:t>
          </a:r>
        </a:p>
      </xdr:txBody>
    </xdr:sp>
    <xdr:clientData/>
  </xdr:twoCellAnchor>
  <xdr:twoCellAnchor>
    <xdr:from>
      <xdr:col>4</xdr:col>
      <xdr:colOff>2770592</xdr:colOff>
      <xdr:row>1</xdr:row>
      <xdr:rowOff>153085</xdr:rowOff>
    </xdr:from>
    <xdr:to>
      <xdr:col>4</xdr:col>
      <xdr:colOff>4207350</xdr:colOff>
      <xdr:row>7</xdr:row>
      <xdr:rowOff>76884</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7B92A905-34F0-4FCA-AA7B-B1C7A4F7241E}"/>
            </a:ext>
          </a:extLst>
        </xdr:cNvPr>
        <xdr:cNvSpPr/>
      </xdr:nvSpPr>
      <xdr:spPr>
        <a:xfrm>
          <a:off x="9676217" y="334060"/>
          <a:ext cx="1436758" cy="1009649"/>
        </a:xfrm>
        <a:prstGeom prst="roundRect">
          <a:avLst/>
        </a:prstGeom>
        <a:solidFill>
          <a:srgbClr val="00B0F0"/>
        </a:solidFill>
        <a:ln>
          <a:solidFill>
            <a:schemeClr val="accent3">
              <a:lumMod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800" b="1" i="1">
              <a:solidFill>
                <a:sysClr val="windowText" lastClr="000000"/>
              </a:solidFill>
            </a:rPr>
            <a:t>Summary of Results</a:t>
          </a:r>
        </a:p>
      </xdr:txBody>
    </xdr:sp>
    <xdr:clientData/>
  </xdr:twoCellAnchor>
  <xdr:twoCellAnchor>
    <xdr:from>
      <xdr:col>3</xdr:col>
      <xdr:colOff>1037166</xdr:colOff>
      <xdr:row>0</xdr:row>
      <xdr:rowOff>105833</xdr:rowOff>
    </xdr:from>
    <xdr:to>
      <xdr:col>4</xdr:col>
      <xdr:colOff>1467279</xdr:colOff>
      <xdr:row>8</xdr:row>
      <xdr:rowOff>10584</xdr:rowOff>
    </xdr:to>
    <xdr:grpSp>
      <xdr:nvGrpSpPr>
        <xdr:cNvPr id="4" name="Group 3">
          <a:hlinkClick xmlns:r="http://schemas.openxmlformats.org/officeDocument/2006/relationships" r:id="rId3"/>
          <a:extLst>
            <a:ext uri="{FF2B5EF4-FFF2-40B4-BE49-F238E27FC236}">
              <a16:creationId xmlns:a16="http://schemas.microsoft.com/office/drawing/2014/main" id="{89EAE8E9-5E82-46CC-BE6A-5AB69A9B0D90}"/>
            </a:ext>
          </a:extLst>
        </xdr:cNvPr>
        <xdr:cNvGrpSpPr/>
      </xdr:nvGrpSpPr>
      <xdr:grpSpPr>
        <a:xfrm>
          <a:off x="5630333" y="105833"/>
          <a:ext cx="2730224" cy="1315862"/>
          <a:chOff x="657225" y="4007042"/>
          <a:chExt cx="2743200" cy="446447"/>
        </a:xfrm>
      </xdr:grpSpPr>
      <xdr:sp macro="" textlink="">
        <xdr:nvSpPr>
          <xdr:cNvPr id="5" name="Rectangle: Rounded Corners 4">
            <a:extLst>
              <a:ext uri="{FF2B5EF4-FFF2-40B4-BE49-F238E27FC236}">
                <a16:creationId xmlns:a16="http://schemas.microsoft.com/office/drawing/2014/main" id="{B903EA4F-9506-C32E-B307-411C01255319}"/>
              </a:ext>
            </a:extLst>
          </xdr:cNvPr>
          <xdr:cNvSpPr/>
        </xdr:nvSpPr>
        <xdr:spPr>
          <a:xfrm>
            <a:off x="657225" y="4057650"/>
            <a:ext cx="2743200" cy="390525"/>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n-US" sz="1100">
              <a:solidFill>
                <a:srgbClr val="0000FF"/>
              </a:solidFill>
            </a:endParaRPr>
          </a:p>
        </xdr:txBody>
      </xdr:sp>
      <xdr:sp macro="" textlink="">
        <xdr:nvSpPr>
          <xdr:cNvPr id="6" name="TextBox 5">
            <a:hlinkClick xmlns:r="http://schemas.openxmlformats.org/officeDocument/2006/relationships" r:id="rId4"/>
            <a:extLst>
              <a:ext uri="{FF2B5EF4-FFF2-40B4-BE49-F238E27FC236}">
                <a16:creationId xmlns:a16="http://schemas.microsoft.com/office/drawing/2014/main" id="{A070D24F-DD54-C57E-EDFA-12C262EED0C4}"/>
              </a:ext>
            </a:extLst>
          </xdr:cNvPr>
          <xdr:cNvSpPr txBox="1"/>
        </xdr:nvSpPr>
        <xdr:spPr>
          <a:xfrm>
            <a:off x="827551" y="4007042"/>
            <a:ext cx="2333911" cy="4464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i="1">
                <a:solidFill>
                  <a:srgbClr val="0000FF"/>
                </a:solidFill>
              </a:rPr>
              <a:t>Set inventory year and correct for inflation (compared to 2021) here </a:t>
            </a:r>
          </a:p>
        </xdr:txBody>
      </xdr:sp>
    </xdr:grpSp>
    <xdr:clientData/>
  </xdr:twoCellAnchor>
  <xdr:twoCellAnchor editAs="oneCell">
    <xdr:from>
      <xdr:col>2</xdr:col>
      <xdr:colOff>1390674</xdr:colOff>
      <xdr:row>0</xdr:row>
      <xdr:rowOff>158750</xdr:rowOff>
    </xdr:from>
    <xdr:to>
      <xdr:col>2</xdr:col>
      <xdr:colOff>2751668</xdr:colOff>
      <xdr:row>8</xdr:row>
      <xdr:rowOff>41602</xdr:rowOff>
    </xdr:to>
    <xdr:pic>
      <xdr:nvPicPr>
        <xdr:cNvPr id="7" name="Picture 6" descr="Homepage">
          <a:extLst>
            <a:ext uri="{FF2B5EF4-FFF2-40B4-BE49-F238E27FC236}">
              <a16:creationId xmlns:a16="http://schemas.microsoft.com/office/drawing/2014/main" id="{D4E4605A-EAF1-4C52-9003-45FE90EA39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43149" y="158750"/>
          <a:ext cx="1360994" cy="1330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52917</xdr:colOff>
      <xdr:row>1</xdr:row>
      <xdr:rowOff>170897</xdr:rowOff>
    </xdr:from>
    <xdr:to>
      <xdr:col>2</xdr:col>
      <xdr:colOff>1041828</xdr:colOff>
      <xdr:row>7</xdr:row>
      <xdr:rowOff>71362</xdr:rowOff>
    </xdr:to>
    <xdr:pic>
      <xdr:nvPicPr>
        <xdr:cNvPr id="8" name="Picture 4" descr="ENGIE Launches ENGIE Impact to Bridge Sustainability Expertise and ...">
          <a:extLst>
            <a:ext uri="{FF2B5EF4-FFF2-40B4-BE49-F238E27FC236}">
              <a16:creationId xmlns:a16="http://schemas.microsoft.com/office/drawing/2014/main" id="{8C99D166-301F-48AB-B79E-FDE51DBE72E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62467" y="351872"/>
          <a:ext cx="1531836" cy="986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21167</xdr:colOff>
      <xdr:row>19</xdr:row>
      <xdr:rowOff>169334</xdr:rowOff>
    </xdr:from>
    <xdr:to>
      <xdr:col>2</xdr:col>
      <xdr:colOff>666954</xdr:colOff>
      <xdr:row>31</xdr:row>
      <xdr:rowOff>124206</xdr:rowOff>
    </xdr:to>
    <xdr:pic>
      <xdr:nvPicPr>
        <xdr:cNvPr id="2" name="Picture 1">
          <a:extLst>
            <a:ext uri="{FF2B5EF4-FFF2-40B4-BE49-F238E27FC236}">
              <a16:creationId xmlns:a16="http://schemas.microsoft.com/office/drawing/2014/main" id="{BDC5DF87-9230-4A35-9DDA-99A0AAE32F1D}"/>
            </a:ext>
          </a:extLst>
        </xdr:cNvPr>
        <xdr:cNvPicPr>
          <a:picLocks noChangeAspect="1"/>
        </xdr:cNvPicPr>
      </xdr:nvPicPr>
      <xdr:blipFill rotWithShape="1">
        <a:blip xmlns:r="http://schemas.openxmlformats.org/officeDocument/2006/relationships" r:embed="rId1"/>
        <a:srcRect t="2068"/>
        <a:stretch/>
      </xdr:blipFill>
      <xdr:spPr>
        <a:xfrm>
          <a:off x="2126192" y="4731809"/>
          <a:ext cx="3465187" cy="2031322"/>
        </a:xfrm>
        <a:prstGeom prst="rect">
          <a:avLst/>
        </a:prstGeom>
        <a:ln>
          <a:noFill/>
        </a:ln>
        <a:effectLst>
          <a:outerShdw blurRad="190500" algn="tl" rotWithShape="0">
            <a:srgbClr val="000000">
              <a:alpha val="70000"/>
            </a:srgbClr>
          </a:outerShdw>
        </a:effectLst>
      </xdr:spPr>
    </xdr:pic>
    <xdr:clientData/>
  </xdr:twoCellAnchor>
  <xdr:oneCellAnchor>
    <xdr:from>
      <xdr:col>11</xdr:col>
      <xdr:colOff>165100</xdr:colOff>
      <xdr:row>6</xdr:row>
      <xdr:rowOff>180975</xdr:rowOff>
    </xdr:from>
    <xdr:ext cx="4529668" cy="2676525"/>
    <xdr:sp macro="" textlink="">
      <xdr:nvSpPr>
        <xdr:cNvPr id="3" name="TextBox 2">
          <a:extLst>
            <a:ext uri="{FF2B5EF4-FFF2-40B4-BE49-F238E27FC236}">
              <a16:creationId xmlns:a16="http://schemas.microsoft.com/office/drawing/2014/main" id="{C9C2CB17-2E47-4F95-BC48-F762D573FCF2}"/>
            </a:ext>
          </a:extLst>
        </xdr:cNvPr>
        <xdr:cNvSpPr txBox="1"/>
      </xdr:nvSpPr>
      <xdr:spPr>
        <a:xfrm>
          <a:off x="11499850" y="1504950"/>
          <a:ext cx="4529668" cy="2676525"/>
        </a:xfrm>
        <a:prstGeom prst="rect">
          <a:avLst/>
        </a:prstGeom>
        <a:noFill/>
      </xdr:spPr>
      <xdr:txBody>
        <a:bodyPr vertOverflow="clip" horzOverflow="clip" wrap="square" lIns="0" tIns="0" rIns="0" bIns="0" rtlCol="0" anchor="t">
          <a:noAutofit/>
        </a:bodyPr>
        <a:lstStyle/>
        <a:p>
          <a:r>
            <a:rPr lang="en-US" sz="1100">
              <a:effectLst/>
              <a:latin typeface="+mn-lt"/>
              <a:ea typeface="+mn-ea"/>
              <a:cs typeface="+mn-cs"/>
            </a:rPr>
            <a:t>Emissions for non-CO</a:t>
          </a:r>
          <a:r>
            <a:rPr lang="en-US" sz="1100" baseline="-25000">
              <a:effectLst/>
              <a:latin typeface="+mn-lt"/>
              <a:ea typeface="+mn-ea"/>
              <a:cs typeface="+mn-cs"/>
            </a:rPr>
            <a:t>2</a:t>
          </a:r>
          <a:r>
            <a:rPr lang="en-US" sz="1100">
              <a:effectLst/>
              <a:latin typeface="+mn-lt"/>
              <a:ea typeface="+mn-ea"/>
              <a:cs typeface="+mn-cs"/>
            </a:rPr>
            <a:t> greenhouse gases (e.g., methane</a:t>
          </a:r>
          <a:r>
            <a:rPr lang="en-US" sz="1100" baseline="0">
              <a:effectLst/>
              <a:latin typeface="+mn-lt"/>
              <a:ea typeface="+mn-ea"/>
              <a:cs typeface="+mn-cs"/>
            </a:rPr>
            <a:t> and nitrous oxide generated from combustion of fuels, and HFCs used as propellants in dispensed inhalers) are calculated using Global Warming Potential (GWP) values from the IPCC </a:t>
          </a:r>
          <a:r>
            <a:rPr lang="en-US" sz="1100" b="1" baseline="0">
              <a:effectLst/>
              <a:latin typeface="+mn-lt"/>
              <a:ea typeface="+mn-ea"/>
              <a:cs typeface="+mn-cs"/>
            </a:rPr>
            <a:t>Sixth Assessment Report </a:t>
          </a:r>
          <a:r>
            <a:rPr lang="en-US" sz="1100" baseline="0">
              <a:effectLst/>
              <a:latin typeface="+mn-lt"/>
              <a:ea typeface="+mn-ea"/>
              <a:cs typeface="+mn-cs"/>
            </a:rPr>
            <a:t>(2023). Some considerations related to GWP values p</a:t>
          </a:r>
          <a:r>
            <a:rPr lang="en-US" sz="1100">
              <a:effectLst/>
              <a:latin typeface="+mn-lt"/>
              <a:ea typeface="+mn-ea"/>
              <a:cs typeface="+mn-cs"/>
            </a:rPr>
            <a:t>er the GHG</a:t>
          </a:r>
          <a:r>
            <a:rPr lang="en-US" sz="1100" baseline="0">
              <a:effectLst/>
              <a:latin typeface="+mn-lt"/>
              <a:ea typeface="+mn-ea"/>
              <a:cs typeface="+mn-cs"/>
            </a:rPr>
            <a:t> Protocol include the following:</a:t>
          </a:r>
          <a:r>
            <a:rPr lang="en-US" sz="1100">
              <a:effectLst/>
              <a:latin typeface="+mn-lt"/>
              <a:ea typeface="+mn-ea"/>
              <a:cs typeface="+mn-cs"/>
            </a:rPr>
            <a:t>:</a:t>
          </a:r>
        </a:p>
        <a:p>
          <a:pPr lvl="0"/>
          <a:endParaRPr lang="en-US" sz="1100">
            <a:effectLst/>
            <a:latin typeface="+mn-lt"/>
            <a:ea typeface="+mn-ea"/>
            <a:cs typeface="+mn-cs"/>
          </a:endParaRPr>
        </a:p>
        <a:p>
          <a:pPr lvl="0"/>
          <a:r>
            <a:rPr lang="en-US" sz="1100">
              <a:effectLst/>
              <a:latin typeface="+mn-lt"/>
              <a:ea typeface="+mn-ea"/>
              <a:cs typeface="+mn-cs"/>
            </a:rPr>
            <a:t>-</a:t>
          </a:r>
          <a:r>
            <a:rPr lang="en-US" sz="1100" baseline="0">
              <a:effectLst/>
              <a:latin typeface="+mn-lt"/>
              <a:ea typeface="+mn-ea"/>
              <a:cs typeface="+mn-cs"/>
            </a:rPr>
            <a:t> </a:t>
          </a:r>
          <a:r>
            <a:rPr lang="en-US" sz="1100">
              <a:effectLst/>
              <a:latin typeface="+mn-lt"/>
              <a:ea typeface="+mn-ea"/>
              <a:cs typeface="+mn-cs"/>
            </a:rPr>
            <a:t>Use GWP values from the most recent Assessment Report, but may choose to use other IPCC Assessment Reports.</a:t>
          </a:r>
        </a:p>
        <a:p>
          <a:r>
            <a:rPr lang="en-US" sz="1100">
              <a:effectLst/>
              <a:latin typeface="+mn-lt"/>
              <a:ea typeface="+mn-ea"/>
              <a:cs typeface="+mn-cs"/>
            </a:rPr>
            <a:t> </a:t>
          </a:r>
        </a:p>
        <a:p>
          <a:pPr lvl="0"/>
          <a:r>
            <a:rPr lang="en-US" sz="1100">
              <a:effectLst/>
              <a:latin typeface="+mn-lt"/>
              <a:ea typeface="+mn-ea"/>
              <a:cs typeface="+mn-cs"/>
            </a:rPr>
            <a:t>-</a:t>
          </a:r>
          <a:r>
            <a:rPr lang="en-US" sz="1100" baseline="0">
              <a:effectLst/>
              <a:latin typeface="+mn-lt"/>
              <a:ea typeface="+mn-ea"/>
              <a:cs typeface="+mn-cs"/>
            </a:rPr>
            <a:t> </a:t>
          </a:r>
          <a:r>
            <a:rPr lang="en-US" sz="1100">
              <a:effectLst/>
              <a:latin typeface="+mn-lt"/>
              <a:ea typeface="+mn-ea"/>
              <a:cs typeface="+mn-cs"/>
            </a:rPr>
            <a:t>Use the same GWPs for the current inventory period and the base year, as well as for inventories prepared according to the Scope 3 Standard, to maintain consistency across time and scopes.</a:t>
          </a:r>
        </a:p>
        <a:p>
          <a:r>
            <a:rPr lang="en-US" sz="1100">
              <a:effectLst/>
              <a:latin typeface="+mn-lt"/>
              <a:ea typeface="+mn-ea"/>
              <a:cs typeface="+mn-cs"/>
            </a:rPr>
            <a:t> </a:t>
          </a:r>
        </a:p>
        <a:p>
          <a:r>
            <a:rPr lang="en-US" sz="1100" i="1">
              <a:effectLst/>
              <a:latin typeface="+mn-lt"/>
              <a:ea typeface="+mn-ea"/>
              <a:cs typeface="+mn-cs"/>
            </a:rPr>
            <a:t>Required Greenhouse Gases in Inventories, Accounting and Reporting Standard Amendment, Feb 2013:</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6</xdr:col>
      <xdr:colOff>190500</xdr:colOff>
      <xdr:row>11</xdr:row>
      <xdr:rowOff>110067</xdr:rowOff>
    </xdr:from>
    <xdr:to>
      <xdr:col>19</xdr:col>
      <xdr:colOff>480483</xdr:colOff>
      <xdr:row>36</xdr:row>
      <xdr:rowOff>5291</xdr:rowOff>
    </xdr:to>
    <xdr:graphicFrame macro="">
      <xdr:nvGraphicFramePr>
        <xdr:cNvPr id="2" name="Chart 1">
          <a:extLst>
            <a:ext uri="{FF2B5EF4-FFF2-40B4-BE49-F238E27FC236}">
              <a16:creationId xmlns:a16="http://schemas.microsoft.com/office/drawing/2014/main" id="{31B87B83-3BC7-4F80-A2E1-FDE7B72FB0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8</xdr:row>
      <xdr:rowOff>152400</xdr:rowOff>
    </xdr:from>
    <xdr:to>
      <xdr:col>5</xdr:col>
      <xdr:colOff>0</xdr:colOff>
      <xdr:row>9</xdr:row>
      <xdr:rowOff>0</xdr:rowOff>
    </xdr:to>
    <xdr:sp macro="" textlink="">
      <xdr:nvSpPr>
        <xdr:cNvPr id="3" name="Rectangle: Rounded Corners 4">
          <a:hlinkClick xmlns:r="http://schemas.openxmlformats.org/officeDocument/2006/relationships" r:id="rId2"/>
          <a:extLst>
            <a:ext uri="{FF2B5EF4-FFF2-40B4-BE49-F238E27FC236}">
              <a16:creationId xmlns:a16="http://schemas.microsoft.com/office/drawing/2014/main" id="{6808251C-3420-4EBC-BF27-E3705A6446B7}"/>
            </a:ext>
          </a:extLst>
        </xdr:cNvPr>
        <xdr:cNvSpPr/>
      </xdr:nvSpPr>
      <xdr:spPr>
        <a:xfrm>
          <a:off x="4981575" y="1600200"/>
          <a:ext cx="0" cy="28575"/>
        </a:xfrm>
        <a:prstGeom prst="roundRect">
          <a:avLst/>
        </a:prstGeom>
        <a:ln>
          <a:solidFill>
            <a:schemeClr val="accent3">
              <a:lumMod val="50000"/>
            </a:schemeClr>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800" b="1" i="1">
              <a:solidFill>
                <a:sysClr val="windowText" lastClr="000000"/>
              </a:solidFill>
            </a:rPr>
            <a:t>Summary  of Results</a:t>
          </a:r>
        </a:p>
      </xdr:txBody>
    </xdr:sp>
    <xdr:clientData/>
  </xdr:twoCellAnchor>
  <xdr:twoCellAnchor editAs="oneCell">
    <xdr:from>
      <xdr:col>3</xdr:col>
      <xdr:colOff>1023616</xdr:colOff>
      <xdr:row>0</xdr:row>
      <xdr:rowOff>101876</xdr:rowOff>
    </xdr:from>
    <xdr:to>
      <xdr:col>3</xdr:col>
      <xdr:colOff>2466447</xdr:colOff>
      <xdr:row>8</xdr:row>
      <xdr:rowOff>65108</xdr:rowOff>
    </xdr:to>
    <xdr:pic>
      <xdr:nvPicPr>
        <xdr:cNvPr id="4" name="Picture 3" descr="Homepage">
          <a:extLst>
            <a:ext uri="{FF2B5EF4-FFF2-40B4-BE49-F238E27FC236}">
              <a16:creationId xmlns:a16="http://schemas.microsoft.com/office/drawing/2014/main" id="{C765EB64-8AE1-4212-AA3D-6C1F1698439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8566" y="101876"/>
          <a:ext cx="1442831" cy="1411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521942</xdr:colOff>
      <xdr:row>1</xdr:row>
      <xdr:rowOff>142599</xdr:rowOff>
    </xdr:from>
    <xdr:to>
      <xdr:col>3</xdr:col>
      <xdr:colOff>717103</xdr:colOff>
      <xdr:row>7</xdr:row>
      <xdr:rowOff>46239</xdr:rowOff>
    </xdr:to>
    <xdr:pic>
      <xdr:nvPicPr>
        <xdr:cNvPr id="5" name="Picture 4" descr="ENGIE Launches ENGIE Impact to Bridge Sustainability Expertise and ...">
          <a:extLst>
            <a:ext uri="{FF2B5EF4-FFF2-40B4-BE49-F238E27FC236}">
              <a16:creationId xmlns:a16="http://schemas.microsoft.com/office/drawing/2014/main" id="{F4CF86CD-93A9-4326-97E6-BCB3004C929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93392" y="323574"/>
          <a:ext cx="1528661" cy="989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37622</xdr:colOff>
      <xdr:row>17</xdr:row>
      <xdr:rowOff>187536</xdr:rowOff>
    </xdr:from>
    <xdr:to>
      <xdr:col>1</xdr:col>
      <xdr:colOff>2841279</xdr:colOff>
      <xdr:row>23</xdr:row>
      <xdr:rowOff>139742</xdr:rowOff>
    </xdr:to>
    <mc:AlternateContent xmlns:mc="http://schemas.openxmlformats.org/markup-compatibility/2006" xmlns:sle15="http://schemas.microsoft.com/office/drawing/2012/slicer">
      <mc:Choice Requires="sle15">
        <xdr:graphicFrame macro="">
          <xdr:nvGraphicFramePr>
            <xdr:cNvPr id="2" name="Category 1">
              <a:extLst>
                <a:ext uri="{FF2B5EF4-FFF2-40B4-BE49-F238E27FC236}">
                  <a16:creationId xmlns:a16="http://schemas.microsoft.com/office/drawing/2014/main" id="{32110D01-ECEE-46DE-BFAF-1AC402B281FF}"/>
                </a:ext>
              </a:extLst>
            </xdr:cNvPr>
            <xdr:cNvGraphicFramePr/>
          </xdr:nvGraphicFramePr>
          <xdr:xfrm>
            <a:off x="0" y="0"/>
            <a:ext cx="0" cy="0"/>
          </xdr:xfrm>
          <a:graphic>
            <a:graphicData uri="http://schemas.microsoft.com/office/drawing/2010/slicer">
              <sle:slicer xmlns:sle="http://schemas.microsoft.com/office/drawing/2010/slicer" name="Category 1"/>
            </a:graphicData>
          </a:graphic>
        </xdr:graphicFrame>
      </mc:Choice>
      <mc:Fallback xmlns="">
        <xdr:sp macro="" textlink="">
          <xdr:nvSpPr>
            <xdr:cNvPr id="0" name=""/>
            <xdr:cNvSpPr>
              <a:spLocks noTextEdit="1"/>
            </xdr:cNvSpPr>
          </xdr:nvSpPr>
          <xdr:spPr>
            <a:xfrm>
              <a:off x="37622" y="3900418"/>
              <a:ext cx="5470657" cy="472781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0</xdr:col>
      <xdr:colOff>53520</xdr:colOff>
      <xdr:row>23</xdr:row>
      <xdr:rowOff>262956</xdr:rowOff>
    </xdr:from>
    <xdr:to>
      <xdr:col>1</xdr:col>
      <xdr:colOff>2838679</xdr:colOff>
      <xdr:row>27</xdr:row>
      <xdr:rowOff>167667</xdr:rowOff>
    </xdr:to>
    <mc:AlternateContent xmlns:mc="http://schemas.openxmlformats.org/markup-compatibility/2006" xmlns:sle15="http://schemas.microsoft.com/office/drawing/2012/slicer">
      <mc:Choice Requires="sle15">
        <xdr:graphicFrame macro="">
          <xdr:nvGraphicFramePr>
            <xdr:cNvPr id="3" name="Sub-category 2">
              <a:extLst>
                <a:ext uri="{FF2B5EF4-FFF2-40B4-BE49-F238E27FC236}">
                  <a16:creationId xmlns:a16="http://schemas.microsoft.com/office/drawing/2014/main" id="{F34C50B8-BA76-4A13-A388-5DC12958F18B}"/>
                </a:ext>
              </a:extLst>
            </xdr:cNvPr>
            <xdr:cNvGraphicFramePr/>
          </xdr:nvGraphicFramePr>
          <xdr:xfrm>
            <a:off x="0" y="0"/>
            <a:ext cx="0" cy="0"/>
          </xdr:xfrm>
          <a:graphic>
            <a:graphicData uri="http://schemas.microsoft.com/office/drawing/2010/slicer">
              <sle:slicer xmlns:sle="http://schemas.microsoft.com/office/drawing/2010/slicer" name="Sub-category 2"/>
            </a:graphicData>
          </a:graphic>
        </xdr:graphicFrame>
      </mc:Choice>
      <mc:Fallback xmlns="">
        <xdr:sp macro="" textlink="">
          <xdr:nvSpPr>
            <xdr:cNvPr id="0" name=""/>
            <xdr:cNvSpPr>
              <a:spLocks noTextEdit="1"/>
            </xdr:cNvSpPr>
          </xdr:nvSpPr>
          <xdr:spPr>
            <a:xfrm>
              <a:off x="43995" y="8826155"/>
              <a:ext cx="5454064" cy="497548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xdr:from>
      <xdr:col>0</xdr:col>
      <xdr:colOff>44825</xdr:colOff>
      <xdr:row>8</xdr:row>
      <xdr:rowOff>1</xdr:rowOff>
    </xdr:from>
    <xdr:to>
      <xdr:col>17</xdr:col>
      <xdr:colOff>11206</xdr:colOff>
      <xdr:row>14</xdr:row>
      <xdr:rowOff>179294</xdr:rowOff>
    </xdr:to>
    <xdr:sp macro="" textlink="">
      <xdr:nvSpPr>
        <xdr:cNvPr id="4" name="TextBox 3">
          <a:extLst>
            <a:ext uri="{FF2B5EF4-FFF2-40B4-BE49-F238E27FC236}">
              <a16:creationId xmlns:a16="http://schemas.microsoft.com/office/drawing/2014/main" id="{A5960463-D355-48FB-8AD5-DA7023FCF298}"/>
            </a:ext>
          </a:extLst>
        </xdr:cNvPr>
        <xdr:cNvSpPr txBox="1"/>
      </xdr:nvSpPr>
      <xdr:spPr>
        <a:xfrm>
          <a:off x="44825" y="1571626"/>
          <a:ext cx="25893431" cy="1303243"/>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i="0" baseline="0"/>
            <a:t>Purchased Goods and Services</a:t>
          </a:r>
          <a:r>
            <a:rPr lang="en-US" sz="1100" i="0" baseline="0"/>
            <a:t>: In</a:t>
          </a:r>
          <a:r>
            <a:rPr lang="en-US" sz="1100" b="0" i="0" u="none" strike="noStrike" baseline="0">
              <a:solidFill>
                <a:schemeClr val="dk1"/>
              </a:solidFill>
              <a:latin typeface="+mn-lt"/>
              <a:ea typeface="+mn-ea"/>
              <a:cs typeface="+mn-cs"/>
            </a:rPr>
            <a:t>cludes all upstream emissions from the production of products purchased or acquired by the reporting company in the reporting year. Products include both goods (tangible products) and services (intangible products).</a:t>
          </a:r>
          <a:br>
            <a:rPr lang="en-US" sz="1100" b="0" i="0" u="none" strike="noStrike" baseline="0">
              <a:solidFill>
                <a:schemeClr val="dk1"/>
              </a:solidFill>
              <a:latin typeface="+mn-lt"/>
              <a:ea typeface="+mn-ea"/>
              <a:cs typeface="+mn-cs"/>
            </a:rPr>
          </a:br>
          <a:r>
            <a:rPr lang="en-US" sz="1100" b="1" i="1" baseline="0">
              <a:solidFill>
                <a:schemeClr val="dk1"/>
              </a:solidFill>
              <a:effectLst/>
              <a:latin typeface="+mn-lt"/>
              <a:ea typeface="+mn-ea"/>
              <a:cs typeface="+mn-cs"/>
            </a:rPr>
            <a:t>Exclusions</a:t>
          </a:r>
          <a:r>
            <a:rPr lang="en-US" sz="1100" b="0" i="0" baseline="0">
              <a:solidFill>
                <a:schemeClr val="dk1"/>
              </a:solidFill>
              <a:effectLst/>
              <a:latin typeface="+mn-lt"/>
              <a:ea typeface="+mn-ea"/>
              <a:cs typeface="+mn-cs"/>
            </a:rPr>
            <a:t>: A</a:t>
          </a:r>
          <a:r>
            <a:rPr lang="en-US" sz="1100" baseline="0">
              <a:solidFill>
                <a:schemeClr val="dk1"/>
              </a:solidFill>
              <a:effectLst/>
              <a:latin typeface="+mn-lt"/>
              <a:ea typeface="+mn-ea"/>
              <a:cs typeface="+mn-cs"/>
            </a:rPr>
            <a:t>ny payments to employees (e.g., payroll, 401k matches, benefits, etc.), taxes, utility payments (e.g., electricity, gas, fuel, etc.), transportation costs (use other categories), waste services, etc.</a:t>
          </a:r>
          <a:br>
            <a:rPr lang="en-US" sz="1100" b="0" i="0" u="none" strike="noStrike" baseline="0">
              <a:solidFill>
                <a:schemeClr val="dk1"/>
              </a:solidFill>
              <a:latin typeface="+mn-lt"/>
              <a:ea typeface="+mn-ea"/>
              <a:cs typeface="+mn-cs"/>
            </a:rPr>
          </a:br>
          <a:br>
            <a:rPr lang="en-US" sz="1100" b="0" i="0" u="none" strike="noStrike" baseline="0">
              <a:solidFill>
                <a:schemeClr val="dk1"/>
              </a:solidFill>
              <a:latin typeface="+mn-lt"/>
              <a:ea typeface="+mn-ea"/>
              <a:cs typeface="+mn-cs"/>
            </a:rPr>
          </a:br>
          <a:r>
            <a:rPr lang="en-US" sz="1100" baseline="0">
              <a:solidFill>
                <a:schemeClr val="dk1"/>
              </a:solidFill>
              <a:effectLst/>
              <a:latin typeface="+mn-lt"/>
              <a:ea typeface="+mn-ea"/>
              <a:cs typeface="+mn-cs"/>
            </a:rPr>
            <a:t>The "spend-based method" is employed to estimate emissions using the USEPA's </a:t>
          </a:r>
          <a:r>
            <a:rPr lang="en-US" sz="1100" i="1" baseline="0">
              <a:solidFill>
                <a:schemeClr val="dk1"/>
              </a:solidFill>
              <a:effectLst/>
              <a:latin typeface="+mn-lt"/>
              <a:ea typeface="+mn-ea"/>
              <a:cs typeface="+mn-cs"/>
            </a:rPr>
            <a:t>Supply Chain Greenhouse Gas Emission Factors for US Industries and Commodities</a:t>
          </a:r>
          <a:r>
            <a:rPr lang="en-US" sz="1100" baseline="0">
              <a:solidFill>
                <a:schemeClr val="dk1"/>
              </a:solidFill>
              <a:effectLst/>
              <a:latin typeface="+mn-lt"/>
              <a:ea typeface="+mn-ea"/>
              <a:cs typeface="+mn-cs"/>
            </a:rPr>
            <a:t> database v1.2 (January 2023).</a:t>
          </a:r>
          <a:br>
            <a:rPr lang="en-US" sz="1100" baseline="0">
              <a:solidFill>
                <a:schemeClr val="dk1"/>
              </a:solidFill>
              <a:effectLst/>
              <a:latin typeface="+mn-lt"/>
              <a:ea typeface="+mn-ea"/>
              <a:cs typeface="+mn-cs"/>
            </a:rPr>
          </a:br>
          <a:br>
            <a:rPr lang="en-US" sz="1100" baseline="0">
              <a:solidFill>
                <a:schemeClr val="dk1"/>
              </a:solidFill>
              <a:effectLst/>
              <a:latin typeface="+mn-lt"/>
              <a:ea typeface="+mn-ea"/>
              <a:cs typeface="+mn-cs"/>
            </a:rPr>
          </a:br>
          <a:r>
            <a:rPr lang="en-US" sz="1400" b="1" i="1" baseline="0">
              <a:solidFill>
                <a:srgbClr val="FF0000"/>
              </a:solidFill>
              <a:effectLst/>
              <a:latin typeface="+mn-lt"/>
              <a:ea typeface="+mn-ea"/>
              <a:cs typeface="+mn-cs"/>
            </a:rPr>
            <a:t>Note, if supplier-specific calculations have been made, or outside sources were used to determine category 1 emissions, please reference the "Category 1 and 2 (custom input)" tab, which allows for user input of emissions factors and totals.</a:t>
          </a:r>
          <a:endParaRPr lang="en-US">
            <a:solidFill>
              <a:srgbClr val="FF0000"/>
            </a:solidFill>
            <a:effectLst/>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44822</xdr:colOff>
      <xdr:row>17</xdr:row>
      <xdr:rowOff>255278</xdr:rowOff>
    </xdr:from>
    <xdr:to>
      <xdr:col>1</xdr:col>
      <xdr:colOff>2827937</xdr:colOff>
      <xdr:row>26</xdr:row>
      <xdr:rowOff>433026</xdr:rowOff>
    </xdr:to>
    <mc:AlternateContent xmlns:mc="http://schemas.openxmlformats.org/markup-compatibility/2006" xmlns:sle15="http://schemas.microsoft.com/office/drawing/2012/slicer">
      <mc:Choice Requires="sle15">
        <xdr:graphicFrame macro="">
          <xdr:nvGraphicFramePr>
            <xdr:cNvPr id="2" name="Sub-category 3">
              <a:extLst>
                <a:ext uri="{FF2B5EF4-FFF2-40B4-BE49-F238E27FC236}">
                  <a16:creationId xmlns:a16="http://schemas.microsoft.com/office/drawing/2014/main" id="{64070A5B-3B71-4C36-805C-6B14DF30673A}"/>
                </a:ext>
              </a:extLst>
            </xdr:cNvPr>
            <xdr:cNvGraphicFramePr/>
          </xdr:nvGraphicFramePr>
          <xdr:xfrm>
            <a:off x="0" y="0"/>
            <a:ext cx="0" cy="0"/>
          </xdr:xfrm>
          <a:graphic>
            <a:graphicData uri="http://schemas.microsoft.com/office/drawing/2010/slicer">
              <sle:slicer xmlns:sle="http://schemas.microsoft.com/office/drawing/2010/slicer" name="Sub-category 3"/>
            </a:graphicData>
          </a:graphic>
        </xdr:graphicFrame>
      </mc:Choice>
      <mc:Fallback xmlns="">
        <xdr:sp macro="" textlink="">
          <xdr:nvSpPr>
            <xdr:cNvPr id="0" name=""/>
            <xdr:cNvSpPr>
              <a:spLocks noTextEdit="1"/>
            </xdr:cNvSpPr>
          </xdr:nvSpPr>
          <xdr:spPr>
            <a:xfrm>
              <a:off x="44822" y="3908396"/>
              <a:ext cx="5450115" cy="1187668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twoCellAnchor>
  <xdr:twoCellAnchor>
    <xdr:from>
      <xdr:col>0</xdr:col>
      <xdr:colOff>58432</xdr:colOff>
      <xdr:row>7</xdr:row>
      <xdr:rowOff>164115</xdr:rowOff>
    </xdr:from>
    <xdr:to>
      <xdr:col>11</xdr:col>
      <xdr:colOff>0</xdr:colOff>
      <xdr:row>15</xdr:row>
      <xdr:rowOff>134471</xdr:rowOff>
    </xdr:to>
    <xdr:sp macro="" textlink="">
      <xdr:nvSpPr>
        <xdr:cNvPr id="3" name="TextBox 2">
          <a:extLst>
            <a:ext uri="{FF2B5EF4-FFF2-40B4-BE49-F238E27FC236}">
              <a16:creationId xmlns:a16="http://schemas.microsoft.com/office/drawing/2014/main" id="{0AD06284-EEFF-418E-8E36-DF37A0011602}"/>
            </a:ext>
          </a:extLst>
        </xdr:cNvPr>
        <xdr:cNvSpPr txBox="1"/>
      </xdr:nvSpPr>
      <xdr:spPr>
        <a:xfrm>
          <a:off x="58432" y="1449990"/>
          <a:ext cx="26983043" cy="1494356"/>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effectLst/>
              <a:latin typeface="+mn-lt"/>
              <a:ea typeface="+mn-ea"/>
              <a:cs typeface="+mn-cs"/>
            </a:rPr>
            <a:t>Category</a:t>
          </a:r>
          <a:r>
            <a:rPr lang="en-US" sz="1200" b="1" baseline="0">
              <a:solidFill>
                <a:srgbClr val="00B0F0"/>
              </a:solidFill>
              <a:effectLst/>
              <a:latin typeface="+mn-lt"/>
              <a:ea typeface="+mn-ea"/>
              <a:cs typeface="+mn-cs"/>
            </a:rPr>
            <a:t> Description and Emissions Methodology</a:t>
          </a:r>
          <a:endParaRPr lang="en-US" sz="1200">
            <a:solidFill>
              <a:srgbClr val="00B0F0"/>
            </a:solidFill>
            <a:effectLst/>
          </a:endParaRPr>
        </a:p>
        <a:p>
          <a:r>
            <a:rPr lang="en-US" sz="1100" b="1" i="0" baseline="0">
              <a:solidFill>
                <a:schemeClr val="dk1"/>
              </a:solidFill>
              <a:effectLst/>
              <a:latin typeface="+mn-lt"/>
              <a:ea typeface="+mn-ea"/>
              <a:cs typeface="+mn-cs"/>
            </a:rPr>
            <a:t>Capital Goods</a:t>
          </a:r>
          <a:r>
            <a:rPr lang="en-US" sz="1100" i="0" baseline="0">
              <a:solidFill>
                <a:schemeClr val="dk1"/>
              </a:solidFill>
              <a:effectLst/>
              <a:latin typeface="+mn-lt"/>
              <a:ea typeface="+mn-ea"/>
              <a:cs typeface="+mn-cs"/>
            </a:rPr>
            <a:t>: In</a:t>
          </a:r>
          <a:r>
            <a:rPr lang="en-US" sz="1100" b="0" i="0" baseline="0">
              <a:solidFill>
                <a:schemeClr val="dk1"/>
              </a:solidFill>
              <a:effectLst/>
              <a:latin typeface="+mn-lt"/>
              <a:ea typeface="+mn-ea"/>
              <a:cs typeface="+mn-cs"/>
            </a:rPr>
            <a:t>cludes all upstream (i.e., cradle-to-gate) emissions from the production of capital goods purchased or acquired by the reporting company in the reporting year. Emissions from the use of capital goods by the reporting company are accounted for in either scope 1 (e.g., for fuel use) or scope 2 (e.g., for electricity use), rather than in scope 3. </a:t>
          </a:r>
        </a:p>
        <a:p>
          <a:r>
            <a:rPr lang="en-US" sz="1100" b="0" i="0" baseline="0">
              <a:solidFill>
                <a:schemeClr val="dk1"/>
              </a:solidFill>
              <a:effectLst/>
              <a:latin typeface="+mn-lt"/>
              <a:ea typeface="+mn-ea"/>
              <a:cs typeface="+mn-cs"/>
            </a:rPr>
            <a:t>Capital goods are final products that have an extended life and are used by the company to manufacture a product; provide a service; or sell, store, and deliver merchandise. In financial accounting, capital goods are treated as fixed assets or as plant, property, and equipment (PP&amp;E). Examples of capital goods include equipment, machinery, buildings,facilities, and vehicles.</a:t>
          </a:r>
          <a:br>
            <a:rPr lang="en-US" sz="1100" b="0" i="0" baseline="0">
              <a:solidFill>
                <a:schemeClr val="dk1"/>
              </a:solidFill>
              <a:effectLst/>
              <a:latin typeface="+mn-lt"/>
              <a:ea typeface="+mn-ea"/>
              <a:cs typeface="+mn-cs"/>
            </a:rPr>
          </a:br>
          <a:r>
            <a:rPr lang="en-US" sz="1100" b="1" i="1" baseline="0">
              <a:solidFill>
                <a:schemeClr val="dk1"/>
              </a:solidFill>
              <a:effectLst/>
              <a:latin typeface="+mn-lt"/>
              <a:ea typeface="+mn-ea"/>
              <a:cs typeface="+mn-cs"/>
            </a:rPr>
            <a:t>Exclusions</a:t>
          </a:r>
          <a:r>
            <a:rPr lang="en-US" sz="1100" b="0" i="0" baseline="0">
              <a:solidFill>
                <a:schemeClr val="dk1"/>
              </a:solidFill>
              <a:effectLst/>
              <a:latin typeface="+mn-lt"/>
              <a:ea typeface="+mn-ea"/>
              <a:cs typeface="+mn-cs"/>
            </a:rPr>
            <a:t>: A</a:t>
          </a:r>
          <a:r>
            <a:rPr lang="en-US" sz="1100" baseline="0">
              <a:solidFill>
                <a:schemeClr val="dk1"/>
              </a:solidFill>
              <a:effectLst/>
              <a:latin typeface="+mn-lt"/>
              <a:ea typeface="+mn-ea"/>
              <a:cs typeface="+mn-cs"/>
            </a:rPr>
            <a:t>ny payments to employees (e.g., payroll, 401k matches, benefits, etc.), taxes, utility payments (e.g., electricity, gas, fuel, etc.), transportation costs (use other categories), waste services, etc.</a:t>
          </a:r>
          <a:br>
            <a:rPr lang="en-US" sz="1100" b="0" i="0" baseline="0">
              <a:solidFill>
                <a:schemeClr val="dk1"/>
              </a:solidFill>
              <a:effectLst/>
              <a:latin typeface="+mn-lt"/>
              <a:ea typeface="+mn-ea"/>
              <a:cs typeface="+mn-cs"/>
            </a:rPr>
          </a:br>
          <a:br>
            <a:rPr lang="en-US" sz="1100" b="0" i="0" baseline="0">
              <a:solidFill>
                <a:schemeClr val="dk1"/>
              </a:solidFill>
              <a:effectLst/>
              <a:latin typeface="+mn-lt"/>
              <a:ea typeface="+mn-ea"/>
              <a:cs typeface="+mn-cs"/>
            </a:rPr>
          </a:br>
          <a:r>
            <a:rPr lang="en-US" sz="1100" baseline="0">
              <a:solidFill>
                <a:schemeClr val="dk1"/>
              </a:solidFill>
              <a:effectLst/>
              <a:latin typeface="+mn-lt"/>
              <a:ea typeface="+mn-ea"/>
              <a:cs typeface="+mn-cs"/>
            </a:rPr>
            <a:t>The "spend-based method" is employed to estimate emissions using the USEPA's </a:t>
          </a:r>
          <a:r>
            <a:rPr lang="en-US" sz="1100" i="1" baseline="0">
              <a:solidFill>
                <a:schemeClr val="dk1"/>
              </a:solidFill>
              <a:effectLst/>
              <a:latin typeface="+mn-lt"/>
              <a:ea typeface="+mn-ea"/>
              <a:cs typeface="+mn-cs"/>
            </a:rPr>
            <a:t>Supply Chain Greenhouse Gas Emission Factors for US Industries and Commodities</a:t>
          </a:r>
          <a:r>
            <a:rPr lang="en-US" sz="1100" baseline="0">
              <a:solidFill>
                <a:schemeClr val="dk1"/>
              </a:solidFill>
              <a:effectLst/>
              <a:latin typeface="+mn-lt"/>
              <a:ea typeface="+mn-ea"/>
              <a:cs typeface="+mn-cs"/>
            </a:rPr>
            <a:t> database v1.2 (January 2023).</a:t>
          </a:r>
          <a:br>
            <a:rPr lang="en-US" sz="1100" baseline="0">
              <a:solidFill>
                <a:schemeClr val="dk1"/>
              </a:solidFill>
              <a:effectLst/>
              <a:latin typeface="+mn-lt"/>
              <a:ea typeface="+mn-ea"/>
              <a:cs typeface="+mn-cs"/>
            </a:rPr>
          </a:br>
          <a:br>
            <a:rPr lang="en-US" sz="1100" baseline="0">
              <a:solidFill>
                <a:schemeClr val="dk1"/>
              </a:solidFill>
              <a:effectLst/>
              <a:latin typeface="+mn-lt"/>
              <a:ea typeface="+mn-ea"/>
              <a:cs typeface="+mn-cs"/>
            </a:rPr>
          </a:br>
          <a:r>
            <a:rPr lang="en-US" sz="1400" b="1" i="1" baseline="0">
              <a:solidFill>
                <a:srgbClr val="FF0000"/>
              </a:solidFill>
              <a:effectLst/>
              <a:latin typeface="+mn-lt"/>
              <a:ea typeface="+mn-ea"/>
              <a:cs typeface="+mn-cs"/>
            </a:rPr>
            <a:t>Note, if supplier-specific calculations have been made, or outside sources were used to determine category 2 emissions, please reference the "Category 1 and 2 (custom input)" tab, which allows for user input of emissions factors and totals.</a:t>
          </a:r>
          <a:endParaRPr lang="en-US" sz="1200">
            <a:solidFill>
              <a:srgbClr val="FF0000"/>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23097</xdr:colOff>
      <xdr:row>6</xdr:row>
      <xdr:rowOff>63683</xdr:rowOff>
    </xdr:from>
    <xdr:to>
      <xdr:col>14</xdr:col>
      <xdr:colOff>11206</xdr:colOff>
      <xdr:row>14</xdr:row>
      <xdr:rowOff>100853</xdr:rowOff>
    </xdr:to>
    <xdr:sp macro="" textlink="">
      <xdr:nvSpPr>
        <xdr:cNvPr id="2" name="TextBox 1">
          <a:extLst>
            <a:ext uri="{FF2B5EF4-FFF2-40B4-BE49-F238E27FC236}">
              <a16:creationId xmlns:a16="http://schemas.microsoft.com/office/drawing/2014/main" id="{9A64C6B5-EDE2-4DCC-AB52-3E60407E2E8D}"/>
            </a:ext>
          </a:extLst>
        </xdr:cNvPr>
        <xdr:cNvSpPr txBox="1"/>
      </xdr:nvSpPr>
      <xdr:spPr>
        <a:xfrm>
          <a:off x="23097" y="1330508"/>
          <a:ext cx="18990484" cy="154212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i="0" baseline="0">
              <a:solidFill>
                <a:schemeClr val="dk1"/>
              </a:solidFill>
              <a:effectLst/>
              <a:latin typeface="+mn-lt"/>
              <a:ea typeface="+mn-ea"/>
              <a:cs typeface="+mn-cs"/>
            </a:rPr>
            <a:t>Purchased Goods and Services</a:t>
          </a:r>
          <a:r>
            <a:rPr lang="en-US" sz="1100" i="0" baseline="0">
              <a:solidFill>
                <a:schemeClr val="dk1"/>
              </a:solidFill>
              <a:effectLst/>
              <a:latin typeface="+mn-lt"/>
              <a:ea typeface="+mn-ea"/>
              <a:cs typeface="+mn-cs"/>
            </a:rPr>
            <a:t>: In</a:t>
          </a:r>
          <a:r>
            <a:rPr lang="en-US" sz="1100" b="0" i="0" baseline="0">
              <a:solidFill>
                <a:schemeClr val="dk1"/>
              </a:solidFill>
              <a:effectLst/>
              <a:latin typeface="+mn-lt"/>
              <a:ea typeface="+mn-ea"/>
              <a:cs typeface="+mn-cs"/>
            </a:rPr>
            <a:t>cludes all upstream (i.e., cradle-to-gate) emissions from the production of products purchased or acquired by the reporting company in the reporting year. Products include both goods (tangible products) and services (intangible products).</a:t>
          </a:r>
          <a:br>
            <a:rPr lang="en-US" sz="1100" b="0" i="0" baseline="0">
              <a:solidFill>
                <a:schemeClr val="dk1"/>
              </a:solidFill>
              <a:effectLst/>
              <a:latin typeface="+mn-lt"/>
              <a:ea typeface="+mn-ea"/>
              <a:cs typeface="+mn-cs"/>
            </a:rPr>
          </a:br>
          <a:r>
            <a:rPr lang="en-US" sz="1100" b="1" i="0" u="none" strike="noStrike" baseline="0">
              <a:solidFill>
                <a:schemeClr val="dk1"/>
              </a:solidFill>
              <a:latin typeface="+mn-lt"/>
              <a:ea typeface="+mn-ea"/>
              <a:cs typeface="+mn-cs"/>
            </a:rPr>
            <a:t>Capital Goods</a:t>
          </a:r>
          <a:r>
            <a:rPr lang="en-US" sz="1100" b="0" i="0" u="none" strike="noStrike" baseline="0">
              <a:solidFill>
                <a:schemeClr val="dk1"/>
              </a:solidFill>
              <a:latin typeface="+mn-lt"/>
              <a:ea typeface="+mn-ea"/>
              <a:cs typeface="+mn-cs"/>
            </a:rPr>
            <a:t>: </a:t>
          </a:r>
          <a:r>
            <a:rPr lang="en-US" sz="1100" i="0" baseline="0">
              <a:solidFill>
                <a:schemeClr val="dk1"/>
              </a:solidFill>
              <a:effectLst/>
              <a:latin typeface="+mn-lt"/>
              <a:ea typeface="+mn-ea"/>
              <a:cs typeface="+mn-cs"/>
            </a:rPr>
            <a:t>In</a:t>
          </a:r>
          <a:r>
            <a:rPr lang="en-US" sz="1100" b="0" i="0" baseline="0">
              <a:solidFill>
                <a:schemeClr val="dk1"/>
              </a:solidFill>
              <a:effectLst/>
              <a:latin typeface="+mn-lt"/>
              <a:ea typeface="+mn-ea"/>
              <a:cs typeface="+mn-cs"/>
            </a:rPr>
            <a:t>cludes all upstream (i.e., cradle-to-gate) emissions from the production of capital goods purchased or acquired by the reporting company in the reporting year. Emissions from the use of capital goods by the reporting company are accounted for in either scope 1 (e.g., for fuel use) or scope 2 (e.g., for electricity use),</a:t>
          </a:r>
          <a:endParaRPr lang="en-US">
            <a:effectLst/>
          </a:endParaRPr>
        </a:p>
        <a:p>
          <a:r>
            <a:rPr lang="en-US" sz="1100" b="0" i="0" baseline="0">
              <a:solidFill>
                <a:schemeClr val="dk1"/>
              </a:solidFill>
              <a:effectLst/>
              <a:latin typeface="+mn-lt"/>
              <a:ea typeface="+mn-ea"/>
              <a:cs typeface="+mn-cs"/>
            </a:rPr>
            <a:t>rather than in scope 3.</a:t>
          </a:r>
          <a:br>
            <a:rPr lang="en-US" sz="1100" b="0" i="0" baseline="0">
              <a:solidFill>
                <a:schemeClr val="dk1"/>
              </a:solidFill>
              <a:effectLst/>
              <a:latin typeface="+mn-lt"/>
              <a:ea typeface="+mn-ea"/>
              <a:cs typeface="+mn-cs"/>
            </a:rPr>
          </a:br>
          <a:r>
            <a:rPr lang="en-US" sz="1100" b="1" i="1" u="none" strike="noStrike" baseline="0">
              <a:solidFill>
                <a:schemeClr val="dk1"/>
              </a:solidFill>
              <a:latin typeface="+mn-lt"/>
              <a:ea typeface="+mn-ea"/>
              <a:cs typeface="+mn-cs"/>
            </a:rPr>
            <a:t>Exclusions</a:t>
          </a:r>
          <a:r>
            <a:rPr lang="en-US" sz="1100" b="0" i="0" u="none" strike="noStrike" baseline="0">
              <a:solidFill>
                <a:schemeClr val="dk1"/>
              </a:solidFill>
              <a:latin typeface="+mn-lt"/>
              <a:ea typeface="+mn-ea"/>
              <a:cs typeface="+mn-cs"/>
            </a:rPr>
            <a:t>: </a:t>
          </a:r>
          <a:r>
            <a:rPr lang="en-US" sz="1100" b="0" i="0" u="none" strike="noStrike" baseline="0">
              <a:solidFill>
                <a:schemeClr val="dk1"/>
              </a:solidFill>
              <a:effectLst/>
              <a:latin typeface="+mn-lt"/>
              <a:ea typeface="+mn-ea"/>
              <a:cs typeface="+mn-cs"/>
            </a:rPr>
            <a:t>A</a:t>
          </a:r>
          <a:r>
            <a:rPr lang="en-US" sz="1100" baseline="0">
              <a:solidFill>
                <a:schemeClr val="dk1"/>
              </a:solidFill>
              <a:effectLst/>
              <a:latin typeface="+mn-lt"/>
              <a:ea typeface="+mn-ea"/>
              <a:cs typeface="+mn-cs"/>
            </a:rPr>
            <a:t>ny payments to employees (e.g., payroll, 401k matches, benefits, etc.), taxes, utility payments (e.g., electricity, gas, fuel, etc.), transportation costs (use other categories), waste services, etc.</a:t>
          </a:r>
        </a:p>
        <a:p>
          <a:endParaRPr lang="en-US" sz="1100" b="1" i="1" baseline="0">
            <a:solidFill>
              <a:srgbClr val="FF0000"/>
            </a:solidFill>
            <a:effectLst/>
            <a:latin typeface="+mn-lt"/>
            <a:ea typeface="+mn-ea"/>
            <a:cs typeface="+mn-cs"/>
          </a:endParaRPr>
        </a:p>
        <a:p>
          <a:r>
            <a:rPr lang="en-US" sz="1100" b="1" i="1" baseline="0">
              <a:solidFill>
                <a:srgbClr val="FF0000"/>
              </a:solidFill>
              <a:effectLst/>
              <a:latin typeface="+mn-lt"/>
              <a:ea typeface="+mn-ea"/>
              <a:cs typeface="+mn-cs"/>
            </a:rPr>
            <a:t>Note, use tabs "Cat 1 (Goods &amp; Services)" and/or "Cat 2 (Capital Goods)" if only annual procurement spend data is available.</a:t>
          </a:r>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400050</xdr:colOff>
      <xdr:row>6</xdr:row>
      <xdr:rowOff>89894</xdr:rowOff>
    </xdr:from>
    <xdr:to>
      <xdr:col>8</xdr:col>
      <xdr:colOff>142875</xdr:colOff>
      <xdr:row>16</xdr:row>
      <xdr:rowOff>38423</xdr:rowOff>
    </xdr:to>
    <xdr:pic>
      <xdr:nvPicPr>
        <xdr:cNvPr id="2" name="Picture 1">
          <a:extLst>
            <a:ext uri="{FF2B5EF4-FFF2-40B4-BE49-F238E27FC236}">
              <a16:creationId xmlns:a16="http://schemas.microsoft.com/office/drawing/2014/main" id="{3D566488-2163-42BC-A045-C3BEDC070F74}"/>
            </a:ext>
          </a:extLst>
        </xdr:cNvPr>
        <xdr:cNvPicPr>
          <a:picLocks noChangeAspect="1"/>
        </xdr:cNvPicPr>
      </xdr:nvPicPr>
      <xdr:blipFill>
        <a:blip xmlns:r="http://schemas.openxmlformats.org/officeDocument/2006/relationships" r:embed="rId1"/>
        <a:stretch>
          <a:fillRect/>
        </a:stretch>
      </xdr:blipFill>
      <xdr:spPr>
        <a:xfrm>
          <a:off x="1771650" y="1290044"/>
          <a:ext cx="3857625" cy="1948779"/>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38100</xdr:colOff>
      <xdr:row>20</xdr:row>
      <xdr:rowOff>95250</xdr:rowOff>
    </xdr:from>
    <xdr:to>
      <xdr:col>7</xdr:col>
      <xdr:colOff>581675</xdr:colOff>
      <xdr:row>29</xdr:row>
      <xdr:rowOff>152659</xdr:rowOff>
    </xdr:to>
    <xdr:pic>
      <xdr:nvPicPr>
        <xdr:cNvPr id="3" name="Picture 2">
          <a:extLst>
            <a:ext uri="{FF2B5EF4-FFF2-40B4-BE49-F238E27FC236}">
              <a16:creationId xmlns:a16="http://schemas.microsoft.com/office/drawing/2014/main" id="{C4D21888-FE0A-4501-AB0D-3730C0BAB4E3}"/>
            </a:ext>
          </a:extLst>
        </xdr:cNvPr>
        <xdr:cNvPicPr>
          <a:picLocks noChangeAspect="1"/>
        </xdr:cNvPicPr>
      </xdr:nvPicPr>
      <xdr:blipFill>
        <a:blip xmlns:r="http://schemas.openxmlformats.org/officeDocument/2006/relationships" r:embed="rId2"/>
        <a:stretch>
          <a:fillRect/>
        </a:stretch>
      </xdr:blipFill>
      <xdr:spPr>
        <a:xfrm>
          <a:off x="723900" y="4095750"/>
          <a:ext cx="4658375" cy="1857634"/>
        </a:xfrm>
        <a:prstGeom prst="rect">
          <a:avLst/>
        </a:prstGeom>
        <a:ln>
          <a:noFill/>
        </a:ln>
        <a:effectLst>
          <a:outerShdw blurRad="190500" algn="tl" rotWithShape="0">
            <a:srgbClr val="000000">
              <a:alpha val="70000"/>
            </a:srgbClr>
          </a:outerShdw>
        </a:effectLst>
      </xdr:spPr>
    </xdr:pic>
    <xdr:clientData/>
  </xdr:twoCellAnchor>
  <xdr:twoCellAnchor>
    <xdr:from>
      <xdr:col>7</xdr:col>
      <xdr:colOff>314325</xdr:colOff>
      <xdr:row>20</xdr:row>
      <xdr:rowOff>95250</xdr:rowOff>
    </xdr:from>
    <xdr:to>
      <xdr:col>7</xdr:col>
      <xdr:colOff>581025</xdr:colOff>
      <xdr:row>22</xdr:row>
      <xdr:rowOff>47625</xdr:rowOff>
    </xdr:to>
    <xdr:sp macro="" textlink="">
      <xdr:nvSpPr>
        <xdr:cNvPr id="4" name="Rectangle: Rounded Corners 3">
          <a:extLst>
            <a:ext uri="{FF2B5EF4-FFF2-40B4-BE49-F238E27FC236}">
              <a16:creationId xmlns:a16="http://schemas.microsoft.com/office/drawing/2014/main" id="{96E709E3-3468-4347-8C5F-0A4C7C15B854}"/>
            </a:ext>
          </a:extLst>
        </xdr:cNvPr>
        <xdr:cNvSpPr/>
      </xdr:nvSpPr>
      <xdr:spPr>
        <a:xfrm>
          <a:off x="5114925" y="4095750"/>
          <a:ext cx="266700" cy="352425"/>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noAutofit/>
        </a:bodyPr>
        <a:lstStyle/>
        <a:p>
          <a:pPr algn="ctr"/>
          <a:endParaRPr lang="en-US" sz="1100"/>
        </a:p>
      </xdr:txBody>
    </xdr:sp>
    <xdr:clientData/>
  </xdr:twoCellAnchor>
  <xdr:twoCellAnchor>
    <xdr:from>
      <xdr:col>5</xdr:col>
      <xdr:colOff>95250</xdr:colOff>
      <xdr:row>5</xdr:row>
      <xdr:rowOff>9525</xdr:rowOff>
    </xdr:from>
    <xdr:to>
      <xdr:col>7</xdr:col>
      <xdr:colOff>561975</xdr:colOff>
      <xdr:row>6</xdr:row>
      <xdr:rowOff>114300</xdr:rowOff>
    </xdr:to>
    <xdr:cxnSp macro="">
      <xdr:nvCxnSpPr>
        <xdr:cNvPr id="5" name="Straight Arrow Connector 4">
          <a:extLst>
            <a:ext uri="{FF2B5EF4-FFF2-40B4-BE49-F238E27FC236}">
              <a16:creationId xmlns:a16="http://schemas.microsoft.com/office/drawing/2014/main" id="{6E5C0E45-F31A-4E99-AB62-A521B2EABBAF}"/>
            </a:ext>
          </a:extLst>
        </xdr:cNvPr>
        <xdr:cNvCxnSpPr/>
      </xdr:nvCxnSpPr>
      <xdr:spPr>
        <a:xfrm>
          <a:off x="3524250" y="1009650"/>
          <a:ext cx="1838325" cy="30480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581025</xdr:colOff>
      <xdr:row>20</xdr:row>
      <xdr:rowOff>0</xdr:rowOff>
    </xdr:from>
    <xdr:to>
      <xdr:col>14</xdr:col>
      <xdr:colOff>647700</xdr:colOff>
      <xdr:row>21</xdr:row>
      <xdr:rowOff>71438</xdr:rowOff>
    </xdr:to>
    <xdr:cxnSp macro="">
      <xdr:nvCxnSpPr>
        <xdr:cNvPr id="6" name="Straight Arrow Connector 5">
          <a:extLst>
            <a:ext uri="{FF2B5EF4-FFF2-40B4-BE49-F238E27FC236}">
              <a16:creationId xmlns:a16="http://schemas.microsoft.com/office/drawing/2014/main" id="{E3252D0C-0A80-42D9-84B5-9590AC836933}"/>
            </a:ext>
          </a:extLst>
        </xdr:cNvPr>
        <xdr:cNvCxnSpPr>
          <a:endCxn id="4" idx="3"/>
        </xdr:cNvCxnSpPr>
      </xdr:nvCxnSpPr>
      <xdr:spPr>
        <a:xfrm flipH="1">
          <a:off x="5381625" y="4000500"/>
          <a:ext cx="4867275" cy="271463"/>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619125</xdr:colOff>
      <xdr:row>6</xdr:row>
      <xdr:rowOff>38100</xdr:rowOff>
    </xdr:from>
    <xdr:to>
      <xdr:col>8</xdr:col>
      <xdr:colOff>200025</xdr:colOff>
      <xdr:row>7</xdr:row>
      <xdr:rowOff>171450</xdr:rowOff>
    </xdr:to>
    <xdr:sp macro="" textlink="">
      <xdr:nvSpPr>
        <xdr:cNvPr id="7" name="Rectangle: Rounded Corners 6">
          <a:extLst>
            <a:ext uri="{FF2B5EF4-FFF2-40B4-BE49-F238E27FC236}">
              <a16:creationId xmlns:a16="http://schemas.microsoft.com/office/drawing/2014/main" id="{5FF79404-9530-44CA-9E0D-0220E87D4B48}"/>
            </a:ext>
          </a:extLst>
        </xdr:cNvPr>
        <xdr:cNvSpPr/>
      </xdr:nvSpPr>
      <xdr:spPr>
        <a:xfrm>
          <a:off x="5419725" y="1238250"/>
          <a:ext cx="266700" cy="333375"/>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noAutofit/>
        </a:bodyPr>
        <a:lstStyle/>
        <a:p>
          <a:pPr algn="ctr"/>
          <a:endParaRPr lang="en-US" sz="1100"/>
        </a:p>
      </xdr:txBody>
    </xdr:sp>
    <xdr:clientData/>
  </xdr:twoCellAnchor>
  <xdr:twoCellAnchor editAs="oneCell">
    <xdr:from>
      <xdr:col>1</xdr:col>
      <xdr:colOff>28575</xdr:colOff>
      <xdr:row>41</xdr:row>
      <xdr:rowOff>28575</xdr:rowOff>
    </xdr:from>
    <xdr:to>
      <xdr:col>7</xdr:col>
      <xdr:colOff>534045</xdr:colOff>
      <xdr:row>51</xdr:row>
      <xdr:rowOff>152696</xdr:rowOff>
    </xdr:to>
    <xdr:pic>
      <xdr:nvPicPr>
        <xdr:cNvPr id="8" name="Picture 7">
          <a:extLst>
            <a:ext uri="{FF2B5EF4-FFF2-40B4-BE49-F238E27FC236}">
              <a16:creationId xmlns:a16="http://schemas.microsoft.com/office/drawing/2014/main" id="{5A22D0C9-CF82-41B6-AE7B-491077B66313}"/>
            </a:ext>
          </a:extLst>
        </xdr:cNvPr>
        <xdr:cNvPicPr>
          <a:picLocks noChangeAspect="1"/>
        </xdr:cNvPicPr>
      </xdr:nvPicPr>
      <xdr:blipFill>
        <a:blip xmlns:r="http://schemas.openxmlformats.org/officeDocument/2006/relationships" r:embed="rId3"/>
        <a:stretch>
          <a:fillRect/>
        </a:stretch>
      </xdr:blipFill>
      <xdr:spPr>
        <a:xfrm>
          <a:off x="714375" y="8134350"/>
          <a:ext cx="4620270" cy="2124371"/>
        </a:xfrm>
        <a:prstGeom prst="rect">
          <a:avLst/>
        </a:prstGeom>
        <a:ln>
          <a:noFill/>
        </a:ln>
        <a:effectLst>
          <a:outerShdw blurRad="190500" algn="tl" rotWithShape="0">
            <a:srgbClr val="000000">
              <a:alpha val="70000"/>
            </a:srgbClr>
          </a:outerShdw>
        </a:effectLst>
      </xdr:spPr>
    </xdr:pic>
    <xdr:clientData/>
  </xdr:twoCellAnchor>
  <xdr:twoCellAnchor>
    <xdr:from>
      <xdr:col>7</xdr:col>
      <xdr:colOff>276225</xdr:colOff>
      <xdr:row>42</xdr:row>
      <xdr:rowOff>95250</xdr:rowOff>
    </xdr:from>
    <xdr:to>
      <xdr:col>10</xdr:col>
      <xdr:colOff>676275</xdr:colOff>
      <xdr:row>46</xdr:row>
      <xdr:rowOff>114300</xdr:rowOff>
    </xdr:to>
    <xdr:cxnSp macro="">
      <xdr:nvCxnSpPr>
        <xdr:cNvPr id="9" name="Straight Arrow Connector 8">
          <a:extLst>
            <a:ext uri="{FF2B5EF4-FFF2-40B4-BE49-F238E27FC236}">
              <a16:creationId xmlns:a16="http://schemas.microsoft.com/office/drawing/2014/main" id="{79AF3904-5D35-48BB-9EF9-810F6116F8C1}"/>
            </a:ext>
          </a:extLst>
        </xdr:cNvPr>
        <xdr:cNvCxnSpPr/>
      </xdr:nvCxnSpPr>
      <xdr:spPr>
        <a:xfrm flipH="1" flipV="1">
          <a:off x="5076825" y="8401050"/>
          <a:ext cx="2457450" cy="8191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495300</xdr:colOff>
      <xdr:row>41</xdr:row>
      <xdr:rowOff>161925</xdr:rowOff>
    </xdr:from>
    <xdr:to>
      <xdr:col>9</xdr:col>
      <xdr:colOff>676275</xdr:colOff>
      <xdr:row>42</xdr:row>
      <xdr:rowOff>95250</xdr:rowOff>
    </xdr:to>
    <xdr:cxnSp macro="">
      <xdr:nvCxnSpPr>
        <xdr:cNvPr id="10" name="Straight Arrow Connector 9">
          <a:extLst>
            <a:ext uri="{FF2B5EF4-FFF2-40B4-BE49-F238E27FC236}">
              <a16:creationId xmlns:a16="http://schemas.microsoft.com/office/drawing/2014/main" id="{77E26B74-E9CC-4F92-A1EF-1EF18B8655A1}"/>
            </a:ext>
          </a:extLst>
        </xdr:cNvPr>
        <xdr:cNvCxnSpPr/>
      </xdr:nvCxnSpPr>
      <xdr:spPr>
        <a:xfrm flipH="1" flipV="1">
          <a:off x="5295900" y="8267700"/>
          <a:ext cx="1552575" cy="1333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66674</xdr:colOff>
      <xdr:row>62</xdr:row>
      <xdr:rowOff>190499</xdr:rowOff>
    </xdr:from>
    <xdr:to>
      <xdr:col>22</xdr:col>
      <xdr:colOff>277959</xdr:colOff>
      <xdr:row>71</xdr:row>
      <xdr:rowOff>172021</xdr:rowOff>
    </xdr:to>
    <xdr:pic>
      <xdr:nvPicPr>
        <xdr:cNvPr id="11" name="Picture 10">
          <a:extLst>
            <a:ext uri="{FF2B5EF4-FFF2-40B4-BE49-F238E27FC236}">
              <a16:creationId xmlns:a16="http://schemas.microsoft.com/office/drawing/2014/main" id="{D878BEC9-0AA8-4CF2-B50D-DB1BC29D1CA4}"/>
            </a:ext>
          </a:extLst>
        </xdr:cNvPr>
        <xdr:cNvPicPr>
          <a:picLocks noChangeAspect="1"/>
        </xdr:cNvPicPr>
      </xdr:nvPicPr>
      <xdr:blipFill rotWithShape="1">
        <a:blip xmlns:r="http://schemas.openxmlformats.org/officeDocument/2006/relationships" r:embed="rId4"/>
        <a:srcRect l="26587" t="56504"/>
        <a:stretch/>
      </xdr:blipFill>
      <xdr:spPr>
        <a:xfrm>
          <a:off x="6238874" y="12496799"/>
          <a:ext cx="9126685" cy="1781747"/>
        </a:xfrm>
        <a:prstGeom prst="rect">
          <a:avLst/>
        </a:prstGeom>
        <a:ln>
          <a:noFill/>
        </a:ln>
        <a:effectLst>
          <a:outerShdw blurRad="190500" algn="tl" rotWithShape="0">
            <a:srgbClr val="000000">
              <a:alpha val="70000"/>
            </a:srgbClr>
          </a:outerShdw>
        </a:effectLst>
      </xdr:spPr>
    </xdr:pic>
    <xdr:clientData/>
  </xdr:twoCellAnchor>
  <xdr:twoCellAnchor>
    <xdr:from>
      <xdr:col>1</xdr:col>
      <xdr:colOff>190500</xdr:colOff>
      <xdr:row>61</xdr:row>
      <xdr:rowOff>133350</xdr:rowOff>
    </xdr:from>
    <xdr:to>
      <xdr:col>8</xdr:col>
      <xdr:colOff>410276</xdr:colOff>
      <xdr:row>73</xdr:row>
      <xdr:rowOff>9525</xdr:rowOff>
    </xdr:to>
    <xdr:grpSp>
      <xdr:nvGrpSpPr>
        <xdr:cNvPr id="12" name="Group 11">
          <a:extLst>
            <a:ext uri="{FF2B5EF4-FFF2-40B4-BE49-F238E27FC236}">
              <a16:creationId xmlns:a16="http://schemas.microsoft.com/office/drawing/2014/main" id="{A2FEEFDF-FC7B-489E-A051-0EFE3B72B0DB}"/>
            </a:ext>
          </a:extLst>
        </xdr:cNvPr>
        <xdr:cNvGrpSpPr/>
      </xdr:nvGrpSpPr>
      <xdr:grpSpPr>
        <a:xfrm>
          <a:off x="876300" y="12045950"/>
          <a:ext cx="5020376" cy="2238375"/>
          <a:chOff x="857250" y="12249150"/>
          <a:chExt cx="5020376" cy="2276475"/>
        </a:xfrm>
      </xdr:grpSpPr>
      <xdr:pic>
        <xdr:nvPicPr>
          <xdr:cNvPr id="13" name="Picture 12">
            <a:extLst>
              <a:ext uri="{FF2B5EF4-FFF2-40B4-BE49-F238E27FC236}">
                <a16:creationId xmlns:a16="http://schemas.microsoft.com/office/drawing/2014/main" id="{1F31802B-4B12-3696-94AE-57FA607A133C}"/>
              </a:ext>
            </a:extLst>
          </xdr:cNvPr>
          <xdr:cNvPicPr>
            <a:picLocks noChangeAspect="1"/>
          </xdr:cNvPicPr>
        </xdr:nvPicPr>
        <xdr:blipFill>
          <a:blip xmlns:r="http://schemas.openxmlformats.org/officeDocument/2006/relationships" r:embed="rId5"/>
          <a:stretch>
            <a:fillRect/>
          </a:stretch>
        </xdr:blipFill>
        <xdr:spPr>
          <a:xfrm>
            <a:off x="857250" y="12249150"/>
            <a:ext cx="5020376" cy="2257740"/>
          </a:xfrm>
          <a:prstGeom prst="rect">
            <a:avLst/>
          </a:prstGeom>
          <a:ln>
            <a:noFill/>
          </a:ln>
          <a:effectLst>
            <a:outerShdw blurRad="190500" algn="tl" rotWithShape="0">
              <a:srgbClr val="000000">
                <a:alpha val="70000"/>
              </a:srgbClr>
            </a:outerShdw>
          </a:effectLst>
        </xdr:spPr>
      </xdr:pic>
      <xdr:cxnSp macro="">
        <xdr:nvCxnSpPr>
          <xdr:cNvPr id="14" name="Straight Arrow Connector 13">
            <a:extLst>
              <a:ext uri="{FF2B5EF4-FFF2-40B4-BE49-F238E27FC236}">
                <a16:creationId xmlns:a16="http://schemas.microsoft.com/office/drawing/2014/main" id="{BF7ED358-080E-ABB6-F641-EFE847A6143F}"/>
              </a:ext>
            </a:extLst>
          </xdr:cNvPr>
          <xdr:cNvCxnSpPr/>
        </xdr:nvCxnSpPr>
        <xdr:spPr>
          <a:xfrm flipH="1">
            <a:off x="3952875" y="13515975"/>
            <a:ext cx="647700" cy="60960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 name="Rectangle: Rounded Corners 14">
            <a:extLst>
              <a:ext uri="{FF2B5EF4-FFF2-40B4-BE49-F238E27FC236}">
                <a16:creationId xmlns:a16="http://schemas.microsoft.com/office/drawing/2014/main" id="{C3822EC7-94FD-D3AA-8B6B-8543D231B299}"/>
              </a:ext>
            </a:extLst>
          </xdr:cNvPr>
          <xdr:cNvSpPr/>
        </xdr:nvSpPr>
        <xdr:spPr>
          <a:xfrm>
            <a:off x="3362324" y="14173200"/>
            <a:ext cx="847725" cy="352425"/>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noAutofit/>
          </a:bodyPr>
          <a:lstStyle/>
          <a:p>
            <a:pPr algn="ctr"/>
            <a:endParaRPr lang="en-US" sz="1100"/>
          </a:p>
        </xdr:txBody>
      </xdr:sp>
      <xdr:sp macro="" textlink="">
        <xdr:nvSpPr>
          <xdr:cNvPr id="16" name="Rectangle: Rounded Corners 15">
            <a:extLst>
              <a:ext uri="{FF2B5EF4-FFF2-40B4-BE49-F238E27FC236}">
                <a16:creationId xmlns:a16="http://schemas.microsoft.com/office/drawing/2014/main" id="{73F169DC-E079-8C51-A244-87B65CF51D2A}"/>
              </a:ext>
            </a:extLst>
          </xdr:cNvPr>
          <xdr:cNvSpPr/>
        </xdr:nvSpPr>
        <xdr:spPr>
          <a:xfrm>
            <a:off x="1685925" y="12830176"/>
            <a:ext cx="704850" cy="285750"/>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noAutofit/>
          </a:bodyPr>
          <a:lstStyle/>
          <a:p>
            <a:pPr algn="ctr"/>
            <a:endParaRPr lang="en-US"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22413</xdr:colOff>
      <xdr:row>6</xdr:row>
      <xdr:rowOff>22412</xdr:rowOff>
    </xdr:from>
    <xdr:to>
      <xdr:col>9</xdr:col>
      <xdr:colOff>10585</xdr:colOff>
      <xdr:row>10</xdr:row>
      <xdr:rowOff>137583</xdr:rowOff>
    </xdr:to>
    <xdr:sp macro="" textlink="">
      <xdr:nvSpPr>
        <xdr:cNvPr id="2" name="TextBox 1">
          <a:extLst>
            <a:ext uri="{FF2B5EF4-FFF2-40B4-BE49-F238E27FC236}">
              <a16:creationId xmlns:a16="http://schemas.microsoft.com/office/drawing/2014/main" id="{27421C62-F3E7-4058-A36E-4F37B515C272}"/>
            </a:ext>
          </a:extLst>
        </xdr:cNvPr>
        <xdr:cNvSpPr txBox="1"/>
      </xdr:nvSpPr>
      <xdr:spPr>
        <a:xfrm>
          <a:off x="22413" y="1546412"/>
          <a:ext cx="14675722" cy="896221"/>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solidFill>
                <a:sysClr val="windowText" lastClr="000000"/>
              </a:solidFill>
            </a:rPr>
            <a:t>Fuel- and Energy-Related Activities: </a:t>
          </a:r>
          <a:r>
            <a:rPr lang="en-US" sz="1100" b="0" i="0" u="none" strike="noStrike" baseline="0">
              <a:solidFill>
                <a:schemeClr val="dk1"/>
              </a:solidFill>
              <a:latin typeface="+mn-lt"/>
              <a:ea typeface="+mn-ea"/>
              <a:cs typeface="+mn-cs"/>
            </a:rPr>
            <a:t>Extraction, production, and transportation of fuels and energy purchased or acquired by the reporting company in the reporting year, not already accounted for in scope 1 or scope 2, including: Upstream emissions of purchased fuels (Table 1 below), upstream emissions of purchased electricity (Table 2 below), transmission &amp; distribution losses (Table 3 below).</a:t>
          </a:r>
        </a:p>
        <a:p>
          <a:r>
            <a:rPr lang="en-US" sz="1100" b="0" i="0" u="none" strike="noStrike" baseline="0">
              <a:solidFill>
                <a:schemeClr val="dk1"/>
              </a:solidFill>
              <a:latin typeface="+mn-lt"/>
              <a:ea typeface="+mn-ea"/>
              <a:cs typeface="+mn-cs"/>
            </a:rPr>
            <a:t>The calculations are based on the "average-data method", using standard emission factors and usage data.</a:t>
          </a:r>
        </a:p>
        <a:p>
          <a:endParaRPr lang="en-US" sz="1100" b="1" baseline="0">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15208</xdr:colOff>
      <xdr:row>5</xdr:row>
      <xdr:rowOff>6624</xdr:rowOff>
    </xdr:from>
    <xdr:to>
      <xdr:col>7</xdr:col>
      <xdr:colOff>0</xdr:colOff>
      <xdr:row>10</xdr:row>
      <xdr:rowOff>190500</xdr:rowOff>
    </xdr:to>
    <xdr:sp macro="" textlink="">
      <xdr:nvSpPr>
        <xdr:cNvPr id="2" name="TextBox 1">
          <a:extLst>
            <a:ext uri="{FF2B5EF4-FFF2-40B4-BE49-F238E27FC236}">
              <a16:creationId xmlns:a16="http://schemas.microsoft.com/office/drawing/2014/main" id="{7CECF024-6881-44D0-B248-C9080EEAE370}"/>
            </a:ext>
          </a:extLst>
        </xdr:cNvPr>
        <xdr:cNvSpPr txBox="1"/>
      </xdr:nvSpPr>
      <xdr:spPr>
        <a:xfrm>
          <a:off x="15208" y="987699"/>
          <a:ext cx="20596892" cy="1545951"/>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t>Upstream Transportation &amp; Distribution:</a:t>
          </a:r>
          <a:r>
            <a:rPr lang="en-US" sz="1100" baseline="0"/>
            <a:t> </a:t>
          </a:r>
          <a:r>
            <a:rPr lang="en-US" sz="1100" b="0" i="0" u="none" strike="noStrike" baseline="0">
              <a:solidFill>
                <a:schemeClr val="dk1"/>
              </a:solidFill>
              <a:latin typeface="+mn-lt"/>
              <a:ea typeface="+mn-ea"/>
              <a:cs typeface="+mn-cs"/>
            </a:rPr>
            <a:t>Upstream transportation and distribution of products or services purchased by the reporting company in the reporting year between a company’s tier 1 suppliers and its own operations (in vehicles and facilities not owned or controlled by the reporting company). For example, this may include freight costs to ship purchased goods to healthcare facilities.</a:t>
          </a:r>
        </a:p>
        <a:p>
          <a:endParaRPr lang="en-US"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The "spend-based" method is presented here, where emissions are based on the mode of transport and national average emission factors.</a:t>
          </a:r>
          <a:br>
            <a:rPr lang="en-US" sz="1100" b="0" baseline="0">
              <a:solidFill>
                <a:schemeClr val="dk1"/>
              </a:solidFill>
              <a:effectLst/>
              <a:latin typeface="+mn-lt"/>
              <a:ea typeface="+mn-ea"/>
              <a:cs typeface="+mn-cs"/>
            </a:rPr>
          </a:br>
          <a:endParaRPr lang="en-US" sz="1100" b="1" i="1" baseline="0">
            <a:solidFill>
              <a:srgbClr val="FF0000"/>
            </a:solidFill>
            <a:effectLst/>
            <a:latin typeface="+mn-lt"/>
            <a:ea typeface="+mn-ea"/>
            <a:cs typeface="+mn-cs"/>
          </a:endParaRPr>
        </a:p>
        <a:p>
          <a:r>
            <a:rPr lang="en-US" sz="1400" b="1" i="1" baseline="0">
              <a:solidFill>
                <a:srgbClr val="FF0000"/>
              </a:solidFill>
              <a:effectLst/>
              <a:latin typeface="+mn-lt"/>
              <a:ea typeface="+mn-ea"/>
              <a:cs typeface="+mn-cs"/>
            </a:rPr>
            <a:t>Note, if supplier-specific calculations have been made, or outside sources were used to determine category 1 emissions, please reference the darker blue "Custom Emissions Inputs - other" tab, which allows for user input of</a:t>
          </a:r>
        </a:p>
        <a:p>
          <a:r>
            <a:rPr lang="en-US" sz="1400" b="1" i="1" baseline="0">
              <a:solidFill>
                <a:srgbClr val="FF0000"/>
              </a:solidFill>
              <a:effectLst/>
              <a:latin typeface="+mn-lt"/>
              <a:ea typeface="+mn-ea"/>
              <a:cs typeface="+mn-cs"/>
            </a:rPr>
            <a:t>emissions factors and totals.</a:t>
          </a:r>
          <a:br>
            <a:rPr lang="en-US" sz="1400" b="1" i="1" baseline="0">
              <a:solidFill>
                <a:srgbClr val="FF0000"/>
              </a:solidFill>
              <a:effectLst/>
              <a:latin typeface="+mn-lt"/>
              <a:ea typeface="+mn-ea"/>
              <a:cs typeface="+mn-cs"/>
            </a:rPr>
          </a:br>
          <a:endParaRPr lang="en-US" sz="1400" b="1" i="1" baseline="0">
            <a:solidFill>
              <a:srgbClr val="FF0000"/>
            </a:solidFill>
            <a:effectLst/>
            <a:latin typeface="+mn-lt"/>
            <a:ea typeface="+mn-ea"/>
            <a:cs typeface="+mn-cs"/>
          </a:endParaRPr>
        </a:p>
        <a:p>
          <a:endParaRPr lang="en-US" sz="1400" b="1" i="1" baseline="0">
            <a:solidFill>
              <a:srgbClr val="FF0000"/>
            </a:solidFill>
            <a:effectLst/>
            <a:latin typeface="+mn-lt"/>
            <a:ea typeface="+mn-ea"/>
            <a:cs typeface="+mn-cs"/>
          </a:endParaRPr>
        </a:p>
        <a:p>
          <a:endParaRPr lang="en-US" sz="1400">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b="0" i="0" u="none" strike="noStrike" baseline="0">
            <a:solidFill>
              <a:schemeClr val="dk1"/>
            </a:solidFill>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47119</xdr:colOff>
      <xdr:row>10</xdr:row>
      <xdr:rowOff>23376</xdr:rowOff>
    </xdr:from>
    <xdr:to>
      <xdr:col>7</xdr:col>
      <xdr:colOff>10584</xdr:colOff>
      <xdr:row>14</xdr:row>
      <xdr:rowOff>56028</xdr:rowOff>
    </xdr:to>
    <xdr:sp macro="" textlink="">
      <xdr:nvSpPr>
        <xdr:cNvPr id="2" name="TextBox 1">
          <a:extLst>
            <a:ext uri="{FF2B5EF4-FFF2-40B4-BE49-F238E27FC236}">
              <a16:creationId xmlns:a16="http://schemas.microsoft.com/office/drawing/2014/main" id="{0F6CA37B-6B0D-4517-AFAD-1AE34AC01E63}"/>
            </a:ext>
          </a:extLst>
        </xdr:cNvPr>
        <xdr:cNvSpPr txBox="1"/>
      </xdr:nvSpPr>
      <xdr:spPr>
        <a:xfrm>
          <a:off x="47119" y="2080776"/>
          <a:ext cx="14793890" cy="985152"/>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solidFill>
                <a:sysClr val="windowText" lastClr="000000"/>
              </a:solidFill>
            </a:rPr>
            <a:t>Waste Generated in Operations: </a:t>
          </a:r>
          <a:r>
            <a:rPr lang="en-US" sz="1100" b="0" i="0" u="none" strike="noStrike" baseline="0">
              <a:solidFill>
                <a:schemeClr val="dk1"/>
              </a:solidFill>
              <a:latin typeface="+mn-lt"/>
              <a:ea typeface="+mn-ea"/>
              <a:cs typeface="+mn-cs"/>
            </a:rPr>
            <a:t>Disposal and treatment of waste generated in the reporting company’s operations in the reporting year (in facilities not owned or controlled by the reporting company). The "average-data method" is presented here to estimate emissions based on the quantity and general category of waste, as well as the method of disposal/treatment.</a:t>
          </a:r>
        </a:p>
        <a:p>
          <a:endParaRPr lang="en-US"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baseline="0">
              <a:solidFill>
                <a:srgbClr val="FF0000"/>
              </a:solidFill>
              <a:effectLst/>
              <a:latin typeface="+mn-lt"/>
              <a:ea typeface="+mn-ea"/>
              <a:cs typeface="+mn-cs"/>
            </a:rPr>
            <a:t>Note, if emissions calculations have been conducted outside of this tool, users can input totals here in the custom emissions section at the bottom.</a:t>
          </a:r>
          <a:endParaRPr lang="en-US">
            <a:solidFill>
              <a:srgbClr val="FF0000"/>
            </a:solidFill>
            <a:effectLst/>
          </a:endParaRPr>
        </a:p>
        <a:p>
          <a:endParaRPr lang="en-US" sz="1100" b="1" baseline="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1363134</xdr:colOff>
      <xdr:row>0</xdr:row>
      <xdr:rowOff>69125</xdr:rowOff>
    </xdr:from>
    <xdr:to>
      <xdr:col>1</xdr:col>
      <xdr:colOff>3093509</xdr:colOff>
      <xdr:row>0</xdr:row>
      <xdr:rowOff>1113353</xdr:rowOff>
    </xdr:to>
    <xdr:pic>
      <xdr:nvPicPr>
        <xdr:cNvPr id="2" name="Imagen 3">
          <a:extLst>
            <a:ext uri="{FF2B5EF4-FFF2-40B4-BE49-F238E27FC236}">
              <a16:creationId xmlns:a16="http://schemas.microsoft.com/office/drawing/2014/main" id="{E822BD7E-5090-410C-A5A9-72D23E3F85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82259" y="69125"/>
          <a:ext cx="1730375" cy="1044228"/>
        </a:xfrm>
        <a:prstGeom prst="rect">
          <a:avLst/>
        </a:prstGeom>
      </xdr:spPr>
    </xdr:pic>
    <xdr:clientData/>
  </xdr:twoCellAnchor>
  <xdr:twoCellAnchor editAs="oneCell">
    <xdr:from>
      <xdr:col>0</xdr:col>
      <xdr:colOff>613834</xdr:colOff>
      <xdr:row>0</xdr:row>
      <xdr:rowOff>39933</xdr:rowOff>
    </xdr:from>
    <xdr:to>
      <xdr:col>1</xdr:col>
      <xdr:colOff>1036109</xdr:colOff>
      <xdr:row>0</xdr:row>
      <xdr:rowOff>1095091</xdr:rowOff>
    </xdr:to>
    <xdr:pic>
      <xdr:nvPicPr>
        <xdr:cNvPr id="3" name="Imagen 5">
          <a:extLst>
            <a:ext uri="{FF2B5EF4-FFF2-40B4-BE49-F238E27FC236}">
              <a16:creationId xmlns:a16="http://schemas.microsoft.com/office/drawing/2014/main" id="{110842EA-5236-41C8-BE03-CE32F44F08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3834" y="39933"/>
          <a:ext cx="1041400" cy="1055158"/>
        </a:xfrm>
        <a:prstGeom prst="rect">
          <a:avLst/>
        </a:prstGeom>
      </xdr:spPr>
    </xdr:pic>
    <xdr:clientData/>
  </xdr:twoCellAnchor>
  <xdr:twoCellAnchor editAs="oneCell">
    <xdr:from>
      <xdr:col>1</xdr:col>
      <xdr:colOff>3321847</xdr:colOff>
      <xdr:row>0</xdr:row>
      <xdr:rowOff>154782</xdr:rowOff>
    </xdr:from>
    <xdr:to>
      <xdr:col>1</xdr:col>
      <xdr:colOff>4296049</xdr:colOff>
      <xdr:row>0</xdr:row>
      <xdr:rowOff>988220</xdr:rowOff>
    </xdr:to>
    <xdr:pic>
      <xdr:nvPicPr>
        <xdr:cNvPr id="4" name="Picture 3">
          <a:extLst>
            <a:ext uri="{FF2B5EF4-FFF2-40B4-BE49-F238E27FC236}">
              <a16:creationId xmlns:a16="http://schemas.microsoft.com/office/drawing/2014/main" id="{CC16CEF5-47C1-438B-8D16-857C97291B7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40972" y="154782"/>
          <a:ext cx="974202" cy="83343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37178</xdr:colOff>
      <xdr:row>5</xdr:row>
      <xdr:rowOff>66959</xdr:rowOff>
    </xdr:from>
    <xdr:to>
      <xdr:col>6</xdr:col>
      <xdr:colOff>8372475</xdr:colOff>
      <xdr:row>16</xdr:row>
      <xdr:rowOff>78441</xdr:rowOff>
    </xdr:to>
    <xdr:sp macro="" textlink="">
      <xdr:nvSpPr>
        <xdr:cNvPr id="2" name="TextBox 1">
          <a:extLst>
            <a:ext uri="{FF2B5EF4-FFF2-40B4-BE49-F238E27FC236}">
              <a16:creationId xmlns:a16="http://schemas.microsoft.com/office/drawing/2014/main" id="{2922031E-E936-437B-AFA6-7BAE1B005148}"/>
            </a:ext>
          </a:extLst>
        </xdr:cNvPr>
        <xdr:cNvSpPr txBox="1"/>
      </xdr:nvSpPr>
      <xdr:spPr>
        <a:xfrm>
          <a:off x="37178" y="1048034"/>
          <a:ext cx="20317747" cy="2002207"/>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solidFill>
                <a:sysClr val="windowText" lastClr="000000"/>
              </a:solidFill>
            </a:rPr>
            <a:t>Business Travel: </a:t>
          </a:r>
          <a:r>
            <a:rPr lang="en-US" sz="1100" b="0" i="0" u="none" strike="noStrike" baseline="0">
              <a:solidFill>
                <a:schemeClr val="dk1"/>
              </a:solidFill>
              <a:latin typeface="+mn-lt"/>
              <a:ea typeface="+mn-ea"/>
              <a:cs typeface="+mn-cs"/>
            </a:rPr>
            <a:t>Transportation of employees for business-related activities during the reporting year (in vehicles not owned or operated by the reporting company). </a:t>
          </a:r>
        </a:p>
        <a:p>
          <a:r>
            <a:rPr lang="en-US" sz="1100" b="0" i="1" u="none" strike="noStrike" baseline="0">
              <a:solidFill>
                <a:schemeClr val="dk1"/>
              </a:solidFill>
              <a:latin typeface="+mn-lt"/>
              <a:ea typeface="+mn-ea"/>
              <a:cs typeface="+mn-cs"/>
            </a:rPr>
            <a:t>Examples include</a:t>
          </a:r>
          <a:r>
            <a:rPr lang="en-US" sz="1100" b="0" i="0" u="none" strike="noStrike" baseline="0">
              <a:solidFill>
                <a:schemeClr val="dk1"/>
              </a:solidFill>
              <a:latin typeface="+mn-lt"/>
              <a:ea typeface="+mn-ea"/>
              <a:cs typeface="+mn-cs"/>
            </a:rPr>
            <a:t>: </a:t>
          </a:r>
          <a:r>
            <a:rPr lang="en-US" sz="1100" b="0" i="0" u="none" strike="noStrike" baseline="0">
              <a:solidFill>
                <a:schemeClr val="dk1"/>
              </a:solidFill>
              <a:effectLst/>
              <a:latin typeface="+mn-lt"/>
              <a:ea typeface="+mn-ea"/>
              <a:cs typeface="+mn-cs"/>
            </a:rPr>
            <a:t>A</a:t>
          </a:r>
          <a:r>
            <a:rPr lang="en-US" sz="1100" baseline="0">
              <a:solidFill>
                <a:schemeClr val="dk1"/>
              </a:solidFill>
              <a:effectLst/>
              <a:latin typeface="+mn-lt"/>
              <a:ea typeface="+mn-ea"/>
              <a:cs typeface="+mn-cs"/>
            </a:rPr>
            <a:t>ir travel, rental car, rail travel, hotel stay, etc.</a:t>
          </a:r>
        </a:p>
        <a:p>
          <a:endParaRPr lang="en-US" sz="1100" b="1"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The "spend-based" method is presented here in the first table, where emissions are based on the mode of transport and national average emission factors.</a:t>
          </a:r>
        </a:p>
        <a:p>
          <a:r>
            <a:rPr lang="en-US" sz="1100" b="0" baseline="0">
              <a:solidFill>
                <a:schemeClr val="dk1"/>
              </a:solidFill>
              <a:effectLst/>
              <a:latin typeface="+mn-lt"/>
              <a:ea typeface="+mn-ea"/>
              <a:cs typeface="+mn-cs"/>
            </a:rPr>
            <a:t>For "Transportation Mode", please consider the following when making a selection from the drop-down options:</a:t>
          </a:r>
        </a:p>
        <a:p>
          <a:endParaRPr lang="en-US" sz="105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  »  "Rail transport" - should be used primarily for intercity rail (</a:t>
          </a:r>
          <a:r>
            <a:rPr lang="en-US" sz="1100">
              <a:solidFill>
                <a:schemeClr val="dk1"/>
              </a:solidFill>
              <a:effectLst/>
              <a:latin typeface="+mn-lt"/>
              <a:ea typeface="+mn-ea"/>
              <a:cs typeface="+mn-cs"/>
            </a:rPr>
            <a:t>Amtrak long-distance rail between major cities)</a:t>
          </a:r>
        </a:p>
        <a:p>
          <a:r>
            <a:rPr lang="en-US" sz="1100" b="0" baseline="0">
              <a:solidFill>
                <a:schemeClr val="dk1"/>
              </a:solidFill>
              <a:effectLst/>
              <a:latin typeface="+mn-lt"/>
              <a:ea typeface="+mn-ea"/>
              <a:cs typeface="+mn-cs"/>
            </a:rPr>
            <a:t>  »  "Passenger ground transport" - should be used primarily for buses, taxis, Uber/Lyft, commuter rail / light rail (rail service between a central city and adjacent</a:t>
          </a:r>
        </a:p>
        <a:p>
          <a:r>
            <a:rPr lang="en-US" sz="1100" b="0" baseline="0">
              <a:solidFill>
                <a:schemeClr val="dk1"/>
              </a:solidFill>
              <a:effectLst/>
              <a:latin typeface="+mn-lt"/>
              <a:ea typeface="+mn-ea"/>
              <a:cs typeface="+mn-cs"/>
            </a:rPr>
            <a:t>       suburbs), and transit rail (i.e., subway, tram)</a:t>
          </a:r>
        </a:p>
        <a:p>
          <a:r>
            <a:rPr lang="en-US" sz="1100" b="0" baseline="0">
              <a:solidFill>
                <a:schemeClr val="dk1"/>
              </a:solidFill>
              <a:effectLst/>
              <a:latin typeface="+mn-lt"/>
              <a:ea typeface="+mn-ea"/>
              <a:cs typeface="+mn-cs"/>
            </a:rPr>
            <a:t>  »  Other categories ("air transport", "water transport", and "Hotels and campgrounds") should be self explanatory</a:t>
          </a:r>
          <a:endParaRPr lang="en-US">
            <a:effectLst/>
          </a:endParaRPr>
        </a:p>
        <a:p>
          <a:r>
            <a:rPr lang="en-US" sz="1100" b="0" baseline="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i="1" baseline="0">
            <a:solidFill>
              <a:srgbClr val="FF0000"/>
            </a:solidFill>
            <a:effectLst/>
            <a:latin typeface="+mn-lt"/>
            <a:ea typeface="+mn-ea"/>
            <a:cs typeface="+mn-cs"/>
          </a:endParaRPr>
        </a:p>
      </xdr:txBody>
    </xdr:sp>
    <xdr:clientData/>
  </xdr:twoCellAnchor>
  <xdr:oneCellAnchor>
    <xdr:from>
      <xdr:col>5</xdr:col>
      <xdr:colOff>883227</xdr:colOff>
      <xdr:row>5</xdr:row>
      <xdr:rowOff>128358</xdr:rowOff>
    </xdr:from>
    <xdr:ext cx="9368118" cy="1759324"/>
    <xdr:sp macro="" textlink="">
      <xdr:nvSpPr>
        <xdr:cNvPr id="3" name="TextBox 2">
          <a:extLst>
            <a:ext uri="{FF2B5EF4-FFF2-40B4-BE49-F238E27FC236}">
              <a16:creationId xmlns:a16="http://schemas.microsoft.com/office/drawing/2014/main" id="{343C891C-A51C-413B-A21B-50634971FBE9}"/>
            </a:ext>
          </a:extLst>
        </xdr:cNvPr>
        <xdr:cNvSpPr txBox="1"/>
      </xdr:nvSpPr>
      <xdr:spPr>
        <a:xfrm>
          <a:off x="10579677" y="1109433"/>
          <a:ext cx="9368118" cy="1759324"/>
        </a:xfrm>
        <a:prstGeom prst="rect">
          <a:avLst/>
        </a:prstGeom>
        <a:noFill/>
      </xdr:spPr>
      <xdr:txBody>
        <a:bodyPr vertOverflow="clip" horzOverflow="clip" wrap="square" lIns="0" tIns="0" rIns="0" bIns="0" rtlCol="0" anchor="t">
          <a:noAutofit/>
        </a:bodyPr>
        <a:lstStyle/>
        <a:p>
          <a:r>
            <a:rPr lang="en-US" sz="1400" b="1" i="1">
              <a:solidFill>
                <a:srgbClr val="FF0000"/>
              </a:solidFill>
              <a:effectLst/>
              <a:latin typeface="+mn-lt"/>
              <a:ea typeface="+mn-ea"/>
              <a:cs typeface="+mn-cs"/>
            </a:rPr>
            <a:t>Note:</a:t>
          </a:r>
        </a:p>
        <a:p>
          <a:endParaRPr lang="en-US" sz="1400" b="1" i="1">
            <a:solidFill>
              <a:srgbClr val="FF0000"/>
            </a:solidFill>
            <a:effectLst/>
            <a:latin typeface="+mn-lt"/>
            <a:ea typeface="+mn-ea"/>
            <a:cs typeface="+mn-cs"/>
          </a:endParaRPr>
        </a:p>
        <a:p>
          <a:r>
            <a:rPr lang="en-US" sz="1400" b="1" i="1">
              <a:solidFill>
                <a:srgbClr val="FF0000"/>
              </a:solidFill>
              <a:effectLst/>
              <a:latin typeface="+mn-lt"/>
              <a:ea typeface="+mn-ea"/>
              <a:cs typeface="+mn-cs"/>
            </a:rPr>
            <a:t>This tab is for spend-based emissions</a:t>
          </a:r>
          <a:r>
            <a:rPr lang="en-US" sz="1400" b="1" i="1" baseline="0">
              <a:solidFill>
                <a:srgbClr val="FF0000"/>
              </a:solidFill>
              <a:effectLst/>
              <a:latin typeface="+mn-lt"/>
              <a:ea typeface="+mn-ea"/>
              <a:cs typeface="+mn-cs"/>
            </a:rPr>
            <a:t> estimates. See the "Cat 6 Business Trav. (distance)" tab where emissions can be quantified based on distance traveled by mode of transport.</a:t>
          </a:r>
          <a:endParaRPr lang="en-US" sz="1400" b="1" i="1">
            <a:solidFill>
              <a:srgbClr val="FF0000"/>
            </a:solidFill>
            <a:effectLst/>
          </a:endParaRPr>
        </a:p>
        <a:p>
          <a:endParaRPr lang="en-US" sz="1400" b="1" i="1" baseline="0">
            <a:solidFill>
              <a:srgbClr val="FF0000"/>
            </a:solidFill>
            <a:effectLst/>
            <a:latin typeface="+mn-lt"/>
            <a:ea typeface="+mn-ea"/>
            <a:cs typeface="+mn-cs"/>
          </a:endParaRPr>
        </a:p>
        <a:p>
          <a:r>
            <a:rPr lang="en-US" sz="1400" b="1" i="1" baseline="0">
              <a:solidFill>
                <a:srgbClr val="FF0000"/>
              </a:solidFill>
              <a:effectLst/>
              <a:latin typeface="+mn-lt"/>
              <a:ea typeface="+mn-ea"/>
              <a:cs typeface="+mn-cs"/>
            </a:rPr>
            <a:t>If supplier-specific calculations have been made, or outside sources were used to determine category 6 emissions, please reference the darker blue "Custom Emissions Inputs - other" tab, which allows for user input of emissions factors and totals.</a:t>
          </a:r>
          <a:endParaRPr lang="en-US" sz="1400" b="1" i="1">
            <a:solidFill>
              <a:srgbClr val="FF0000"/>
            </a:solidFill>
            <a:effectLst/>
          </a:endParaRPr>
        </a:p>
        <a:p>
          <a:endParaRPr lang="en-US" sz="1100" b="1" baseline="0">
            <a:effectLst/>
            <a:latin typeface="+mn-lt"/>
            <a:ea typeface="+mn-ea"/>
            <a:cs typeface="+mn-cs"/>
          </a:endParaRPr>
        </a:p>
        <a:p>
          <a:endParaRPr lang="en-US" sz="1100" b="1" baseline="0">
            <a:effectLst/>
            <a:latin typeface="+mn-lt"/>
            <a:ea typeface="+mn-ea"/>
            <a:cs typeface="+mn-cs"/>
          </a:endParaRPr>
        </a:p>
        <a:p>
          <a:endParaRPr lang="en-US" sz="1400">
            <a:effectLst/>
          </a:endParaRPr>
        </a:p>
        <a:p>
          <a:pPr marL="228600" indent="-228600" algn="l">
            <a:lnSpc>
              <a:spcPct val="112000"/>
            </a:lnSpc>
            <a:spcBef>
              <a:spcPts val="1000"/>
            </a:spcBef>
            <a:buClr>
              <a:schemeClr val="tx2"/>
            </a:buClr>
            <a:buFont typeface="Arial" panose="020B0604020202020204" pitchFamily="34" charset="0"/>
            <a:buChar char="•"/>
          </a:pPr>
          <a:endParaRPr lang="en-US" sz="1100" dirty="0"/>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37178</xdr:colOff>
      <xdr:row>18</xdr:row>
      <xdr:rowOff>66960</xdr:rowOff>
    </xdr:from>
    <xdr:to>
      <xdr:col>8</xdr:col>
      <xdr:colOff>23812</xdr:colOff>
      <xdr:row>31</xdr:row>
      <xdr:rowOff>83345</xdr:rowOff>
    </xdr:to>
    <xdr:sp macro="" textlink="">
      <xdr:nvSpPr>
        <xdr:cNvPr id="2" name="TextBox 1">
          <a:extLst>
            <a:ext uri="{FF2B5EF4-FFF2-40B4-BE49-F238E27FC236}">
              <a16:creationId xmlns:a16="http://schemas.microsoft.com/office/drawing/2014/main" id="{BF2BB7CA-37C4-4DD6-8E13-7460A9D9F68B}"/>
            </a:ext>
          </a:extLst>
        </xdr:cNvPr>
        <xdr:cNvSpPr txBox="1"/>
      </xdr:nvSpPr>
      <xdr:spPr>
        <a:xfrm>
          <a:off x="37178" y="3457860"/>
          <a:ext cx="16017209" cy="236906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solidFill>
                <a:sysClr val="windowText" lastClr="000000"/>
              </a:solidFill>
            </a:rPr>
            <a:t>Business Travel: </a:t>
          </a:r>
          <a:r>
            <a:rPr lang="en-US" sz="1100" b="0" i="0" u="none" strike="noStrike" baseline="0">
              <a:solidFill>
                <a:schemeClr val="dk1"/>
              </a:solidFill>
              <a:latin typeface="+mn-lt"/>
              <a:ea typeface="+mn-ea"/>
              <a:cs typeface="+mn-cs"/>
            </a:rPr>
            <a:t>Transportation of employees for business-related activities during the reporting year (in vehicles not owned or operated by the reporting company). </a:t>
          </a:r>
          <a:r>
            <a:rPr lang="en-US" sz="1100" b="0" i="1" baseline="0">
              <a:solidFill>
                <a:schemeClr val="dk1"/>
              </a:solidFill>
              <a:effectLst/>
              <a:latin typeface="+mn-lt"/>
              <a:ea typeface="+mn-ea"/>
              <a:cs typeface="+mn-cs"/>
            </a:rPr>
            <a:t>Examples include</a:t>
          </a:r>
          <a:r>
            <a:rPr lang="en-US" sz="1100" b="0" i="0" baseline="0">
              <a:solidFill>
                <a:schemeClr val="dk1"/>
              </a:solidFill>
              <a:effectLst/>
              <a:latin typeface="+mn-lt"/>
              <a:ea typeface="+mn-ea"/>
              <a:cs typeface="+mn-cs"/>
            </a:rPr>
            <a:t>: A</a:t>
          </a:r>
          <a:r>
            <a:rPr lang="en-US" sz="1100" baseline="0">
              <a:solidFill>
                <a:schemeClr val="dk1"/>
              </a:solidFill>
              <a:effectLst/>
              <a:latin typeface="+mn-lt"/>
              <a:ea typeface="+mn-ea"/>
              <a:cs typeface="+mn-cs"/>
            </a:rPr>
            <a:t>ir travel, rental car, rail travel, hotel stay, etc. </a:t>
          </a:r>
          <a:endParaRPr lang="en-US" sz="1100" b="0" i="0" u="none" strike="noStrike" baseline="0">
            <a:solidFill>
              <a:schemeClr val="dk1"/>
            </a:solidFill>
            <a:latin typeface="+mn-lt"/>
            <a:ea typeface="+mn-ea"/>
            <a:cs typeface="+mn-cs"/>
          </a:endParaRPr>
        </a:p>
        <a:p>
          <a:r>
            <a:rPr lang="en-US" sz="1100" baseline="0">
              <a:solidFill>
                <a:schemeClr val="dk1"/>
              </a:solidFill>
              <a:effectLst/>
              <a:latin typeface="+mn-lt"/>
              <a:ea typeface="+mn-ea"/>
              <a:cs typeface="+mn-cs"/>
            </a:rPr>
            <a:t>Tables 1 and 2 include emissions spanning the full life cycle of the fuels consumed in travel, or w</a:t>
          </a:r>
          <a:r>
            <a:rPr lang="en-US" sz="1100" b="0" i="0">
              <a:solidFill>
                <a:schemeClr val="dk1"/>
              </a:solidFill>
              <a:effectLst/>
              <a:latin typeface="+mn-lt"/>
              <a:ea typeface="+mn-ea"/>
              <a:cs typeface="+mn-cs"/>
            </a:rPr>
            <a:t>ell-to-wheel (WtW). This</a:t>
          </a:r>
          <a:r>
            <a:rPr lang="en-US" sz="1100" baseline="0">
              <a:solidFill>
                <a:schemeClr val="dk1"/>
              </a:solidFill>
              <a:effectLst/>
              <a:latin typeface="+mn-lt"/>
              <a:ea typeface="+mn-ea"/>
              <a:cs typeface="+mn-cs"/>
            </a:rPr>
            <a:t> includes w</a:t>
          </a:r>
          <a:r>
            <a:rPr lang="en-US" sz="1100" b="0" i="0">
              <a:solidFill>
                <a:schemeClr val="dk1"/>
              </a:solidFill>
              <a:effectLst/>
              <a:latin typeface="+mn-lt"/>
              <a:ea typeface="+mn-ea"/>
              <a:cs typeface="+mn-cs"/>
            </a:rPr>
            <a:t>ell-to-tank (WtT) emissions resulting from fuel</a:t>
          </a:r>
          <a:r>
            <a:rPr lang="en-US" sz="1100" b="0" i="0" baseline="0">
              <a:solidFill>
                <a:schemeClr val="dk1"/>
              </a:solidFill>
              <a:effectLst/>
              <a:latin typeface="+mn-lt"/>
              <a:ea typeface="+mn-ea"/>
              <a:cs typeface="+mn-cs"/>
            </a:rPr>
            <a:t> extraction, transportation, and refining up to the point of sale, as well as </a:t>
          </a:r>
          <a:r>
            <a:rPr lang="en-US" sz="1100" b="0" i="0">
              <a:solidFill>
                <a:schemeClr val="dk1"/>
              </a:solidFill>
              <a:effectLst/>
              <a:latin typeface="+mn-lt"/>
              <a:ea typeface="+mn-ea"/>
              <a:cs typeface="+mn-cs"/>
            </a:rPr>
            <a:t>tank-to-wheel (TtW) emissions resulting from</a:t>
          </a:r>
          <a:r>
            <a:rPr lang="en-US" sz="1100" b="0" i="0" baseline="0">
              <a:solidFill>
                <a:schemeClr val="dk1"/>
              </a:solidFill>
              <a:effectLst/>
              <a:latin typeface="+mn-lt"/>
              <a:ea typeface="+mn-ea"/>
              <a:cs typeface="+mn-cs"/>
            </a:rPr>
            <a:t> direct combustion of the fuels to facilitate the given transportation activities.</a:t>
          </a:r>
          <a:endParaRPr lang="en-US" sz="1100" b="0" i="0">
            <a:solidFill>
              <a:schemeClr val="dk1"/>
            </a:solidFill>
            <a:effectLst/>
            <a:latin typeface="+mn-lt"/>
            <a:ea typeface="+mn-ea"/>
            <a:cs typeface="+mn-cs"/>
          </a:endParaRPr>
        </a:p>
        <a:p>
          <a:endParaRPr lang="en-US" sz="1100" b="0" i="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i="1" baseline="0">
            <a:solidFill>
              <a:srgbClr val="FF0000"/>
            </a:solidFill>
            <a:effectLst/>
            <a:latin typeface="+mn-lt"/>
            <a:ea typeface="+mn-ea"/>
            <a:cs typeface="+mn-cs"/>
          </a:endParaRPr>
        </a:p>
      </xdr:txBody>
    </xdr:sp>
    <xdr:clientData/>
  </xdr:twoCellAnchor>
  <xdr:oneCellAnchor>
    <xdr:from>
      <xdr:col>0</xdr:col>
      <xdr:colOff>119063</xdr:colOff>
      <xdr:row>23</xdr:row>
      <xdr:rowOff>119063</xdr:rowOff>
    </xdr:from>
    <xdr:ext cx="15894844" cy="1333500"/>
    <xdr:sp macro="" textlink="">
      <xdr:nvSpPr>
        <xdr:cNvPr id="3" name="TextBox 2">
          <a:extLst>
            <a:ext uri="{FF2B5EF4-FFF2-40B4-BE49-F238E27FC236}">
              <a16:creationId xmlns:a16="http://schemas.microsoft.com/office/drawing/2014/main" id="{D853A101-320F-4AAD-AEF9-856FEC613E3E}"/>
            </a:ext>
          </a:extLst>
        </xdr:cNvPr>
        <xdr:cNvSpPr txBox="1"/>
      </xdr:nvSpPr>
      <xdr:spPr>
        <a:xfrm>
          <a:off x="119063" y="4414838"/>
          <a:ext cx="15894844" cy="1333500"/>
        </a:xfrm>
        <a:prstGeom prst="rect">
          <a:avLst/>
        </a:prstGeom>
        <a:noFill/>
      </xdr:spPr>
      <xdr:txBody>
        <a:bodyPr vertOverflow="clip" horzOverflow="clip" wrap="square" lIns="0" tIns="0" rIns="0" bIns="0" rtlCol="0" anchor="t">
          <a:noAutofit/>
        </a:bodyPr>
        <a:lstStyle/>
        <a:p>
          <a:r>
            <a:rPr lang="en-US" sz="1400" b="1" i="1">
              <a:solidFill>
                <a:srgbClr val="FF0000"/>
              </a:solidFill>
              <a:effectLst/>
              <a:latin typeface="+mn-lt"/>
              <a:ea typeface="+mn-ea"/>
              <a:cs typeface="+mn-cs"/>
            </a:rPr>
            <a:t>Note:</a:t>
          </a:r>
        </a:p>
        <a:p>
          <a:endParaRPr lang="en-US" sz="800" b="1" i="1">
            <a:solidFill>
              <a:srgbClr val="FF0000"/>
            </a:solidFill>
            <a:effectLst/>
            <a:latin typeface="+mn-lt"/>
            <a:ea typeface="+mn-ea"/>
            <a:cs typeface="+mn-cs"/>
          </a:endParaRPr>
        </a:p>
        <a:p>
          <a:r>
            <a:rPr lang="en-US" sz="1400" b="1" i="1">
              <a:solidFill>
                <a:srgbClr val="FF0000"/>
              </a:solidFill>
              <a:effectLst/>
              <a:latin typeface="+mn-lt"/>
              <a:ea typeface="+mn-ea"/>
              <a:cs typeface="+mn-cs"/>
            </a:rPr>
            <a:t>This tab is for distance-based emissions</a:t>
          </a:r>
          <a:r>
            <a:rPr lang="en-US" sz="1400" b="1" i="1" baseline="0">
              <a:solidFill>
                <a:srgbClr val="FF0000"/>
              </a:solidFill>
              <a:effectLst/>
              <a:latin typeface="+mn-lt"/>
              <a:ea typeface="+mn-ea"/>
              <a:cs typeface="+mn-cs"/>
            </a:rPr>
            <a:t> estimates, as well as emissions from hotel night stays. See the "Cat 6 Business Trav. (spend)" tab where emissions can be quantified based on spend by type of transport.</a:t>
          </a:r>
          <a:endParaRPr lang="en-US" sz="1400" b="1" i="1">
            <a:solidFill>
              <a:srgbClr val="FF0000"/>
            </a:solidFill>
            <a:effectLst/>
          </a:endParaRPr>
        </a:p>
        <a:p>
          <a:endParaRPr lang="en-US" sz="800" b="1" i="1" baseline="0">
            <a:solidFill>
              <a:srgbClr val="FF0000"/>
            </a:solidFill>
            <a:effectLst/>
            <a:latin typeface="+mn-lt"/>
            <a:ea typeface="+mn-ea"/>
            <a:cs typeface="+mn-cs"/>
          </a:endParaRPr>
        </a:p>
        <a:p>
          <a:r>
            <a:rPr lang="en-US" sz="1400" b="1" i="1" baseline="0">
              <a:solidFill>
                <a:srgbClr val="FF0000"/>
              </a:solidFill>
              <a:effectLst/>
              <a:latin typeface="+mn-lt"/>
              <a:ea typeface="+mn-ea"/>
              <a:cs typeface="+mn-cs"/>
            </a:rPr>
            <a:t>If supplier-specific calculations have been made, or outside sources were used to determine category 6 emissions, please reference the darker blue "Custom Emissions Inputs - other" tab, which allows for user input of emissions factors and totals.</a:t>
          </a:r>
          <a:endParaRPr lang="en-US" sz="1400" b="1" i="1">
            <a:solidFill>
              <a:srgbClr val="FF0000"/>
            </a:solidFill>
            <a:effectLst/>
          </a:endParaRPr>
        </a:p>
        <a:p>
          <a:endParaRPr lang="en-US" sz="1100" b="1" baseline="0">
            <a:effectLst/>
            <a:latin typeface="+mn-lt"/>
            <a:ea typeface="+mn-ea"/>
            <a:cs typeface="+mn-cs"/>
          </a:endParaRPr>
        </a:p>
        <a:p>
          <a:endParaRPr lang="en-US" sz="1100" b="1" baseline="0">
            <a:effectLst/>
            <a:latin typeface="+mn-lt"/>
            <a:ea typeface="+mn-ea"/>
            <a:cs typeface="+mn-cs"/>
          </a:endParaRPr>
        </a:p>
        <a:p>
          <a:endParaRPr lang="en-US" sz="1400">
            <a:effectLst/>
          </a:endParaRPr>
        </a:p>
        <a:p>
          <a:pPr marL="228600" indent="-228600" algn="l">
            <a:lnSpc>
              <a:spcPct val="112000"/>
            </a:lnSpc>
            <a:spcBef>
              <a:spcPts val="1000"/>
            </a:spcBef>
            <a:buClr>
              <a:schemeClr val="tx2"/>
            </a:buClr>
            <a:buFont typeface="Arial" panose="020B0604020202020204" pitchFamily="34" charset="0"/>
            <a:buChar char="•"/>
          </a:pPr>
          <a:endParaRPr lang="en-US" sz="1100" dirty="0"/>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0</xdr:col>
      <xdr:colOff>67181</xdr:colOff>
      <xdr:row>6</xdr:row>
      <xdr:rowOff>67180</xdr:rowOff>
    </xdr:from>
    <xdr:to>
      <xdr:col>6</xdr:col>
      <xdr:colOff>10583</xdr:colOff>
      <xdr:row>17</xdr:row>
      <xdr:rowOff>148165</xdr:rowOff>
    </xdr:to>
    <xdr:sp macro="" textlink="">
      <xdr:nvSpPr>
        <xdr:cNvPr id="2" name="TextBox 1">
          <a:extLst>
            <a:ext uri="{FF2B5EF4-FFF2-40B4-BE49-F238E27FC236}">
              <a16:creationId xmlns:a16="http://schemas.microsoft.com/office/drawing/2014/main" id="{5A68D80E-95C2-45F4-9282-EB50308E9563}"/>
            </a:ext>
          </a:extLst>
        </xdr:cNvPr>
        <xdr:cNvSpPr txBox="1"/>
      </xdr:nvSpPr>
      <xdr:spPr>
        <a:xfrm>
          <a:off x="67181" y="1581655"/>
          <a:ext cx="11173377" cy="228126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Employee Commuting: </a:t>
          </a:r>
          <a:r>
            <a:rPr lang="en-US" sz="1100" b="0" i="0" baseline="0">
              <a:solidFill>
                <a:schemeClr val="dk1"/>
              </a:solidFill>
              <a:effectLst/>
              <a:latin typeface="+mn-lt"/>
              <a:ea typeface="+mn-ea"/>
              <a:cs typeface="+mn-cs"/>
            </a:rPr>
            <a:t>Transportation of employees between their homes and their worksites during the reporting year (in vehicles not owned or operated by the reporting company), or working from home. The average-data method is employed here, with emissions based on state-by-state median commute distance and average commute mode percentage across "drove alone", "carpool", "worked at home", "public transportation", "taxi, motorcycle, other", "walked", and "bicycle" from Bureau of Transportation Statistics; user-defined number of weeks per year and  days per week.</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Tables 1 and 2 include emissions spanning the full life cycle of the fuels consumed in travel, or w</a:t>
          </a:r>
          <a:r>
            <a:rPr lang="en-US" sz="1100" b="0" i="0">
              <a:solidFill>
                <a:schemeClr val="dk1"/>
              </a:solidFill>
              <a:effectLst/>
              <a:latin typeface="+mn-lt"/>
              <a:ea typeface="+mn-ea"/>
              <a:cs typeface="+mn-cs"/>
            </a:rPr>
            <a:t>ell-to-wheel (WtW). This</a:t>
          </a:r>
          <a:r>
            <a:rPr lang="en-US" sz="1100" baseline="0">
              <a:solidFill>
                <a:schemeClr val="dk1"/>
              </a:solidFill>
              <a:effectLst/>
              <a:latin typeface="+mn-lt"/>
              <a:ea typeface="+mn-ea"/>
              <a:cs typeface="+mn-cs"/>
            </a:rPr>
            <a:t> includes w</a:t>
          </a:r>
          <a:r>
            <a:rPr lang="en-US" sz="1100" b="0" i="0">
              <a:solidFill>
                <a:schemeClr val="dk1"/>
              </a:solidFill>
              <a:effectLst/>
              <a:latin typeface="+mn-lt"/>
              <a:ea typeface="+mn-ea"/>
              <a:cs typeface="+mn-cs"/>
            </a:rPr>
            <a:t>ell-to-tank (WtT) emissions resulting from fuel</a:t>
          </a:r>
          <a:r>
            <a:rPr lang="en-US" sz="1100" b="0" i="0" baseline="0">
              <a:solidFill>
                <a:schemeClr val="dk1"/>
              </a:solidFill>
              <a:effectLst/>
              <a:latin typeface="+mn-lt"/>
              <a:ea typeface="+mn-ea"/>
              <a:cs typeface="+mn-cs"/>
            </a:rPr>
            <a:t> extraction, transportation, and refining up to the point of sale, as well as </a:t>
          </a:r>
          <a:r>
            <a:rPr lang="en-US" sz="1100" b="0" i="0">
              <a:solidFill>
                <a:schemeClr val="dk1"/>
              </a:solidFill>
              <a:effectLst/>
              <a:latin typeface="+mn-lt"/>
              <a:ea typeface="+mn-ea"/>
              <a:cs typeface="+mn-cs"/>
            </a:rPr>
            <a:t>tank-to-wheel (TtW) emissions resulting from</a:t>
          </a:r>
          <a:r>
            <a:rPr lang="en-US" sz="1100" b="0" i="0" baseline="0">
              <a:solidFill>
                <a:schemeClr val="dk1"/>
              </a:solidFill>
              <a:effectLst/>
              <a:latin typeface="+mn-lt"/>
              <a:ea typeface="+mn-ea"/>
              <a:cs typeface="+mn-cs"/>
            </a:rPr>
            <a:t> direct combustion of the fuels to facilitate the given transportation activities.</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baseline="0">
              <a:solidFill>
                <a:srgbClr val="FF0000"/>
              </a:solidFill>
              <a:effectLst/>
              <a:latin typeface="+mn-lt"/>
              <a:ea typeface="+mn-ea"/>
              <a:cs typeface="+mn-cs"/>
            </a:rPr>
            <a:t>Note, if emissions calculations have been conducted outside of this tool, based on the "distance-based" or "fuel-based" methods, users can input totals here in cells F39 and F64 (but ensure that cells F38 and F63 remain blank). </a:t>
          </a:r>
          <a:endParaRPr lang="en-US">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67327</xdr:colOff>
      <xdr:row>8</xdr:row>
      <xdr:rowOff>107029</xdr:rowOff>
    </xdr:from>
    <xdr:to>
      <xdr:col>6</xdr:col>
      <xdr:colOff>31749</xdr:colOff>
      <xdr:row>21</xdr:row>
      <xdr:rowOff>33618</xdr:rowOff>
    </xdr:to>
    <xdr:sp macro="" textlink="">
      <xdr:nvSpPr>
        <xdr:cNvPr id="2" name="TextBox 1">
          <a:extLst>
            <a:ext uri="{FF2B5EF4-FFF2-40B4-BE49-F238E27FC236}">
              <a16:creationId xmlns:a16="http://schemas.microsoft.com/office/drawing/2014/main" id="{740193FA-2691-4FD3-ABA7-0EC4783601DF}"/>
            </a:ext>
          </a:extLst>
        </xdr:cNvPr>
        <xdr:cNvSpPr txBox="1"/>
      </xdr:nvSpPr>
      <xdr:spPr>
        <a:xfrm>
          <a:off x="67327" y="1669129"/>
          <a:ext cx="11803997" cy="2793614"/>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t>Upstream Leased Assets:</a:t>
          </a:r>
          <a:r>
            <a:rPr lang="en-US" sz="1100" baseline="0"/>
            <a:t> </a:t>
          </a:r>
          <a:r>
            <a:rPr lang="en-US" sz="1100" b="0" i="0" u="none" strike="noStrike" baseline="0">
              <a:solidFill>
                <a:schemeClr val="dk1"/>
              </a:solidFill>
              <a:latin typeface="+mn-lt"/>
              <a:ea typeface="+mn-ea"/>
              <a:cs typeface="+mn-cs"/>
            </a:rPr>
            <a:t>Operation of </a:t>
          </a:r>
          <a:r>
            <a:rPr lang="en-US" sz="1100" b="1" i="1" u="none" strike="noStrike" baseline="0">
              <a:solidFill>
                <a:schemeClr val="dk1"/>
              </a:solidFill>
              <a:latin typeface="+mn-lt"/>
              <a:ea typeface="+mn-ea"/>
              <a:cs typeface="+mn-cs"/>
            </a:rPr>
            <a:t>assets leased by the reporting company (lessee) </a:t>
          </a:r>
          <a:r>
            <a:rPr lang="en-US" sz="1100" b="0" i="0" u="none" strike="noStrike" baseline="0">
              <a:solidFill>
                <a:schemeClr val="dk1"/>
              </a:solidFill>
              <a:latin typeface="+mn-lt"/>
              <a:ea typeface="+mn-ea"/>
              <a:cs typeface="+mn-cs"/>
            </a:rPr>
            <a:t>in the reporting year and not included in scope 1 and scope 2 – reported by lessee</a:t>
          </a:r>
        </a:p>
        <a:p>
          <a:r>
            <a:rPr lang="en-US" sz="1100" b="1" baseline="0">
              <a:solidFill>
                <a:schemeClr val="dk1"/>
              </a:solidFill>
              <a:effectLst/>
              <a:latin typeface="+mn-lt"/>
              <a:ea typeface="+mn-ea"/>
              <a:cs typeface="+mn-cs"/>
            </a:rPr>
            <a:t>Downstream Leased Assets:</a:t>
          </a:r>
          <a:r>
            <a:rPr lang="en-US" sz="1100" baseline="0">
              <a:solidFill>
                <a:schemeClr val="dk1"/>
              </a:solidFill>
              <a:effectLst/>
              <a:latin typeface="+mn-lt"/>
              <a:ea typeface="+mn-ea"/>
              <a:cs typeface="+mn-cs"/>
            </a:rPr>
            <a:t> </a:t>
          </a:r>
          <a:r>
            <a:rPr lang="en-US" sz="1100" b="0" i="0" u="none" strike="noStrike" baseline="0">
              <a:solidFill>
                <a:schemeClr val="dk1"/>
              </a:solidFill>
              <a:latin typeface="+mn-lt"/>
              <a:ea typeface="+mn-ea"/>
              <a:cs typeface="+mn-cs"/>
            </a:rPr>
            <a:t>Operation of </a:t>
          </a:r>
          <a:r>
            <a:rPr lang="en-US" sz="1100" b="1" i="1" u="none" strike="noStrike" baseline="0">
              <a:solidFill>
                <a:schemeClr val="dk1"/>
              </a:solidFill>
              <a:latin typeface="+mn-lt"/>
              <a:ea typeface="+mn-ea"/>
              <a:cs typeface="+mn-cs"/>
            </a:rPr>
            <a:t>assets owned by the reporting company (lessor) </a:t>
          </a:r>
          <a:r>
            <a:rPr lang="en-US" sz="1100" b="0" i="0" u="none" strike="noStrike" baseline="0">
              <a:solidFill>
                <a:schemeClr val="dk1"/>
              </a:solidFill>
              <a:latin typeface="+mn-lt"/>
              <a:ea typeface="+mn-ea"/>
              <a:cs typeface="+mn-cs"/>
            </a:rPr>
            <a:t>and leased to other entities in the reporting year, not included in scope 1 and scope 2 – reported by lessor</a:t>
          </a:r>
        </a:p>
        <a:p>
          <a:endParaRPr lang="en-US" sz="1050" b="0" i="0" u="none" strike="noStrike" baseline="0">
            <a:solidFill>
              <a:schemeClr val="dk1"/>
            </a:solidFill>
            <a:latin typeface="+mn-lt"/>
            <a:ea typeface="+mn-ea"/>
            <a:cs typeface="+mn-cs"/>
          </a:endParaRPr>
        </a:p>
        <a:p>
          <a:r>
            <a:rPr lang="en-US" sz="1100" b="0" i="0" u="none" strike="noStrike" baseline="0">
              <a:solidFill>
                <a:schemeClr val="dk1"/>
              </a:solidFill>
              <a:effectLst/>
              <a:latin typeface="+mn-lt"/>
              <a:ea typeface="+mn-ea"/>
              <a:cs typeface="+mn-cs"/>
            </a:rPr>
            <a:t>The organization's "organizational boundary" should be carefully reviewed to understand if any upstream/downstream leased assets are already accounted for in a scope 1 &amp; 2 inventory. Emissions in the belows directly below are estimated for upstream and downstream leased assets using the "average-data method" and based on national (U.S.) energy consumption per square feet, for building types specific to the healthcare industry [source: </a:t>
          </a:r>
          <a:r>
            <a:rPr lang="en-US"/>
            <a:t>Commercial Buildings Energy Consumption Surveys (CBECS)] and national average electricity emission factors (US</a:t>
          </a:r>
          <a:r>
            <a:rPr lang="en-US" baseline="0"/>
            <a:t> EPA Center for Corporate Climate Leadership).</a:t>
          </a:r>
        </a:p>
        <a:p>
          <a:endParaRPr lang="en-US" sz="1100" b="0" i="0" u="none" strike="noStrik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tables in this tab include emissions spanning the full life cycle of the fuels combusted to generate electricity and natural gas to generate heat, as well as transmission and distribution (T&amp;D) losses from electricity usage. Life cycle emissions include what are known as w</a:t>
          </a:r>
          <a:r>
            <a:rPr lang="en-US" sz="1100" b="0" i="0">
              <a:solidFill>
                <a:schemeClr val="dk1"/>
              </a:solidFill>
              <a:effectLst/>
              <a:latin typeface="+mn-lt"/>
              <a:ea typeface="+mn-ea"/>
              <a:cs typeface="+mn-cs"/>
            </a:rPr>
            <a:t>ell-to-tank (WtT) emissions resulting from fuel</a:t>
          </a:r>
          <a:r>
            <a:rPr lang="en-US" sz="1100" b="0" i="0" baseline="0">
              <a:solidFill>
                <a:schemeClr val="dk1"/>
              </a:solidFill>
              <a:effectLst/>
              <a:latin typeface="+mn-lt"/>
              <a:ea typeface="+mn-ea"/>
              <a:cs typeface="+mn-cs"/>
            </a:rPr>
            <a:t> extraction, transportation, and refining up to the point of sale (in this case, to the electic power plant for electricity generation or to the building for on-site natural gas combustion).</a:t>
          </a:r>
          <a:endParaRPr lang="en-US">
            <a:effectLst/>
          </a:endParaRPr>
        </a:p>
        <a:p>
          <a:endParaRPr lang="en-US" b="1" i="1">
            <a:solidFill>
              <a:srgbClr val="FF0000"/>
            </a:solidFill>
            <a:effectLst/>
          </a:endParaRPr>
        </a:p>
        <a:p>
          <a:r>
            <a:rPr lang="en-US" b="1" i="1">
              <a:solidFill>
                <a:srgbClr val="FF0000"/>
              </a:solidFill>
              <a:effectLst/>
            </a:rPr>
            <a:t>Note: If only square footage of facilities is known, use tables below. If annual electricity and natural gas </a:t>
          </a:r>
          <a:r>
            <a:rPr lang="en-US" b="1" i="1" baseline="0">
              <a:solidFill>
                <a:srgbClr val="FF0000"/>
              </a:solidFill>
              <a:effectLst/>
            </a:rPr>
            <a:t>utility usage data is available, use tables begining in column I. </a:t>
          </a:r>
          <a:br>
            <a:rPr lang="en-US" b="1" i="1" baseline="0">
              <a:solidFill>
                <a:srgbClr val="FF0000"/>
              </a:solidFill>
              <a:effectLst/>
            </a:rPr>
          </a:br>
          <a:r>
            <a:rPr lang="en-US" b="1" i="1" baseline="0">
              <a:solidFill>
                <a:srgbClr val="FF0000"/>
              </a:solidFill>
              <a:effectLst/>
            </a:rPr>
            <a:t>If only some leased assets have known utility usage, data can be input on both sides, to calculate based on both known and unknown energy usage.</a:t>
          </a:r>
          <a:endParaRPr lang="en-US" b="1" i="1">
            <a:solidFill>
              <a:srgbClr val="FF0000"/>
            </a:solidFill>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67180</xdr:colOff>
      <xdr:row>7</xdr:row>
      <xdr:rowOff>67179</xdr:rowOff>
    </xdr:from>
    <xdr:to>
      <xdr:col>5</xdr:col>
      <xdr:colOff>0</xdr:colOff>
      <xdr:row>18</xdr:row>
      <xdr:rowOff>145677</xdr:rowOff>
    </xdr:to>
    <xdr:sp macro="" textlink="">
      <xdr:nvSpPr>
        <xdr:cNvPr id="2" name="TextBox 1">
          <a:extLst>
            <a:ext uri="{FF2B5EF4-FFF2-40B4-BE49-F238E27FC236}">
              <a16:creationId xmlns:a16="http://schemas.microsoft.com/office/drawing/2014/main" id="{91D8F999-EC5A-4BD1-9DE3-B24A4AC812C3}"/>
            </a:ext>
          </a:extLst>
        </xdr:cNvPr>
        <xdr:cNvSpPr txBox="1"/>
      </xdr:nvSpPr>
      <xdr:spPr>
        <a:xfrm>
          <a:off x="67180" y="1591179"/>
          <a:ext cx="8857745" cy="2583573"/>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Downstream Transportation &amp; Distribution:</a:t>
          </a:r>
          <a:r>
            <a:rPr lang="en-US" sz="110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Downstream transportation and distribution of sold goods and services in vehicles and facilities not owned or controlled by the reporting company. For the healthcare industry, this category primarily pertains to inpatient and outpatient visits. For in-person inpatient and outpatient visits (Tables 1 and 2), the average-data method is employed here, with emissions based on state-by-state median round-trip commute distance and average of distance-based emission factors for </a:t>
          </a:r>
          <a:r>
            <a:rPr lang="en-US" sz="1100" b="0" i="1" baseline="0">
              <a:solidFill>
                <a:schemeClr val="dk1"/>
              </a:solidFill>
              <a:effectLst/>
              <a:latin typeface="+mn-lt"/>
              <a:ea typeface="+mn-ea"/>
              <a:cs typeface="+mn-cs"/>
            </a:rPr>
            <a:t>average car </a:t>
          </a:r>
          <a:r>
            <a:rPr lang="en-US" sz="1100" b="0" i="0" baseline="0">
              <a:solidFill>
                <a:schemeClr val="dk1"/>
              </a:solidFill>
              <a:effectLst/>
              <a:latin typeface="+mn-lt"/>
              <a:ea typeface="+mn-ea"/>
              <a:cs typeface="+mn-cs"/>
            </a:rPr>
            <a:t>and </a:t>
          </a:r>
          <a:r>
            <a:rPr lang="en-US" sz="1100" b="0" i="1" baseline="0">
              <a:solidFill>
                <a:schemeClr val="dk1"/>
              </a:solidFill>
              <a:effectLst/>
              <a:latin typeface="+mn-lt"/>
              <a:ea typeface="+mn-ea"/>
              <a:cs typeface="+mn-cs"/>
            </a:rPr>
            <a:t>sport utility vehicle (SUV)</a:t>
          </a:r>
          <a:r>
            <a:rPr lang="en-US" sz="1100" b="0" i="0" baseline="0">
              <a:solidFill>
                <a:schemeClr val="dk1"/>
              </a:solidFill>
              <a:effectLst/>
              <a:latin typeface="+mn-lt"/>
              <a:ea typeface="+mn-ea"/>
              <a:cs typeface="+mn-cs"/>
            </a:rPr>
            <a:t>. For telehealth (Table 3), emissions from electricity use are estimated based on an assumed 150 Watts (power for lighting and workstation) and the specified length of the telehealth session, along with state-specific electricity emissions factors.</a:t>
          </a:r>
        </a:p>
        <a:p>
          <a:pPr marL="0" marR="0" lvl="0" indent="0" defTabSz="914400" eaLnBrk="1" fontAlgn="auto" latinLnBrk="0" hangingPunct="1">
            <a:lnSpc>
              <a:spcPct val="100000"/>
            </a:lnSpc>
            <a:spcBef>
              <a:spcPts val="0"/>
            </a:spcBef>
            <a:spcAft>
              <a:spcPts val="0"/>
            </a:spcAft>
            <a:buClrTx/>
            <a:buSzTx/>
            <a:buFontTx/>
            <a:buNone/>
            <a:tabLst/>
            <a:defRPr/>
          </a:pPr>
          <a:endParaRPr lang="en-US" sz="1050" b="0" i="0" baseline="0">
            <a:solidFill>
              <a:schemeClr val="dk1"/>
            </a:solidFill>
            <a:effectLst/>
            <a:latin typeface="+mn-lt"/>
            <a:ea typeface="+mn-ea"/>
            <a:cs typeface="+mn-cs"/>
          </a:endParaRPr>
        </a:p>
        <a:p>
          <a:pPr eaLnBrk="1" fontAlgn="auto" latinLnBrk="0" hangingPunct="1"/>
          <a:r>
            <a:rPr lang="en-US" sz="1100" baseline="0">
              <a:solidFill>
                <a:schemeClr val="dk1"/>
              </a:solidFill>
              <a:effectLst/>
              <a:latin typeface="+mn-lt"/>
              <a:ea typeface="+mn-ea"/>
              <a:cs typeface="+mn-cs"/>
            </a:rPr>
            <a:t>Tables 1 and 2 include emissions spanning the full life cycle of the fuels consumed in travel, or w</a:t>
          </a:r>
          <a:r>
            <a:rPr lang="en-US" sz="1100" b="0" i="0">
              <a:solidFill>
                <a:schemeClr val="dk1"/>
              </a:solidFill>
              <a:effectLst/>
              <a:latin typeface="+mn-lt"/>
              <a:ea typeface="+mn-ea"/>
              <a:cs typeface="+mn-cs"/>
            </a:rPr>
            <a:t>ell-to-wheel (WtW). This</a:t>
          </a:r>
          <a:r>
            <a:rPr lang="en-US" sz="1100" baseline="0">
              <a:solidFill>
                <a:schemeClr val="dk1"/>
              </a:solidFill>
              <a:effectLst/>
              <a:latin typeface="+mn-lt"/>
              <a:ea typeface="+mn-ea"/>
              <a:cs typeface="+mn-cs"/>
            </a:rPr>
            <a:t> includes w</a:t>
          </a:r>
          <a:r>
            <a:rPr lang="en-US" sz="1100" b="0" i="0">
              <a:solidFill>
                <a:schemeClr val="dk1"/>
              </a:solidFill>
              <a:effectLst/>
              <a:latin typeface="+mn-lt"/>
              <a:ea typeface="+mn-ea"/>
              <a:cs typeface="+mn-cs"/>
            </a:rPr>
            <a:t>ell-to-tank (WtT) emissions resulting from fuel</a:t>
          </a:r>
          <a:r>
            <a:rPr lang="en-US" sz="1100" b="0" i="0" baseline="0">
              <a:solidFill>
                <a:schemeClr val="dk1"/>
              </a:solidFill>
              <a:effectLst/>
              <a:latin typeface="+mn-lt"/>
              <a:ea typeface="+mn-ea"/>
              <a:cs typeface="+mn-cs"/>
            </a:rPr>
            <a:t> extraction, transportation, and refining up to the point of sale, as well as </a:t>
          </a:r>
          <a:r>
            <a:rPr lang="en-US" sz="1100" b="0" i="0">
              <a:solidFill>
                <a:schemeClr val="dk1"/>
              </a:solidFill>
              <a:effectLst/>
              <a:latin typeface="+mn-lt"/>
              <a:ea typeface="+mn-ea"/>
              <a:cs typeface="+mn-cs"/>
            </a:rPr>
            <a:t>tank-to-wheel (TtW) emissions resulting from</a:t>
          </a:r>
          <a:r>
            <a:rPr lang="en-US" sz="1100" b="0" i="0" baseline="0">
              <a:solidFill>
                <a:schemeClr val="dk1"/>
              </a:solidFill>
              <a:effectLst/>
              <a:latin typeface="+mn-lt"/>
              <a:ea typeface="+mn-ea"/>
              <a:cs typeface="+mn-cs"/>
            </a:rPr>
            <a:t> direct combustion of the fuels to facilitate the given transportation activities.</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baseline="0">
              <a:solidFill>
                <a:srgbClr val="FF0000"/>
              </a:solidFill>
              <a:effectLst/>
              <a:latin typeface="+mn-lt"/>
              <a:ea typeface="+mn-ea"/>
              <a:cs typeface="+mn-cs"/>
            </a:rPr>
            <a:t>Note, if emissions calculations have been conducted outside of this tool, users can input totals here in cells E40, E67, and F83 but ensure that the preceding cells (i.e., E39, E66, and F82) remain blank. </a:t>
          </a:r>
          <a:endParaRPr lang="en-US">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128322</xdr:colOff>
      <xdr:row>8</xdr:row>
      <xdr:rowOff>51592</xdr:rowOff>
    </xdr:from>
    <xdr:to>
      <xdr:col>5</xdr:col>
      <xdr:colOff>1981730</xdr:colOff>
      <xdr:row>15</xdr:row>
      <xdr:rowOff>74084</xdr:rowOff>
    </xdr:to>
    <xdr:sp macro="" textlink="">
      <xdr:nvSpPr>
        <xdr:cNvPr id="2" name="TextBox 1">
          <a:extLst>
            <a:ext uri="{FF2B5EF4-FFF2-40B4-BE49-F238E27FC236}">
              <a16:creationId xmlns:a16="http://schemas.microsoft.com/office/drawing/2014/main" id="{CCCEFD63-95B0-442C-B282-61C489EF69D2}"/>
            </a:ext>
          </a:extLst>
        </xdr:cNvPr>
        <xdr:cNvSpPr txBox="1"/>
      </xdr:nvSpPr>
      <xdr:spPr>
        <a:xfrm>
          <a:off x="128322" y="1689892"/>
          <a:ext cx="11721308" cy="1289317"/>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t>Use of Sold Products:</a:t>
          </a:r>
          <a:r>
            <a:rPr lang="en-US" sz="1100" baseline="0"/>
            <a:t> </a:t>
          </a:r>
          <a:r>
            <a:rPr lang="en-US" sz="1100" b="0" i="0" u="none" strike="noStrike" baseline="0">
              <a:solidFill>
                <a:schemeClr val="dk1"/>
              </a:solidFill>
              <a:latin typeface="+mn-lt"/>
              <a:ea typeface="+mn-ea"/>
              <a:cs typeface="+mn-cs"/>
            </a:rPr>
            <a:t>This category includes emissions from the use of goods and services sold by the reporting company in the reporting year. Reporting organizations that wish to be as comprehensive as possible in their Scope 3 accounting can optionally quantify emissions from all MDIs prescribed to patients, regardless of whether the MDIs were sold to patients by an in-house pharmacy (operated by the reporting organization) or a retail pharmacy (operated by another entity). A reporting company’s scope 3 emissions from use of sold products include the scope 1 and scope 2 emissions of end users. End users include both consumers and business customers that use final products. </a:t>
          </a:r>
          <a:r>
            <a:rPr lang="en-US" sz="1100" b="0" i="0" baseline="0">
              <a:solidFill>
                <a:schemeClr val="dk1"/>
              </a:solidFill>
              <a:effectLst/>
              <a:latin typeface="+mn-lt"/>
              <a:ea typeface="+mn-ea"/>
              <a:cs typeface="+mn-cs"/>
            </a:rPr>
            <a:t>Based on Engie Impact's evaluation of Healthcare System Scope 3 operations, the largest contributor to emissions in this category is likely from the use of inhalers and other products with refrigerant-based propellants [</a:t>
          </a:r>
          <a:r>
            <a:rPr lang="en-US" sz="1100" b="0" i="0" u="none" strike="noStrike" baseline="0">
              <a:solidFill>
                <a:schemeClr val="dk1"/>
              </a:solidFill>
              <a:latin typeface="+mn-lt"/>
              <a:ea typeface="+mn-ea"/>
              <a:cs typeface="+mn-cs"/>
            </a:rPr>
            <a:t>Hydrofluorocarbons (HFCs)]</a:t>
          </a:r>
          <a:r>
            <a:rPr lang="en-US" sz="1100" b="0" i="0" baseline="0">
              <a:solidFill>
                <a:schemeClr val="dk1"/>
              </a:solidFill>
              <a:effectLst/>
              <a:latin typeface="+mn-lt"/>
              <a:ea typeface="+mn-ea"/>
              <a:cs typeface="+mn-cs"/>
            </a:rPr>
            <a:t>. This calculation tool can track emissions from the t</a:t>
          </a:r>
          <a:r>
            <a:rPr lang="en-US"/>
            <a:t>wo main types of metered dose inhaler (MDI) propellants,</a:t>
          </a:r>
          <a:r>
            <a:rPr lang="en-US" baseline="0"/>
            <a:t> HFC-227ea and HFC-134a.</a:t>
          </a:r>
          <a:endParaRPr lang="en-US">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238125</xdr:colOff>
      <xdr:row>1</xdr:row>
      <xdr:rowOff>200025</xdr:rowOff>
    </xdr:from>
    <xdr:to>
      <xdr:col>9</xdr:col>
      <xdr:colOff>190500</xdr:colOff>
      <xdr:row>4</xdr:row>
      <xdr:rowOff>152400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E9B5B61C-2231-4445-BBA5-41BD024823BE}"/>
            </a:ext>
          </a:extLst>
        </xdr:cNvPr>
        <xdr:cNvSpPr/>
      </xdr:nvSpPr>
      <xdr:spPr>
        <a:xfrm>
          <a:off x="6143625" y="381000"/>
          <a:ext cx="2733675" cy="838200"/>
        </a:xfrm>
        <a:prstGeom prst="roundRect">
          <a:avLst/>
        </a:prstGeom>
        <a:ln>
          <a:solidFill>
            <a:schemeClr val="accent3">
              <a:lumMod val="50000"/>
            </a:schemeClr>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2400" b="1" i="1">
              <a:solidFill>
                <a:sysClr val="windowText" lastClr="000000"/>
              </a:solidFill>
            </a:rPr>
            <a:t>Home</a:t>
          </a:r>
        </a:p>
        <a:p>
          <a:pPr algn="l"/>
          <a:endParaRPr lang="en-US" sz="1100">
            <a:solidFill>
              <a:sysClr val="windowText" lastClr="00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41089</xdr:colOff>
      <xdr:row>9</xdr:row>
      <xdr:rowOff>27698</xdr:rowOff>
    </xdr:from>
    <xdr:to>
      <xdr:col>10</xdr:col>
      <xdr:colOff>19050</xdr:colOff>
      <xdr:row>15</xdr:row>
      <xdr:rowOff>19050</xdr:rowOff>
    </xdr:to>
    <xdr:sp macro="" textlink="">
      <xdr:nvSpPr>
        <xdr:cNvPr id="2" name="TextBox 1">
          <a:extLst>
            <a:ext uri="{FF2B5EF4-FFF2-40B4-BE49-F238E27FC236}">
              <a16:creationId xmlns:a16="http://schemas.microsoft.com/office/drawing/2014/main" id="{8BF5D5B7-6CB8-4782-AC61-6DC4BA0A645C}"/>
            </a:ext>
          </a:extLst>
        </xdr:cNvPr>
        <xdr:cNvSpPr txBox="1"/>
      </xdr:nvSpPr>
      <xdr:spPr>
        <a:xfrm>
          <a:off x="41089" y="1837448"/>
          <a:ext cx="16665761" cy="1134352"/>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B0F0"/>
              </a:solidFill>
            </a:rPr>
            <a:t>Category</a:t>
          </a:r>
          <a:r>
            <a:rPr lang="en-US" sz="1200" b="1" baseline="0">
              <a:solidFill>
                <a:srgbClr val="00B0F0"/>
              </a:solidFill>
            </a:rPr>
            <a:t> Description and Emissions Methodology</a:t>
          </a:r>
        </a:p>
        <a:p>
          <a:r>
            <a:rPr lang="en-US" sz="1100" b="1" baseline="0"/>
            <a:t>Investments:</a:t>
          </a:r>
          <a:r>
            <a:rPr lang="en-US" sz="1100" b="0" baseline="0"/>
            <a:t> This category includes emissions </a:t>
          </a:r>
          <a:r>
            <a:rPr lang="en-US" sz="1100" b="0" i="0" u="none" strike="noStrike" baseline="0">
              <a:solidFill>
                <a:schemeClr val="dk1"/>
              </a:solidFill>
              <a:latin typeface="+mn-lt"/>
              <a:ea typeface="+mn-ea"/>
              <a:cs typeface="+mn-cs"/>
            </a:rPr>
            <a:t>from equity investments, which should be allocated to the investor based on the investor’s proportional share of equity in the investee. In the absence of direct emissions data from each investee, the "average-data method" can be used as presented here. It is recommended that users engage with their investment manager to obtain the necessary data. Investments from defined benefits (e.g., pension plans) should be estimated and reported in Category 15. </a:t>
          </a:r>
        </a:p>
        <a:p>
          <a:endParaRPr lang="en-US" sz="1100" b="0" i="0" u="none" strike="noStrike" baseline="0">
            <a:solidFill>
              <a:schemeClr val="dk1"/>
            </a:solidFill>
            <a:effectLst/>
            <a:latin typeface="+mn-lt"/>
            <a:ea typeface="+mn-ea"/>
            <a:cs typeface="+mn-cs"/>
          </a:endParaRPr>
        </a:p>
        <a:p>
          <a:r>
            <a:rPr lang="en-US" sz="1100" b="1" i="1" baseline="0">
              <a:solidFill>
                <a:srgbClr val="FF0000"/>
              </a:solidFill>
              <a:effectLst/>
              <a:latin typeface="+mn-lt"/>
              <a:ea typeface="+mn-ea"/>
              <a:cs typeface="+mn-cs"/>
            </a:rPr>
            <a:t>If supplier-specific calculations have been made (e.g., "investment-specific method"), or outside sources were used to determine category 15 emissions, please reference the darker blue "Custom Emissions Inputs - other" tab, which allows for user input of emissions factors and totals. The "investment-specific method" is based on </a:t>
          </a:r>
          <a:r>
            <a:rPr lang="el-GR" sz="1100" b="1" i="1" baseline="0">
              <a:solidFill>
                <a:srgbClr val="FF0000"/>
              </a:solidFill>
              <a:effectLst/>
              <a:latin typeface="+mn-lt"/>
              <a:ea typeface="+mn-ea"/>
              <a:cs typeface="+mn-cs"/>
            </a:rPr>
            <a:t>Σ (</a:t>
          </a:r>
          <a:r>
            <a:rPr lang="en-US" sz="1100" b="1" i="1" baseline="0">
              <a:solidFill>
                <a:srgbClr val="FF0000"/>
              </a:solidFill>
              <a:effectLst/>
              <a:latin typeface="+mn-lt"/>
              <a:ea typeface="+mn-ea"/>
              <a:cs typeface="+mn-cs"/>
            </a:rPr>
            <a:t>emissions of equity investment [Scope 1, 2 and 3] × share of equity (%)). </a:t>
          </a:r>
          <a:endParaRPr lang="en-US" b="1" i="1">
            <a:solidFill>
              <a:srgbClr val="FF0000"/>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1377950</xdr:colOff>
      <xdr:row>0</xdr:row>
      <xdr:rowOff>82109</xdr:rowOff>
    </xdr:from>
    <xdr:to>
      <xdr:col>1</xdr:col>
      <xdr:colOff>1316567</xdr:colOff>
      <xdr:row>0</xdr:row>
      <xdr:rowOff>1123162</xdr:rowOff>
    </xdr:to>
    <xdr:pic>
      <xdr:nvPicPr>
        <xdr:cNvPr id="2" name="Imagen 1">
          <a:extLst>
            <a:ext uri="{FF2B5EF4-FFF2-40B4-BE49-F238E27FC236}">
              <a16:creationId xmlns:a16="http://schemas.microsoft.com/office/drawing/2014/main" id="{42BCBC89-374B-4091-BC72-77AE2DC9C1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7950" y="82109"/>
          <a:ext cx="1576917" cy="1041053"/>
        </a:xfrm>
        <a:prstGeom prst="rect">
          <a:avLst/>
        </a:prstGeom>
      </xdr:spPr>
    </xdr:pic>
    <xdr:clientData/>
  </xdr:twoCellAnchor>
  <xdr:twoCellAnchor editAs="oneCell">
    <xdr:from>
      <xdr:col>0</xdr:col>
      <xdr:colOff>190500</xdr:colOff>
      <xdr:row>0</xdr:row>
      <xdr:rowOff>52916</xdr:rowOff>
    </xdr:from>
    <xdr:to>
      <xdr:col>0</xdr:col>
      <xdr:colOff>1245658</xdr:colOff>
      <xdr:row>0</xdr:row>
      <xdr:rowOff>1114424</xdr:rowOff>
    </xdr:to>
    <xdr:pic>
      <xdr:nvPicPr>
        <xdr:cNvPr id="3" name="Imagen 2">
          <a:extLst>
            <a:ext uri="{FF2B5EF4-FFF2-40B4-BE49-F238E27FC236}">
              <a16:creationId xmlns:a16="http://schemas.microsoft.com/office/drawing/2014/main" id="{EF60B8D7-03DF-436C-B77F-905EE33894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52916"/>
          <a:ext cx="1055158" cy="1061508"/>
        </a:xfrm>
        <a:prstGeom prst="rect">
          <a:avLst/>
        </a:prstGeom>
      </xdr:spPr>
    </xdr:pic>
    <xdr:clientData/>
  </xdr:twoCellAnchor>
  <xdr:twoCellAnchor editAs="oneCell">
    <xdr:from>
      <xdr:col>1</xdr:col>
      <xdr:colOff>1518047</xdr:colOff>
      <xdr:row>0</xdr:row>
      <xdr:rowOff>228205</xdr:rowOff>
    </xdr:from>
    <xdr:to>
      <xdr:col>1</xdr:col>
      <xdr:colOff>2469053</xdr:colOff>
      <xdr:row>0</xdr:row>
      <xdr:rowOff>1041799</xdr:rowOff>
    </xdr:to>
    <xdr:pic>
      <xdr:nvPicPr>
        <xdr:cNvPr id="4" name="Picture 3">
          <a:extLst>
            <a:ext uri="{FF2B5EF4-FFF2-40B4-BE49-F238E27FC236}">
              <a16:creationId xmlns:a16="http://schemas.microsoft.com/office/drawing/2014/main" id="{251AF6D7-44CD-401D-A784-E64152BAB79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56347" y="228205"/>
          <a:ext cx="951006" cy="8135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1274299</xdr:colOff>
      <xdr:row>0</xdr:row>
      <xdr:rowOff>36891</xdr:rowOff>
    </xdr:from>
    <xdr:to>
      <xdr:col>0</xdr:col>
      <xdr:colOff>2933700</xdr:colOff>
      <xdr:row>0</xdr:row>
      <xdr:rowOff>1030724</xdr:rowOff>
    </xdr:to>
    <xdr:pic>
      <xdr:nvPicPr>
        <xdr:cNvPr id="2" name="Imagen 2">
          <a:extLst>
            <a:ext uri="{FF2B5EF4-FFF2-40B4-BE49-F238E27FC236}">
              <a16:creationId xmlns:a16="http://schemas.microsoft.com/office/drawing/2014/main" id="{E02CFD5B-2682-4FF0-9D8A-36870A7B9B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4299" y="36891"/>
          <a:ext cx="1659401" cy="993833"/>
        </a:xfrm>
        <a:prstGeom prst="rect">
          <a:avLst/>
        </a:prstGeom>
      </xdr:spPr>
    </xdr:pic>
    <xdr:clientData/>
  </xdr:twoCellAnchor>
  <xdr:twoCellAnchor editAs="oneCell">
    <xdr:from>
      <xdr:col>0</xdr:col>
      <xdr:colOff>219365</xdr:colOff>
      <xdr:row>0</xdr:row>
      <xdr:rowOff>33355</xdr:rowOff>
    </xdr:from>
    <xdr:to>
      <xdr:col>0</xdr:col>
      <xdr:colOff>1202056</xdr:colOff>
      <xdr:row>0</xdr:row>
      <xdr:rowOff>1047751</xdr:rowOff>
    </xdr:to>
    <xdr:pic>
      <xdr:nvPicPr>
        <xdr:cNvPr id="3" name="Imagen 3">
          <a:extLst>
            <a:ext uri="{FF2B5EF4-FFF2-40B4-BE49-F238E27FC236}">
              <a16:creationId xmlns:a16="http://schemas.microsoft.com/office/drawing/2014/main" id="{AE66AE90-EB6F-43FB-89CC-76166BA1D8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365" y="33355"/>
          <a:ext cx="990311" cy="1004871"/>
        </a:xfrm>
        <a:prstGeom prst="rect">
          <a:avLst/>
        </a:prstGeom>
      </xdr:spPr>
    </xdr:pic>
    <xdr:clientData/>
  </xdr:twoCellAnchor>
  <xdr:twoCellAnchor editAs="oneCell">
    <xdr:from>
      <xdr:col>0</xdr:col>
      <xdr:colOff>3009900</xdr:colOff>
      <xdr:row>0</xdr:row>
      <xdr:rowOff>114301</xdr:rowOff>
    </xdr:from>
    <xdr:to>
      <xdr:col>1</xdr:col>
      <xdr:colOff>517446</xdr:colOff>
      <xdr:row>0</xdr:row>
      <xdr:rowOff>929641</xdr:rowOff>
    </xdr:to>
    <xdr:pic>
      <xdr:nvPicPr>
        <xdr:cNvPr id="4" name="Picture 3">
          <a:extLst>
            <a:ext uri="{FF2B5EF4-FFF2-40B4-BE49-F238E27FC236}">
              <a16:creationId xmlns:a16="http://schemas.microsoft.com/office/drawing/2014/main" id="{35592F76-A70B-4462-BFE6-096F8563FC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09900" y="114301"/>
          <a:ext cx="957501" cy="819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1187450</xdr:colOff>
      <xdr:row>0</xdr:row>
      <xdr:rowOff>29193</xdr:rowOff>
    </xdr:from>
    <xdr:to>
      <xdr:col>1</xdr:col>
      <xdr:colOff>2910840</xdr:colOff>
      <xdr:row>0</xdr:row>
      <xdr:rowOff>1079136</xdr:rowOff>
    </xdr:to>
    <xdr:pic>
      <xdr:nvPicPr>
        <xdr:cNvPr id="2" name="Imagen 15">
          <a:extLst>
            <a:ext uri="{FF2B5EF4-FFF2-40B4-BE49-F238E27FC236}">
              <a16:creationId xmlns:a16="http://schemas.microsoft.com/office/drawing/2014/main" id="{DA4FAFDF-7952-4D36-A2DC-FEABAC79C8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6575" y="29193"/>
          <a:ext cx="1727200" cy="1044228"/>
        </a:xfrm>
        <a:prstGeom prst="rect">
          <a:avLst/>
        </a:prstGeom>
      </xdr:spPr>
    </xdr:pic>
    <xdr:clientData/>
  </xdr:twoCellAnchor>
  <xdr:twoCellAnchor editAs="oneCell">
    <xdr:from>
      <xdr:col>1</xdr:col>
      <xdr:colOff>0</xdr:colOff>
      <xdr:row>0</xdr:row>
      <xdr:rowOff>0</xdr:rowOff>
    </xdr:from>
    <xdr:to>
      <xdr:col>1</xdr:col>
      <xdr:colOff>1051348</xdr:colOff>
      <xdr:row>0</xdr:row>
      <xdr:rowOff>1051348</xdr:rowOff>
    </xdr:to>
    <xdr:pic>
      <xdr:nvPicPr>
        <xdr:cNvPr id="3" name="Imagen 16">
          <a:extLst>
            <a:ext uri="{FF2B5EF4-FFF2-40B4-BE49-F238E27FC236}">
              <a16:creationId xmlns:a16="http://schemas.microsoft.com/office/drawing/2014/main" id="{A1022492-ADFA-4DEA-8582-F11362536D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9125" y="0"/>
          <a:ext cx="1055158" cy="1055158"/>
        </a:xfrm>
        <a:prstGeom prst="rect">
          <a:avLst/>
        </a:prstGeom>
      </xdr:spPr>
    </xdr:pic>
    <xdr:clientData/>
  </xdr:twoCellAnchor>
  <xdr:twoCellAnchor editAs="oneCell">
    <xdr:from>
      <xdr:col>4</xdr:col>
      <xdr:colOff>1602455</xdr:colOff>
      <xdr:row>48</xdr:row>
      <xdr:rowOff>68511</xdr:rowOff>
    </xdr:from>
    <xdr:to>
      <xdr:col>5</xdr:col>
      <xdr:colOff>821129</xdr:colOff>
      <xdr:row>50</xdr:row>
      <xdr:rowOff>131537</xdr:rowOff>
    </xdr:to>
    <xdr:pic>
      <xdr:nvPicPr>
        <xdr:cNvPr id="4" name="Imagen 17">
          <a:extLst>
            <a:ext uri="{FF2B5EF4-FFF2-40B4-BE49-F238E27FC236}">
              <a16:creationId xmlns:a16="http://schemas.microsoft.com/office/drawing/2014/main" id="{8A91325E-0195-4B9E-BFF6-41C182CCC5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60505" y="11974761"/>
          <a:ext cx="826494" cy="586901"/>
        </a:xfrm>
        <a:prstGeom prst="rect">
          <a:avLst/>
        </a:prstGeom>
      </xdr:spPr>
    </xdr:pic>
    <xdr:clientData/>
  </xdr:twoCellAnchor>
  <xdr:twoCellAnchor editAs="oneCell">
    <xdr:from>
      <xdr:col>4</xdr:col>
      <xdr:colOff>956733</xdr:colOff>
      <xdr:row>48</xdr:row>
      <xdr:rowOff>76201</xdr:rowOff>
    </xdr:from>
    <xdr:to>
      <xdr:col>5</xdr:col>
      <xdr:colOff>56462</xdr:colOff>
      <xdr:row>50</xdr:row>
      <xdr:rowOff>131538</xdr:rowOff>
    </xdr:to>
    <xdr:pic>
      <xdr:nvPicPr>
        <xdr:cNvPr id="5" name="Imagen 18">
          <a:extLst>
            <a:ext uri="{FF2B5EF4-FFF2-40B4-BE49-F238E27FC236}">
              <a16:creationId xmlns:a16="http://schemas.microsoft.com/office/drawing/2014/main" id="{05C348B9-E49A-4641-9D37-2DF78D9965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29083" y="11982451"/>
          <a:ext cx="581819" cy="579212"/>
        </a:xfrm>
        <a:prstGeom prst="rect">
          <a:avLst/>
        </a:prstGeom>
      </xdr:spPr>
    </xdr:pic>
    <xdr:clientData/>
  </xdr:twoCellAnchor>
  <xdr:twoCellAnchor>
    <xdr:from>
      <xdr:col>0</xdr:col>
      <xdr:colOff>0</xdr:colOff>
      <xdr:row>51</xdr:row>
      <xdr:rowOff>14363</xdr:rowOff>
    </xdr:from>
    <xdr:to>
      <xdr:col>3</xdr:col>
      <xdr:colOff>982133</xdr:colOff>
      <xdr:row>64</xdr:row>
      <xdr:rowOff>168728</xdr:rowOff>
    </xdr:to>
    <xdr:graphicFrame macro="">
      <xdr:nvGraphicFramePr>
        <xdr:cNvPr id="6" name="6 Gráfico">
          <a:extLst>
            <a:ext uri="{FF2B5EF4-FFF2-40B4-BE49-F238E27FC236}">
              <a16:creationId xmlns:a16="http://schemas.microsoft.com/office/drawing/2014/main" id="{886A0CE3-53D4-4044-93E1-536613774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408216</xdr:colOff>
      <xdr:row>100</xdr:row>
      <xdr:rowOff>63501</xdr:rowOff>
    </xdr:from>
    <xdr:to>
      <xdr:col>4</xdr:col>
      <xdr:colOff>1143001</xdr:colOff>
      <xdr:row>127</xdr:row>
      <xdr:rowOff>125321</xdr:rowOff>
    </xdr:to>
    <xdr:graphicFrame macro="">
      <xdr:nvGraphicFramePr>
        <xdr:cNvPr id="7" name="6 Gráfico">
          <a:extLst>
            <a:ext uri="{FF2B5EF4-FFF2-40B4-BE49-F238E27FC236}">
              <a16:creationId xmlns:a16="http://schemas.microsoft.com/office/drawing/2014/main" id="{6D66BEB3-37C6-40F8-8D6F-C01E6C1D6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68</xdr:row>
      <xdr:rowOff>36285</xdr:rowOff>
    </xdr:from>
    <xdr:to>
      <xdr:col>5</xdr:col>
      <xdr:colOff>689428</xdr:colOff>
      <xdr:row>96</xdr:row>
      <xdr:rowOff>80109</xdr:rowOff>
    </xdr:to>
    <xdr:graphicFrame macro="">
      <xdr:nvGraphicFramePr>
        <xdr:cNvPr id="8" name="Gráfico 40">
          <a:extLst>
            <a:ext uri="{FF2B5EF4-FFF2-40B4-BE49-F238E27FC236}">
              <a16:creationId xmlns:a16="http://schemas.microsoft.com/office/drawing/2014/main" id="{03312181-007A-47E6-A455-4FB29DA22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4</xdr:col>
      <xdr:colOff>1602455</xdr:colOff>
      <xdr:row>65</xdr:row>
      <xdr:rowOff>68511</xdr:rowOff>
    </xdr:from>
    <xdr:ext cx="833637" cy="595519"/>
    <xdr:pic>
      <xdr:nvPicPr>
        <xdr:cNvPr id="9" name="Imagen 39">
          <a:extLst>
            <a:ext uri="{FF2B5EF4-FFF2-40B4-BE49-F238E27FC236}">
              <a16:creationId xmlns:a16="http://schemas.microsoft.com/office/drawing/2014/main" id="{BE067D59-F927-4968-90FA-C28AFAF35F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60505" y="18061236"/>
          <a:ext cx="833637" cy="595519"/>
        </a:xfrm>
        <a:prstGeom prst="rect">
          <a:avLst/>
        </a:prstGeom>
      </xdr:spPr>
    </xdr:pic>
    <xdr:clientData/>
  </xdr:oneCellAnchor>
  <xdr:oneCellAnchor>
    <xdr:from>
      <xdr:col>4</xdr:col>
      <xdr:colOff>956733</xdr:colOff>
      <xdr:row>65</xdr:row>
      <xdr:rowOff>76201</xdr:rowOff>
    </xdr:from>
    <xdr:ext cx="584200" cy="587830"/>
    <xdr:pic>
      <xdr:nvPicPr>
        <xdr:cNvPr id="10" name="Imagen 41">
          <a:extLst>
            <a:ext uri="{FF2B5EF4-FFF2-40B4-BE49-F238E27FC236}">
              <a16:creationId xmlns:a16="http://schemas.microsoft.com/office/drawing/2014/main" id="{BD19EBE0-DEC5-4973-9D82-04197BA1A47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329083" y="18068926"/>
          <a:ext cx="584200" cy="587830"/>
        </a:xfrm>
        <a:prstGeom prst="rect">
          <a:avLst/>
        </a:prstGeom>
      </xdr:spPr>
    </xdr:pic>
    <xdr:clientData/>
  </xdr:oneCellAnchor>
  <xdr:oneCellAnchor>
    <xdr:from>
      <xdr:col>4</xdr:col>
      <xdr:colOff>1602455</xdr:colOff>
      <xdr:row>97</xdr:row>
      <xdr:rowOff>68511</xdr:rowOff>
    </xdr:from>
    <xdr:ext cx="833637" cy="595519"/>
    <xdr:pic>
      <xdr:nvPicPr>
        <xdr:cNvPr id="11" name="Imagen 42">
          <a:extLst>
            <a:ext uri="{FF2B5EF4-FFF2-40B4-BE49-F238E27FC236}">
              <a16:creationId xmlns:a16="http://schemas.microsoft.com/office/drawing/2014/main" id="{5817817F-974C-4DE5-BE35-99E417FE7E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60505" y="24109611"/>
          <a:ext cx="833637" cy="595519"/>
        </a:xfrm>
        <a:prstGeom prst="rect">
          <a:avLst/>
        </a:prstGeom>
      </xdr:spPr>
    </xdr:pic>
    <xdr:clientData/>
  </xdr:oneCellAnchor>
  <xdr:oneCellAnchor>
    <xdr:from>
      <xdr:col>4</xdr:col>
      <xdr:colOff>956733</xdr:colOff>
      <xdr:row>97</xdr:row>
      <xdr:rowOff>76201</xdr:rowOff>
    </xdr:from>
    <xdr:ext cx="584200" cy="587830"/>
    <xdr:pic>
      <xdr:nvPicPr>
        <xdr:cNvPr id="12" name="Imagen 44">
          <a:extLst>
            <a:ext uri="{FF2B5EF4-FFF2-40B4-BE49-F238E27FC236}">
              <a16:creationId xmlns:a16="http://schemas.microsoft.com/office/drawing/2014/main" id="{0404588E-C7E2-49B3-8B49-CC0D1922959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329083" y="24117301"/>
          <a:ext cx="584200" cy="587830"/>
        </a:xfrm>
        <a:prstGeom prst="rect">
          <a:avLst/>
        </a:prstGeom>
      </xdr:spPr>
    </xdr:pic>
    <xdr:clientData/>
  </xdr:oneCellAnchor>
  <xdr:twoCellAnchor editAs="oneCell">
    <xdr:from>
      <xdr:col>1</xdr:col>
      <xdr:colOff>3059907</xdr:colOff>
      <xdr:row>0</xdr:row>
      <xdr:rowOff>95251</xdr:rowOff>
    </xdr:from>
    <xdr:to>
      <xdr:col>1</xdr:col>
      <xdr:colOff>4056222</xdr:colOff>
      <xdr:row>0</xdr:row>
      <xdr:rowOff>950867</xdr:rowOff>
    </xdr:to>
    <xdr:pic>
      <xdr:nvPicPr>
        <xdr:cNvPr id="13" name="Picture 12">
          <a:extLst>
            <a:ext uri="{FF2B5EF4-FFF2-40B4-BE49-F238E27FC236}">
              <a16:creationId xmlns:a16="http://schemas.microsoft.com/office/drawing/2014/main" id="{E0D46043-68BB-4BF7-B9B5-44A936FDAFC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679032" y="95251"/>
          <a:ext cx="1000125" cy="855616"/>
        </a:xfrm>
        <a:prstGeom prst="rect">
          <a:avLst/>
        </a:prstGeom>
      </xdr:spPr>
    </xdr:pic>
    <xdr:clientData/>
  </xdr:twoCellAnchor>
  <xdr:twoCellAnchor editAs="oneCell">
    <xdr:from>
      <xdr:col>4</xdr:col>
      <xdr:colOff>282103</xdr:colOff>
      <xdr:row>48</xdr:row>
      <xdr:rowOff>74083</xdr:rowOff>
    </xdr:from>
    <xdr:to>
      <xdr:col>4</xdr:col>
      <xdr:colOff>952500</xdr:colOff>
      <xdr:row>50</xdr:row>
      <xdr:rowOff>135803</xdr:rowOff>
    </xdr:to>
    <xdr:pic>
      <xdr:nvPicPr>
        <xdr:cNvPr id="14" name="Picture 13">
          <a:extLst>
            <a:ext uri="{FF2B5EF4-FFF2-40B4-BE49-F238E27FC236}">
              <a16:creationId xmlns:a16="http://schemas.microsoft.com/office/drawing/2014/main" id="{70A0E952-FD1E-40D9-A745-8E94CA8E679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54453" y="11980333"/>
          <a:ext cx="670397" cy="579880"/>
        </a:xfrm>
        <a:prstGeom prst="rect">
          <a:avLst/>
        </a:prstGeom>
      </xdr:spPr>
    </xdr:pic>
    <xdr:clientData/>
  </xdr:twoCellAnchor>
  <xdr:twoCellAnchor editAs="oneCell">
    <xdr:from>
      <xdr:col>4</xdr:col>
      <xdr:colOff>285751</xdr:colOff>
      <xdr:row>65</xdr:row>
      <xdr:rowOff>76199</xdr:rowOff>
    </xdr:from>
    <xdr:to>
      <xdr:col>4</xdr:col>
      <xdr:colOff>969483</xdr:colOff>
      <xdr:row>67</xdr:row>
      <xdr:rowOff>134728</xdr:rowOff>
    </xdr:to>
    <xdr:pic>
      <xdr:nvPicPr>
        <xdr:cNvPr id="15" name="Picture 14">
          <a:extLst>
            <a:ext uri="{FF2B5EF4-FFF2-40B4-BE49-F238E27FC236}">
              <a16:creationId xmlns:a16="http://schemas.microsoft.com/office/drawing/2014/main" id="{EE9D026D-83A2-46BE-B253-04AEC647072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658101" y="18068924"/>
          <a:ext cx="679922" cy="588119"/>
        </a:xfrm>
        <a:prstGeom prst="rect">
          <a:avLst/>
        </a:prstGeom>
      </xdr:spPr>
    </xdr:pic>
    <xdr:clientData/>
  </xdr:twoCellAnchor>
  <xdr:twoCellAnchor editAs="oneCell">
    <xdr:from>
      <xdr:col>4</xdr:col>
      <xdr:colOff>266700</xdr:colOff>
      <xdr:row>97</xdr:row>
      <xdr:rowOff>69246</xdr:rowOff>
    </xdr:from>
    <xdr:to>
      <xdr:col>4</xdr:col>
      <xdr:colOff>956148</xdr:colOff>
      <xdr:row>99</xdr:row>
      <xdr:rowOff>151255</xdr:rowOff>
    </xdr:to>
    <xdr:pic>
      <xdr:nvPicPr>
        <xdr:cNvPr id="16" name="Picture 15">
          <a:extLst>
            <a:ext uri="{FF2B5EF4-FFF2-40B4-BE49-F238E27FC236}">
              <a16:creationId xmlns:a16="http://schemas.microsoft.com/office/drawing/2014/main" id="{61930E7D-8245-48FB-ABD0-6CBF0E5B580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39050" y="24110346"/>
          <a:ext cx="689448" cy="5963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774558</xdr:colOff>
      <xdr:row>0</xdr:row>
      <xdr:rowOff>3537</xdr:rowOff>
    </xdr:from>
    <xdr:to>
      <xdr:col>2</xdr:col>
      <xdr:colOff>1007303</xdr:colOff>
      <xdr:row>0</xdr:row>
      <xdr:rowOff>1191710</xdr:rowOff>
    </xdr:to>
    <xdr:pic>
      <xdr:nvPicPr>
        <xdr:cNvPr id="2" name="Imagen 1">
          <a:extLst>
            <a:ext uri="{FF2B5EF4-FFF2-40B4-BE49-F238E27FC236}">
              <a16:creationId xmlns:a16="http://schemas.microsoft.com/office/drawing/2014/main" id="{06E7EDEC-537D-49E7-B058-5238F7B654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88983" y="3537"/>
          <a:ext cx="1836755" cy="1184363"/>
        </a:xfrm>
        <a:prstGeom prst="rect">
          <a:avLst/>
        </a:prstGeom>
      </xdr:spPr>
    </xdr:pic>
    <xdr:clientData/>
  </xdr:twoCellAnchor>
  <xdr:twoCellAnchor editAs="oneCell">
    <xdr:from>
      <xdr:col>0</xdr:col>
      <xdr:colOff>0</xdr:colOff>
      <xdr:row>0</xdr:row>
      <xdr:rowOff>0</xdr:rowOff>
    </xdr:from>
    <xdr:to>
      <xdr:col>0</xdr:col>
      <xdr:colOff>1066231</xdr:colOff>
      <xdr:row>0</xdr:row>
      <xdr:rowOff>1206562</xdr:rowOff>
    </xdr:to>
    <xdr:pic>
      <xdr:nvPicPr>
        <xdr:cNvPr id="3" name="Imagen 2">
          <a:extLst>
            <a:ext uri="{FF2B5EF4-FFF2-40B4-BE49-F238E27FC236}">
              <a16:creationId xmlns:a16="http://schemas.microsoft.com/office/drawing/2014/main" id="{55ECE59D-212C-4E4D-AADB-0DE64FF982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66231" cy="1210372"/>
        </a:xfrm>
        <a:prstGeom prst="rect">
          <a:avLst/>
        </a:prstGeom>
      </xdr:spPr>
    </xdr:pic>
    <xdr:clientData/>
  </xdr:twoCellAnchor>
  <xdr:twoCellAnchor editAs="oneCell">
    <xdr:from>
      <xdr:col>2</xdr:col>
      <xdr:colOff>1345406</xdr:colOff>
      <xdr:row>0</xdr:row>
      <xdr:rowOff>178594</xdr:rowOff>
    </xdr:from>
    <xdr:to>
      <xdr:col>3</xdr:col>
      <xdr:colOff>988277</xdr:colOff>
      <xdr:row>0</xdr:row>
      <xdr:rowOff>1091565</xdr:rowOff>
    </xdr:to>
    <xdr:pic>
      <xdr:nvPicPr>
        <xdr:cNvPr id="4" name="Picture 3">
          <a:extLst>
            <a:ext uri="{FF2B5EF4-FFF2-40B4-BE49-F238E27FC236}">
              <a16:creationId xmlns:a16="http://schemas.microsoft.com/office/drawing/2014/main" id="{856B3B6A-AA95-4F42-A92C-6F2B9A115B4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69556" y="178594"/>
          <a:ext cx="1062096" cy="9167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993963</xdr:colOff>
      <xdr:row>0</xdr:row>
      <xdr:rowOff>106888</xdr:rowOff>
    </xdr:from>
    <xdr:to>
      <xdr:col>2</xdr:col>
      <xdr:colOff>2082912</xdr:colOff>
      <xdr:row>0</xdr:row>
      <xdr:rowOff>762000</xdr:rowOff>
    </xdr:to>
    <xdr:pic>
      <xdr:nvPicPr>
        <xdr:cNvPr id="2" name="Imagen 2">
          <a:extLst>
            <a:ext uri="{FF2B5EF4-FFF2-40B4-BE49-F238E27FC236}">
              <a16:creationId xmlns:a16="http://schemas.microsoft.com/office/drawing/2014/main" id="{7B606720-E632-4E34-BBA0-C6A1ECA871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51413" y="106888"/>
          <a:ext cx="1088949" cy="655112"/>
        </a:xfrm>
        <a:prstGeom prst="rect">
          <a:avLst/>
        </a:prstGeom>
      </xdr:spPr>
    </xdr:pic>
    <xdr:clientData/>
  </xdr:twoCellAnchor>
  <xdr:twoCellAnchor editAs="oneCell">
    <xdr:from>
      <xdr:col>1</xdr:col>
      <xdr:colOff>97117</xdr:colOff>
      <xdr:row>0</xdr:row>
      <xdr:rowOff>298824</xdr:rowOff>
    </xdr:from>
    <xdr:to>
      <xdr:col>1</xdr:col>
      <xdr:colOff>1323722</xdr:colOff>
      <xdr:row>0</xdr:row>
      <xdr:rowOff>1522254</xdr:rowOff>
    </xdr:to>
    <xdr:pic>
      <xdr:nvPicPr>
        <xdr:cNvPr id="3" name="Imagen 3">
          <a:extLst>
            <a:ext uri="{FF2B5EF4-FFF2-40B4-BE49-F238E27FC236}">
              <a16:creationId xmlns:a16="http://schemas.microsoft.com/office/drawing/2014/main" id="{21AA2904-EF0B-484F-8AF8-EC98B90CC5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1942" y="298824"/>
          <a:ext cx="1226605" cy="1223430"/>
        </a:xfrm>
        <a:prstGeom prst="rect">
          <a:avLst/>
        </a:prstGeom>
      </xdr:spPr>
    </xdr:pic>
    <xdr:clientData/>
  </xdr:twoCellAnchor>
  <xdr:twoCellAnchor editAs="oneCell">
    <xdr:from>
      <xdr:col>2</xdr:col>
      <xdr:colOff>2247900</xdr:colOff>
      <xdr:row>0</xdr:row>
      <xdr:rowOff>200026</xdr:rowOff>
    </xdr:from>
    <xdr:to>
      <xdr:col>2</xdr:col>
      <xdr:colOff>2871388</xdr:colOff>
      <xdr:row>0</xdr:row>
      <xdr:rowOff>733425</xdr:rowOff>
    </xdr:to>
    <xdr:pic>
      <xdr:nvPicPr>
        <xdr:cNvPr id="4" name="Picture 3">
          <a:extLst>
            <a:ext uri="{FF2B5EF4-FFF2-40B4-BE49-F238E27FC236}">
              <a16:creationId xmlns:a16="http://schemas.microsoft.com/office/drawing/2014/main" id="{3AB69CF4-F7BA-4822-85EE-A970F942B2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05350" y="200026"/>
          <a:ext cx="623488" cy="533399"/>
        </a:xfrm>
        <a:prstGeom prst="rect">
          <a:avLst/>
        </a:prstGeom>
      </xdr:spPr>
    </xdr:pic>
    <xdr:clientData/>
  </xdr:twoCellAnchor>
  <xdr:twoCellAnchor editAs="oneCell">
    <xdr:from>
      <xdr:col>2</xdr:col>
      <xdr:colOff>57150</xdr:colOff>
      <xdr:row>0</xdr:row>
      <xdr:rowOff>66675</xdr:rowOff>
    </xdr:from>
    <xdr:to>
      <xdr:col>2</xdr:col>
      <xdr:colOff>819150</xdr:colOff>
      <xdr:row>0</xdr:row>
      <xdr:rowOff>802114</xdr:rowOff>
    </xdr:to>
    <xdr:pic>
      <xdr:nvPicPr>
        <xdr:cNvPr id="5" name="Imagen 6">
          <a:extLst>
            <a:ext uri="{FF2B5EF4-FFF2-40B4-BE49-F238E27FC236}">
              <a16:creationId xmlns:a16="http://schemas.microsoft.com/office/drawing/2014/main" id="{8D7AF0A9-4493-4BBA-838A-0A4A3D6AFD8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14600" y="66675"/>
          <a:ext cx="762000" cy="7354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1346058</xdr:colOff>
      <xdr:row>0</xdr:row>
      <xdr:rowOff>41637</xdr:rowOff>
    </xdr:from>
    <xdr:to>
      <xdr:col>1</xdr:col>
      <xdr:colOff>982538</xdr:colOff>
      <xdr:row>0</xdr:row>
      <xdr:rowOff>1226000</xdr:rowOff>
    </xdr:to>
    <xdr:pic>
      <xdr:nvPicPr>
        <xdr:cNvPr id="2" name="Imagen 1">
          <a:extLst>
            <a:ext uri="{FF2B5EF4-FFF2-40B4-BE49-F238E27FC236}">
              <a16:creationId xmlns:a16="http://schemas.microsoft.com/office/drawing/2014/main" id="{5CEB009D-19FB-4443-89B4-7BF3C7F1BF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6058" y="41637"/>
          <a:ext cx="1665305" cy="1184363"/>
        </a:xfrm>
        <a:prstGeom prst="rect">
          <a:avLst/>
        </a:prstGeom>
      </xdr:spPr>
    </xdr:pic>
    <xdr:clientData/>
  </xdr:twoCellAnchor>
  <xdr:twoCellAnchor editAs="oneCell">
    <xdr:from>
      <xdr:col>0</xdr:col>
      <xdr:colOff>0</xdr:colOff>
      <xdr:row>0</xdr:row>
      <xdr:rowOff>0</xdr:rowOff>
    </xdr:from>
    <xdr:to>
      <xdr:col>0</xdr:col>
      <xdr:colOff>1199581</xdr:colOff>
      <xdr:row>0</xdr:row>
      <xdr:rowOff>1210372</xdr:rowOff>
    </xdr:to>
    <xdr:pic>
      <xdr:nvPicPr>
        <xdr:cNvPr id="3" name="Imagen 2">
          <a:extLst>
            <a:ext uri="{FF2B5EF4-FFF2-40B4-BE49-F238E27FC236}">
              <a16:creationId xmlns:a16="http://schemas.microsoft.com/office/drawing/2014/main" id="{92E5F91E-C0B7-439F-91F6-A4C4009CCB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199581" cy="1210372"/>
        </a:xfrm>
        <a:prstGeom prst="rect">
          <a:avLst/>
        </a:prstGeom>
      </xdr:spPr>
    </xdr:pic>
    <xdr:clientData/>
  </xdr:twoCellAnchor>
  <xdr:twoCellAnchor editAs="oneCell">
    <xdr:from>
      <xdr:col>1</xdr:col>
      <xdr:colOff>1104900</xdr:colOff>
      <xdr:row>0</xdr:row>
      <xdr:rowOff>152400</xdr:rowOff>
    </xdr:from>
    <xdr:to>
      <xdr:col>2</xdr:col>
      <xdr:colOff>868421</xdr:colOff>
      <xdr:row>0</xdr:row>
      <xdr:rowOff>1069181</xdr:rowOff>
    </xdr:to>
    <xdr:pic>
      <xdr:nvPicPr>
        <xdr:cNvPr id="4" name="Picture 3">
          <a:extLst>
            <a:ext uri="{FF2B5EF4-FFF2-40B4-BE49-F238E27FC236}">
              <a16:creationId xmlns:a16="http://schemas.microsoft.com/office/drawing/2014/main" id="{B9EFF158-C52C-45E1-81B7-E92C2E9CA17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33725" y="152400"/>
          <a:ext cx="1068446" cy="9167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815481</xdr:colOff>
      <xdr:row>0</xdr:row>
      <xdr:rowOff>1</xdr:rowOff>
    </xdr:from>
    <xdr:to>
      <xdr:col>2</xdr:col>
      <xdr:colOff>35279</xdr:colOff>
      <xdr:row>3</xdr:row>
      <xdr:rowOff>105184</xdr:rowOff>
    </xdr:to>
    <xdr:pic>
      <xdr:nvPicPr>
        <xdr:cNvPr id="2" name="Imagen 5">
          <a:extLst>
            <a:ext uri="{FF2B5EF4-FFF2-40B4-BE49-F238E27FC236}">
              <a16:creationId xmlns:a16="http://schemas.microsoft.com/office/drawing/2014/main" id="{4BD3C5FF-D4B8-4EC9-8C09-DA43394FE0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5481" y="1"/>
          <a:ext cx="1220048" cy="762408"/>
        </a:xfrm>
        <a:prstGeom prst="rect">
          <a:avLst/>
        </a:prstGeom>
      </xdr:spPr>
    </xdr:pic>
    <xdr:clientData/>
  </xdr:twoCellAnchor>
  <xdr:twoCellAnchor editAs="oneCell">
    <xdr:from>
      <xdr:col>0</xdr:col>
      <xdr:colOff>1</xdr:colOff>
      <xdr:row>0</xdr:row>
      <xdr:rowOff>0</xdr:rowOff>
    </xdr:from>
    <xdr:to>
      <xdr:col>0</xdr:col>
      <xdr:colOff>762001</xdr:colOff>
      <xdr:row>3</xdr:row>
      <xdr:rowOff>82296</xdr:rowOff>
    </xdr:to>
    <xdr:pic>
      <xdr:nvPicPr>
        <xdr:cNvPr id="3" name="Imagen 6">
          <a:extLst>
            <a:ext uri="{FF2B5EF4-FFF2-40B4-BE49-F238E27FC236}">
              <a16:creationId xmlns:a16="http://schemas.microsoft.com/office/drawing/2014/main" id="{7F35FFDE-FFA8-4CB2-8747-1727B297B5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762000" cy="739521"/>
        </a:xfrm>
        <a:prstGeom prst="rect">
          <a:avLst/>
        </a:prstGeom>
      </xdr:spPr>
    </xdr:pic>
    <xdr:clientData/>
  </xdr:twoCellAnchor>
  <xdr:twoCellAnchor editAs="oneCell">
    <xdr:from>
      <xdr:col>2</xdr:col>
      <xdr:colOff>81643</xdr:colOff>
      <xdr:row>0</xdr:row>
      <xdr:rowOff>68036</xdr:rowOff>
    </xdr:from>
    <xdr:to>
      <xdr:col>2</xdr:col>
      <xdr:colOff>892814</xdr:colOff>
      <xdr:row>3</xdr:row>
      <xdr:rowOff>108857</xdr:rowOff>
    </xdr:to>
    <xdr:pic>
      <xdr:nvPicPr>
        <xdr:cNvPr id="4" name="Picture 3">
          <a:extLst>
            <a:ext uri="{FF2B5EF4-FFF2-40B4-BE49-F238E27FC236}">
              <a16:creationId xmlns:a16="http://schemas.microsoft.com/office/drawing/2014/main" id="{757347D2-37BE-4033-8E96-4F456D9BE4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81893" y="68036"/>
          <a:ext cx="811171" cy="69804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OTTOMLEY James (ENGIE Impact)" id="{EB2921B0-3FA5-4B37-9F85-672CD6B1808A}" userId="PG6416@engie.com" providerId="PeoplePicker"/>
  <person displayName="SOLOMON Brian (ENGIE Impact)" id="{9E7A2796-492C-40DC-9668-D8829F11E083}" userId="S::HT6219@engie.com::a32b2ae7-27f3-4ef7-9d01-c1943502ec2e" providerId="AD"/>
  <person displayName="BOTTOMLEY James (ENGIE Impact)" id="{2CA457CA-AC6C-4145-90A6-BCFF25A2D677}" userId="S::PG6416@engie.com::c369ddfa-f9ae-49e3-acee-6adf66d2ebe0" providerId="AD"/>
</personList>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 xr10:uid="{8966C8AA-3F85-49C6-AB1A-FE95B6024AD2}" sourceName="Category">
  <extLst>
    <x:ext xmlns:x15="http://schemas.microsoft.com/office/spreadsheetml/2010/11/main" uri="{2F2917AC-EB37-4324-AD4E-5DD8C200BD13}">
      <x15:tableSlicerCache tableId="18" column="4"/>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b_category" xr10:uid="{7435C39E-F2F2-459F-9381-F5F0A5E4CD4D}" sourceName="Sub-category">
  <extLst>
    <x:ext xmlns:x15="http://schemas.microsoft.com/office/spreadsheetml/2010/11/main" uri="{2F2917AC-EB37-4324-AD4E-5DD8C200BD13}">
      <x15:tableSlicerCache tableId="18" column="5"/>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b_category1" xr10:uid="{3AFCAD16-EE31-467C-8D9C-7851114958E5}" sourceName="Sub-category">
  <extLst>
    <x:ext xmlns:x15="http://schemas.microsoft.com/office/spreadsheetml/2010/11/main" uri="{2F2917AC-EB37-4324-AD4E-5DD8C200BD13}">
      <x15:tableSlicerCache tableId="19" column="5"/>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y 1" xr10:uid="{54C16A0E-956B-436F-B514-37A202D44D70}" cache="Slicer_Category" caption="Category" rowHeight="234950"/>
  <slicer name="Sub-category 2" xr10:uid="{B97F7799-2C00-485D-BCFC-36733DC7F7CF}" cache="Slicer_Sub_category" caption="Sub-category"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ub-category 3" xr10:uid="{C2707759-55B4-46C3-91C6-D4E80F77EFD8}" cache="Slicer_Sub_category1" caption="Sub-category"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13A7355-37E7-4575-9E3D-CF3AE711C8F3}" name="Table310" displayName="Table310" ref="C18:Q419" totalsRowShown="0" headerRowDxfId="88" dataDxfId="87">
  <autoFilter ref="C18:Q419" xr:uid="{8F76A333-D6C9-4E64-9795-E3C672D50ECF}">
    <filterColumn colId="10">
      <filters>
        <filter val="11: Agriculture, Forestry, Fishing and Hunting"/>
      </filters>
    </filterColumn>
  </autoFilter>
  <tableColumns count="15">
    <tableColumn id="2" xr3:uid="{82F77464-3922-409E-8348-53B1090071EC}" name="Commodity Name" dataDxfId="86"/>
    <tableColumn id="10" xr3:uid="{1C7BDD1E-DFCF-41B8-B698-40E83723C0D5}" name="Item Description (optional)" dataDxfId="85"/>
    <tableColumn id="11" xr3:uid="{1F9A85FD-FDD0-4C31-877E-761F9B2D2C6C}" name="Annual procurement_x000a_spend ($)" dataDxfId="84"/>
    <tableColumn id="12" xr3:uid="{7A4D95D6-BDC0-4774-9BB4-8440E5CF9696}" name="Procurement via: Wholesaler /Retailer/ Distributor or Direct-from-Manufacturer?_x000a_Leave Blank if Unknown" dataDxfId="83"/>
    <tableColumn id="13" xr3:uid="{43BD3B84-608A-44CC-87A2-402B00645906}" name="Emissions (MTCO2e)" dataDxfId="82">
      <calculatedColumnFormula>IFERROR(IF(E19="","",IF(F19="Direct-from-manufacturer",(E19*H19/1000*'Inventory Settings'!$J$21),(E19*I19/1000*'Inventory Settings'!$J$21))),"")</calculatedColumnFormula>
    </tableColumn>
    <tableColumn id="14" xr3:uid="{8BE9B9EA-A5D8-44DF-AD13-3CCF1D0697A8}" name="Supply Chain Emission Factors without Margins_x000a_(kg CO2e/2021 USD)" dataDxfId="81" dataCellStyle="Comma"/>
    <tableColumn id="15" xr3:uid="{82947D7E-C4A4-477E-80ED-4B9834573225}" name="Supply Chain Emission Factors _x000a_with Margins _x000a_(kg CO2e/2021 USD)" dataDxfId="80"/>
    <tableColumn id="16" xr3:uid="{7CE44087-DA5D-4C2D-90AC-9F1A5B6DFDAE}" name="Margin Percent" dataDxfId="79" dataCellStyle="Percent"/>
    <tableColumn id="1" xr3:uid="{8AC632C7-8D0E-4F32-9EE9-E3D72A7F6F68}" name="Reference USEEIO Code" dataDxfId="78"/>
    <tableColumn id="3" xr3:uid="{44A45962-CBE9-4B3A-B20F-FBB45B1D00AD}" name="Commodity Description" dataDxfId="77"/>
    <tableColumn id="4" xr3:uid="{C35B7BC5-EAC7-4D89-BD68-51B608632A7C}" name="Category" dataDxfId="76"/>
    <tableColumn id="5" xr3:uid="{6C23A80E-5225-4B9D-BA5D-B004957232F7}" name="Sub-category" dataDxfId="75"/>
    <tableColumn id="6" xr3:uid="{3E56F4AD-2A0F-4E92-89D0-EAFCA3853A32}" name="Supply Chain Emission Factors without Margins (kg CO2e/USD)" dataDxfId="74" dataCellStyle="Comma"/>
    <tableColumn id="7" xr3:uid="{29FC3CB1-02F9-4035-95D1-952FD9BC9E18}" name="Margins of Supply Chain Emission Factors (kg CO2e/USD)" dataDxfId="73" dataCellStyle="Comma"/>
    <tableColumn id="8" xr3:uid="{8574880A-20EE-43EE-9C08-E862BDD05FB9}" name="Supply Chain Emission Factors with Margins (kg CO2e/USD)" dataDxfId="72" dataCellStyle="Comma"/>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479FF66-BC90-408E-B5D4-B1A6F7C3C76B}" name="Glass" displayName="Glass" ref="N48:N51" totalsRowShown="0" headerRowDxfId="42" tableBorderDxfId="41">
  <autoFilter ref="N48:N51" xr:uid="{00000000-0009-0000-0100-000008000000}"/>
  <tableColumns count="1">
    <tableColumn id="1" xr3:uid="{5916C168-BB17-4B28-B7E3-98232C5AB57F}" name="Glas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521AE41-BE76-4C9B-8304-0C949364154F}" name="Bus" displayName="Bus" ref="AE64:AE68" totalsRowShown="0" headerRowBorderDxfId="40" tableBorderDxfId="39" totalsRowBorderDxfId="38">
  <autoFilter ref="AE64:AE68" xr:uid="{D84C321F-AA44-455A-976C-C42D08E98D78}"/>
  <tableColumns count="1">
    <tableColumn id="1" xr3:uid="{41E3A71F-9B7B-40B6-8E8D-6A2506FD199F}" name="Bus" dataDxfId="37"/>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64688D9-F4B2-4901-A8AB-5032CB74F1C0}" name="Motorbike" displayName="Motorbike" ref="AE83:AE87" totalsRowShown="0" headerRowBorderDxfId="36" tableBorderDxfId="35" totalsRowBorderDxfId="34">
  <autoFilter ref="AE83:AE87" xr:uid="{3F3F5EF1-00D0-4A38-8111-0171A71A6404}"/>
  <tableColumns count="1">
    <tableColumn id="1" xr3:uid="{90A0DDE0-49E8-434C-8443-6D5DBAA073D2}" name="Motorbike" dataDxfId="33"/>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EA20BF3-8874-4E01-9A98-C827F19F8AEB}" name="Rail" displayName="Rail" ref="AE89:AE93" totalsRowShown="0" headerRowBorderDxfId="32" tableBorderDxfId="31" totalsRowBorderDxfId="30">
  <autoFilter ref="AE89:AE93" xr:uid="{28DD612A-44A3-49FD-87CA-267C75758F28}"/>
  <tableColumns count="1">
    <tableColumn id="1" xr3:uid="{CCFAB8BA-D112-4645-9150-CD5E37450F86}" name="Rail" dataDxfId="29"/>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6C907B3-B8C8-4B1C-93D0-0077E4D81224}" name="Taxis" displayName="Taxis" ref="AE95:AE97" totalsRowShown="0" headerRowBorderDxfId="28" tableBorderDxfId="27" totalsRowBorderDxfId="26">
  <autoFilter ref="AE95:AE97" xr:uid="{AB12DF87-7C9F-45B8-A975-5DC3027C2287}"/>
  <tableColumns count="1">
    <tableColumn id="1" xr3:uid="{299B4E28-78F0-48B0-BC2F-53E5B06E3475}" name="Taxis"/>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C1BBDCB-7220-42EE-AF0F-3615C0EE3747}" name="Market_fuel_types" displayName="Market_fuel_types" ref="AG71:AG76" totalsRowShown="0" tableBorderDxfId="25">
  <autoFilter ref="AG71:AG76" xr:uid="{911DCB54-4EE9-444B-A73A-FB537C60DE04}"/>
  <tableColumns count="1">
    <tableColumn id="1" xr3:uid="{139D5E50-3F8B-4E1E-BAE4-FD280B0DC278}" name="Market_fuel_types" dataDxfId="2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80C0DCB-1DD4-42BE-B33B-C3339A6E8004}" name="Short" displayName="Short" ref="AE188:AE189" totalsRowShown="0" dataDxfId="23" tableBorderDxfId="22">
  <autoFilter ref="AE188:AE189" xr:uid="{3DFFBC8E-2180-4427-8B23-06BBF970AC64}"/>
  <tableColumns count="1">
    <tableColumn id="1" xr3:uid="{D85100E4-BC8C-42C5-AFE4-A6127CF0941E}" name="Short" dataDxfId="21"/>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A41693B-3018-4907-B7F1-80DDC2F7BC32}" name="Medium" displayName="Medium" ref="AE192:AE195" totalsRowShown="0" dataDxfId="20" tableBorderDxfId="19">
  <autoFilter ref="AE192:AE195" xr:uid="{D81B825D-4911-460F-A4A4-344BF9646DE2}"/>
  <tableColumns count="1">
    <tableColumn id="1" xr3:uid="{E070BC90-A1C2-415D-85F3-4E8F3A48460B}" name="Medium" dataDxfId="18"/>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1B74BA5-1921-4F2F-AB72-9707E742EEEA}" name="Long" displayName="Long" ref="AE198:AE203" totalsRowShown="0" dataDxfId="17" tableBorderDxfId="16">
  <autoFilter ref="AE198:AE203" xr:uid="{718211F7-E99A-45E7-93DE-EF4B222014E0}"/>
  <tableColumns count="1">
    <tableColumn id="1" xr3:uid="{D1DA4542-1CDA-4732-9EB0-7ACC13E649CA}" name="Long" dataDxfId="15"/>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6F079E3-E074-4FED-9BEE-1D9B3D6DAC05}" name="Cars_by_market_segment" displayName="Cars_by_market_segment" ref="AE70:AE79" totalsRowShown="0" headerRowDxfId="14" dataDxfId="13" tableBorderDxfId="12">
  <autoFilter ref="AE70:AE79" xr:uid="{62A61785-1845-44E5-B8A8-11B1C32E508C}"/>
  <tableColumns count="1">
    <tableColumn id="1" xr3:uid="{1A12C729-F249-4595-9085-B37844A1D28E}" name="Cars_by_market_segment" dataDxfId="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FF5D168-A682-4073-9CF0-86C98988065C}" name="Table31023" displayName="Table31023" ref="C18:P206" totalsRowShown="0" headerRowDxfId="71">
  <autoFilter ref="C18:P206" xr:uid="{8F76A333-D6C9-4E64-9795-E3C672D50ECF}"/>
  <tableColumns count="14">
    <tableColumn id="2" xr3:uid="{5D0E43F5-BAEF-4CDB-82AA-8A9084AB7B99}" name="Commodity Name" dataDxfId="70"/>
    <tableColumn id="10" xr3:uid="{106333D0-7D24-4B98-84E3-B9195CE61BBB}" name="Item Description (optional)" dataDxfId="69"/>
    <tableColumn id="11" xr3:uid="{27E99864-87AF-4190-9B29-B29E94E230BA}" name="Annual procurement_x000a_spend ($)" dataDxfId="68"/>
    <tableColumn id="12" xr3:uid="{49141917-D775-43C3-A5F1-802EA43645C4}" name="Procurement via: Wholesaler /Retailer/ Distributor or Direct-from-Manufacturer?_x000a_Leave Blank if Unknown" dataDxfId="67"/>
    <tableColumn id="13" xr3:uid="{CA6D98C7-A85E-4883-8B60-B73FC6BF68DF}" name="Emissions (MTCO2e)" dataDxfId="66">
      <calculatedColumnFormula>IF(E19="","",(E19*H19/1000))</calculatedColumnFormula>
    </tableColumn>
    <tableColumn id="14" xr3:uid="{BD6E791E-9A8C-4E70-8A21-7A406EA8BD95}" name="Supply Chain Emission Factors without Margins_x000a_(kg CO2e/2021 USD)" dataDxfId="65" dataCellStyle="Comma"/>
    <tableColumn id="15" xr3:uid="{354E2AC8-9F5C-49AC-B9DD-1521D20D3670}" name="Supply Chain _x000a_Emission Factors _x000a_with Margins _x000a_(kg CO2e/2021 USD)" dataDxfId="64" dataCellStyle="Comma"/>
    <tableColumn id="16" xr3:uid="{D4968873-51BA-4B9D-8D6B-A3E6E6779E68}" name="Margin Percent" dataDxfId="63" dataCellStyle="Percent"/>
    <tableColumn id="3" xr3:uid="{8474B05C-BAB4-4225-B3CE-0B418930F4C9}" name="Commodity Description" dataDxfId="62"/>
    <tableColumn id="4" xr3:uid="{F2843EB2-6593-46FB-B7FB-1F0C585F399C}" name="Category" dataDxfId="61"/>
    <tableColumn id="5" xr3:uid="{0428499D-4B21-4AF6-B322-4AF67C332558}" name="Sub-category" dataDxfId="60"/>
    <tableColumn id="6" xr3:uid="{AAB72028-66C2-446E-A0D6-A3444DF4AEA3}" name="Supply Chain Emission Factors without Margins (kg CO2e/USD)" dataDxfId="59" dataCellStyle="Comma"/>
    <tableColumn id="7" xr3:uid="{2978C7FF-FE25-48E6-A5ED-B7B57756ED6C}" name="Margins of Supply Chain Emission Factors (kg CO2e/USD)" dataDxfId="58" dataCellStyle="Comma"/>
    <tableColumn id="8" xr3:uid="{A90F31CB-DDD9-43AF-9CF0-003C4F0100BF}" name="Supply Chain Emission Factors with Margins (kg CO2e/USD)" dataDxfId="57" dataCellStyle="Comma"/>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B44C19E-10AF-4297-89BA-38FA8C41C423}" name="Mixed_Paper" displayName="Mixed_Paper" ref="N14:N17" totalsRowShown="0" headerRowDxfId="56" tableBorderDxfId="55">
  <autoFilter ref="N14:N17" xr:uid="{00000000-0009-0000-0100-000001000000}"/>
  <tableColumns count="1">
    <tableColumn id="1" xr3:uid="{1CDA2D4D-4ECB-4787-A773-6D0485B2EB3B}" name="Mixed_Pap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3A79830-C7B1-4B41-A0BB-E72D1BF02ED0}" name="Mixed_Metals" displayName="Mixed_Metals" ref="N19:N22" totalsRowShown="0" headerRowDxfId="54" tableBorderDxfId="53">
  <autoFilter ref="N19:N22" xr:uid="{00000000-0009-0000-0100-000002000000}"/>
  <tableColumns count="1">
    <tableColumn id="1" xr3:uid="{9D511564-3D90-4742-A733-581A16BB4CE0}" name="Mixed_Metals"/>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0713E04-FC80-43C9-AAF9-590491B0EB16}" name="Mixed_Plastics" displayName="Mixed_Plastics" ref="N24:N27" totalsRowShown="0" headerRowDxfId="52" tableBorderDxfId="51">
  <autoFilter ref="N24:N27" xr:uid="{00000000-0009-0000-0100-000003000000}"/>
  <tableColumns count="1">
    <tableColumn id="1" xr3:uid="{912EC42C-D2FB-4306-BC1B-662B173E53E6}" name="Mixed_Plastics"/>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200DE10-810F-4376-BC8B-83AB44E73788}" name="Mixed_Recyclables" displayName="Mixed_Recyclables" ref="N29:N32" totalsRowShown="0" headerRowDxfId="50" tableBorderDxfId="49">
  <autoFilter ref="N29:N32" xr:uid="{00000000-0009-0000-0100-000004000000}"/>
  <tableColumns count="1">
    <tableColumn id="1" xr3:uid="{BDB275D2-8B81-4793-9AC7-3DBBF384B71E}" name="Mixed_Recyclables"/>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4521D76-50EB-43FD-BD71-4661C7312876}" name="Mixed_Organics" displayName="Mixed_Organics" ref="N34:N37" totalsRowShown="0" headerRowDxfId="48" tableBorderDxfId="47">
  <autoFilter ref="N34:N37" xr:uid="{00000000-0009-0000-0100-000005000000}"/>
  <tableColumns count="1">
    <tableColumn id="1" xr3:uid="{9923F1EA-B472-4CED-AC7C-A3FC7B2CD943}" name="Mixed_Organics"/>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5076B02-88E0-4A6F-B76D-70B0001AB486}" name="Mixed_MSW" displayName="Mixed_MSW" ref="N39:N41" totalsRowShown="0" headerRowDxfId="46" tableBorderDxfId="45">
  <autoFilter ref="N39:N41" xr:uid="{00000000-0009-0000-0100-000006000000}"/>
  <tableColumns count="1">
    <tableColumn id="1" xr3:uid="{78546598-2EDC-4358-BCBA-6ED3B17AA397}" name="Mixed_MSW"/>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6A24A3D-38C4-498D-8488-7B27E34DA129}" name="MixedElectronics" displayName="MixedElectronics" ref="N43:N46" totalsRowShown="0" headerRowDxfId="44" tableBorderDxfId="43">
  <autoFilter ref="N43:N46" xr:uid="{00000000-0009-0000-0100-000007000000}"/>
  <tableColumns count="1">
    <tableColumn id="1" xr3:uid="{4BB569BA-4199-4973-B7ED-E93AB9E03D68}" name="MixedElectronics"/>
  </tableColumns>
  <tableStyleInfo name="TableStyleMedium2" showFirstColumn="0" showLastColumn="0" showRowStripes="1" showColumnStripes="0"/>
</table>
</file>

<file path=xl/theme/theme1.xml><?xml version="1.0" encoding="utf-8"?>
<a:theme xmlns:a="http://schemas.openxmlformats.org/drawingml/2006/main" name="ENGIE Impact PPT 2021">
  <a:themeElements>
    <a:clrScheme name="Custom 2">
      <a:dk1>
        <a:srgbClr val="343A3C"/>
      </a:dk1>
      <a:lt1>
        <a:srgbClr val="FFFFFF"/>
      </a:lt1>
      <a:dk2>
        <a:srgbClr val="00AAFF"/>
      </a:dk2>
      <a:lt2>
        <a:srgbClr val="E1E3E3"/>
      </a:lt2>
      <a:accent1>
        <a:srgbClr val="00AAFF"/>
      </a:accent1>
      <a:accent2>
        <a:srgbClr val="1ED283"/>
      </a:accent2>
      <a:accent3>
        <a:srgbClr val="001FA0"/>
      </a:accent3>
      <a:accent4>
        <a:srgbClr val="B32765"/>
      </a:accent4>
      <a:accent5>
        <a:srgbClr val="FD5064"/>
      </a:accent5>
      <a:accent6>
        <a:srgbClr val="FFA101"/>
      </a:accent6>
      <a:hlink>
        <a:srgbClr val="00AAFF"/>
      </a:hlink>
      <a:folHlink>
        <a:srgbClr val="00AAF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w="190500">
          <a:gradFill>
            <a:gsLst>
              <a:gs pos="0">
                <a:srgbClr val="00BCFD"/>
              </a:gs>
              <a:gs pos="100000">
                <a:srgbClr val="23D2B5"/>
              </a:gs>
            </a:gsLst>
            <a:lin ang="2700000" scaled="0"/>
          </a:gradFill>
        </a:ln>
      </a:spPr>
      <a:bodyPr rtlCol="0" anchor="ctr">
        <a:noAutofit/>
      </a:bodyP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wrap="square" lIns="0" tIns="0" rIns="0" bIns="0" rtlCol="0">
        <a:spAutoFit/>
      </a:bodyPr>
      <a:lstStyle>
        <a:defPPr marL="228600" indent="-228600" algn="l">
          <a:lnSpc>
            <a:spcPct val="112000"/>
          </a:lnSpc>
          <a:spcBef>
            <a:spcPts val="1000"/>
          </a:spcBef>
          <a:buClr>
            <a:schemeClr val="tx2"/>
          </a:buClr>
          <a:buFont typeface="Arial" panose="020B0604020202020204" pitchFamily="34" charset="0"/>
          <a:buChar char="•"/>
          <a:defRPr dirty="0" smtClean="0"/>
        </a:defPPr>
      </a:lstStyle>
    </a:txDef>
  </a:objectDefaults>
  <a:extraClrSchemeLst/>
  <a:extLst>
    <a:ext uri="{05A4C25C-085E-4340-85A3-A5531E510DB2}">
      <thm15:themeFamily xmlns:thm15="http://schemas.microsoft.com/office/thememl/2012/main" name="ENGIE Impact PPT 2021" id="{5692A257-57F0-DC45-94CD-F0B48EC33670}" vid="{6EAACAE7-78F6-A840-A73F-DB854B2F7A76}"/>
    </a:ext>
  </a:extLst>
</a:theme>
</file>

<file path=xl/threadedComments/threadedComment1.xml><?xml version="1.0" encoding="utf-8"?>
<ThreadedComments xmlns="http://schemas.microsoft.com/office/spreadsheetml/2018/threadedcomments" xmlns:x="http://schemas.openxmlformats.org/spreadsheetml/2006/main">
  <threadedComment ref="G11" dT="2024-04-16T23:44:02.59" personId="{9E7A2796-492C-40DC-9668-D8829F11E083}" id="{AB875183-6DB8-4C47-BC25-302DA41372DB}">
    <text>@BOTTOMLEY James (ENGIE Impact) could you assist with providing some choices from DESNZ and a drop-down for column C, etc here?</text>
    <mentions>
      <mention mentionpersonId="{EB2921B0-3FA5-4B37-9F85-672CD6B1808A}" mentionId="{67D9C0EB-3134-4F16-8225-B5E2AAF6AF03}" startIndex="0" length="31"/>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B8" dT="2024-04-16T20:23:48.12" personId="{9E7A2796-492C-40DC-9668-D8829F11E083}" id="{6A87A850-01A3-42B6-BF48-C13C04A8D21D}">
    <text>@BOTTOMLEY James (ENGIE Impact) can you look into this issue with the treatment type not populating in the drop-down?</text>
    <mentions>
      <mention mentionpersonId="{EB2921B0-3FA5-4B37-9F85-672CD6B1808A}" mentionId="{9C4EC477-B01B-4820-8893-AB4A6ED08810}" startIndex="0" length="31"/>
    </mentions>
  </threadedComment>
  <threadedComment ref="B8" dT="2024-04-16T21:31:27.49" personId="{2CA457CA-AC6C-4145-90A6-BCFF25A2D677}" id="{1B9F7A97-A817-4249-AAB7-3151F764997F}" parentId="{6A87A850-01A3-42B6-BF48-C13C04A8D21D}">
    <text>Fixed for Cat 5. For mixed electronics, there is a random named range called "mixed_electronics" that is a REF error which I can't delete in the name manager. I changed the name to not include the underscore.</text>
  </threadedComment>
  <threadedComment ref="B10" dT="2024-04-16T20:45:48.29" personId="{9E7A2796-492C-40DC-9668-D8829F11E083}" id="{6EA18CCF-B09C-4DFF-B3B8-88E8EEFE32F1}">
    <text>@BOTTOMLEY James (ENGIE Impact)  drop-down menus based on named ranges and Indirect() formula seem messed up globally. Could you revisit those?</text>
    <mentions>
      <mention mentionpersonId="{EB2921B0-3FA5-4B37-9F85-672CD6B1808A}" mentionId="{378DE42F-FB01-47F0-A848-B6EF6504215E}" startIndex="0" length="31"/>
    </mentions>
  </threadedComment>
  <threadedComment ref="B10" dT="2024-04-16T21:40:55.45" personId="{2CA457CA-AC6C-4145-90A6-BCFF25A2D677}" id="{915C6AD3-9AE2-45CA-A0B7-A7E0F96393FB}" parentId="{6EA18CCF-B09C-4DFF-B3B8-88E8EEFE32F1}">
    <text>Resolved for the land-based travel table. Checked Cat 7, 8 and 13 tabs, didn't see any other dropdown issues. Could you remind me how you set up the references for the air travel table? You had been able to reference the table using a "pretty" version (i.e. "short haul" instead of "short_haul"), but I can't recall how.</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ghgprotocol.org/sites/default/files/2022-12/Required%20gases%20and%20GWP%20values_0.pdf" TargetMode="External"/><Relationship Id="rId1" Type="http://schemas.openxmlformats.org/officeDocument/2006/relationships/hyperlink" Target="https://www.bls.gov/data/inflation_calculator.htm" TargetMode="Externa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hyperlink" Target="https://practicegreenhealth.org/membership" TargetMode="External"/><Relationship Id="rId2" Type="http://schemas.openxmlformats.org/officeDocument/2006/relationships/hyperlink" Target="https://ghgprotocol.org/" TargetMode="External"/><Relationship Id="rId1" Type="http://schemas.openxmlformats.org/officeDocument/2006/relationships/hyperlink" Target="https://www.epa.gov/ghgemissions/overview-greenhouse-gases"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epa.gov/egrid/power-profiler"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 Type="http://schemas.openxmlformats.org/officeDocument/2006/relationships/printerSettings" Target="../printerSettings/printerSettings16.bin"/><Relationship Id="rId16" Type="http://schemas.openxmlformats.org/officeDocument/2006/relationships/table" Target="../tables/table16.xml"/><Relationship Id="rId1" Type="http://schemas.openxmlformats.org/officeDocument/2006/relationships/hyperlink" Target="https://www.epa.gov/system/files/documents/2023-03/ghg_emission_factors_hub.pdf" TargetMode="External"/><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5" Type="http://schemas.openxmlformats.org/officeDocument/2006/relationships/table" Target="../tables/table15.xml"/><Relationship Id="rId10" Type="http://schemas.openxmlformats.org/officeDocument/2006/relationships/table" Target="../tables/table10.xml"/><Relationship Id="rId19" Type="http://schemas.openxmlformats.org/officeDocument/2006/relationships/table" Target="../tables/table19.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https://www.eia.gov/consumption/commercial/data/2018/index.php?view=consumption" TargetMode="External"/><Relationship Id="rId7" Type="http://schemas.openxmlformats.org/officeDocument/2006/relationships/printerSettings" Target="../printerSettings/printerSettings18.bin"/><Relationship Id="rId2" Type="http://schemas.openxmlformats.org/officeDocument/2006/relationships/hyperlink" Target="https://www.eia.gov/consumption/commercial/data/2018/index.php?view=consumption" TargetMode="External"/><Relationship Id="rId1" Type="http://schemas.openxmlformats.org/officeDocument/2006/relationships/hyperlink" Target="https://www.epa.gov/system/files/documents/2022-04/ghg_emission_factors_hub.pdf" TargetMode="External"/><Relationship Id="rId6" Type="http://schemas.openxmlformats.org/officeDocument/2006/relationships/hyperlink" Target="https://portfoliomanager.energystar.gov/pdf/reference/Thermal%20Conversions.pdf" TargetMode="External"/><Relationship Id="rId5" Type="http://schemas.openxmlformats.org/officeDocument/2006/relationships/hyperlink" Target="https://www.eia.gov/energyexplained/natural-gas/where-our-natural-gas-comes-from.php" TargetMode="External"/><Relationship Id="rId4" Type="http://schemas.openxmlformats.org/officeDocument/2006/relationships/hyperlink" Target="https://www.eia.gov/consumption/commercial/data/2018/index.php?view=consumption" TargetMode="External"/><Relationship Id="rId9" Type="http://schemas.openxmlformats.org/officeDocument/2006/relationships/comments" Target="../comments2.xml"/></Relationships>
</file>

<file path=xl/worksheets/_rels/sheet28.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epa.gov/climateleadership/determine-organizational-boundaries" TargetMode="External"/><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hyperlink" Target="https://www.gov.uk/government/publications/greenhouse-gas-reporting-conversion-factors-2023?trk=article-ssr-frontend-pulse_x-social-details_comments-action_comment-text" TargetMode="External"/><Relationship Id="rId2" Type="http://schemas.openxmlformats.org/officeDocument/2006/relationships/hyperlink" Target="https://www.bts.gov/browse-statistical-products-and-data/state-transportation-statistics/commute-mode" TargetMode="External"/><Relationship Id="rId1" Type="http://schemas.openxmlformats.org/officeDocument/2006/relationships/hyperlink" Target="https://www.streetlightdata.com/wp-content/uploads/2018/03/Commutes-Across-America_180201.pdf" TargetMode="External"/><Relationship Id="rId5" Type="http://schemas.openxmlformats.org/officeDocument/2006/relationships/printerSettings" Target="../printerSettings/printerSettings21.bin"/><Relationship Id="rId4" Type="http://schemas.openxmlformats.org/officeDocument/2006/relationships/hyperlink" Target="https://afdc.energy.gov/vehicle-registration" TargetMode="Externa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hyperlink" Target="https://cfpub.epa.gov/si/si_public_record_Report.cfm?dirEntryId=349324&amp;Lab=CESER" TargetMode="External"/><Relationship Id="rId2" Type="http://schemas.openxmlformats.org/officeDocument/2006/relationships/hyperlink" Target="https://ghgprotocol.org/sites/default/files/standards/Scope3_Calculation_Guidance_0.pdf" TargetMode="External"/><Relationship Id="rId1" Type="http://schemas.openxmlformats.org/officeDocument/2006/relationships/hyperlink" Target="http://ghgprotocol.org/sites/default/files/standards/Corporate-Value-Chain-Accounting-Reporing-Standard_041613_2.pdf" TargetMode="External"/><Relationship Id="rId4"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epa.gov/egrid/summary-data" TargetMode="External"/><Relationship Id="rId3" Type="http://schemas.openxmlformats.org/officeDocument/2006/relationships/hyperlink" Target="https://ghgprotocol.org/calculation-tools" TargetMode="External"/><Relationship Id="rId7" Type="http://schemas.openxmlformats.org/officeDocument/2006/relationships/hyperlink" Target="https://www.epa.gov/ghgemissions/understanding-global-warming-potentials" TargetMode="External"/><Relationship Id="rId2" Type="http://schemas.openxmlformats.org/officeDocument/2006/relationships/hyperlink" Target="https://www.ipcc.ch/publications_and_data/ar4/wg1/en/ch2s2-10-2.html" TargetMode="External"/><Relationship Id="rId1" Type="http://schemas.openxmlformats.org/officeDocument/2006/relationships/hyperlink" Target="https://ghgprotocol.org/calculation-tools" TargetMode="External"/><Relationship Id="rId6" Type="http://schemas.openxmlformats.org/officeDocument/2006/relationships/hyperlink" Target="https://www.eia.gov/energyexplained/biofuels/biodiesel-rd-other-use-supply.php" TargetMode="External"/><Relationship Id="rId5" Type="http://schemas.openxmlformats.org/officeDocument/2006/relationships/hyperlink" Target="https://www.eia.gov/energyexplained/biofuels/ethanol-use.php" TargetMode="External"/><Relationship Id="rId10" Type="http://schemas.openxmlformats.org/officeDocument/2006/relationships/drawing" Target="../drawings/drawing7.xml"/><Relationship Id="rId4" Type="http://schemas.openxmlformats.org/officeDocument/2006/relationships/hyperlink" Target="https://www.bochealthcare.co.uk/en/images/HLC_506810-MGDS%20Medical%20carbon%20dioxide%28web%29_tcm409-61147.pdf"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9AF39-D0A4-41E0-A4DD-184ADB868203}">
  <sheetPr>
    <tabColor rgb="FF94E494"/>
  </sheetPr>
  <dimension ref="A1:G33"/>
  <sheetViews>
    <sheetView tabSelected="1" zoomScale="80" zoomScaleNormal="80" workbookViewId="0">
      <pane xSplit="1" ySplit="3" topLeftCell="B4" activePane="bottomRight" state="frozen"/>
      <selection activeCell="C4" sqref="C4"/>
      <selection pane="topRight" activeCell="C4" sqref="C4"/>
      <selection pane="bottomLeft" activeCell="C4" sqref="C4"/>
      <selection pane="bottomRight" activeCell="C6" sqref="C6"/>
    </sheetView>
  </sheetViews>
  <sheetFormatPr defaultColWidth="10.5" defaultRowHeight="14"/>
  <cols>
    <col min="1" max="1" width="6.58203125" style="705" customWidth="1"/>
    <col min="2" max="2" width="25.58203125" style="6" customWidth="1"/>
    <col min="3" max="3" width="115.9140625" style="6" customWidth="1"/>
    <col min="4" max="4" width="15.08203125" style="6" bestFit="1" customWidth="1"/>
    <col min="5" max="5" width="13.58203125" style="706" customWidth="1"/>
    <col min="6" max="6" width="67.9140625" style="6" bestFit="1" customWidth="1"/>
    <col min="7" max="7" width="69" style="6" customWidth="1"/>
    <col min="8" max="16384" width="10.5" style="6"/>
  </cols>
  <sheetData>
    <row r="1" spans="1:7" ht="118.5" customHeight="1">
      <c r="A1" s="700"/>
      <c r="B1" s="701" t="s">
        <v>2214</v>
      </c>
      <c r="C1" s="702" t="s">
        <v>2215</v>
      </c>
      <c r="D1" s="703"/>
      <c r="E1" s="704"/>
    </row>
    <row r="2" spans="1:7" ht="6" customHeight="1"/>
    <row r="3" spans="1:7" s="711" customFormat="1" ht="12.5">
      <c r="A3" s="707" t="s">
        <v>2216</v>
      </c>
      <c r="B3" s="708" t="s">
        <v>2217</v>
      </c>
      <c r="C3" s="709" t="s">
        <v>2218</v>
      </c>
      <c r="D3" s="709"/>
      <c r="E3" s="710"/>
      <c r="F3" s="709"/>
      <c r="G3" s="709"/>
    </row>
    <row r="4" spans="1:7" ht="20">
      <c r="B4" s="712" t="s">
        <v>2219</v>
      </c>
    </row>
    <row r="5" spans="1:7" ht="14.25" customHeight="1">
      <c r="A5" s="713" t="s">
        <v>2215</v>
      </c>
      <c r="B5" s="714"/>
      <c r="C5" s="715"/>
    </row>
    <row r="6" spans="1:7" ht="28" customHeight="1">
      <c r="A6" s="713">
        <v>2</v>
      </c>
      <c r="B6" s="716" t="s">
        <v>2220</v>
      </c>
      <c r="C6" s="717" t="s">
        <v>3446</v>
      </c>
    </row>
    <row r="7" spans="1:7">
      <c r="A7" s="713">
        <v>1.1000000000000001</v>
      </c>
      <c r="B7" s="716" t="s">
        <v>2221</v>
      </c>
      <c r="C7" s="715" t="s">
        <v>2222</v>
      </c>
    </row>
    <row r="8" spans="1:7">
      <c r="A8" s="713">
        <v>1</v>
      </c>
      <c r="B8" s="716" t="s">
        <v>2223</v>
      </c>
      <c r="C8" s="715" t="s">
        <v>2224</v>
      </c>
    </row>
    <row r="10" spans="1:7" ht="15.5">
      <c r="B10" s="23" t="s">
        <v>2225</v>
      </c>
    </row>
    <row r="11" spans="1:7" ht="15.5">
      <c r="B11" s="23" t="s">
        <v>2226</v>
      </c>
    </row>
    <row r="13" spans="1:7" ht="15.5">
      <c r="B13" s="23" t="s">
        <v>2227</v>
      </c>
    </row>
    <row r="16" spans="1:7">
      <c r="A16" s="713" t="s">
        <v>2228</v>
      </c>
      <c r="B16" s="716" t="s">
        <v>2229</v>
      </c>
      <c r="C16" s="715" t="s">
        <v>2230</v>
      </c>
    </row>
    <row r="17" spans="1:3" ht="28">
      <c r="A17" s="713" t="s">
        <v>2231</v>
      </c>
      <c r="B17" s="715" t="s">
        <v>2232</v>
      </c>
      <c r="C17" s="717" t="s">
        <v>2233</v>
      </c>
    </row>
    <row r="18" spans="1:3">
      <c r="A18" s="713">
        <v>3</v>
      </c>
      <c r="B18" s="715" t="s">
        <v>2234</v>
      </c>
      <c r="C18" s="715" t="s">
        <v>2235</v>
      </c>
    </row>
    <row r="19" spans="1:3" ht="56">
      <c r="A19" s="713">
        <v>2</v>
      </c>
      <c r="B19" s="715" t="s">
        <v>2236</v>
      </c>
      <c r="C19" s="717" t="s">
        <v>2237</v>
      </c>
    </row>
    <row r="20" spans="1:3" ht="126">
      <c r="A20" s="713">
        <v>1</v>
      </c>
      <c r="B20" s="718" t="s">
        <v>2238</v>
      </c>
      <c r="C20" s="717" t="s">
        <v>2239</v>
      </c>
    </row>
    <row r="21" spans="1:3">
      <c r="B21" s="719"/>
    </row>
    <row r="22" spans="1:3">
      <c r="B22" s="719"/>
    </row>
    <row r="25" spans="1:3">
      <c r="B25" s="720"/>
    </row>
    <row r="26" spans="1:3">
      <c r="A26" s="713"/>
      <c r="B26" s="715"/>
      <c r="C26" s="715"/>
    </row>
    <row r="27" spans="1:3">
      <c r="A27" s="713"/>
      <c r="B27" s="715"/>
      <c r="C27" s="715"/>
    </row>
    <row r="28" spans="1:3">
      <c r="A28" s="713"/>
      <c r="B28" s="715"/>
      <c r="C28" s="715"/>
    </row>
    <row r="29" spans="1:3">
      <c r="A29" s="713"/>
      <c r="B29" s="715"/>
      <c r="C29" s="715"/>
    </row>
    <row r="30" spans="1:3">
      <c r="A30" s="713"/>
      <c r="B30" s="715"/>
      <c r="C30" s="715"/>
    </row>
    <row r="31" spans="1:3">
      <c r="A31" s="713"/>
      <c r="B31" s="715"/>
      <c r="C31" s="715"/>
    </row>
    <row r="32" spans="1:3">
      <c r="A32" s="713"/>
      <c r="B32" s="715"/>
      <c r="C32" s="715"/>
    </row>
    <row r="33" spans="1:3">
      <c r="A33" s="713"/>
      <c r="B33" s="715"/>
      <c r="C33" s="715"/>
    </row>
  </sheetData>
  <sheetProtection algorithmName="SHA-512" hashValue="0E2WPL9tPRt3utPvCsgsTSeY4VuS9/drH5OCx18xnc+bG4Ts7nAxj0SsIz8wQS9qSd/yHjxHi5Ru/Gl2xqWeYA==" saltValue="tlhwQox3qhTO+LKUTYKPZA==" spinCount="100000" sheet="1" selectLockedCells="1"/>
  <pageMargins left="0.7" right="0.7" top="0.75" bottom="0.75" header="0.3" footer="0.3"/>
  <pageSetup paperSize="9" scale="3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FAB74-D8B1-4D3A-9922-B60841AB2EA2}">
  <sheetPr>
    <tabColor rgb="FF94E494"/>
  </sheetPr>
  <dimension ref="A1:G359"/>
  <sheetViews>
    <sheetView showGridLines="0" zoomScale="70" zoomScaleNormal="70" workbookViewId="0">
      <selection activeCell="A8" sqref="A8:F8"/>
    </sheetView>
  </sheetViews>
  <sheetFormatPr defaultColWidth="10.5" defaultRowHeight="14"/>
  <cols>
    <col min="1" max="1" width="14.9140625" style="1201" bestFit="1" customWidth="1"/>
    <col min="2" max="2" width="11.4140625" style="1201" customWidth="1"/>
    <col min="3" max="3" width="11.9140625" style="1201" customWidth="1"/>
    <col min="4" max="4" width="44.58203125" style="1201" customWidth="1"/>
    <col min="5" max="5" width="11.08203125" style="1201" bestFit="1" customWidth="1"/>
    <col min="6" max="6" width="34.08203125" style="1201" customWidth="1"/>
    <col min="7" max="7" width="58.9140625" style="1201" customWidth="1"/>
    <col min="8" max="16384" width="10.5" style="1202"/>
  </cols>
  <sheetData>
    <row r="1" spans="1:7" s="1" customFormat="1" ht="23">
      <c r="D1" s="1193" t="str">
        <f>+Instructions!B2</f>
        <v>Health Care Emissions Impact Calculator-Facility</v>
      </c>
    </row>
    <row r="2" spans="1:7" s="1" customFormat="1"/>
    <row r="3" spans="1:7" s="1" customFormat="1"/>
    <row r="4" spans="1:7" s="1" customFormat="1"/>
    <row r="5" spans="1:7" s="1" customFormat="1"/>
    <row r="6" spans="1:7" s="1" customFormat="1">
      <c r="A6" s="1194" t="s">
        <v>2327</v>
      </c>
      <c r="B6" s="893"/>
      <c r="C6" s="13"/>
    </row>
    <row r="7" spans="1:7" s="1" customFormat="1">
      <c r="A7" s="1307" t="s">
        <v>3438</v>
      </c>
      <c r="B7" s="1307"/>
      <c r="C7" s="1307"/>
      <c r="D7" s="1307"/>
      <c r="E7" s="1307"/>
      <c r="F7" s="1307"/>
    </row>
    <row r="8" spans="1:7" s="1" customFormat="1" ht="30.65" customHeight="1">
      <c r="A8" s="1254" t="s">
        <v>3439</v>
      </c>
      <c r="B8" s="1254"/>
      <c r="C8" s="1254"/>
      <c r="D8" s="1254"/>
      <c r="E8" s="1254"/>
      <c r="F8" s="1254"/>
    </row>
    <row r="9" spans="1:7" s="1" customFormat="1"/>
    <row r="10" spans="1:7" s="1196" customFormat="1" ht="26">
      <c r="A10" s="1195" t="s">
        <v>3440</v>
      </c>
      <c r="B10" s="1195" t="s">
        <v>2443</v>
      </c>
      <c r="C10" s="1195" t="s">
        <v>0</v>
      </c>
      <c r="D10" s="1195" t="s">
        <v>3441</v>
      </c>
      <c r="E10" s="1195" t="s">
        <v>3442</v>
      </c>
      <c r="F10" s="1195" t="s">
        <v>2430</v>
      </c>
      <c r="G10" s="1195" t="s">
        <v>3443</v>
      </c>
    </row>
    <row r="11" spans="1:7" s="1200" customFormat="1">
      <c r="A11" s="1197"/>
      <c r="B11" s="1198"/>
      <c r="C11" s="1198"/>
      <c r="D11" s="1198"/>
      <c r="E11" s="1199"/>
      <c r="F11" s="1198"/>
      <c r="G11" s="1198"/>
    </row>
    <row r="12" spans="1:7" s="1200" customFormat="1">
      <c r="A12" s="1197"/>
      <c r="B12" s="1198"/>
      <c r="C12" s="1198"/>
      <c r="D12" s="1198"/>
      <c r="E12" s="1199"/>
      <c r="F12" s="1198"/>
      <c r="G12" s="1198"/>
    </row>
    <row r="13" spans="1:7" s="1200" customFormat="1">
      <c r="A13" s="1197"/>
      <c r="B13" s="1198"/>
      <c r="C13" s="1198"/>
      <c r="D13" s="1198"/>
      <c r="E13" s="1199"/>
      <c r="F13" s="1198"/>
      <c r="G13" s="1198"/>
    </row>
    <row r="14" spans="1:7">
      <c r="D14" s="1198"/>
    </row>
    <row r="15" spans="1:7">
      <c r="D15" s="1198"/>
    </row>
    <row r="16" spans="1:7">
      <c r="D16" s="1198"/>
    </row>
    <row r="17" spans="4:4">
      <c r="D17" s="1198"/>
    </row>
    <row r="18" spans="4:4">
      <c r="D18" s="1198"/>
    </row>
    <row r="19" spans="4:4">
      <c r="D19" s="1198"/>
    </row>
    <row r="20" spans="4:4">
      <c r="D20" s="1198"/>
    </row>
    <row r="21" spans="4:4">
      <c r="D21" s="1198"/>
    </row>
    <row r="22" spans="4:4">
      <c r="D22" s="1198"/>
    </row>
    <row r="23" spans="4:4">
      <c r="D23" s="1198"/>
    </row>
    <row r="24" spans="4:4">
      <c r="D24" s="1198"/>
    </row>
    <row r="25" spans="4:4">
      <c r="D25" s="1198"/>
    </row>
    <row r="26" spans="4:4">
      <c r="D26" s="1198"/>
    </row>
    <row r="27" spans="4:4">
      <c r="D27" s="1198"/>
    </row>
    <row r="28" spans="4:4">
      <c r="D28" s="1198"/>
    </row>
    <row r="29" spans="4:4">
      <c r="D29" s="1198"/>
    </row>
    <row r="30" spans="4:4">
      <c r="D30" s="1198"/>
    </row>
    <row r="31" spans="4:4">
      <c r="D31" s="1198"/>
    </row>
    <row r="32" spans="4:4">
      <c r="D32" s="1198"/>
    </row>
    <row r="33" spans="4:4">
      <c r="D33" s="1198"/>
    </row>
    <row r="34" spans="4:4">
      <c r="D34" s="1198"/>
    </row>
    <row r="35" spans="4:4">
      <c r="D35" s="1198"/>
    </row>
    <row r="36" spans="4:4">
      <c r="D36" s="1198"/>
    </row>
    <row r="37" spans="4:4">
      <c r="D37" s="1198"/>
    </row>
    <row r="38" spans="4:4">
      <c r="D38" s="1198"/>
    </row>
    <row r="39" spans="4:4">
      <c r="D39" s="1198"/>
    </row>
    <row r="40" spans="4:4">
      <c r="D40" s="1198"/>
    </row>
    <row r="41" spans="4:4">
      <c r="D41" s="1198"/>
    </row>
    <row r="42" spans="4:4">
      <c r="D42" s="1198"/>
    </row>
    <row r="43" spans="4:4">
      <c r="D43" s="1198"/>
    </row>
    <row r="44" spans="4:4">
      <c r="D44" s="1198"/>
    </row>
    <row r="45" spans="4:4">
      <c r="D45" s="1198"/>
    </row>
    <row r="46" spans="4:4">
      <c r="D46" s="1198"/>
    </row>
    <row r="47" spans="4:4">
      <c r="D47" s="1198"/>
    </row>
    <row r="48" spans="4:4">
      <c r="D48" s="1198"/>
    </row>
    <row r="49" spans="4:4">
      <c r="D49" s="1198"/>
    </row>
    <row r="50" spans="4:4">
      <c r="D50" s="1198"/>
    </row>
    <row r="51" spans="4:4">
      <c r="D51" s="1198"/>
    </row>
    <row r="52" spans="4:4">
      <c r="D52" s="1198"/>
    </row>
    <row r="53" spans="4:4">
      <c r="D53" s="1198"/>
    </row>
    <row r="54" spans="4:4">
      <c r="D54" s="1198"/>
    </row>
    <row r="55" spans="4:4">
      <c r="D55" s="1198"/>
    </row>
    <row r="56" spans="4:4">
      <c r="D56" s="1198"/>
    </row>
    <row r="57" spans="4:4">
      <c r="D57" s="1198"/>
    </row>
    <row r="58" spans="4:4">
      <c r="D58" s="1198"/>
    </row>
    <row r="59" spans="4:4">
      <c r="D59" s="1198"/>
    </row>
    <row r="60" spans="4:4">
      <c r="D60" s="1198"/>
    </row>
    <row r="61" spans="4:4">
      <c r="D61" s="1198"/>
    </row>
    <row r="62" spans="4:4">
      <c r="D62" s="1198"/>
    </row>
    <row r="63" spans="4:4">
      <c r="D63" s="1198"/>
    </row>
    <row r="64" spans="4:4">
      <c r="D64" s="1198"/>
    </row>
    <row r="65" spans="4:4">
      <c r="D65" s="1198"/>
    </row>
    <row r="66" spans="4:4">
      <c r="D66" s="1198"/>
    </row>
    <row r="67" spans="4:4">
      <c r="D67" s="1198"/>
    </row>
    <row r="68" spans="4:4">
      <c r="D68" s="1198"/>
    </row>
    <row r="69" spans="4:4">
      <c r="D69" s="1198"/>
    </row>
    <row r="70" spans="4:4">
      <c r="D70" s="1198"/>
    </row>
    <row r="71" spans="4:4">
      <c r="D71" s="1198"/>
    </row>
    <row r="72" spans="4:4">
      <c r="D72" s="1198"/>
    </row>
    <row r="73" spans="4:4">
      <c r="D73" s="1198"/>
    </row>
    <row r="74" spans="4:4">
      <c r="D74" s="1198"/>
    </row>
    <row r="75" spans="4:4">
      <c r="D75" s="1198"/>
    </row>
    <row r="76" spans="4:4">
      <c r="D76" s="1198"/>
    </row>
    <row r="77" spans="4:4">
      <c r="D77" s="1198"/>
    </row>
    <row r="78" spans="4:4">
      <c r="D78" s="1198"/>
    </row>
    <row r="79" spans="4:4">
      <c r="D79" s="1198"/>
    </row>
    <row r="80" spans="4:4">
      <c r="D80" s="1198"/>
    </row>
    <row r="81" spans="4:4">
      <c r="D81" s="1198"/>
    </row>
    <row r="82" spans="4:4">
      <c r="D82" s="1198"/>
    </row>
    <row r="83" spans="4:4">
      <c r="D83" s="1198"/>
    </row>
    <row r="84" spans="4:4">
      <c r="D84" s="1198"/>
    </row>
    <row r="85" spans="4:4">
      <c r="D85" s="1198"/>
    </row>
    <row r="86" spans="4:4">
      <c r="D86" s="1198"/>
    </row>
    <row r="87" spans="4:4">
      <c r="D87" s="1198"/>
    </row>
    <row r="88" spans="4:4">
      <c r="D88" s="1198"/>
    </row>
    <row r="89" spans="4:4">
      <c r="D89" s="1198"/>
    </row>
    <row r="90" spans="4:4">
      <c r="D90" s="1198"/>
    </row>
    <row r="91" spans="4:4">
      <c r="D91" s="1198"/>
    </row>
    <row r="92" spans="4:4">
      <c r="D92" s="1198"/>
    </row>
    <row r="93" spans="4:4">
      <c r="D93" s="1198"/>
    </row>
    <row r="94" spans="4:4">
      <c r="D94" s="1198"/>
    </row>
    <row r="95" spans="4:4">
      <c r="D95" s="1198"/>
    </row>
    <row r="96" spans="4:4">
      <c r="D96" s="1198"/>
    </row>
    <row r="97" spans="4:4">
      <c r="D97" s="1198"/>
    </row>
    <row r="98" spans="4:4">
      <c r="D98" s="1198"/>
    </row>
    <row r="99" spans="4:4">
      <c r="D99" s="1198"/>
    </row>
    <row r="100" spans="4:4">
      <c r="D100" s="1198"/>
    </row>
    <row r="101" spans="4:4">
      <c r="D101" s="1198"/>
    </row>
    <row r="102" spans="4:4">
      <c r="D102" s="1198"/>
    </row>
    <row r="103" spans="4:4">
      <c r="D103" s="1198"/>
    </row>
    <row r="104" spans="4:4">
      <c r="D104" s="1198"/>
    </row>
    <row r="105" spans="4:4">
      <c r="D105" s="1198"/>
    </row>
    <row r="106" spans="4:4">
      <c r="D106" s="1198"/>
    </row>
    <row r="107" spans="4:4">
      <c r="D107" s="1198"/>
    </row>
    <row r="108" spans="4:4">
      <c r="D108" s="1198"/>
    </row>
    <row r="109" spans="4:4">
      <c r="D109" s="1198"/>
    </row>
    <row r="110" spans="4:4">
      <c r="D110" s="1198"/>
    </row>
    <row r="111" spans="4:4">
      <c r="D111" s="1198"/>
    </row>
    <row r="112" spans="4:4">
      <c r="D112" s="1198"/>
    </row>
    <row r="113" spans="4:4">
      <c r="D113" s="1198"/>
    </row>
    <row r="114" spans="4:4">
      <c r="D114" s="1198"/>
    </row>
    <row r="115" spans="4:4">
      <c r="D115" s="1198"/>
    </row>
    <row r="116" spans="4:4">
      <c r="D116" s="1198"/>
    </row>
    <row r="117" spans="4:4">
      <c r="D117" s="1198"/>
    </row>
    <row r="118" spans="4:4">
      <c r="D118" s="1198"/>
    </row>
    <row r="119" spans="4:4">
      <c r="D119" s="1198"/>
    </row>
    <row r="120" spans="4:4">
      <c r="D120" s="1198"/>
    </row>
    <row r="121" spans="4:4">
      <c r="D121" s="1198"/>
    </row>
    <row r="122" spans="4:4">
      <c r="D122" s="1198"/>
    </row>
    <row r="123" spans="4:4">
      <c r="D123" s="1198"/>
    </row>
    <row r="124" spans="4:4">
      <c r="D124" s="1198"/>
    </row>
    <row r="125" spans="4:4">
      <c r="D125" s="1198"/>
    </row>
    <row r="126" spans="4:4">
      <c r="D126" s="1198"/>
    </row>
    <row r="127" spans="4:4">
      <c r="D127" s="1198"/>
    </row>
    <row r="128" spans="4:4">
      <c r="D128" s="1198"/>
    </row>
    <row r="129" spans="4:4">
      <c r="D129" s="1198"/>
    </row>
    <row r="130" spans="4:4">
      <c r="D130" s="1198"/>
    </row>
    <row r="131" spans="4:4">
      <c r="D131" s="1198"/>
    </row>
    <row r="132" spans="4:4">
      <c r="D132" s="1198"/>
    </row>
    <row r="133" spans="4:4">
      <c r="D133" s="1198"/>
    </row>
    <row r="134" spans="4:4">
      <c r="D134" s="1198"/>
    </row>
    <row r="135" spans="4:4">
      <c r="D135" s="1198"/>
    </row>
    <row r="136" spans="4:4">
      <c r="D136" s="1198"/>
    </row>
    <row r="137" spans="4:4">
      <c r="D137" s="1198"/>
    </row>
    <row r="138" spans="4:4">
      <c r="D138" s="1198"/>
    </row>
    <row r="139" spans="4:4">
      <c r="D139" s="1198"/>
    </row>
    <row r="140" spans="4:4">
      <c r="D140" s="1198"/>
    </row>
    <row r="141" spans="4:4">
      <c r="D141" s="1198"/>
    </row>
    <row r="142" spans="4:4">
      <c r="D142" s="1198"/>
    </row>
    <row r="143" spans="4:4">
      <c r="D143" s="1198"/>
    </row>
    <row r="144" spans="4:4">
      <c r="D144" s="1198"/>
    </row>
    <row r="145" spans="4:4">
      <c r="D145" s="1198"/>
    </row>
    <row r="146" spans="4:4">
      <c r="D146" s="1198"/>
    </row>
    <row r="147" spans="4:4">
      <c r="D147" s="1198"/>
    </row>
    <row r="148" spans="4:4">
      <c r="D148" s="1198"/>
    </row>
    <row r="149" spans="4:4">
      <c r="D149" s="1198"/>
    </row>
    <row r="150" spans="4:4">
      <c r="D150" s="1198"/>
    </row>
    <row r="151" spans="4:4">
      <c r="D151" s="1198"/>
    </row>
    <row r="152" spans="4:4">
      <c r="D152" s="1198"/>
    </row>
    <row r="153" spans="4:4">
      <c r="D153" s="1198"/>
    </row>
    <row r="154" spans="4:4">
      <c r="D154" s="1198"/>
    </row>
    <row r="155" spans="4:4">
      <c r="D155" s="1198"/>
    </row>
    <row r="156" spans="4:4">
      <c r="D156" s="1198"/>
    </row>
    <row r="157" spans="4:4">
      <c r="D157" s="1198"/>
    </row>
    <row r="158" spans="4:4">
      <c r="D158" s="1198"/>
    </row>
    <row r="159" spans="4:4">
      <c r="D159" s="1198"/>
    </row>
    <row r="160" spans="4:4">
      <c r="D160" s="1198"/>
    </row>
    <row r="161" spans="4:4">
      <c r="D161" s="1198"/>
    </row>
    <row r="162" spans="4:4">
      <c r="D162" s="1198"/>
    </row>
    <row r="163" spans="4:4">
      <c r="D163" s="1198"/>
    </row>
    <row r="164" spans="4:4">
      <c r="D164" s="1198"/>
    </row>
    <row r="165" spans="4:4">
      <c r="D165" s="1198"/>
    </row>
    <row r="166" spans="4:4">
      <c r="D166" s="1198"/>
    </row>
    <row r="167" spans="4:4">
      <c r="D167" s="1198"/>
    </row>
    <row r="168" spans="4:4">
      <c r="D168" s="1198"/>
    </row>
    <row r="169" spans="4:4">
      <c r="D169" s="1198"/>
    </row>
    <row r="170" spans="4:4">
      <c r="D170" s="1198"/>
    </row>
    <row r="171" spans="4:4">
      <c r="D171" s="1198"/>
    </row>
    <row r="172" spans="4:4">
      <c r="D172" s="1198"/>
    </row>
    <row r="173" spans="4:4">
      <c r="D173" s="1198"/>
    </row>
    <row r="174" spans="4:4">
      <c r="D174" s="1198"/>
    </row>
    <row r="175" spans="4:4">
      <c r="D175" s="1198"/>
    </row>
    <row r="176" spans="4:4">
      <c r="D176" s="1198"/>
    </row>
    <row r="177" spans="4:4">
      <c r="D177" s="1198"/>
    </row>
    <row r="178" spans="4:4">
      <c r="D178" s="1198"/>
    </row>
    <row r="179" spans="4:4">
      <c r="D179" s="1198"/>
    </row>
    <row r="180" spans="4:4">
      <c r="D180" s="1198"/>
    </row>
    <row r="181" spans="4:4">
      <c r="D181" s="1198"/>
    </row>
    <row r="182" spans="4:4">
      <c r="D182" s="1198"/>
    </row>
    <row r="183" spans="4:4">
      <c r="D183" s="1198"/>
    </row>
    <row r="184" spans="4:4">
      <c r="D184" s="1198"/>
    </row>
    <row r="185" spans="4:4">
      <c r="D185" s="1198"/>
    </row>
    <row r="186" spans="4:4">
      <c r="D186" s="1198"/>
    </row>
    <row r="187" spans="4:4">
      <c r="D187" s="1198"/>
    </row>
    <row r="188" spans="4:4">
      <c r="D188" s="1198"/>
    </row>
    <row r="189" spans="4:4">
      <c r="D189" s="1198"/>
    </row>
    <row r="190" spans="4:4">
      <c r="D190" s="1198"/>
    </row>
    <row r="191" spans="4:4">
      <c r="D191" s="1198"/>
    </row>
    <row r="192" spans="4:4">
      <c r="D192" s="1198"/>
    </row>
    <row r="193" spans="4:4">
      <c r="D193" s="1198"/>
    </row>
    <row r="194" spans="4:4">
      <c r="D194" s="1198"/>
    </row>
    <row r="195" spans="4:4">
      <c r="D195" s="1198"/>
    </row>
    <row r="196" spans="4:4">
      <c r="D196" s="1198"/>
    </row>
    <row r="197" spans="4:4">
      <c r="D197" s="1198"/>
    </row>
    <row r="198" spans="4:4">
      <c r="D198" s="1198"/>
    </row>
    <row r="199" spans="4:4">
      <c r="D199" s="1198"/>
    </row>
    <row r="200" spans="4:4">
      <c r="D200" s="1198"/>
    </row>
    <row r="201" spans="4:4">
      <c r="D201" s="1198"/>
    </row>
    <row r="202" spans="4:4">
      <c r="D202" s="1198"/>
    </row>
    <row r="203" spans="4:4">
      <c r="D203" s="1198"/>
    </row>
    <row r="204" spans="4:4">
      <c r="D204" s="1198"/>
    </row>
    <row r="205" spans="4:4">
      <c r="D205" s="1198"/>
    </row>
    <row r="206" spans="4:4">
      <c r="D206" s="1198"/>
    </row>
    <row r="207" spans="4:4">
      <c r="D207" s="1198"/>
    </row>
    <row r="208" spans="4:4">
      <c r="D208" s="1198"/>
    </row>
    <row r="209" spans="4:4">
      <c r="D209" s="1198"/>
    </row>
    <row r="210" spans="4:4">
      <c r="D210" s="1198"/>
    </row>
    <row r="211" spans="4:4">
      <c r="D211" s="1198"/>
    </row>
    <row r="212" spans="4:4">
      <c r="D212" s="1198"/>
    </row>
    <row r="213" spans="4:4">
      <c r="D213" s="1198"/>
    </row>
    <row r="214" spans="4:4">
      <c r="D214" s="1198"/>
    </row>
    <row r="215" spans="4:4">
      <c r="D215" s="1198"/>
    </row>
    <row r="216" spans="4:4">
      <c r="D216" s="1198"/>
    </row>
    <row r="217" spans="4:4">
      <c r="D217" s="1198"/>
    </row>
    <row r="218" spans="4:4">
      <c r="D218" s="1198"/>
    </row>
    <row r="219" spans="4:4">
      <c r="D219" s="1198"/>
    </row>
    <row r="220" spans="4:4">
      <c r="D220" s="1198"/>
    </row>
    <row r="221" spans="4:4">
      <c r="D221" s="1198"/>
    </row>
    <row r="222" spans="4:4">
      <c r="D222" s="1198"/>
    </row>
    <row r="223" spans="4:4">
      <c r="D223" s="1198"/>
    </row>
    <row r="224" spans="4:4">
      <c r="D224" s="1198"/>
    </row>
    <row r="225" spans="4:4">
      <c r="D225" s="1198"/>
    </row>
    <row r="226" spans="4:4">
      <c r="D226" s="1198"/>
    </row>
    <row r="227" spans="4:4">
      <c r="D227" s="1198"/>
    </row>
    <row r="228" spans="4:4">
      <c r="D228" s="1198"/>
    </row>
    <row r="229" spans="4:4">
      <c r="D229" s="1198"/>
    </row>
    <row r="230" spans="4:4">
      <c r="D230" s="1198"/>
    </row>
    <row r="231" spans="4:4">
      <c r="D231" s="1198"/>
    </row>
    <row r="232" spans="4:4">
      <c r="D232" s="1198"/>
    </row>
    <row r="233" spans="4:4">
      <c r="D233" s="1198"/>
    </row>
    <row r="234" spans="4:4">
      <c r="D234" s="1198"/>
    </row>
    <row r="235" spans="4:4">
      <c r="D235" s="1198"/>
    </row>
    <row r="236" spans="4:4">
      <c r="D236" s="1198"/>
    </row>
    <row r="237" spans="4:4">
      <c r="D237" s="1198"/>
    </row>
    <row r="238" spans="4:4">
      <c r="D238" s="1198"/>
    </row>
    <row r="239" spans="4:4">
      <c r="D239" s="1198"/>
    </row>
    <row r="240" spans="4:4">
      <c r="D240" s="1198"/>
    </row>
    <row r="241" spans="4:4">
      <c r="D241" s="1198"/>
    </row>
    <row r="242" spans="4:4">
      <c r="D242" s="1198"/>
    </row>
    <row r="243" spans="4:4">
      <c r="D243" s="1198"/>
    </row>
    <row r="244" spans="4:4">
      <c r="D244" s="1198"/>
    </row>
    <row r="245" spans="4:4">
      <c r="D245" s="1198"/>
    </row>
    <row r="246" spans="4:4">
      <c r="D246" s="1198"/>
    </row>
    <row r="247" spans="4:4">
      <c r="D247" s="1198"/>
    </row>
    <row r="248" spans="4:4">
      <c r="D248" s="1198"/>
    </row>
    <row r="249" spans="4:4">
      <c r="D249" s="1198"/>
    </row>
    <row r="250" spans="4:4">
      <c r="D250" s="1198"/>
    </row>
    <row r="251" spans="4:4">
      <c r="D251" s="1198"/>
    </row>
    <row r="252" spans="4:4">
      <c r="D252" s="1198"/>
    </row>
    <row r="253" spans="4:4">
      <c r="D253" s="1198"/>
    </row>
    <row r="254" spans="4:4">
      <c r="D254" s="1198"/>
    </row>
    <row r="255" spans="4:4">
      <c r="D255" s="1198"/>
    </row>
    <row r="256" spans="4:4">
      <c r="D256" s="1198"/>
    </row>
    <row r="257" spans="4:4">
      <c r="D257" s="1198"/>
    </row>
    <row r="258" spans="4:4">
      <c r="D258" s="1198"/>
    </row>
    <row r="259" spans="4:4">
      <c r="D259" s="1198"/>
    </row>
    <row r="260" spans="4:4">
      <c r="D260" s="1198"/>
    </row>
    <row r="261" spans="4:4">
      <c r="D261" s="1198"/>
    </row>
    <row r="262" spans="4:4">
      <c r="D262" s="1198"/>
    </row>
    <row r="263" spans="4:4">
      <c r="D263" s="1198"/>
    </row>
    <row r="264" spans="4:4">
      <c r="D264" s="1198"/>
    </row>
    <row r="265" spans="4:4">
      <c r="D265" s="1198"/>
    </row>
    <row r="266" spans="4:4">
      <c r="D266" s="1198"/>
    </row>
    <row r="267" spans="4:4">
      <c r="D267" s="1198"/>
    </row>
    <row r="268" spans="4:4">
      <c r="D268" s="1198"/>
    </row>
    <row r="269" spans="4:4">
      <c r="D269" s="1198"/>
    </row>
    <row r="270" spans="4:4">
      <c r="D270" s="1198"/>
    </row>
    <row r="271" spans="4:4">
      <c r="D271" s="1198"/>
    </row>
    <row r="272" spans="4:4">
      <c r="D272" s="1198"/>
    </row>
    <row r="273" spans="4:4">
      <c r="D273" s="1198"/>
    </row>
    <row r="274" spans="4:4">
      <c r="D274" s="1198"/>
    </row>
    <row r="275" spans="4:4">
      <c r="D275" s="1198"/>
    </row>
    <row r="276" spans="4:4">
      <c r="D276" s="1198"/>
    </row>
    <row r="277" spans="4:4">
      <c r="D277" s="1198"/>
    </row>
    <row r="278" spans="4:4">
      <c r="D278" s="1198"/>
    </row>
    <row r="279" spans="4:4">
      <c r="D279" s="1198"/>
    </row>
    <row r="280" spans="4:4">
      <c r="D280" s="1198"/>
    </row>
    <row r="281" spans="4:4">
      <c r="D281" s="1198"/>
    </row>
    <row r="282" spans="4:4">
      <c r="D282" s="1198"/>
    </row>
    <row r="283" spans="4:4">
      <c r="D283" s="1198"/>
    </row>
    <row r="284" spans="4:4">
      <c r="D284" s="1198"/>
    </row>
    <row r="285" spans="4:4">
      <c r="D285" s="1198"/>
    </row>
    <row r="286" spans="4:4">
      <c r="D286" s="1198"/>
    </row>
    <row r="287" spans="4:4">
      <c r="D287" s="1198"/>
    </row>
    <row r="288" spans="4:4">
      <c r="D288" s="1198"/>
    </row>
    <row r="289" spans="4:4">
      <c r="D289" s="1198"/>
    </row>
    <row r="290" spans="4:4">
      <c r="D290" s="1198"/>
    </row>
    <row r="291" spans="4:4">
      <c r="D291" s="1198"/>
    </row>
    <row r="292" spans="4:4">
      <c r="D292" s="1198"/>
    </row>
    <row r="293" spans="4:4">
      <c r="D293" s="1198"/>
    </row>
    <row r="294" spans="4:4">
      <c r="D294" s="1198"/>
    </row>
    <row r="295" spans="4:4">
      <c r="D295" s="1198"/>
    </row>
    <row r="296" spans="4:4">
      <c r="D296" s="1198"/>
    </row>
    <row r="297" spans="4:4">
      <c r="D297" s="1198"/>
    </row>
    <row r="298" spans="4:4">
      <c r="D298" s="1198"/>
    </row>
    <row r="299" spans="4:4">
      <c r="D299" s="1198"/>
    </row>
    <row r="300" spans="4:4">
      <c r="D300" s="1198"/>
    </row>
    <row r="301" spans="4:4">
      <c r="D301" s="1198"/>
    </row>
    <row r="302" spans="4:4">
      <c r="D302" s="1198"/>
    </row>
    <row r="303" spans="4:4">
      <c r="D303" s="1198"/>
    </row>
    <row r="304" spans="4:4">
      <c r="D304" s="1198"/>
    </row>
    <row r="305" spans="4:4">
      <c r="D305" s="1198"/>
    </row>
    <row r="306" spans="4:4">
      <c r="D306" s="1198"/>
    </row>
    <row r="307" spans="4:4">
      <c r="D307" s="1198"/>
    </row>
    <row r="308" spans="4:4">
      <c r="D308" s="1198"/>
    </row>
    <row r="309" spans="4:4">
      <c r="D309" s="1198"/>
    </row>
    <row r="310" spans="4:4">
      <c r="D310" s="1198"/>
    </row>
    <row r="311" spans="4:4">
      <c r="D311" s="1198"/>
    </row>
    <row r="312" spans="4:4">
      <c r="D312" s="1198"/>
    </row>
    <row r="313" spans="4:4">
      <c r="D313" s="1198"/>
    </row>
    <row r="314" spans="4:4">
      <c r="D314" s="1198"/>
    </row>
    <row r="315" spans="4:4">
      <c r="D315" s="1198"/>
    </row>
    <row r="316" spans="4:4">
      <c r="D316" s="1198"/>
    </row>
    <row r="317" spans="4:4">
      <c r="D317" s="1198"/>
    </row>
    <row r="318" spans="4:4">
      <c r="D318" s="1198"/>
    </row>
    <row r="319" spans="4:4">
      <c r="D319" s="1198"/>
    </row>
    <row r="320" spans="4:4">
      <c r="D320" s="1198"/>
    </row>
    <row r="321" spans="4:4">
      <c r="D321" s="1198"/>
    </row>
    <row r="322" spans="4:4">
      <c r="D322" s="1198"/>
    </row>
    <row r="323" spans="4:4">
      <c r="D323" s="1198"/>
    </row>
    <row r="324" spans="4:4">
      <c r="D324" s="1198"/>
    </row>
    <row r="325" spans="4:4">
      <c r="D325" s="1198"/>
    </row>
    <row r="326" spans="4:4">
      <c r="D326" s="1198"/>
    </row>
    <row r="327" spans="4:4">
      <c r="D327" s="1198"/>
    </row>
    <row r="328" spans="4:4">
      <c r="D328" s="1198"/>
    </row>
    <row r="329" spans="4:4">
      <c r="D329" s="1198"/>
    </row>
    <row r="330" spans="4:4">
      <c r="D330" s="1198"/>
    </row>
    <row r="331" spans="4:4">
      <c r="D331" s="1198"/>
    </row>
    <row r="332" spans="4:4">
      <c r="D332" s="1198"/>
    </row>
    <row r="333" spans="4:4">
      <c r="D333" s="1198"/>
    </row>
    <row r="334" spans="4:4">
      <c r="D334" s="1198"/>
    </row>
    <row r="335" spans="4:4">
      <c r="D335" s="1198"/>
    </row>
    <row r="336" spans="4:4">
      <c r="D336" s="1198"/>
    </row>
    <row r="337" spans="4:4">
      <c r="D337" s="1198"/>
    </row>
    <row r="338" spans="4:4">
      <c r="D338" s="1198"/>
    </row>
    <row r="339" spans="4:4">
      <c r="D339" s="1198"/>
    </row>
    <row r="340" spans="4:4">
      <c r="D340" s="1198"/>
    </row>
    <row r="341" spans="4:4">
      <c r="D341" s="1198"/>
    </row>
    <row r="342" spans="4:4">
      <c r="D342" s="1198"/>
    </row>
    <row r="343" spans="4:4">
      <c r="D343" s="1198"/>
    </row>
    <row r="344" spans="4:4">
      <c r="D344" s="1198"/>
    </row>
    <row r="345" spans="4:4">
      <c r="D345" s="1198"/>
    </row>
    <row r="346" spans="4:4">
      <c r="D346" s="1198"/>
    </row>
    <row r="347" spans="4:4">
      <c r="D347" s="1198"/>
    </row>
    <row r="348" spans="4:4">
      <c r="D348" s="1198"/>
    </row>
    <row r="349" spans="4:4">
      <c r="D349" s="1198"/>
    </row>
    <row r="350" spans="4:4">
      <c r="D350" s="1198"/>
    </row>
    <row r="351" spans="4:4">
      <c r="D351" s="1198"/>
    </row>
    <row r="352" spans="4:4">
      <c r="D352" s="1198"/>
    </row>
    <row r="353" spans="4:4">
      <c r="D353" s="1198"/>
    </row>
    <row r="354" spans="4:4">
      <c r="D354" s="1198"/>
    </row>
    <row r="355" spans="4:4">
      <c r="D355" s="1198"/>
    </row>
    <row r="356" spans="4:4">
      <c r="D356" s="1198"/>
    </row>
    <row r="357" spans="4:4">
      <c r="D357" s="1198"/>
    </row>
    <row r="358" spans="4:4">
      <c r="D358" s="1198"/>
    </row>
    <row r="359" spans="4:4">
      <c r="D359" s="1198"/>
    </row>
  </sheetData>
  <sheetProtection algorithmName="SHA-512" hashValue="BMb1Ldf1IG7/Fm3FXOjSear506OUX1lWjppHU9XriedKeXvJGGIMr5tah6o1uhDX7xkmsMNrUgKRaOAj2PHsHw==" saltValue="lf+X07yJiDPLPHf0hwZhMQ==" spinCount="100000" sheet="1" objects="1" scenarios="1"/>
  <mergeCells count="2">
    <mergeCell ref="A7:F7"/>
    <mergeCell ref="A8:F8"/>
  </mergeCells>
  <pageMargins left="0.7" right="0.7" top="0.82291666666666663" bottom="0.75" header="0.3" footer="0.3"/>
  <pageSetup orientation="portrait" r:id="rId1"/>
  <headerFooter>
    <oddHeader xml:space="preserve">&amp;L&amp;G&amp;R&amp;"-,Negrita"&amp;8
Herramienta para el cálculo de la huella de carbono en hospitales&amp;"-,Normal"
</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A08DDDAD-3888-454F-BEB0-DC5A0835EEE5}">
          <x14:formula1>
            <xm:f>'S1&amp;2 Lists'!$CK$3:$CK$17</xm:f>
          </x14:formula1>
          <xm:sqref>D11:D359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ABF64-48C6-4582-A004-80274A155EA3}">
  <sheetPr>
    <tabColor theme="3" tint="0.59999389629810485"/>
  </sheetPr>
  <dimension ref="B1:S31"/>
  <sheetViews>
    <sheetView showGridLines="0" topLeftCell="A10" workbookViewId="0">
      <selection activeCell="B26" sqref="B26"/>
    </sheetView>
  </sheetViews>
  <sheetFormatPr defaultRowHeight="14"/>
  <cols>
    <col min="1" max="1" width="5.4140625" customWidth="1"/>
    <col min="2" max="2" width="186.08203125" customWidth="1"/>
  </cols>
  <sheetData>
    <row r="1" spans="2:2" ht="20">
      <c r="B1" s="154" t="s">
        <v>1454</v>
      </c>
    </row>
    <row r="2" spans="2:2" ht="17.5">
      <c r="B2" s="155"/>
    </row>
    <row r="3" spans="2:2">
      <c r="B3" s="156" t="s">
        <v>1455</v>
      </c>
    </row>
    <row r="4" spans="2:2">
      <c r="B4" s="157"/>
    </row>
    <row r="5" spans="2:2">
      <c r="B5" s="158" t="s">
        <v>1456</v>
      </c>
    </row>
    <row r="6" spans="2:2">
      <c r="B6" s="156" t="s">
        <v>1457</v>
      </c>
    </row>
    <row r="7" spans="2:2">
      <c r="B7" s="156" t="s">
        <v>1458</v>
      </c>
    </row>
    <row r="8" spans="2:2">
      <c r="B8" s="156" t="s">
        <v>1459</v>
      </c>
    </row>
    <row r="10" spans="2:2">
      <c r="B10" s="156" t="s">
        <v>1460</v>
      </c>
    </row>
    <row r="11" spans="2:2">
      <c r="B11" s="159" t="s">
        <v>1461</v>
      </c>
    </row>
    <row r="12" spans="2:2">
      <c r="B12" s="159" t="s">
        <v>1462</v>
      </c>
    </row>
    <row r="14" spans="2:2">
      <c r="B14" t="s">
        <v>1463</v>
      </c>
    </row>
    <row r="15" spans="2:2">
      <c r="B15" s="160" t="s">
        <v>1464</v>
      </c>
    </row>
    <row r="16" spans="2:2">
      <c r="B16" s="160" t="s">
        <v>1465</v>
      </c>
    </row>
    <row r="17" spans="2:19">
      <c r="B17" s="160" t="s">
        <v>1466</v>
      </c>
    </row>
    <row r="18" spans="2:19">
      <c r="B18" s="160" t="s">
        <v>1467</v>
      </c>
    </row>
    <row r="19" spans="2:19">
      <c r="B19" s="160" t="s">
        <v>1468</v>
      </c>
    </row>
    <row r="21" spans="2:19">
      <c r="B21" t="s">
        <v>1469</v>
      </c>
    </row>
    <row r="22" spans="2:19">
      <c r="B22" s="160" t="s">
        <v>1470</v>
      </c>
    </row>
    <row r="24" spans="2:19">
      <c r="B24" t="s">
        <v>1471</v>
      </c>
    </row>
    <row r="25" spans="2:19">
      <c r="B25" s="160" t="s">
        <v>1472</v>
      </c>
    </row>
    <row r="26" spans="2:19">
      <c r="B26" s="160" t="s">
        <v>1473</v>
      </c>
    </row>
    <row r="27" spans="2:19" ht="32.25" customHeight="1">
      <c r="B27" s="161" t="s">
        <v>1474</v>
      </c>
      <c r="C27" s="161"/>
      <c r="D27" s="161"/>
      <c r="E27" s="161"/>
      <c r="F27" s="161"/>
      <c r="G27" s="161"/>
      <c r="H27" s="161"/>
      <c r="I27" s="161"/>
      <c r="J27" s="161"/>
      <c r="K27" s="161"/>
      <c r="L27" s="161"/>
      <c r="M27" s="161"/>
      <c r="N27" s="161"/>
      <c r="O27" s="161"/>
      <c r="P27" s="161"/>
      <c r="Q27" s="161"/>
      <c r="R27" s="161"/>
      <c r="S27" s="161"/>
    </row>
    <row r="28" spans="2:19">
      <c r="B28" s="162" t="s">
        <v>1475</v>
      </c>
    </row>
    <row r="29" spans="2:19">
      <c r="B29" s="160" t="s">
        <v>1476</v>
      </c>
    </row>
    <row r="30" spans="2:19">
      <c r="B30" s="160" t="s">
        <v>1477</v>
      </c>
    </row>
    <row r="31" spans="2:19">
      <c r="B31" s="160" t="s">
        <v>1478</v>
      </c>
    </row>
  </sheetData>
  <sheetProtection algorithmName="SHA-512" hashValue="qwKYSXZTTks3IWi+1qHEo6uMIb4wDEBzY1wuvhV9Z2DkK6i+6dab28BK9gA/okTTOXMFEbM4p6Xx2e++Arqg6w==" saltValue="ALvUBoslzIH+gwXvKsM3EA==" spinCount="100000" sheet="1" objects="1" scenarios="1"/>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E0162-7C43-431C-8D49-F2E50E035D60}">
  <sheetPr>
    <tabColor theme="3" tint="0.59999389629810485"/>
  </sheetPr>
  <dimension ref="B3:H31"/>
  <sheetViews>
    <sheetView showGridLines="0" zoomScale="90" zoomScaleNormal="90" workbookViewId="0">
      <selection activeCell="B13" sqref="B13:E13"/>
    </sheetView>
  </sheetViews>
  <sheetFormatPr defaultColWidth="9.08203125" defaultRowHeight="14"/>
  <cols>
    <col min="1" max="1" width="2.6640625" style="4" customWidth="1"/>
    <col min="2" max="2" width="7.08203125" style="4" customWidth="1"/>
    <col min="3" max="3" width="50.5" style="4" bestFit="1" customWidth="1"/>
    <col min="4" max="4" width="30.1640625" style="167" customWidth="1"/>
    <col min="5" max="5" width="84.6640625" style="4" customWidth="1"/>
    <col min="6" max="6" width="37" style="4" customWidth="1"/>
    <col min="7" max="7" width="62.4140625" style="4" customWidth="1"/>
    <col min="8" max="19" width="9.08203125" style="4"/>
    <col min="20" max="20" width="9.08203125" style="4" customWidth="1"/>
    <col min="21" max="16384" width="9.08203125" style="4"/>
  </cols>
  <sheetData>
    <row r="3" spans="2:8">
      <c r="D3" s="10"/>
      <c r="E3"/>
    </row>
    <row r="4" spans="2:8">
      <c r="D4" s="10"/>
      <c r="E4"/>
    </row>
    <row r="5" spans="2:8">
      <c r="D5" s="10"/>
      <c r="E5"/>
    </row>
    <row r="6" spans="2:8">
      <c r="D6" s="10"/>
      <c r="E6"/>
    </row>
    <row r="7" spans="2:8">
      <c r="D7" s="10"/>
      <c r="E7"/>
    </row>
    <row r="8" spans="2:8">
      <c r="D8" s="10"/>
      <c r="E8"/>
    </row>
    <row r="10" spans="2:8" s="6" customFormat="1" ht="28">
      <c r="B10" s="163" t="s">
        <v>1479</v>
      </c>
      <c r="C10" s="164"/>
      <c r="D10" s="164"/>
      <c r="E10" s="165" t="s">
        <v>1480</v>
      </c>
      <c r="F10" s="164"/>
      <c r="G10" s="164"/>
      <c r="H10" s="166"/>
    </row>
    <row r="11" spans="2:8" ht="12" customHeight="1">
      <c r="C11" s="166"/>
    </row>
    <row r="12" spans="2:8" ht="25.5" thickBot="1">
      <c r="B12" s="23" t="s">
        <v>1481</v>
      </c>
      <c r="C12" s="166"/>
      <c r="D12" s="168"/>
    </row>
    <row r="13" spans="2:8" s="169" customFormat="1" ht="141.75" customHeight="1" thickBot="1">
      <c r="B13" s="1308" t="s">
        <v>1482</v>
      </c>
      <c r="C13" s="1309"/>
      <c r="D13" s="1309"/>
      <c r="E13" s="1310"/>
      <c r="F13"/>
      <c r="G13"/>
    </row>
    <row r="14" spans="2:8" customFormat="1" ht="9" customHeight="1"/>
    <row r="15" spans="2:8" ht="46.5" customHeight="1">
      <c r="C15" s="170" t="s">
        <v>1483</v>
      </c>
      <c r="D15" s="171" t="s">
        <v>1484</v>
      </c>
      <c r="E15" s="171" t="s">
        <v>1485</v>
      </c>
      <c r="F15" s="171" t="s">
        <v>1486</v>
      </c>
      <c r="G15" s="172" t="s">
        <v>1487</v>
      </c>
    </row>
    <row r="16" spans="2:8" s="177" customFormat="1" ht="37.5">
      <c r="B16" s="1311" t="s">
        <v>1488</v>
      </c>
      <c r="C16" s="173" t="s">
        <v>1489</v>
      </c>
      <c r="D16" s="174" t="s">
        <v>1490</v>
      </c>
      <c r="E16" s="175" t="s">
        <v>1491</v>
      </c>
      <c r="F16" s="175" t="s">
        <v>1492</v>
      </c>
      <c r="G16" s="176" t="s">
        <v>1493</v>
      </c>
    </row>
    <row r="17" spans="2:7" s="177" customFormat="1" ht="37.5">
      <c r="B17" s="1312"/>
      <c r="C17" s="178" t="s">
        <v>1494</v>
      </c>
      <c r="D17" s="179" t="s">
        <v>1495</v>
      </c>
      <c r="E17" s="180" t="s">
        <v>1496</v>
      </c>
      <c r="F17" s="180" t="s">
        <v>1492</v>
      </c>
      <c r="G17" s="181" t="s">
        <v>1493</v>
      </c>
    </row>
    <row r="18" spans="2:7" s="177" customFormat="1" ht="25">
      <c r="B18" s="1312"/>
      <c r="C18" s="182" t="s">
        <v>1497</v>
      </c>
      <c r="D18" s="179" t="s">
        <v>1498</v>
      </c>
      <c r="E18" s="183" t="s">
        <v>1499</v>
      </c>
      <c r="F18" s="183" t="s">
        <v>1500</v>
      </c>
      <c r="G18" s="184"/>
    </row>
    <row r="19" spans="2:7" s="177" customFormat="1" ht="62.5">
      <c r="B19" s="1312"/>
      <c r="C19" s="182" t="s">
        <v>1501</v>
      </c>
      <c r="D19" s="179" t="s">
        <v>1502</v>
      </c>
      <c r="E19" s="183" t="s">
        <v>1503</v>
      </c>
      <c r="F19" s="183" t="s">
        <v>1492</v>
      </c>
      <c r="G19" s="184"/>
    </row>
    <row r="20" spans="2:7" s="177" customFormat="1" ht="25">
      <c r="B20" s="1312"/>
      <c r="C20" s="182" t="s">
        <v>1504</v>
      </c>
      <c r="D20" s="179" t="s">
        <v>1505</v>
      </c>
      <c r="E20" s="183" t="s">
        <v>1506</v>
      </c>
      <c r="F20" s="183" t="s">
        <v>1500</v>
      </c>
      <c r="G20" s="184"/>
    </row>
    <row r="21" spans="2:7" s="177" customFormat="1" ht="25">
      <c r="B21" s="1312"/>
      <c r="C21" s="182" t="s">
        <v>1507</v>
      </c>
      <c r="D21" s="179" t="s">
        <v>1508</v>
      </c>
      <c r="E21" s="183" t="s">
        <v>1509</v>
      </c>
      <c r="F21" s="183" t="s">
        <v>1492</v>
      </c>
      <c r="G21" s="184"/>
    </row>
    <row r="22" spans="2:7" s="177" customFormat="1" ht="25">
      <c r="B22" s="1312"/>
      <c r="C22" s="182" t="s">
        <v>1510</v>
      </c>
      <c r="D22" s="179" t="s">
        <v>1511</v>
      </c>
      <c r="E22" s="183" t="s">
        <v>1512</v>
      </c>
      <c r="F22" s="183" t="s">
        <v>1500</v>
      </c>
      <c r="G22" s="184"/>
    </row>
    <row r="23" spans="2:7" s="177" customFormat="1" ht="29.25" customHeight="1">
      <c r="B23" s="1313"/>
      <c r="C23" s="185" t="s">
        <v>1513</v>
      </c>
      <c r="D23" s="179" t="s">
        <v>1514</v>
      </c>
      <c r="E23" s="183" t="s">
        <v>1515</v>
      </c>
      <c r="F23" s="183" t="s">
        <v>1500</v>
      </c>
      <c r="G23" s="184"/>
    </row>
    <row r="24" spans="2:7" s="177" customFormat="1" ht="37.5">
      <c r="B24" s="1311" t="s">
        <v>1516</v>
      </c>
      <c r="C24" s="186" t="s">
        <v>1517</v>
      </c>
      <c r="D24" s="179" t="s">
        <v>1518</v>
      </c>
      <c r="E24" s="183" t="s">
        <v>1519</v>
      </c>
      <c r="F24" s="183" t="s">
        <v>1500</v>
      </c>
      <c r="G24" s="184"/>
    </row>
    <row r="25" spans="2:7" s="177" customFormat="1" ht="38">
      <c r="B25" s="1312"/>
      <c r="C25" s="187" t="s">
        <v>1520</v>
      </c>
      <c r="D25" s="188" t="s">
        <v>1521</v>
      </c>
      <c r="E25" s="183" t="s">
        <v>1522</v>
      </c>
      <c r="F25" s="188" t="s">
        <v>1521</v>
      </c>
      <c r="G25" s="189" t="s">
        <v>1523</v>
      </c>
    </row>
    <row r="26" spans="2:7" s="177" customFormat="1" ht="37.5">
      <c r="B26" s="1312"/>
      <c r="C26" s="190" t="s">
        <v>1524</v>
      </c>
      <c r="D26" s="179" t="s">
        <v>1525</v>
      </c>
      <c r="E26" s="183" t="s">
        <v>1526</v>
      </c>
      <c r="F26" s="183" t="s">
        <v>1527</v>
      </c>
      <c r="G26" s="184" t="s">
        <v>1528</v>
      </c>
    </row>
    <row r="27" spans="2:7" s="177" customFormat="1" ht="38">
      <c r="B27" s="1312"/>
      <c r="C27" s="187" t="s">
        <v>1529</v>
      </c>
      <c r="D27" s="188" t="s">
        <v>1521</v>
      </c>
      <c r="E27" s="183" t="s">
        <v>1530</v>
      </c>
      <c r="F27" s="188" t="s">
        <v>1521</v>
      </c>
      <c r="G27" s="189" t="s">
        <v>1523</v>
      </c>
    </row>
    <row r="28" spans="2:7" s="177" customFormat="1" ht="23.25" customHeight="1">
      <c r="B28" s="1312"/>
      <c r="C28" s="190" t="s">
        <v>1531</v>
      </c>
      <c r="D28" s="179" t="s">
        <v>1514</v>
      </c>
      <c r="E28" s="191" t="s">
        <v>1532</v>
      </c>
      <c r="F28" s="183" t="s">
        <v>1500</v>
      </c>
      <c r="G28" s="184"/>
    </row>
    <row r="29" spans="2:7" s="177" customFormat="1" ht="38">
      <c r="B29" s="1312"/>
      <c r="C29" s="187" t="s">
        <v>1533</v>
      </c>
      <c r="D29" s="188" t="s">
        <v>1521</v>
      </c>
      <c r="E29" s="183" t="s">
        <v>1534</v>
      </c>
      <c r="F29" s="188" t="s">
        <v>1521</v>
      </c>
      <c r="G29" s="189" t="s">
        <v>1523</v>
      </c>
    </row>
    <row r="30" spans="2:7" s="177" customFormat="1" ht="25">
      <c r="B30" s="1313"/>
      <c r="C30" s="192" t="s">
        <v>1535</v>
      </c>
      <c r="D30" s="193" t="s">
        <v>1536</v>
      </c>
      <c r="E30" s="194" t="s">
        <v>1537</v>
      </c>
      <c r="F30" s="194" t="s">
        <v>1538</v>
      </c>
      <c r="G30" s="195"/>
    </row>
    <row r="31" spans="2:7" ht="18">
      <c r="C31" s="196"/>
      <c r="E31" s="196"/>
      <c r="F31" s="197"/>
    </row>
  </sheetData>
  <sheetProtection algorithmName="SHA-512" hashValue="SiC21lCc+UJrOIzzVk2+4oNHU/XW/mdz1mOyvqLX6XultTYh0lOrLzmfo3S1DHbf6oqH+92qy6BqJiNh/ZpDPw==" saltValue="k6KGEjvK5aghW31sGQ6XkA==" spinCount="100000" sheet="1" objects="1" scenarios="1"/>
  <mergeCells count="3">
    <mergeCell ref="B13:E13"/>
    <mergeCell ref="B16:B23"/>
    <mergeCell ref="B24:B30"/>
  </mergeCells>
  <hyperlinks>
    <hyperlink ref="C16" location="'Cat 1 (Goods &amp; Services)'!A1" display="Category 1: Purchased Goods and Services" xr:uid="{E3435889-08D1-4F9D-A441-1DF29C4D8708}"/>
    <hyperlink ref="C17" location="'Cat 2 (Capital Goods)'!A1" display="Category 2: Capital Goods" xr:uid="{0EBB0AE0-E4DF-460C-8022-512CC6242CB6}"/>
    <hyperlink ref="C20" location="'Cat 5 Waste'!A1" display="Category 5: Waste Generated in Operations" xr:uid="{D9D7C3D4-D55F-4BAD-AAD8-4B5188DC042E}"/>
    <hyperlink ref="C21" location="'Cat 6 Business Trav. (spend)'!A1" display="Category 6: Business Travel" xr:uid="{A40FBD4F-C6EF-464A-957E-70AF222CE8DC}"/>
    <hyperlink ref="C22" location="'Cat 7 Employee Commuting'!A1" display="Category 7: Employee commuting" xr:uid="{E0A7B96D-B17E-448E-B3D4-6025B3A51FF0}"/>
    <hyperlink ref="C30" location="'Cat 15 Investments'!A1" display="Category 15: Investments" xr:uid="{29861C57-E945-4635-8A30-B37F709E4D62}"/>
    <hyperlink ref="C19" location="'Cat 4 Upstream Trans &amp; Dist'!A1" display="Category 4: Upstream transportation and distribution" xr:uid="{A9A47C57-4A56-40A6-987E-45D3449D3E9A}"/>
    <hyperlink ref="C26" location="'Cat 11 Use of Sold Products'!A1" display="Category 11: Use of Sold Products" xr:uid="{70036B6C-961D-4ACB-B40F-4DA8B100D8E0}"/>
    <hyperlink ref="C18" location="'Cat 3 Fuel &amp; Energy'!A1" display="Category 3: Fuel- and energy related activities" xr:uid="{8CB76BBC-7CB9-4697-8221-0347CEE581A5}"/>
    <hyperlink ref="C24" location="'Cat 9 (Patient Visits)'!A1" display="Category 9: Downstream Transportation and Distribution [Patient Visits &amp; Telehealth)" xr:uid="{2BAA36AE-6CD9-40CF-977B-B96BCFAECDBF}"/>
    <hyperlink ref="C23" location="'Cat 8 &amp; Cat 13 Leased Assets'!A1" display="Category 8: Upstream Leased Assets" xr:uid="{6702B809-18B2-4FA1-9114-CC38A6A68428}"/>
    <hyperlink ref="C28" location="'Cat 8 &amp; Cat 13 Leased Assets'!A1" display="Category 13: Downstream leased assets" xr:uid="{55FF07FF-C337-4A02-82AC-E3D0CF73F410}"/>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707ED-04D7-4220-9C27-7CA20A72E438}">
  <sheetPr>
    <tabColor rgb="FFFFFF00"/>
  </sheetPr>
  <dimension ref="A1:AB46"/>
  <sheetViews>
    <sheetView showGridLines="0" zoomScale="90" zoomScaleNormal="90" workbookViewId="0">
      <selection activeCell="J26" sqref="J26"/>
    </sheetView>
  </sheetViews>
  <sheetFormatPr defaultColWidth="8.9140625" defaultRowHeight="14"/>
  <cols>
    <col min="1" max="1" width="27.58203125" style="104" customWidth="1"/>
    <col min="2" max="2" width="37" style="104" customWidth="1"/>
    <col min="3" max="3" width="12" style="104" customWidth="1"/>
    <col min="4" max="10" width="8.9140625" style="104"/>
    <col min="11" max="11" width="10" style="104" customWidth="1"/>
    <col min="12" max="14" width="8.9140625" style="104"/>
    <col min="15" max="15" width="38.08203125" style="104" customWidth="1"/>
    <col min="16" max="16384" width="8.9140625" style="104"/>
  </cols>
  <sheetData>
    <row r="1" spans="1:21" ht="25.65" customHeight="1">
      <c r="A1" s="1314" t="s">
        <v>1539</v>
      </c>
      <c r="B1" s="1314"/>
      <c r="C1" s="1314"/>
      <c r="D1" s="1314"/>
      <c r="E1" s="1314"/>
      <c r="F1" s="1314"/>
      <c r="G1" s="1314"/>
      <c r="H1" s="1314"/>
      <c r="I1" s="1314"/>
      <c r="J1" s="1314"/>
      <c r="K1" s="1314"/>
      <c r="L1" s="1314"/>
      <c r="M1" s="1314"/>
      <c r="N1" s="1314"/>
      <c r="O1" s="1315"/>
      <c r="P1"/>
    </row>
    <row r="2" spans="1:21" ht="15.9" customHeight="1">
      <c r="A2" s="198" t="s">
        <v>1540</v>
      </c>
      <c r="B2" s="199"/>
      <c r="C2" s="199"/>
      <c r="D2" s="199"/>
      <c r="E2" s="199"/>
      <c r="F2" s="199"/>
      <c r="G2" s="199"/>
      <c r="H2" s="199"/>
      <c r="I2" s="199"/>
      <c r="J2" s="199"/>
      <c r="K2" s="199"/>
      <c r="L2" s="199"/>
      <c r="M2" s="199"/>
      <c r="N2" s="199"/>
      <c r="O2" s="199"/>
      <c r="P2" s="200"/>
    </row>
    <row r="3" spans="1:21" ht="15.9" customHeight="1">
      <c r="A3" s="198" t="s">
        <v>1541</v>
      </c>
      <c r="B3" s="199"/>
      <c r="C3" s="199"/>
      <c r="D3" s="199"/>
      <c r="E3" s="199"/>
      <c r="F3" s="199"/>
      <c r="G3" s="199"/>
      <c r="H3" s="199"/>
      <c r="I3" s="199"/>
      <c r="J3" s="199"/>
      <c r="K3" s="199"/>
      <c r="L3" s="199"/>
      <c r="M3" s="199"/>
      <c r="N3" s="199"/>
      <c r="O3" s="199"/>
      <c r="P3" s="200"/>
    </row>
    <row r="4" spans="1:21" ht="15.9" customHeight="1">
      <c r="A4" s="198" t="s">
        <v>1542</v>
      </c>
      <c r="B4" s="199"/>
      <c r="C4" s="199"/>
      <c r="D4" s="199"/>
      <c r="E4" s="199"/>
      <c r="F4" s="199"/>
      <c r="G4" s="199"/>
      <c r="H4" s="199"/>
      <c r="I4" s="199"/>
      <c r="J4" s="199"/>
      <c r="K4" s="199"/>
      <c r="L4" s="199"/>
      <c r="M4" s="199"/>
      <c r="N4" s="199"/>
      <c r="O4" s="199"/>
      <c r="P4" s="200"/>
    </row>
    <row r="5" spans="1:21" ht="15.9" customHeight="1" thickBot="1">
      <c r="A5" s="201" t="s">
        <v>1543</v>
      </c>
      <c r="B5" s="202"/>
      <c r="C5" s="202"/>
      <c r="D5" s="202"/>
      <c r="E5" s="202"/>
      <c r="F5" s="202"/>
      <c r="G5" s="202"/>
      <c r="H5" s="202"/>
      <c r="I5" s="202"/>
      <c r="J5" s="202"/>
      <c r="K5" s="202"/>
      <c r="L5" s="202"/>
      <c r="M5" s="202"/>
      <c r="N5" s="202"/>
      <c r="O5" s="202"/>
      <c r="P5" s="200"/>
    </row>
    <row r="6" spans="1:21" ht="15.9" customHeight="1" thickTop="1" thickBot="1">
      <c r="A6" s="203"/>
      <c r="B6" s="203"/>
      <c r="C6" s="203"/>
      <c r="D6" s="203"/>
      <c r="E6" s="203"/>
      <c r="F6" s="203"/>
      <c r="G6" s="203"/>
      <c r="H6" s="203"/>
      <c r="I6" s="203"/>
      <c r="J6" s="203"/>
      <c r="K6" s="203"/>
      <c r="L6" s="204" t="s">
        <v>1544</v>
      </c>
      <c r="M6" s="205"/>
      <c r="N6" s="206"/>
      <c r="O6" s="207"/>
    </row>
    <row r="7" spans="1:21" ht="15" customHeight="1" thickBot="1">
      <c r="A7" s="208" t="s">
        <v>1545</v>
      </c>
      <c r="B7" s="209" t="s">
        <v>1546</v>
      </c>
      <c r="C7" s="210">
        <v>2023</v>
      </c>
      <c r="G7" s="211"/>
      <c r="H7" s="212"/>
      <c r="I7" s="212"/>
      <c r="J7" s="212"/>
      <c r="K7" s="213"/>
      <c r="L7" s="200"/>
      <c r="M7" s="115"/>
      <c r="N7" s="115"/>
      <c r="O7" s="214"/>
      <c r="P7" s="115"/>
      <c r="Q7" s="115"/>
      <c r="R7" s="115"/>
      <c r="S7" s="115"/>
      <c r="T7" s="115"/>
      <c r="U7" s="115"/>
    </row>
    <row r="8" spans="1:21" ht="15" customHeight="1" thickBot="1">
      <c r="A8" s="215"/>
      <c r="B8" s="216"/>
      <c r="C8" s="217"/>
      <c r="D8" s="218"/>
      <c r="E8" s="218"/>
      <c r="F8" s="218"/>
      <c r="G8" s="218"/>
      <c r="H8" s="218"/>
      <c r="I8" s="218"/>
      <c r="J8" s="218"/>
      <c r="K8" s="219"/>
      <c r="L8" s="200"/>
      <c r="M8" s="115"/>
      <c r="N8" s="115"/>
      <c r="O8" s="214"/>
      <c r="P8" s="115"/>
      <c r="Q8" s="115"/>
      <c r="R8" s="115"/>
      <c r="S8" s="115"/>
      <c r="T8" s="115"/>
      <c r="U8" s="115"/>
    </row>
    <row r="9" spans="1:21" ht="15" customHeight="1" thickTop="1">
      <c r="A9" s="220"/>
      <c r="B9" s="115"/>
      <c r="D9" s="212"/>
      <c r="E9" s="212"/>
      <c r="F9" s="212"/>
      <c r="G9" s="212"/>
      <c r="H9" s="212"/>
      <c r="I9" s="212"/>
      <c r="J9" s="212"/>
      <c r="K9" s="213"/>
      <c r="O9" s="214"/>
      <c r="P9" s="115"/>
      <c r="Q9" s="115"/>
      <c r="R9" s="115"/>
      <c r="S9" s="115"/>
      <c r="T9" s="115"/>
      <c r="U9" s="115"/>
    </row>
    <row r="10" spans="1:21" ht="15" customHeight="1">
      <c r="A10" s="208" t="s">
        <v>1547</v>
      </c>
      <c r="B10" s="115"/>
      <c r="D10" s="212"/>
      <c r="E10" s="212"/>
      <c r="F10" s="212"/>
      <c r="G10" s="212"/>
      <c r="H10" s="212"/>
      <c r="I10" s="212"/>
      <c r="J10" s="212"/>
      <c r="K10" s="213"/>
      <c r="O10" s="214"/>
      <c r="P10" s="115"/>
      <c r="Q10" s="115"/>
      <c r="R10" s="115"/>
      <c r="S10" s="115"/>
      <c r="T10" s="115"/>
      <c r="U10" s="115"/>
    </row>
    <row r="11" spans="1:21">
      <c r="A11" s="221"/>
      <c r="B11" s="222" t="s">
        <v>1548</v>
      </c>
      <c r="C11" s="222"/>
      <c r="D11" s="223"/>
      <c r="E11" s="223"/>
      <c r="F11" s="223"/>
      <c r="G11" s="223"/>
      <c r="H11" s="223"/>
      <c r="I11" s="223"/>
      <c r="J11" s="223"/>
      <c r="K11" s="224"/>
      <c r="O11" s="214"/>
      <c r="P11" s="115"/>
      <c r="Q11" s="115"/>
      <c r="R11" s="115"/>
      <c r="S11" s="115"/>
      <c r="T11" s="115"/>
      <c r="U11" s="115"/>
    </row>
    <row r="12" spans="1:21">
      <c r="A12" s="221"/>
      <c r="B12" s="225" t="s">
        <v>1549</v>
      </c>
      <c r="C12" s="222"/>
      <c r="D12" s="221"/>
      <c r="E12" s="223"/>
      <c r="F12" s="223"/>
      <c r="G12" s="223"/>
      <c r="H12" s="223"/>
      <c r="I12" s="223"/>
      <c r="J12" s="223"/>
      <c r="K12" s="224"/>
      <c r="O12" s="214"/>
      <c r="P12" s="115"/>
      <c r="Q12" s="115"/>
      <c r="R12" s="115"/>
      <c r="S12" s="115"/>
      <c r="T12" s="115"/>
      <c r="U12" s="115"/>
    </row>
    <row r="13" spans="1:21" ht="14.5" thickBot="1">
      <c r="A13" s="223"/>
      <c r="B13" s="225"/>
      <c r="C13" s="222"/>
      <c r="D13" s="223"/>
      <c r="E13" s="223"/>
      <c r="F13" s="223"/>
      <c r="G13" s="223"/>
      <c r="H13" s="223"/>
      <c r="I13" s="223"/>
      <c r="J13" s="223"/>
      <c r="K13" s="224"/>
      <c r="O13" s="214"/>
      <c r="P13" s="115"/>
      <c r="Q13" s="115"/>
      <c r="R13" s="115"/>
      <c r="S13" s="115"/>
      <c r="T13" s="115"/>
      <c r="U13" s="115"/>
    </row>
    <row r="14" spans="1:21" ht="21" customHeight="1" thickTop="1" thickBot="1">
      <c r="A14" s="226" t="s">
        <v>1550</v>
      </c>
      <c r="B14" s="227" t="s">
        <v>1551</v>
      </c>
      <c r="C14" s="222"/>
      <c r="D14" s="223"/>
      <c r="E14" s="223"/>
      <c r="F14" s="223"/>
      <c r="G14" s="223"/>
      <c r="H14" s="223"/>
      <c r="I14" s="223"/>
      <c r="J14" s="223"/>
      <c r="K14" s="224"/>
      <c r="L14" s="200"/>
      <c r="O14" s="214"/>
      <c r="P14" s="115"/>
    </row>
    <row r="15" spans="1:21" ht="27" customHeight="1" thickTop="1" thickBot="1">
      <c r="A15" s="226" t="s">
        <v>1552</v>
      </c>
      <c r="B15" s="227" t="s">
        <v>1553</v>
      </c>
      <c r="C15" s="228"/>
      <c r="D15" s="229"/>
      <c r="E15" s="229"/>
      <c r="F15" s="229"/>
      <c r="G15" s="222"/>
      <c r="H15" s="222"/>
      <c r="I15" s="222"/>
      <c r="J15" s="222"/>
      <c r="K15" s="224"/>
      <c r="O15" s="214"/>
      <c r="P15" s="115"/>
    </row>
    <row r="16" spans="1:21" ht="49.5" customHeight="1" thickTop="1" thickBot="1">
      <c r="A16" s="226" t="s">
        <v>1554</v>
      </c>
      <c r="B16" s="1316" t="s">
        <v>1555</v>
      </c>
      <c r="C16" s="1316"/>
      <c r="D16" s="1316"/>
      <c r="E16" s="1316"/>
      <c r="F16" s="1316"/>
      <c r="G16" s="1316"/>
      <c r="H16" s="1316"/>
      <c r="I16" s="1316"/>
      <c r="J16" s="1316"/>
      <c r="K16" s="1316"/>
      <c r="O16" s="214"/>
      <c r="P16" s="115"/>
    </row>
    <row r="17" spans="1:28" ht="10.5" customHeight="1" thickTop="1">
      <c r="A17" s="230"/>
      <c r="B17" s="231"/>
      <c r="C17" s="231"/>
      <c r="D17" s="231"/>
      <c r="E17" s="231"/>
      <c r="F17" s="231"/>
      <c r="G17" s="231"/>
      <c r="H17" s="231"/>
      <c r="I17" s="231"/>
      <c r="J17" s="231"/>
      <c r="K17" s="232"/>
      <c r="L17" s="200"/>
      <c r="O17" s="233"/>
      <c r="P17" s="115"/>
    </row>
    <row r="18" spans="1:28">
      <c r="A18" s="223"/>
      <c r="B18" s="222" t="s">
        <v>1556</v>
      </c>
      <c r="C18" s="222"/>
      <c r="D18" s="223"/>
      <c r="E18" s="223"/>
      <c r="F18" s="223"/>
      <c r="G18" s="223"/>
      <c r="H18" s="223"/>
      <c r="I18" s="223"/>
      <c r="J18" s="223"/>
      <c r="K18" s="224"/>
      <c r="L18" s="200"/>
      <c r="O18" s="233"/>
    </row>
    <row r="19" spans="1:28" ht="29.25" customHeight="1">
      <c r="A19" s="223"/>
      <c r="B19" s="234" t="s">
        <v>1557</v>
      </c>
      <c r="C19" s="222"/>
      <c r="D19" s="223"/>
      <c r="E19" s="223"/>
      <c r="F19" s="223"/>
      <c r="G19" s="223"/>
      <c r="H19" s="223"/>
      <c r="I19" s="223"/>
      <c r="J19" s="223"/>
      <c r="K19" s="224"/>
      <c r="L19" s="1317" t="s">
        <v>1558</v>
      </c>
      <c r="M19" s="1318"/>
      <c r="N19" s="1318"/>
      <c r="O19" s="1319"/>
    </row>
    <row r="20" spans="1:28" ht="14.5" thickBot="1">
      <c r="A20" s="212"/>
      <c r="B20" s="212"/>
      <c r="C20" s="212"/>
      <c r="D20" s="212"/>
      <c r="E20" s="212"/>
      <c r="F20" s="212"/>
      <c r="G20" s="212"/>
      <c r="H20" s="212"/>
      <c r="I20" s="212"/>
      <c r="J20" s="212"/>
      <c r="K20" s="213"/>
      <c r="L20" s="235"/>
      <c r="M20" s="236"/>
      <c r="N20" s="236"/>
      <c r="O20" s="237"/>
      <c r="P20" s="115"/>
      <c r="Q20" s="115"/>
      <c r="R20" s="115"/>
      <c r="S20" s="115"/>
      <c r="T20" s="115"/>
      <c r="U20" s="115"/>
      <c r="V20" s="115"/>
      <c r="W20" s="115"/>
      <c r="X20" s="115"/>
      <c r="Y20" s="115"/>
      <c r="Z20" s="115"/>
      <c r="AA20" s="115"/>
      <c r="AB20" s="115"/>
    </row>
    <row r="21" spans="1:28" ht="15" customHeight="1" thickBot="1">
      <c r="A21" s="212"/>
      <c r="B21" s="212"/>
      <c r="C21" s="212"/>
      <c r="D21" s="212"/>
      <c r="E21" s="212"/>
      <c r="F21" s="212"/>
      <c r="I21" s="209" t="s">
        <v>1559</v>
      </c>
      <c r="J21" s="1204">
        <v>0.89</v>
      </c>
      <c r="K21" s="213"/>
      <c r="O21" s="237"/>
    </row>
    <row r="22" spans="1:28">
      <c r="A22" s="212"/>
      <c r="B22" s="212"/>
      <c r="C22" s="212"/>
      <c r="D22" s="212"/>
      <c r="E22" s="212"/>
      <c r="F22" s="212"/>
      <c r="G22" s="212"/>
      <c r="H22" s="212"/>
      <c r="I22" s="212"/>
      <c r="J22" s="212"/>
      <c r="K22" s="213"/>
      <c r="L22" s="200"/>
      <c r="O22" s="233"/>
    </row>
    <row r="23" spans="1:28">
      <c r="A23" s="212"/>
      <c r="B23" s="212"/>
      <c r="C23" s="212"/>
      <c r="D23" s="212"/>
      <c r="E23" s="212"/>
      <c r="F23" s="212"/>
      <c r="G23" s="212"/>
      <c r="H23" s="212"/>
      <c r="I23" s="212"/>
      <c r="J23" s="212"/>
      <c r="K23" s="213"/>
      <c r="L23" s="200"/>
      <c r="O23" s="233"/>
    </row>
    <row r="24" spans="1:28">
      <c r="A24" s="212"/>
      <c r="B24" s="212"/>
      <c r="C24" s="212"/>
      <c r="D24" s="212"/>
      <c r="E24" s="212"/>
      <c r="F24" s="212"/>
      <c r="G24" s="212"/>
      <c r="H24" s="212"/>
      <c r="I24" s="212"/>
      <c r="J24" s="212"/>
      <c r="K24" s="213"/>
      <c r="L24" s="200"/>
      <c r="O24" s="233"/>
    </row>
    <row r="25" spans="1:28">
      <c r="K25" s="233"/>
      <c r="L25" s="200"/>
      <c r="O25" s="233"/>
    </row>
    <row r="26" spans="1:28">
      <c r="K26" s="233"/>
      <c r="L26" s="200"/>
      <c r="O26" s="233"/>
    </row>
    <row r="27" spans="1:28">
      <c r="K27" s="233"/>
      <c r="L27" s="200"/>
      <c r="O27" s="233"/>
    </row>
    <row r="28" spans="1:28">
      <c r="K28" s="233"/>
      <c r="L28" s="200"/>
      <c r="O28" s="233"/>
    </row>
    <row r="29" spans="1:28">
      <c r="K29" s="233"/>
      <c r="L29" s="200"/>
      <c r="O29" s="233"/>
    </row>
    <row r="30" spans="1:28">
      <c r="K30" s="233"/>
      <c r="L30" s="200"/>
      <c r="O30" s="233"/>
    </row>
    <row r="31" spans="1:28" ht="5.25" customHeight="1">
      <c r="K31" s="233"/>
      <c r="L31" s="200"/>
      <c r="P31" s="200"/>
    </row>
    <row r="32" spans="1:28" ht="19.5" customHeight="1" thickBot="1">
      <c r="A32" s="218"/>
      <c r="B32" s="238" t="s">
        <v>1560</v>
      </c>
      <c r="C32" s="217"/>
      <c r="D32" s="217"/>
      <c r="E32" s="217"/>
      <c r="F32" s="217"/>
      <c r="G32" s="217"/>
      <c r="H32" s="217"/>
      <c r="I32" s="217"/>
      <c r="J32" s="217"/>
      <c r="K32" s="239"/>
      <c r="L32" s="240"/>
      <c r="M32" s="217"/>
      <c r="N32" s="217"/>
      <c r="O32" s="239"/>
    </row>
    <row r="33" spans="1:1" ht="14.5" thickTop="1">
      <c r="A33" s="212"/>
    </row>
    <row r="34" spans="1:1">
      <c r="A34" s="212"/>
    </row>
    <row r="35" spans="1:1">
      <c r="A35" s="212"/>
    </row>
    <row r="36" spans="1:1">
      <c r="A36" s="212"/>
    </row>
    <row r="37" spans="1:1">
      <c r="A37" s="212"/>
    </row>
    <row r="38" spans="1:1">
      <c r="A38" s="212"/>
    </row>
    <row r="39" spans="1:1">
      <c r="A39" s="212"/>
    </row>
    <row r="40" spans="1:1">
      <c r="A40" s="212"/>
    </row>
    <row r="41" spans="1:1">
      <c r="A41" s="212"/>
    </row>
    <row r="42" spans="1:1">
      <c r="A42" s="212"/>
    </row>
    <row r="43" spans="1:1">
      <c r="A43" s="212"/>
    </row>
    <row r="44" spans="1:1">
      <c r="A44" s="212"/>
    </row>
    <row r="45" spans="1:1">
      <c r="A45" s="212"/>
    </row>
    <row r="46" spans="1:1">
      <c r="A46" s="212"/>
    </row>
  </sheetData>
  <sheetProtection algorithmName="SHA-512" hashValue="XJx5zce9Pp2/At736oHXJgbgOPiD2S2pq8F2G1ISynhoipvuWTvxAbMLAhaMH+sfxBG+VbFkSGY+7EIVCRksJA==" saltValue="ncRSuMG+UUw9ADZ7QZ/rrQ==" spinCount="100000" sheet="1" objects="1" scenarios="1"/>
  <mergeCells count="3">
    <mergeCell ref="A1:O1"/>
    <mergeCell ref="B16:K16"/>
    <mergeCell ref="L19:O19"/>
  </mergeCells>
  <hyperlinks>
    <hyperlink ref="B12" r:id="rId1" xr:uid="{4EF3926B-A798-4EAC-90D1-CC5DF8778FE6}"/>
    <hyperlink ref="L19" r:id="rId2" xr:uid="{2F830B8E-DBA6-424D-BFB3-CBA79D3CB7B1}"/>
    <hyperlink ref="A5" location="References!A1" display="See the References tab for links to these resources." xr:uid="{9434A2A3-6919-432B-BB22-186D9E601963}"/>
  </hyperlinks>
  <pageMargins left="0.7" right="0.7" top="0.75" bottom="0.75" header="0.3" footer="0.3"/>
  <pageSetup orientation="portrait" horizontalDpi="1200" verticalDpi="1200"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F5DC7-C7A5-4F1E-B49B-813D9838560E}">
  <sheetPr>
    <tabColor rgb="FF00B0F0"/>
  </sheetPr>
  <dimension ref="B2:T35"/>
  <sheetViews>
    <sheetView showGridLines="0" zoomScaleNormal="100" workbookViewId="0">
      <selection activeCell="E21" sqref="E21"/>
    </sheetView>
  </sheetViews>
  <sheetFormatPr defaultColWidth="8.9140625" defaultRowHeight="14"/>
  <cols>
    <col min="1" max="1" width="2.1640625" style="104" customWidth="1"/>
    <col min="2" max="2" width="7.08203125" style="104" customWidth="1"/>
    <col min="3" max="3" width="10.4140625" style="104" customWidth="1"/>
    <col min="4" max="4" width="33.6640625" style="104" customWidth="1"/>
    <col min="5" max="5" width="11.9140625" style="104" customWidth="1"/>
    <col min="6" max="6" width="23.9140625" style="104" customWidth="1"/>
    <col min="7" max="19" width="8.9140625" style="104"/>
    <col min="20" max="20" width="6.5" style="104" customWidth="1"/>
    <col min="21" max="16384" width="8.9140625" style="104"/>
  </cols>
  <sheetData>
    <row r="2" spans="2:20" s="241" customFormat="1">
      <c r="E2" s="242"/>
    </row>
    <row r="3" spans="2:20" s="241" customFormat="1">
      <c r="E3" s="242"/>
    </row>
    <row r="4" spans="2:20" s="241" customFormat="1">
      <c r="E4" s="242"/>
    </row>
    <row r="5" spans="2:20" s="241" customFormat="1">
      <c r="E5" s="242"/>
    </row>
    <row r="6" spans="2:20" s="241" customFormat="1">
      <c r="E6" s="242"/>
    </row>
    <row r="7" spans="2:20" s="241" customFormat="1">
      <c r="E7" s="242"/>
    </row>
    <row r="8" spans="2:20" s="241" customFormat="1">
      <c r="E8" s="242"/>
    </row>
    <row r="9" spans="2:20" s="241" customFormat="1">
      <c r="E9" s="104"/>
      <c r="F9" s="104"/>
      <c r="G9" s="104"/>
      <c r="H9" s="104"/>
    </row>
    <row r="10" spans="2:20" ht="20">
      <c r="B10" s="97" t="s">
        <v>1561</v>
      </c>
      <c r="C10" s="98"/>
      <c r="D10" s="98"/>
      <c r="E10" s="98"/>
      <c r="F10" s="98"/>
      <c r="G10" s="98"/>
      <c r="H10" s="98"/>
      <c r="I10" s="98"/>
      <c r="J10" s="98"/>
      <c r="K10" s="98"/>
      <c r="L10" s="98"/>
      <c r="M10" s="98"/>
      <c r="N10" s="98"/>
      <c r="O10" s="98"/>
      <c r="P10" s="98"/>
      <c r="Q10" s="98"/>
      <c r="R10" s="98"/>
      <c r="S10" s="98"/>
      <c r="T10" s="98"/>
    </row>
    <row r="12" spans="2:20" ht="28">
      <c r="D12" s="243" t="s">
        <v>1562</v>
      </c>
      <c r="E12" s="243" t="s">
        <v>1563</v>
      </c>
    </row>
    <row r="13" spans="2:20">
      <c r="D13" s="244" t="s">
        <v>6</v>
      </c>
      <c r="E13" s="245">
        <f>'Results &amp; Summary'!$E$7</f>
        <v>0</v>
      </c>
      <c r="F13" s="1320" t="s">
        <v>2172</v>
      </c>
    </row>
    <row r="14" spans="2:20">
      <c r="D14" s="244" t="s">
        <v>7</v>
      </c>
      <c r="E14" s="245">
        <f>'Results &amp; Summary'!$E$20</f>
        <v>0</v>
      </c>
      <c r="F14" s="1320"/>
    </row>
    <row r="15" spans="2:20">
      <c r="D15" s="244" t="s">
        <v>1564</v>
      </c>
      <c r="E15" s="246">
        <f>$E$35</f>
        <v>0</v>
      </c>
    </row>
    <row r="16" spans="2:20">
      <c r="D16" s="247" t="s">
        <v>8</v>
      </c>
      <c r="E16" s="248">
        <f>SUM(E13:E15)</f>
        <v>0</v>
      </c>
    </row>
    <row r="18" spans="2:6">
      <c r="B18" s="249" t="s">
        <v>1565</v>
      </c>
    </row>
    <row r="19" spans="2:6" ht="42">
      <c r="B19"/>
      <c r="C19" s="243" t="s">
        <v>1566</v>
      </c>
      <c r="D19" s="243" t="s">
        <v>1567</v>
      </c>
      <c r="E19" s="243" t="s">
        <v>1568</v>
      </c>
    </row>
    <row r="20" spans="2:6" ht="15.75" customHeight="1">
      <c r="B20" s="1321" t="s">
        <v>1488</v>
      </c>
      <c r="C20" s="250">
        <v>1</v>
      </c>
      <c r="D20" s="130" t="s">
        <v>1569</v>
      </c>
      <c r="E20" s="246">
        <f>SUM('Category 1 and 2 (custom input)'!$G$44,'Category 1 and 2 (custom input)'!$G$61,'Cat 1 (Goods &amp; Services)'!$G$17)</f>
        <v>0</v>
      </c>
      <c r="F20" s="251"/>
    </row>
    <row r="21" spans="2:6" ht="15.5">
      <c r="B21" s="1321"/>
      <c r="C21" s="250">
        <v>2</v>
      </c>
      <c r="D21" s="130" t="s">
        <v>1570</v>
      </c>
      <c r="E21" s="246">
        <f>SUM('Category 1 and 2 (custom input)'!$N$44,'Category 1 and 2 (custom input)'!$N$61,'Cat 2 (Capital Goods)'!$G$17)</f>
        <v>0</v>
      </c>
    </row>
    <row r="22" spans="2:6" ht="15.5">
      <c r="B22" s="1321"/>
      <c r="C22" s="250">
        <v>3</v>
      </c>
      <c r="D22" s="130" t="s">
        <v>1571</v>
      </c>
      <c r="E22" s="246">
        <f>SUM('Cat 3 Fuel &amp; Energy'!$H$37,'Cat 3 Fuel &amp; Energy'!$F$62,'Cat 3 Fuel &amp; Energy'!$E$87)</f>
        <v>0</v>
      </c>
    </row>
    <row r="23" spans="2:6" ht="15.5">
      <c r="B23" s="1321"/>
      <c r="C23" s="250">
        <v>4</v>
      </c>
      <c r="D23" s="130" t="s">
        <v>1572</v>
      </c>
      <c r="E23" s="246">
        <f>SUM('Custom Emissions Inputs - other'!$H$26,'Cat 4 Upstream Trans &amp; Dist'!$E$21)</f>
        <v>0</v>
      </c>
    </row>
    <row r="24" spans="2:6" ht="15.5">
      <c r="B24" s="1321"/>
      <c r="C24" s="250">
        <v>5</v>
      </c>
      <c r="D24" s="130" t="s">
        <v>1573</v>
      </c>
      <c r="E24" s="246">
        <f>SUM('Cat 5 Waste'!$G$43,'Cat 5 Waste'!$D$68,'Custom Emissions Inputs - other'!$H$48)</f>
        <v>0</v>
      </c>
    </row>
    <row r="25" spans="2:6" ht="15.5">
      <c r="B25" s="1321"/>
      <c r="C25" s="250">
        <v>6</v>
      </c>
      <c r="D25" s="130" t="s">
        <v>1574</v>
      </c>
      <c r="E25" s="246">
        <f>SUM('Cat 6 Business Trav. (spend)'!$E$25,'Cat 6 Business Trav. (distance)'!$G$57,'Cat 6 Business Trav. (distance)'!$H$84,'Cat 6 Business Trav. (distance)'!$F$110,'Custom Emissions Inputs - other'!$H$72)</f>
        <v>0</v>
      </c>
    </row>
    <row r="26" spans="2:6" ht="15.5">
      <c r="B26" s="1321"/>
      <c r="C26" s="250">
        <v>7</v>
      </c>
      <c r="D26" s="130" t="s">
        <v>1575</v>
      </c>
      <c r="E26" s="246">
        <f>SUM('Custom Emissions Inputs - other'!$H$99,'Cat 7 Employee Commuting'!$F$96:$F$97,'Cat 7 Employee Commuting'!$G$68:$G$69,'Cat 7 Employee Commuting'!$G$43:$G$44)</f>
        <v>0</v>
      </c>
    </row>
    <row r="27" spans="2:6" ht="15.5">
      <c r="B27" s="1321"/>
      <c r="C27" s="250">
        <v>8</v>
      </c>
      <c r="D27" s="130" t="s">
        <v>1576</v>
      </c>
      <c r="E27" s="246">
        <f>SUM('Cat 8 &amp; Cat 13 Leased Assets'!$F$47,'Cat 8 &amp; Cat 13 Leased Assets'!$M$47,'Cat 8 &amp; Cat 13 Leased Assets'!$G$74,'Cat 8 &amp; Cat 13 Leased Assets'!$N$74)</f>
        <v>0</v>
      </c>
    </row>
    <row r="28" spans="2:6" ht="28.5" customHeight="1">
      <c r="B28" s="1322" t="s">
        <v>1516</v>
      </c>
      <c r="C28" s="252">
        <v>9</v>
      </c>
      <c r="D28" s="253" t="s">
        <v>1577</v>
      </c>
      <c r="E28" s="254">
        <f>IF('Cat 9 (Patient Visits)'!$E$45=0,'Cat 9 (Patient Visits)'!$E$44,'Cat 9 (Patient Visits)'!$E$45)+IF('Cat 9 (Patient Visits)'!$E$72=0,'Cat 9 (Patient Visits)'!$E$71,'Cat 9 (Patient Visits)'!$E$72)+IF('Cat 9 (Patient Visits)'!$F$88=0,'Cat 9 (Patient Visits)'!$F$87,'Cat 9 (Patient Visits)'!$F$88)</f>
        <v>0</v>
      </c>
      <c r="F28" s="255"/>
    </row>
    <row r="29" spans="2:6" ht="15.5">
      <c r="B29" s="1322"/>
      <c r="C29" s="252">
        <v>10</v>
      </c>
      <c r="D29" s="130" t="s">
        <v>1578</v>
      </c>
      <c r="E29" s="256" t="s">
        <v>1579</v>
      </c>
    </row>
    <row r="30" spans="2:6" ht="15.5">
      <c r="B30" s="1322"/>
      <c r="C30" s="252">
        <v>11</v>
      </c>
      <c r="D30" s="130" t="s">
        <v>1580</v>
      </c>
      <c r="E30" s="246">
        <f>SUM('Cat 11 Use of Sold Products'!$F$41,'Cat 11 Use of Sold Products'!$F$66)</f>
        <v>0</v>
      </c>
    </row>
    <row r="31" spans="2:6" ht="15.5">
      <c r="B31" s="1322"/>
      <c r="C31" s="252">
        <v>12</v>
      </c>
      <c r="D31" s="130" t="s">
        <v>1581</v>
      </c>
      <c r="E31" s="256" t="s">
        <v>1579</v>
      </c>
    </row>
    <row r="32" spans="2:6" ht="15.5">
      <c r="B32" s="1322"/>
      <c r="C32" s="252">
        <v>13</v>
      </c>
      <c r="D32" s="130" t="s">
        <v>1582</v>
      </c>
      <c r="E32" s="246">
        <f>SUM('Cat 8 &amp; Cat 13 Leased Assets'!$F$100,'Cat 8 &amp; Cat 13 Leased Assets'!$M$100,'Cat 8 &amp; Cat 13 Leased Assets'!$G$127,'Cat 8 &amp; Cat 13 Leased Assets'!$N$127)</f>
        <v>0</v>
      </c>
    </row>
    <row r="33" spans="2:5" ht="15.5">
      <c r="B33" s="1322"/>
      <c r="C33" s="252">
        <v>14</v>
      </c>
      <c r="D33" s="130" t="s">
        <v>1583</v>
      </c>
      <c r="E33" s="256" t="s">
        <v>1579</v>
      </c>
    </row>
    <row r="34" spans="2:5" ht="15.5">
      <c r="B34" s="1322"/>
      <c r="C34" s="252">
        <v>15</v>
      </c>
      <c r="D34" s="130" t="s">
        <v>1584</v>
      </c>
      <c r="E34" s="246">
        <f>SUM('Cat 15 Investments'!$J$69,'Custom Emissions Inputs - other'!$D$115)</f>
        <v>0</v>
      </c>
    </row>
    <row r="35" spans="2:5">
      <c r="D35" s="257" t="s">
        <v>8</v>
      </c>
      <c r="E35" s="1203">
        <f>SUM($E$20:$E$34)</f>
        <v>0</v>
      </c>
    </row>
  </sheetData>
  <sheetProtection algorithmName="SHA-512" hashValue="DY0QpJ9t0s37IWAiIcGTh7t6lWW8FBgyckezgqJmMZlXqdVVFkqpAHuKa+diSzA/zqC6Jtr5bDDbDHNE6vGStw==" saltValue="N9GcVV1muYJuIVPXk1tP/w==" spinCount="100000" sheet="1" objects="1" scenarios="1"/>
  <mergeCells count="3">
    <mergeCell ref="F13:F14"/>
    <mergeCell ref="B20:B27"/>
    <mergeCell ref="B28:B3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5134A-023E-497F-9446-E2701B49A4CD}">
  <sheetPr>
    <tabColor theme="3" tint="0.59999389629810485"/>
  </sheetPr>
  <dimension ref="A1:X421"/>
  <sheetViews>
    <sheetView showGridLines="0" topLeftCell="C1" zoomScale="85" zoomScaleNormal="85" workbookViewId="0">
      <selection activeCell="F19" sqref="E19:F19"/>
    </sheetView>
  </sheetViews>
  <sheetFormatPr defaultColWidth="9" defaultRowHeight="15.5"/>
  <cols>
    <col min="1" max="1" width="35" style="104" customWidth="1"/>
    <col min="2" max="2" width="37.58203125" style="104" customWidth="1"/>
    <col min="3" max="3" width="31" style="104" customWidth="1"/>
    <col min="4" max="4" width="28.58203125" style="145" customWidth="1"/>
    <col min="5" max="5" width="18.4140625" style="118" customWidth="1"/>
    <col min="6" max="6" width="28.58203125" style="104" customWidth="1"/>
    <col min="7" max="7" width="20.9140625" style="115" customWidth="1"/>
    <col min="8" max="8" width="25.6640625" style="116" customWidth="1"/>
    <col min="9" max="9" width="26.58203125" style="116" customWidth="1"/>
    <col min="10" max="10" width="11.08203125" style="116" customWidth="1"/>
    <col min="11" max="11" width="21.6640625" style="125" hidden="1" customWidth="1"/>
    <col min="12" max="12" width="76.58203125" customWidth="1"/>
    <col min="13" max="13" width="68.6640625" style="115" hidden="1" customWidth="1"/>
    <col min="14" max="14" width="19.1640625" style="104" hidden="1" customWidth="1"/>
    <col min="15" max="15" width="21.9140625" style="104" hidden="1" customWidth="1"/>
    <col min="16" max="16" width="18" style="104" hidden="1" customWidth="1"/>
    <col min="17" max="17" width="16.1640625" style="104" hidden="1" customWidth="1"/>
    <col min="18" max="18" width="14.08203125" style="104" customWidth="1"/>
    <col min="19" max="16384" width="9" style="104"/>
  </cols>
  <sheetData>
    <row r="1" spans="1:24" ht="20">
      <c r="A1" s="97" t="s">
        <v>344</v>
      </c>
      <c r="B1" s="98"/>
      <c r="C1" s="99"/>
      <c r="D1" s="100"/>
      <c r="E1" s="99"/>
      <c r="F1" s="98"/>
      <c r="G1" s="98"/>
      <c r="H1" s="101"/>
      <c r="I1" s="101"/>
      <c r="J1" s="102"/>
      <c r="K1" s="103"/>
      <c r="L1" s="98"/>
      <c r="M1" s="98"/>
      <c r="N1" s="98"/>
      <c r="O1" s="98"/>
      <c r="P1" s="98"/>
      <c r="Q1" s="98"/>
    </row>
    <row r="2" spans="1:24">
      <c r="A2" s="105" t="s">
        <v>345</v>
      </c>
      <c r="B2" s="106"/>
      <c r="C2" s="107"/>
      <c r="D2" s="108"/>
      <c r="E2" s="107"/>
      <c r="F2" s="106"/>
      <c r="G2" s="106"/>
      <c r="H2" s="109"/>
      <c r="I2" s="109"/>
      <c r="J2" s="110"/>
      <c r="K2" s="111"/>
      <c r="L2" s="106"/>
      <c r="M2" s="106"/>
      <c r="N2" s="106"/>
      <c r="O2" s="106"/>
      <c r="P2" s="106"/>
      <c r="Q2" s="106"/>
    </row>
    <row r="3" spans="1:24">
      <c r="A3" s="112" t="s">
        <v>346</v>
      </c>
      <c r="B3" s="106"/>
      <c r="C3" s="107"/>
      <c r="D3" s="108"/>
      <c r="E3" s="107"/>
      <c r="F3" s="106"/>
      <c r="G3" s="106"/>
      <c r="H3" s="109"/>
      <c r="I3" s="109"/>
      <c r="J3" s="110"/>
      <c r="K3" s="111"/>
      <c r="L3" s="106"/>
      <c r="M3" s="106"/>
      <c r="N3" s="106"/>
      <c r="O3" s="106"/>
      <c r="P3" s="106"/>
      <c r="Q3" s="106"/>
    </row>
    <row r="4" spans="1:24">
      <c r="A4" s="112"/>
      <c r="B4" s="106"/>
      <c r="C4" s="107"/>
      <c r="D4" s="108"/>
      <c r="E4" s="107"/>
      <c r="F4" s="106"/>
      <c r="G4" s="106"/>
      <c r="H4" s="109"/>
      <c r="I4" s="109"/>
      <c r="J4" s="110"/>
      <c r="K4" s="111"/>
      <c r="L4" s="106"/>
      <c r="M4" s="106"/>
      <c r="N4" s="106"/>
      <c r="O4" s="106"/>
      <c r="P4" s="106"/>
      <c r="Q4" s="106"/>
    </row>
    <row r="5" spans="1:24">
      <c r="A5" s="112" t="s">
        <v>347</v>
      </c>
      <c r="B5" s="106"/>
      <c r="C5" s="107"/>
      <c r="D5" s="108"/>
      <c r="E5" s="107"/>
      <c r="F5" s="106"/>
      <c r="G5" s="106"/>
      <c r="H5" s="109"/>
      <c r="I5" s="109"/>
      <c r="J5" s="110"/>
      <c r="K5" s="111"/>
      <c r="L5" s="106"/>
      <c r="M5" s="106"/>
      <c r="N5" s="106"/>
      <c r="O5" s="106"/>
      <c r="P5" s="106"/>
      <c r="Q5" s="106"/>
    </row>
    <row r="6" spans="1:24">
      <c r="A6" s="112" t="s">
        <v>348</v>
      </c>
      <c r="B6" s="106"/>
      <c r="C6" s="107"/>
      <c r="D6" s="108"/>
      <c r="E6" s="107"/>
      <c r="F6" s="106"/>
      <c r="G6" s="106"/>
      <c r="H6" s="109"/>
      <c r="I6" s="109"/>
      <c r="J6" s="110"/>
      <c r="K6" s="111"/>
      <c r="L6" s="106"/>
      <c r="M6" s="106"/>
      <c r="N6" s="106"/>
      <c r="O6" s="106"/>
      <c r="P6" s="106"/>
      <c r="Q6" s="106"/>
    </row>
    <row r="7" spans="1:24" ht="14">
      <c r="A7" s="1323" t="s">
        <v>349</v>
      </c>
      <c r="B7" s="1323"/>
      <c r="C7" s="1323"/>
      <c r="D7" s="1323"/>
      <c r="E7" s="1323"/>
      <c r="F7" s="1323"/>
      <c r="G7" s="1323"/>
      <c r="H7" s="1323"/>
      <c r="I7" s="1323"/>
      <c r="J7" s="1323"/>
      <c r="K7" s="1323"/>
      <c r="L7" s="1323"/>
      <c r="M7" s="1323"/>
      <c r="N7" s="106"/>
      <c r="O7" s="106"/>
      <c r="P7" s="106"/>
      <c r="Q7" s="106"/>
      <c r="V7" s="113"/>
    </row>
    <row r="8" spans="1:24" ht="14">
      <c r="A8" s="1323"/>
      <c r="B8" s="1323"/>
      <c r="C8" s="1323"/>
      <c r="D8" s="1323"/>
      <c r="E8" s="1323"/>
      <c r="F8" s="1323"/>
      <c r="G8" s="1323"/>
      <c r="H8" s="1323"/>
      <c r="I8" s="1323"/>
      <c r="J8" s="1323"/>
      <c r="K8" s="1323"/>
      <c r="L8" s="1323"/>
      <c r="M8" s="1323"/>
      <c r="N8" s="106"/>
      <c r="O8" s="106"/>
      <c r="P8" s="106"/>
      <c r="Q8" s="106"/>
    </row>
    <row r="9" spans="1:24" ht="14">
      <c r="A9" s="114"/>
      <c r="B9" s="114"/>
      <c r="C9" s="114"/>
      <c r="D9" s="114"/>
      <c r="E9" s="114"/>
      <c r="F9" s="114"/>
      <c r="G9" s="114"/>
      <c r="H9" s="114"/>
      <c r="I9" s="114"/>
      <c r="J9" s="114"/>
      <c r="K9" s="114"/>
      <c r="L9" s="104"/>
      <c r="N9" s="116"/>
      <c r="O9" s="116"/>
      <c r="P9" s="116"/>
      <c r="Q9" s="116"/>
      <c r="T9" s="115"/>
      <c r="W9" s="115"/>
      <c r="X9" s="115"/>
    </row>
    <row r="10" spans="1:24" ht="14">
      <c r="A10" s="114"/>
      <c r="B10" s="114"/>
      <c r="C10" s="114"/>
      <c r="D10" s="114"/>
      <c r="E10" s="114"/>
      <c r="F10" s="114"/>
      <c r="G10" s="114"/>
      <c r="H10" s="114"/>
      <c r="I10" s="114"/>
      <c r="J10" s="114"/>
      <c r="K10" s="114"/>
      <c r="L10" s="104"/>
      <c r="N10" s="116"/>
      <c r="O10" s="116"/>
      <c r="P10" s="116"/>
      <c r="Q10" s="116"/>
      <c r="T10" s="115"/>
      <c r="W10" s="115"/>
      <c r="X10" s="115"/>
    </row>
    <row r="11" spans="1:24" ht="14">
      <c r="A11" s="114"/>
      <c r="B11" s="114"/>
      <c r="C11" s="114"/>
      <c r="D11" s="114"/>
      <c r="E11" s="114"/>
      <c r="F11" s="114"/>
      <c r="G11" s="114"/>
      <c r="H11" s="114"/>
      <c r="I11" s="114"/>
      <c r="J11" s="114"/>
      <c r="K11" s="114"/>
      <c r="L11" s="104"/>
      <c r="N11" s="116"/>
      <c r="O11" s="116"/>
      <c r="P11" s="116"/>
      <c r="Q11" s="116"/>
      <c r="T11" s="115"/>
      <c r="U11" s="117"/>
      <c r="W11" s="115"/>
      <c r="X11" s="115"/>
    </row>
    <row r="12" spans="1:24">
      <c r="C12" s="118"/>
      <c r="D12" s="119"/>
      <c r="K12" s="120"/>
      <c r="L12" s="104"/>
      <c r="N12" s="116"/>
      <c r="O12" s="116"/>
      <c r="P12" s="116"/>
      <c r="Q12" s="116"/>
      <c r="T12" s="115"/>
      <c r="W12" s="115"/>
      <c r="X12" s="115"/>
    </row>
    <row r="13" spans="1:24">
      <c r="C13" s="118"/>
      <c r="D13" s="119"/>
      <c r="K13" s="120"/>
      <c r="L13" s="104"/>
      <c r="N13" s="116"/>
      <c r="O13" s="116"/>
      <c r="P13" s="116"/>
      <c r="Q13" s="116"/>
      <c r="T13" s="115"/>
      <c r="W13" s="115"/>
      <c r="X13" s="115"/>
    </row>
    <row r="14" spans="1:24">
      <c r="C14" s="118"/>
      <c r="D14" s="119"/>
      <c r="K14" s="120"/>
      <c r="L14" s="104"/>
      <c r="N14" s="116"/>
      <c r="O14" s="116"/>
      <c r="P14" s="116"/>
      <c r="Q14" s="116"/>
      <c r="T14" s="115"/>
      <c r="W14" s="115"/>
      <c r="X14" s="115"/>
    </row>
    <row r="15" spans="1:24">
      <c r="C15" s="118"/>
      <c r="D15" s="119"/>
      <c r="K15" s="120"/>
      <c r="L15" s="104"/>
      <c r="N15" s="116"/>
      <c r="O15" s="116"/>
      <c r="P15" s="116"/>
      <c r="Q15" s="116"/>
      <c r="T15" s="115"/>
      <c r="W15" s="115"/>
      <c r="X15" s="115"/>
    </row>
    <row r="16" spans="1:24" ht="22.5">
      <c r="A16" s="1324" t="s">
        <v>350</v>
      </c>
      <c r="B16" s="1324"/>
      <c r="D16" s="121"/>
      <c r="E16" s="121"/>
      <c r="F16" s="122"/>
      <c r="G16" s="123" t="s">
        <v>351</v>
      </c>
      <c r="J16" s="124"/>
      <c r="L16" s="115"/>
      <c r="M16" s="104"/>
      <c r="O16" s="104" t="s">
        <v>352</v>
      </c>
    </row>
    <row r="17" spans="1:17" ht="42">
      <c r="A17" s="1324"/>
      <c r="B17" s="1324"/>
      <c r="D17" s="126" t="s">
        <v>353</v>
      </c>
      <c r="E17" s="126" t="s">
        <v>353</v>
      </c>
      <c r="F17" s="127" t="s">
        <v>353</v>
      </c>
      <c r="G17" s="128">
        <f>SUM(Table310[Emissions (MTCO2e)])</f>
        <v>0</v>
      </c>
      <c r="H17" s="129" t="s">
        <v>354</v>
      </c>
      <c r="I17" s="129" t="s">
        <v>355</v>
      </c>
      <c r="L17" s="104"/>
      <c r="M17" s="104"/>
      <c r="O17" s="130" t="s">
        <v>356</v>
      </c>
      <c r="P17" s="130" t="s">
        <v>357</v>
      </c>
      <c r="Q17" s="130" t="s">
        <v>358</v>
      </c>
    </row>
    <row r="18" spans="1:17" ht="96.75" customHeight="1">
      <c r="A18" s="131"/>
      <c r="B18" s="131"/>
      <c r="C18" s="132" t="s">
        <v>359</v>
      </c>
      <c r="D18" s="133" t="s">
        <v>360</v>
      </c>
      <c r="E18" s="133" t="s">
        <v>361</v>
      </c>
      <c r="F18" s="134" t="s">
        <v>362</v>
      </c>
      <c r="G18" s="135" t="s">
        <v>363</v>
      </c>
      <c r="H18" s="136" t="s">
        <v>364</v>
      </c>
      <c r="I18" s="136" t="s">
        <v>365</v>
      </c>
      <c r="J18" s="137" t="s">
        <v>366</v>
      </c>
      <c r="K18" s="138" t="s">
        <v>367</v>
      </c>
      <c r="L18" s="139" t="s">
        <v>368</v>
      </c>
      <c r="M18" s="140" t="s">
        <v>276</v>
      </c>
      <c r="N18" s="140" t="s">
        <v>369</v>
      </c>
      <c r="O18" s="141" t="s">
        <v>370</v>
      </c>
      <c r="P18" s="141" t="s">
        <v>371</v>
      </c>
      <c r="Q18" s="141" t="s">
        <v>372</v>
      </c>
    </row>
    <row r="19" spans="1:17" ht="42">
      <c r="C19" s="665" t="s">
        <v>373</v>
      </c>
      <c r="D19" s="666"/>
      <c r="E19" s="666"/>
      <c r="F19" s="670"/>
      <c r="G19" s="660" t="str">
        <f>IFERROR(IF(E19="","",IF(F19="Direct-from-manufacturer",(E19*H19/1000*'Inventory Settings'!$J$21),(E19*I19/1000*'Inventory Settings'!$J$21))),"")</f>
        <v/>
      </c>
      <c r="H19" s="673">
        <v>1.1631724433699997</v>
      </c>
      <c r="I19" s="673">
        <v>1.2663494035899998</v>
      </c>
      <c r="J19" s="669">
        <v>8.2598368143477527E-2</v>
      </c>
      <c r="K19" s="142" t="s">
        <v>374</v>
      </c>
      <c r="L19" s="142" t="s">
        <v>375</v>
      </c>
      <c r="M19" s="143" t="s">
        <v>376</v>
      </c>
      <c r="N19" s="143" t="s">
        <v>377</v>
      </c>
      <c r="O19" s="144">
        <v>1.1631724433699997</v>
      </c>
      <c r="P19" s="144">
        <v>0.10459839423600001</v>
      </c>
      <c r="Q19" s="144">
        <v>1.2663494035899998</v>
      </c>
    </row>
    <row r="20" spans="1:17" ht="42">
      <c r="C20" s="665" t="s">
        <v>378</v>
      </c>
      <c r="D20" s="666"/>
      <c r="E20" s="666"/>
      <c r="F20" s="670"/>
      <c r="G20" s="660" t="str">
        <f>IFERROR(IF(E20="","",IF(F20="Direct-from-manufacturer",(E20*H20/1000*'Inventory Settings'!$J$21),(E20*I20/1000*'Inventory Settings'!$J$21))),"")</f>
        <v/>
      </c>
      <c r="H20" s="673">
        <v>2.7757227468900005</v>
      </c>
      <c r="I20" s="673">
        <v>2.9103230469499994</v>
      </c>
      <c r="J20" s="669">
        <v>4.6890746731713104E-2</v>
      </c>
      <c r="K20" s="142" t="s">
        <v>379</v>
      </c>
      <c r="L20" s="142" t="s">
        <v>380</v>
      </c>
      <c r="M20" s="143" t="s">
        <v>376</v>
      </c>
      <c r="N20" s="143" t="s">
        <v>377</v>
      </c>
      <c r="O20" s="144">
        <v>2.7757227468900005</v>
      </c>
      <c r="P20" s="144">
        <v>0.136467220902</v>
      </c>
      <c r="Q20" s="144">
        <v>2.9103230469499994</v>
      </c>
    </row>
    <row r="21" spans="1:17" ht="70">
      <c r="C21" s="665" t="s">
        <v>381</v>
      </c>
      <c r="D21" s="666"/>
      <c r="E21" s="666"/>
      <c r="F21" s="670"/>
      <c r="G21" s="660" t="str">
        <f>IFERROR(IF(E21="","",IF(F21="Direct-from-manufacturer",(E21*H21/1000*'Inventory Settings'!$J$21),(E21*I21/1000*'Inventory Settings'!$J$21))),"")</f>
        <v/>
      </c>
      <c r="H21" s="673">
        <v>0.48647094074000002</v>
      </c>
      <c r="I21" s="673">
        <v>0.56552225237000009</v>
      </c>
      <c r="J21" s="669">
        <v>0.13805292388197732</v>
      </c>
      <c r="K21" s="142">
        <v>111200</v>
      </c>
      <c r="L21" s="142" t="s">
        <v>382</v>
      </c>
      <c r="M21" s="143" t="s">
        <v>376</v>
      </c>
      <c r="N21" s="143" t="s">
        <v>383</v>
      </c>
      <c r="O21" s="144">
        <v>0.48647094074000002</v>
      </c>
      <c r="P21" s="144">
        <v>7.8072000459999985E-2</v>
      </c>
      <c r="Q21" s="144">
        <v>0.56552225237000009</v>
      </c>
    </row>
    <row r="22" spans="1:17" ht="42">
      <c r="C22" s="665" t="s">
        <v>384</v>
      </c>
      <c r="D22" s="666"/>
      <c r="E22" s="666"/>
      <c r="F22" s="670"/>
      <c r="G22" s="660" t="str">
        <f>IFERROR(IF(E22="","",IF(F22="Direct-from-manufacturer",(E22*H22/1000*'Inventory Settings'!$J$21),(E22*I22/1000*'Inventory Settings'!$J$21))),"")</f>
        <v/>
      </c>
      <c r="H22" s="673">
        <v>0.40354570815000013</v>
      </c>
      <c r="I22" s="673">
        <v>0.4856765822600001</v>
      </c>
      <c r="J22" s="669">
        <v>0.16892831760226526</v>
      </c>
      <c r="K22" s="142">
        <v>111300</v>
      </c>
      <c r="L22" s="142" t="s">
        <v>385</v>
      </c>
      <c r="M22" s="143" t="s">
        <v>376</v>
      </c>
      <c r="N22" s="143" t="s">
        <v>386</v>
      </c>
      <c r="O22" s="144">
        <v>0.40354570815000013</v>
      </c>
      <c r="P22" s="144">
        <v>8.204452794E-2</v>
      </c>
      <c r="Q22" s="144">
        <v>0.4856765822600001</v>
      </c>
    </row>
    <row r="23" spans="1:17" ht="84">
      <c r="C23" s="665" t="s">
        <v>387</v>
      </c>
      <c r="D23" s="666"/>
      <c r="E23" s="666"/>
      <c r="F23" s="670"/>
      <c r="G23" s="660" t="str">
        <f>IFERROR(IF(E23="","",IF(F23="Direct-from-manufacturer",(E23*H23/1000*'Inventory Settings'!$J$21),(E23*I23/1000*'Inventory Settings'!$J$21))),"")</f>
        <v/>
      </c>
      <c r="H23" s="673">
        <v>0.91595674118999992</v>
      </c>
      <c r="I23" s="673">
        <v>1.0259713322200001</v>
      </c>
      <c r="J23" s="669">
        <v>0.10704456011686121</v>
      </c>
      <c r="K23" s="142">
        <v>111400</v>
      </c>
      <c r="L23" s="142" t="s">
        <v>388</v>
      </c>
      <c r="M23" s="143" t="s">
        <v>376</v>
      </c>
      <c r="N23" s="143" t="s">
        <v>389</v>
      </c>
      <c r="O23" s="144">
        <v>0.91595674118999992</v>
      </c>
      <c r="P23" s="144">
        <v>0.10982464994999999</v>
      </c>
      <c r="Q23" s="144">
        <v>1.0259713322200001</v>
      </c>
    </row>
    <row r="24" spans="1:17" ht="84">
      <c r="C24" s="665" t="s">
        <v>390</v>
      </c>
      <c r="D24" s="666"/>
      <c r="E24" s="666"/>
      <c r="F24" s="670"/>
      <c r="G24" s="660" t="str">
        <f>IFERROR(IF(E24="","",IF(F24="Direct-from-manufacturer",(E24*H24/1000*'Inventory Settings'!$J$21),(E24*I24/1000*'Inventory Settings'!$J$21))),"")</f>
        <v/>
      </c>
      <c r="H24" s="673">
        <v>1.2643097272999999</v>
      </c>
      <c r="I24" s="673">
        <v>1.3770781358900004</v>
      </c>
      <c r="J24" s="669">
        <v>8.1525485855922258E-2</v>
      </c>
      <c r="K24" s="142">
        <v>111900</v>
      </c>
      <c r="L24" s="142" t="s">
        <v>391</v>
      </c>
      <c r="M24" s="143" t="s">
        <v>376</v>
      </c>
      <c r="N24" s="143" t="s">
        <v>392</v>
      </c>
      <c r="O24" s="144">
        <v>1.2643097272999999</v>
      </c>
      <c r="P24" s="144">
        <v>0.11226696409000002</v>
      </c>
      <c r="Q24" s="144">
        <v>1.3770781358900004</v>
      </c>
    </row>
    <row r="25" spans="1:17" ht="42">
      <c r="C25" s="665" t="s">
        <v>393</v>
      </c>
      <c r="D25" s="666"/>
      <c r="E25" s="666"/>
      <c r="F25" s="670"/>
      <c r="G25" s="660" t="str">
        <f>IFERROR(IF(E25="","",IF(F25="Direct-from-manufacturer",(E25*H25/1000*'Inventory Settings'!$J$21),(E25*I25/1000*'Inventory Settings'!$J$21))),"")</f>
        <v/>
      </c>
      <c r="H25" s="673">
        <v>3.4107794661199997</v>
      </c>
      <c r="I25" s="673">
        <v>3.4838821559199999</v>
      </c>
      <c r="J25" s="669">
        <v>2.0713049364307217E-2</v>
      </c>
      <c r="K25" s="142" t="s">
        <v>394</v>
      </c>
      <c r="L25" s="142" t="s">
        <v>395</v>
      </c>
      <c r="M25" s="143" t="s">
        <v>376</v>
      </c>
      <c r="N25" s="143" t="s">
        <v>396</v>
      </c>
      <c r="O25" s="144">
        <v>3.4107794661199997</v>
      </c>
      <c r="P25" s="144">
        <v>7.2161823075000006E-2</v>
      </c>
      <c r="Q25" s="144">
        <v>3.4838821559199999</v>
      </c>
    </row>
    <row r="26" spans="1:17" ht="28">
      <c r="C26" s="665" t="s">
        <v>397</v>
      </c>
      <c r="D26" s="666"/>
      <c r="E26" s="666"/>
      <c r="F26" s="670"/>
      <c r="G26" s="660" t="str">
        <f>IFERROR(IF(E26="","",IF(F26="Direct-from-manufacturer",(E26*H26/1000*'Inventory Settings'!$J$21),(E26*I26/1000*'Inventory Settings'!$J$21))),"")</f>
        <v/>
      </c>
      <c r="H26" s="673">
        <v>2.7667956874900002</v>
      </c>
      <c r="I26" s="673">
        <v>2.84012640078</v>
      </c>
      <c r="J26" s="669">
        <v>2.7096870347694545E-2</v>
      </c>
      <c r="K26" s="142">
        <v>112120</v>
      </c>
      <c r="L26" s="142" t="s">
        <v>398</v>
      </c>
      <c r="M26" s="143" t="s">
        <v>376</v>
      </c>
      <c r="N26" s="143" t="s">
        <v>396</v>
      </c>
      <c r="O26" s="144">
        <v>2.7667956874900002</v>
      </c>
      <c r="P26" s="144">
        <v>7.6958536853000012E-2</v>
      </c>
      <c r="Q26" s="144">
        <v>2.84012640078</v>
      </c>
    </row>
    <row r="27" spans="1:17" ht="224">
      <c r="C27" s="665" t="s">
        <v>399</v>
      </c>
      <c r="D27" s="666"/>
      <c r="E27" s="666"/>
      <c r="F27" s="670"/>
      <c r="G27" s="660" t="str">
        <f>IFERROR(IF(E27="","",IF(F27="Direct-from-manufacturer",(E27*H27/1000*'Inventory Settings'!$J$21),(E27*I27/1000*'Inventory Settings'!$J$21))),"")</f>
        <v/>
      </c>
      <c r="H27" s="673">
        <v>1.3850971116180002</v>
      </c>
      <c r="I27" s="673">
        <v>1.4671866380599998</v>
      </c>
      <c r="J27" s="669">
        <v>5.4495807214903408E-2</v>
      </c>
      <c r="K27" s="142" t="s">
        <v>400</v>
      </c>
      <c r="L27" s="142" t="s">
        <v>401</v>
      </c>
      <c r="M27" s="143" t="s">
        <v>376</v>
      </c>
      <c r="N27" s="143" t="s">
        <v>402</v>
      </c>
      <c r="O27" s="144">
        <v>1.3850971116180002</v>
      </c>
      <c r="P27" s="144">
        <v>7.9955520176000008E-2</v>
      </c>
      <c r="Q27" s="144">
        <v>1.4671866380599998</v>
      </c>
    </row>
    <row r="28" spans="1:17" ht="28">
      <c r="C28" s="665" t="s">
        <v>403</v>
      </c>
      <c r="D28" s="666"/>
      <c r="E28" s="666"/>
      <c r="F28" s="670"/>
      <c r="G28" s="660" t="str">
        <f>IFERROR(IF(E28="","",IF(F28="Direct-from-manufacturer",(E28*H28/1000*'Inventory Settings'!$J$21),(E28*I28/1000*'Inventory Settings'!$J$21))),"")</f>
        <v/>
      </c>
      <c r="H28" s="673">
        <v>1.1047525493300001</v>
      </c>
      <c r="I28" s="673">
        <v>1.1750700145599999</v>
      </c>
      <c r="J28" s="669">
        <v>6.0739998679760022E-2</v>
      </c>
      <c r="K28" s="142">
        <v>112300</v>
      </c>
      <c r="L28" s="142" t="s">
        <v>404</v>
      </c>
      <c r="M28" s="143" t="s">
        <v>376</v>
      </c>
      <c r="N28" s="143" t="s">
        <v>405</v>
      </c>
      <c r="O28" s="144">
        <v>1.1047525493300001</v>
      </c>
      <c r="P28" s="144">
        <v>7.1373751132999985E-2</v>
      </c>
      <c r="Q28" s="144">
        <v>1.1750700145599999</v>
      </c>
    </row>
    <row r="29" spans="1:17" ht="196">
      <c r="C29" s="665" t="s">
        <v>406</v>
      </c>
      <c r="D29" s="666"/>
      <c r="E29" s="666"/>
      <c r="F29" s="670"/>
      <c r="G29" s="660" t="str">
        <f>IFERROR(IF(E29="","",IF(F29="Direct-from-manufacturer",(E29*H29/1000*'Inventory Settings'!$J$21),(E29*I29/1000*'Inventory Settings'!$J$21))),"")</f>
        <v/>
      </c>
      <c r="H29" s="673">
        <v>0.23423199968000005</v>
      </c>
      <c r="I29" s="673">
        <v>0.30293571205000003</v>
      </c>
      <c r="J29" s="669">
        <v>0.22838434743072078</v>
      </c>
      <c r="K29" s="142">
        <v>113000</v>
      </c>
      <c r="L29" s="142" t="s">
        <v>407</v>
      </c>
      <c r="M29" s="143" t="s">
        <v>376</v>
      </c>
      <c r="N29" s="143" t="s">
        <v>408</v>
      </c>
      <c r="O29" s="144">
        <v>0.23423199968000005</v>
      </c>
      <c r="P29" s="144">
        <v>6.9185774909999997E-2</v>
      </c>
      <c r="Q29" s="144">
        <v>0.30293571205000003</v>
      </c>
    </row>
    <row r="30" spans="1:17" ht="126">
      <c r="C30" s="665" t="s">
        <v>409</v>
      </c>
      <c r="D30" s="666"/>
      <c r="E30" s="666"/>
      <c r="F30" s="670"/>
      <c r="G30" s="660" t="str">
        <f>IFERROR(IF(E30="","",IF(F30="Direct-from-manufacturer",(E30*H30/1000*'Inventory Settings'!$J$21),(E30*I30/1000*'Inventory Settings'!$J$21))),"")</f>
        <v/>
      </c>
      <c r="H30" s="673">
        <v>0.21072786975999999</v>
      </c>
      <c r="I30" s="673">
        <v>0.26984760748000008</v>
      </c>
      <c r="J30" s="669">
        <v>0.21798823170355414</v>
      </c>
      <c r="K30" s="142">
        <v>114000</v>
      </c>
      <c r="L30" s="142" t="s">
        <v>410</v>
      </c>
      <c r="M30" s="143" t="s">
        <v>376</v>
      </c>
      <c r="N30" s="143" t="s">
        <v>411</v>
      </c>
      <c r="O30" s="144">
        <v>0.21072786975999999</v>
      </c>
      <c r="P30" s="144">
        <v>5.8823602783999986E-2</v>
      </c>
      <c r="Q30" s="144">
        <v>0.26984760748000008</v>
      </c>
    </row>
    <row r="31" spans="1:17" ht="98">
      <c r="C31" s="665" t="s">
        <v>412</v>
      </c>
      <c r="D31" s="666"/>
      <c r="E31" s="666"/>
      <c r="F31" s="670" t="s">
        <v>413</v>
      </c>
      <c r="G31" s="660" t="str">
        <f>IFERROR(IF(E31="","",IF(F31="Direct-from-manufacturer",(E31*H31/1000*'Inventory Settings'!$J$21),(E31*I31/1000*'Inventory Settings'!$J$21))),"")</f>
        <v/>
      </c>
      <c r="H31" s="673">
        <v>0.59811398698999996</v>
      </c>
      <c r="I31" s="673">
        <v>0.59811398698999996</v>
      </c>
      <c r="J31" s="669">
        <v>0</v>
      </c>
      <c r="K31" s="142">
        <v>115000</v>
      </c>
      <c r="L31" s="142" t="s">
        <v>414</v>
      </c>
      <c r="M31" s="143" t="s">
        <v>376</v>
      </c>
      <c r="N31" s="143" t="s">
        <v>415</v>
      </c>
      <c r="O31" s="144">
        <v>0.59811398698999996</v>
      </c>
      <c r="P31" s="144">
        <v>0</v>
      </c>
      <c r="Q31" s="144">
        <v>0.59811398698999996</v>
      </c>
    </row>
    <row r="32" spans="1:17" ht="182" hidden="1">
      <c r="C32" s="665" t="s">
        <v>416</v>
      </c>
      <c r="D32" s="666"/>
      <c r="E32" s="666"/>
      <c r="F32" s="670"/>
      <c r="G32" s="660" t="str">
        <f>IFERROR(IF(E32="","",IF(F32="Direct-from-manufacturer",(E32*H32/1000*'Inventory Settings'!$J$21),(E32*I32/1000*'Inventory Settings'!$J$21))),"")</f>
        <v/>
      </c>
      <c r="H32" s="673">
        <v>0.8373162435899999</v>
      </c>
      <c r="I32" s="673">
        <v>0.89602223242000012</v>
      </c>
      <c r="J32" s="669">
        <v>6.607065950262081E-2</v>
      </c>
      <c r="K32" s="142">
        <v>211000</v>
      </c>
      <c r="L32" s="142" t="s">
        <v>417</v>
      </c>
      <c r="M32" s="143" t="s">
        <v>418</v>
      </c>
      <c r="N32" s="143" t="s">
        <v>419</v>
      </c>
      <c r="O32" s="144">
        <v>0.8373162435899999</v>
      </c>
      <c r="P32" s="144">
        <v>5.9200779824999994E-2</v>
      </c>
      <c r="Q32" s="144">
        <v>0.89602223242000012</v>
      </c>
    </row>
    <row r="33" spans="3:17" ht="70" hidden="1">
      <c r="C33" s="665" t="s">
        <v>19</v>
      </c>
      <c r="D33" s="666"/>
      <c r="E33" s="666"/>
      <c r="F33" s="670"/>
      <c r="G33" s="660" t="str">
        <f>IFERROR(IF(E33="","",IF(F33="Direct-from-manufacturer",(E33*H33/1000*'Inventory Settings'!$J$21),(E33*I33/1000*'Inventory Settings'!$J$21))),"")</f>
        <v/>
      </c>
      <c r="H33" s="673">
        <v>1.9618573424000001</v>
      </c>
      <c r="I33" s="673">
        <v>2.2389577101800002</v>
      </c>
      <c r="J33" s="669">
        <v>0.12250613404973552</v>
      </c>
      <c r="K33" s="142">
        <v>212100</v>
      </c>
      <c r="L33" s="142" t="s">
        <v>420</v>
      </c>
      <c r="M33" s="143" t="s">
        <v>418</v>
      </c>
      <c r="N33" s="143" t="s">
        <v>421</v>
      </c>
      <c r="O33" s="144">
        <v>1.9618573424000001</v>
      </c>
      <c r="P33" s="144">
        <v>0.27428605337500001</v>
      </c>
      <c r="Q33" s="144">
        <v>2.2389577101800002</v>
      </c>
    </row>
    <row r="34" spans="3:17" ht="98" hidden="1">
      <c r="C34" s="665" t="s">
        <v>422</v>
      </c>
      <c r="D34" s="666"/>
      <c r="E34" s="666"/>
      <c r="F34" s="670"/>
      <c r="G34" s="660" t="str">
        <f>IFERROR(IF(E34="","",IF(F34="Direct-from-manufacturer",(E34*H34/1000*'Inventory Settings'!$J$21),(E34*I34/1000*'Inventory Settings'!$J$21))),"")</f>
        <v/>
      </c>
      <c r="H34" s="673">
        <v>1.1200364220800001</v>
      </c>
      <c r="I34" s="673">
        <v>1.2359532004700002</v>
      </c>
      <c r="J34" s="669">
        <v>9.9453064289373602E-2</v>
      </c>
      <c r="K34" s="142" t="s">
        <v>423</v>
      </c>
      <c r="L34" s="142" t="s">
        <v>424</v>
      </c>
      <c r="M34" s="143" t="s">
        <v>418</v>
      </c>
      <c r="N34" s="143" t="s">
        <v>425</v>
      </c>
      <c r="O34" s="144">
        <v>1.1200364220800001</v>
      </c>
      <c r="P34" s="144">
        <v>0.12291933310499999</v>
      </c>
      <c r="Q34" s="144">
        <v>1.2359532004700002</v>
      </c>
    </row>
    <row r="35" spans="3:17" ht="56" hidden="1">
      <c r="C35" s="665" t="s">
        <v>426</v>
      </c>
      <c r="D35" s="666"/>
      <c r="E35" s="666"/>
      <c r="F35" s="670"/>
      <c r="G35" s="660" t="str">
        <f>IFERROR(IF(E35="","",IF(F35="Direct-from-manufacturer",(E35*H35/1000*'Inventory Settings'!$J$21),(E35*I35/1000*'Inventory Settings'!$J$21))),"")</f>
        <v/>
      </c>
      <c r="H35" s="673">
        <v>1.08751789582</v>
      </c>
      <c r="I35" s="673">
        <v>1.16858413871</v>
      </c>
      <c r="J35" s="669">
        <v>7.2641826871540416E-2</v>
      </c>
      <c r="K35" s="142">
        <v>212230</v>
      </c>
      <c r="L35" s="142" t="s">
        <v>427</v>
      </c>
      <c r="M35" s="143" t="s">
        <v>418</v>
      </c>
      <c r="N35" s="143" t="s">
        <v>425</v>
      </c>
      <c r="O35" s="144">
        <v>1.08751789582</v>
      </c>
      <c r="P35" s="144">
        <v>8.4888086688999997E-2</v>
      </c>
      <c r="Q35" s="144">
        <v>1.16858413871</v>
      </c>
    </row>
    <row r="36" spans="3:17" ht="70" hidden="1">
      <c r="C36" s="665" t="s">
        <v>428</v>
      </c>
      <c r="D36" s="666"/>
      <c r="E36" s="666"/>
      <c r="F36" s="670"/>
      <c r="G36" s="660" t="str">
        <f>IFERROR(IF(E36="","",IF(F36="Direct-from-manufacturer",(E36*H36/1000*'Inventory Settings'!$J$21),(E36*I36/1000*'Inventory Settings'!$J$21))),"")</f>
        <v/>
      </c>
      <c r="H36" s="673">
        <v>0.21739427717000001</v>
      </c>
      <c r="I36" s="673">
        <v>0.32707568611999993</v>
      </c>
      <c r="J36" s="669">
        <v>0.33644953617134993</v>
      </c>
      <c r="K36" s="142">
        <v>212310</v>
      </c>
      <c r="L36" s="142" t="s">
        <v>429</v>
      </c>
      <c r="M36" s="143" t="s">
        <v>418</v>
      </c>
      <c r="N36" s="143" t="s">
        <v>430</v>
      </c>
      <c r="O36" s="144">
        <v>0.21739427717000001</v>
      </c>
      <c r="P36" s="144">
        <v>0.11004446288800002</v>
      </c>
      <c r="Q36" s="144">
        <v>0.32707568611999993</v>
      </c>
    </row>
    <row r="37" spans="3:17" ht="224" hidden="1">
      <c r="C37" s="665" t="s">
        <v>431</v>
      </c>
      <c r="D37" s="666"/>
      <c r="E37" s="666"/>
      <c r="F37" s="670"/>
      <c r="G37" s="660" t="str">
        <f>IFERROR(IF(E37="","",IF(F37="Direct-from-manufacturer",(E37*H37/1000*'Inventory Settings'!$J$21),(E37*I37/1000*'Inventory Settings'!$J$21))),"")</f>
        <v/>
      </c>
      <c r="H37" s="673">
        <v>0.49259716878999982</v>
      </c>
      <c r="I37" s="673">
        <v>0.70320327422999995</v>
      </c>
      <c r="J37" s="669">
        <v>0.29943695708835605</v>
      </c>
      <c r="K37" s="142" t="s">
        <v>432</v>
      </c>
      <c r="L37" s="142" t="s">
        <v>433</v>
      </c>
      <c r="M37" s="143" t="s">
        <v>418</v>
      </c>
      <c r="N37" s="143" t="s">
        <v>430</v>
      </c>
      <c r="O37" s="144">
        <v>0.49259716878999982</v>
      </c>
      <c r="P37" s="144">
        <v>0.21056504864999995</v>
      </c>
      <c r="Q37" s="144">
        <v>0.70320327422999995</v>
      </c>
    </row>
    <row r="38" spans="3:17" ht="42" hidden="1">
      <c r="C38" s="665" t="s">
        <v>434</v>
      </c>
      <c r="D38" s="666"/>
      <c r="E38" s="666"/>
      <c r="F38" s="670" t="s">
        <v>413</v>
      </c>
      <c r="G38" s="660" t="str">
        <f>IFERROR(IF(E38="","",IF(F38="Direct-from-manufacturer",(E38*H38/1000*'Inventory Settings'!$J$21),(E38*I38/1000*'Inventory Settings'!$J$21))),"")</f>
        <v/>
      </c>
      <c r="H38" s="673">
        <v>0.54941773976999997</v>
      </c>
      <c r="I38" s="673">
        <v>0.54941773976999997</v>
      </c>
      <c r="J38" s="669">
        <v>0</v>
      </c>
      <c r="K38" s="142">
        <v>213111</v>
      </c>
      <c r="L38" s="142" t="s">
        <v>435</v>
      </c>
      <c r="M38" s="143" t="s">
        <v>418</v>
      </c>
      <c r="N38" s="143" t="s">
        <v>436</v>
      </c>
      <c r="O38" s="144">
        <v>0.54941773976999997</v>
      </c>
      <c r="P38" s="144">
        <v>0</v>
      </c>
      <c r="Q38" s="144">
        <v>0.54941773976999997</v>
      </c>
    </row>
    <row r="39" spans="3:17" ht="84" hidden="1">
      <c r="C39" s="665" t="s">
        <v>437</v>
      </c>
      <c r="D39" s="666"/>
      <c r="E39" s="666"/>
      <c r="F39" s="670" t="s">
        <v>413</v>
      </c>
      <c r="G39" s="660" t="str">
        <f>IFERROR(IF(E39="","",IF(F39="Direct-from-manufacturer",(E39*H39/1000*'Inventory Settings'!$J$21),(E39*I39/1000*'Inventory Settings'!$J$21))),"")</f>
        <v/>
      </c>
      <c r="H39" s="673">
        <v>0.53796820463000006</v>
      </c>
      <c r="I39" s="673">
        <v>0.53796820463000006</v>
      </c>
      <c r="J39" s="669">
        <v>0</v>
      </c>
      <c r="K39" s="142" t="s">
        <v>438</v>
      </c>
      <c r="L39" s="142" t="s">
        <v>439</v>
      </c>
      <c r="M39" s="143" t="s">
        <v>418</v>
      </c>
      <c r="N39" s="143" t="s">
        <v>436</v>
      </c>
      <c r="O39" s="144">
        <v>0.53796820463000006</v>
      </c>
      <c r="P39" s="144">
        <v>0</v>
      </c>
      <c r="Q39" s="144">
        <v>0.53796820463000006</v>
      </c>
    </row>
    <row r="40" spans="3:17" ht="84" hidden="1">
      <c r="C40" s="665" t="s">
        <v>10</v>
      </c>
      <c r="D40" s="666"/>
      <c r="E40" s="666"/>
      <c r="F40" s="670" t="s">
        <v>413</v>
      </c>
      <c r="G40" s="660" t="str">
        <f>IFERROR(IF(E40="","",IF(F40="Direct-from-manufacturer",(E40*H40/1000*'Inventory Settings'!$J$21),(E40*I40/1000*'Inventory Settings'!$J$21))),"")</f>
        <v/>
      </c>
      <c r="H40" s="673">
        <v>0.67272272223899998</v>
      </c>
      <c r="I40" s="673">
        <v>0.67272272223899998</v>
      </c>
      <c r="J40" s="669">
        <v>0</v>
      </c>
      <c r="K40" s="142">
        <v>221200</v>
      </c>
      <c r="L40" s="142" t="s">
        <v>440</v>
      </c>
      <c r="M40" s="143" t="s">
        <v>441</v>
      </c>
      <c r="N40" s="143" t="s">
        <v>442</v>
      </c>
      <c r="O40" s="144">
        <v>0.67272272223899998</v>
      </c>
      <c r="P40" s="144">
        <v>0</v>
      </c>
      <c r="Q40" s="144">
        <v>0.67272272223899998</v>
      </c>
    </row>
    <row r="41" spans="3:17" ht="56" hidden="1">
      <c r="C41" s="665" t="s">
        <v>443</v>
      </c>
      <c r="D41" s="666"/>
      <c r="E41" s="666"/>
      <c r="F41" s="670" t="s">
        <v>413</v>
      </c>
      <c r="G41" s="660" t="str">
        <f>IFERROR(IF(E41="","",IF(F41="Direct-from-manufacturer",(E41*H41/1000*'Inventory Settings'!$J$21),(E41*I41/1000*'Inventory Settings'!$J$21))),"")</f>
        <v/>
      </c>
      <c r="H41" s="673">
        <v>0.67297949483999997</v>
      </c>
      <c r="I41" s="673">
        <v>0.67297949483999997</v>
      </c>
      <c r="J41" s="669">
        <v>0</v>
      </c>
      <c r="K41" s="142">
        <v>221300</v>
      </c>
      <c r="L41" s="142" t="s">
        <v>444</v>
      </c>
      <c r="M41" s="143" t="s">
        <v>441</v>
      </c>
      <c r="N41" s="143" t="s">
        <v>445</v>
      </c>
      <c r="O41" s="144">
        <v>0.67297949483999997</v>
      </c>
      <c r="P41" s="144">
        <v>0</v>
      </c>
      <c r="Q41" s="144">
        <v>0.67297949483999997</v>
      </c>
    </row>
    <row r="42" spans="3:17" ht="108.5" hidden="1">
      <c r="C42" s="665" t="s">
        <v>446</v>
      </c>
      <c r="D42" s="674" t="s">
        <v>447</v>
      </c>
      <c r="E42" s="671"/>
      <c r="F42" s="672" t="s">
        <v>413</v>
      </c>
      <c r="G42" s="660" t="str">
        <f>IFERROR(IF(E42="","",IF(F42="Direct-from-manufacturer",(E42*H42/1000*'Inventory Settings'!$J$21),(E42*I42/1000*'Inventory Settings'!$J$21))),"")</f>
        <v/>
      </c>
      <c r="H42" s="675"/>
      <c r="I42" s="675"/>
      <c r="J42" s="676"/>
      <c r="K42" s="142"/>
      <c r="L42" s="142" t="s">
        <v>444</v>
      </c>
      <c r="M42" s="143" t="s">
        <v>441</v>
      </c>
      <c r="N42" s="143" t="s">
        <v>445</v>
      </c>
      <c r="O42" s="144"/>
      <c r="P42" s="144"/>
      <c r="Q42" s="144"/>
    </row>
    <row r="43" spans="3:17" ht="28" hidden="1">
      <c r="C43" s="665" t="s">
        <v>448</v>
      </c>
      <c r="D43" s="666"/>
      <c r="E43" s="666"/>
      <c r="F43" s="670" t="s">
        <v>413</v>
      </c>
      <c r="G43" s="660" t="str">
        <f>IFERROR(IF(E43="","",IF(F43="Direct-from-manufacturer",(E43*H43/1000*'Inventory Settings'!$J$21),(E43*I43/1000*'Inventory Settings'!$J$21))),"")</f>
        <v/>
      </c>
      <c r="H43" s="673">
        <v>0.16829768040000001</v>
      </c>
      <c r="I43" s="673">
        <v>0.16829768040000001</v>
      </c>
      <c r="J43" s="669">
        <v>0</v>
      </c>
      <c r="K43" s="142">
        <v>233411</v>
      </c>
      <c r="L43" s="142" t="s">
        <v>449</v>
      </c>
      <c r="M43" s="143" t="s">
        <v>450</v>
      </c>
      <c r="N43" s="143" t="s">
        <v>451</v>
      </c>
      <c r="O43" s="144">
        <v>0.16829768040000001</v>
      </c>
      <c r="P43" s="144">
        <v>0</v>
      </c>
      <c r="Q43" s="144">
        <v>0.16829768040000001</v>
      </c>
    </row>
    <row r="44" spans="3:17" ht="28" hidden="1">
      <c r="C44" s="665" t="s">
        <v>452</v>
      </c>
      <c r="D44" s="666"/>
      <c r="E44" s="666"/>
      <c r="F44" s="670" t="s">
        <v>413</v>
      </c>
      <c r="G44" s="660" t="str">
        <f>IFERROR(IF(E44="","",IF(F44="Direct-from-manufacturer",(E44*H44/1000*'Inventory Settings'!$J$21),(E44*I44/1000*'Inventory Settings'!$J$21))),"")</f>
        <v/>
      </c>
      <c r="H44" s="673">
        <v>0.11827150004999999</v>
      </c>
      <c r="I44" s="673">
        <v>0.11827150004999999</v>
      </c>
      <c r="J44" s="669">
        <v>0</v>
      </c>
      <c r="K44" s="142">
        <v>233412</v>
      </c>
      <c r="L44" s="142" t="s">
        <v>453</v>
      </c>
      <c r="M44" s="143" t="s">
        <v>450</v>
      </c>
      <c r="N44" s="143" t="s">
        <v>451</v>
      </c>
      <c r="O44" s="144">
        <v>0.11827150004999999</v>
      </c>
      <c r="P44" s="144">
        <v>0</v>
      </c>
      <c r="Q44" s="144">
        <v>0.11827150004999999</v>
      </c>
    </row>
    <row r="45" spans="3:17" ht="70" hidden="1">
      <c r="C45" s="665" t="s">
        <v>454</v>
      </c>
      <c r="D45" s="666"/>
      <c r="E45" s="666"/>
      <c r="F45" s="670" t="s">
        <v>413</v>
      </c>
      <c r="G45" s="660" t="str">
        <f>IFERROR(IF(E45="","",IF(F45="Direct-from-manufacturer",(E45*H45/1000*'Inventory Settings'!$J$21),(E45*I45/1000*'Inventory Settings'!$J$21))),"")</f>
        <v/>
      </c>
      <c r="H45" s="673">
        <v>0.19773716578999995</v>
      </c>
      <c r="I45" s="673">
        <v>0.19773716578999995</v>
      </c>
      <c r="J45" s="669">
        <v>0</v>
      </c>
      <c r="K45" s="142" t="s">
        <v>455</v>
      </c>
      <c r="L45" s="142" t="s">
        <v>456</v>
      </c>
      <c r="M45" s="143" t="s">
        <v>450</v>
      </c>
      <c r="N45" s="143" t="s">
        <v>451</v>
      </c>
      <c r="O45" s="144">
        <v>0.19773716578999995</v>
      </c>
      <c r="P45" s="144">
        <v>0</v>
      </c>
      <c r="Q45" s="144">
        <v>0.19773716578999995</v>
      </c>
    </row>
    <row r="46" spans="3:17" ht="31" hidden="1">
      <c r="C46" s="665" t="s">
        <v>457</v>
      </c>
      <c r="D46" s="666"/>
      <c r="E46" s="666"/>
      <c r="F46" s="670" t="s">
        <v>413</v>
      </c>
      <c r="G46" s="660" t="str">
        <f>IFERROR(IF(E46="","",IF(F46="Direct-from-manufacturer",(E46*H46/1000*'Inventory Settings'!$J$21),(E46*I46/1000*'Inventory Settings'!$J$21))),"")</f>
        <v/>
      </c>
      <c r="H46" s="673">
        <v>0.28048966973999995</v>
      </c>
      <c r="I46" s="673">
        <v>0.28048966973999995</v>
      </c>
      <c r="J46" s="669">
        <v>0</v>
      </c>
      <c r="K46" s="142">
        <v>230302</v>
      </c>
      <c r="L46" s="142" t="s">
        <v>458</v>
      </c>
      <c r="M46" s="143" t="s">
        <v>450</v>
      </c>
      <c r="N46" s="143" t="s">
        <v>451</v>
      </c>
      <c r="O46" s="144">
        <v>0.28048966973999995</v>
      </c>
      <c r="P46" s="144">
        <v>0</v>
      </c>
      <c r="Q46" s="144">
        <v>0.28048966973999995</v>
      </c>
    </row>
    <row r="47" spans="3:17" ht="182" hidden="1">
      <c r="C47" s="665" t="s">
        <v>459</v>
      </c>
      <c r="D47" s="666"/>
      <c r="E47" s="666"/>
      <c r="F47" s="670" t="s">
        <v>413</v>
      </c>
      <c r="G47" s="660" t="str">
        <f>IFERROR(IF(E47="","",IF(F47="Direct-from-manufacturer",(E47*H47/1000*'Inventory Settings'!$J$21),(E47*I47/1000*'Inventory Settings'!$J$21))),"")</f>
        <v/>
      </c>
      <c r="H47" s="673">
        <v>0.31528373175999996</v>
      </c>
      <c r="I47" s="673">
        <v>0.31528373175999996</v>
      </c>
      <c r="J47" s="669">
        <v>0</v>
      </c>
      <c r="K47" s="142" t="s">
        <v>460</v>
      </c>
      <c r="L47" s="142" t="s">
        <v>461</v>
      </c>
      <c r="M47" s="143" t="s">
        <v>450</v>
      </c>
      <c r="N47" s="143" t="s">
        <v>462</v>
      </c>
      <c r="O47" s="144">
        <v>0.31528373175999996</v>
      </c>
      <c r="P47" s="144">
        <v>0</v>
      </c>
      <c r="Q47" s="144">
        <v>0.31528373175999996</v>
      </c>
    </row>
    <row r="48" spans="3:17" ht="210" hidden="1">
      <c r="C48" s="665" t="s">
        <v>463</v>
      </c>
      <c r="D48" s="666"/>
      <c r="E48" s="666"/>
      <c r="F48" s="670" t="s">
        <v>413</v>
      </c>
      <c r="G48" s="660" t="str">
        <f>IFERROR(IF(E48="","",IF(F48="Direct-from-manufacturer",(E48*H48/1000*'Inventory Settings'!$J$21),(E48*I48/1000*'Inventory Settings'!$J$21))),"")</f>
        <v/>
      </c>
      <c r="H48" s="673">
        <v>0.26011296460000005</v>
      </c>
      <c r="I48" s="673">
        <v>0.26011296460000005</v>
      </c>
      <c r="J48" s="669">
        <v>0</v>
      </c>
      <c r="K48" s="142" t="s">
        <v>464</v>
      </c>
      <c r="L48" s="142" t="s">
        <v>465</v>
      </c>
      <c r="M48" s="143" t="s">
        <v>450</v>
      </c>
      <c r="N48" s="143" t="s">
        <v>462</v>
      </c>
      <c r="O48" s="144">
        <v>0.26011296460000005</v>
      </c>
      <c r="P48" s="144">
        <v>0</v>
      </c>
      <c r="Q48" s="144">
        <v>0.26011296460000005</v>
      </c>
    </row>
    <row r="49" spans="3:17" ht="31" hidden="1">
      <c r="C49" s="665" t="s">
        <v>466</v>
      </c>
      <c r="D49" s="666"/>
      <c r="E49" s="666"/>
      <c r="F49" s="670" t="s">
        <v>413</v>
      </c>
      <c r="G49" s="660" t="str">
        <f>IFERROR(IF(E49="","",IF(F49="Direct-from-manufacturer",(E49*H49/1000*'Inventory Settings'!$J$21),(E49*I49/1000*'Inventory Settings'!$J$21))),"")</f>
        <v/>
      </c>
      <c r="H49" s="673">
        <v>0.36801075813</v>
      </c>
      <c r="I49" s="673">
        <v>0.36801075813</v>
      </c>
      <c r="J49" s="669">
        <v>0</v>
      </c>
      <c r="K49" s="142">
        <v>233240</v>
      </c>
      <c r="L49" s="142" t="s">
        <v>467</v>
      </c>
      <c r="M49" s="143" t="s">
        <v>450</v>
      </c>
      <c r="N49" s="143" t="s">
        <v>468</v>
      </c>
      <c r="O49" s="144">
        <v>0.36801075813</v>
      </c>
      <c r="P49" s="144">
        <v>0</v>
      </c>
      <c r="Q49" s="144">
        <v>0.36801075813</v>
      </c>
    </row>
    <row r="50" spans="3:17" ht="98" hidden="1">
      <c r="C50" s="665" t="s">
        <v>469</v>
      </c>
      <c r="D50" s="666"/>
      <c r="E50" s="666"/>
      <c r="F50" s="670" t="s">
        <v>413</v>
      </c>
      <c r="G50" s="660" t="str">
        <f>IFERROR(IF(E50="","",IF(F50="Direct-from-manufacturer",(E50*H50/1000*'Inventory Settings'!$J$21),(E50*I50/1000*'Inventory Settings'!$J$21))),"")</f>
        <v/>
      </c>
      <c r="H50" s="673">
        <v>0.24320035617000002</v>
      </c>
      <c r="I50" s="673">
        <v>0.24320035617000002</v>
      </c>
      <c r="J50" s="669">
        <v>0</v>
      </c>
      <c r="K50" s="142" t="s">
        <v>470</v>
      </c>
      <c r="L50" s="142" t="s">
        <v>471</v>
      </c>
      <c r="M50" s="143" t="s">
        <v>450</v>
      </c>
      <c r="N50" s="143" t="s">
        <v>451</v>
      </c>
      <c r="O50" s="144">
        <v>0.24320035617000002</v>
      </c>
      <c r="P50" s="144">
        <v>0</v>
      </c>
      <c r="Q50" s="144">
        <v>0.24320035617000002</v>
      </c>
    </row>
    <row r="51" spans="3:17" ht="70" hidden="1">
      <c r="C51" s="665" t="s">
        <v>472</v>
      </c>
      <c r="D51" s="666"/>
      <c r="E51" s="666"/>
      <c r="F51" s="670" t="s">
        <v>413</v>
      </c>
      <c r="G51" s="660" t="str">
        <f>IFERROR(IF(E51="","",IF(F51="Direct-from-manufacturer",(E51*H51/1000*'Inventory Settings'!$J$21),(E51*I51/1000*'Inventory Settings'!$J$21))),"")</f>
        <v/>
      </c>
      <c r="H51" s="673">
        <v>0.30106143817000008</v>
      </c>
      <c r="I51" s="673">
        <v>0.30106143817000008</v>
      </c>
      <c r="J51" s="669">
        <v>0</v>
      </c>
      <c r="K51" s="142" t="s">
        <v>455</v>
      </c>
      <c r="L51" s="142" t="s">
        <v>456</v>
      </c>
      <c r="M51" s="143" t="s">
        <v>450</v>
      </c>
      <c r="N51" s="143" t="s">
        <v>451</v>
      </c>
      <c r="O51" s="144">
        <v>0.30106143817000008</v>
      </c>
      <c r="P51" s="144">
        <v>0</v>
      </c>
      <c r="Q51" s="144">
        <v>0.30106143817000008</v>
      </c>
    </row>
    <row r="52" spans="3:17" ht="28" hidden="1">
      <c r="C52" s="665" t="s">
        <v>473</v>
      </c>
      <c r="D52" s="666"/>
      <c r="E52" s="666"/>
      <c r="F52" s="670" t="s">
        <v>413</v>
      </c>
      <c r="G52" s="660" t="str">
        <f>IFERROR(IF(E52="","",IF(F52="Direct-from-manufacturer",(E52*H52/1000*'Inventory Settings'!$J$21),(E52*I52/1000*'Inventory Settings'!$J$21))),"")</f>
        <v/>
      </c>
      <c r="H52" s="673">
        <v>0.27403284453000004</v>
      </c>
      <c r="I52" s="673">
        <v>0.27403284453000004</v>
      </c>
      <c r="J52" s="669">
        <v>0</v>
      </c>
      <c r="K52" s="142" t="s">
        <v>474</v>
      </c>
      <c r="L52" s="142" t="s">
        <v>475</v>
      </c>
      <c r="M52" s="143" t="s">
        <v>450</v>
      </c>
      <c r="N52" s="143" t="s">
        <v>462</v>
      </c>
      <c r="O52" s="144">
        <v>0.27403284453000004</v>
      </c>
      <c r="P52" s="144">
        <v>0</v>
      </c>
      <c r="Q52" s="144">
        <v>0.27403284453000004</v>
      </c>
    </row>
    <row r="53" spans="3:17" ht="84" hidden="1">
      <c r="C53" s="665" t="s">
        <v>476</v>
      </c>
      <c r="D53" s="666"/>
      <c r="E53" s="666"/>
      <c r="F53" s="670" t="s">
        <v>413</v>
      </c>
      <c r="G53" s="660" t="str">
        <f>IFERROR(IF(E53="","",IF(F53="Direct-from-manufacturer",(E53*H53/1000*'Inventory Settings'!$J$21),(E53*I53/1000*'Inventory Settings'!$J$21))),"")</f>
        <v/>
      </c>
      <c r="H53" s="673">
        <v>0.24879237906999999</v>
      </c>
      <c r="I53" s="673">
        <v>0.24879237906999999</v>
      </c>
      <c r="J53" s="669">
        <v>0</v>
      </c>
      <c r="K53" s="142" t="s">
        <v>477</v>
      </c>
      <c r="L53" s="142" t="s">
        <v>478</v>
      </c>
      <c r="M53" s="143" t="s">
        <v>450</v>
      </c>
      <c r="N53" s="143" t="s">
        <v>462</v>
      </c>
      <c r="O53" s="144">
        <v>0.24879237906999999</v>
      </c>
      <c r="P53" s="144">
        <v>0</v>
      </c>
      <c r="Q53" s="144">
        <v>0.24879237906999999</v>
      </c>
    </row>
    <row r="54" spans="3:17" ht="126" hidden="1">
      <c r="C54" s="665" t="s">
        <v>479</v>
      </c>
      <c r="D54" s="666"/>
      <c r="E54" s="666"/>
      <c r="F54" s="670" t="s">
        <v>413</v>
      </c>
      <c r="G54" s="660" t="str">
        <f>IFERROR(IF(E54="","",IF(F54="Direct-from-manufacturer",(E54*H54/1000*'Inventory Settings'!$J$21),(E54*I54/1000*'Inventory Settings'!$J$21))),"")</f>
        <v/>
      </c>
      <c r="H54" s="673">
        <v>0.24879237906999999</v>
      </c>
      <c r="I54" s="673">
        <v>0.24879237906999999</v>
      </c>
      <c r="J54" s="669">
        <v>0</v>
      </c>
      <c r="K54" s="142" t="s">
        <v>480</v>
      </c>
      <c r="L54" s="142" t="s">
        <v>481</v>
      </c>
      <c r="M54" s="143" t="s">
        <v>450</v>
      </c>
      <c r="N54" s="143" t="s">
        <v>462</v>
      </c>
      <c r="O54" s="144">
        <v>0.24879237906999999</v>
      </c>
      <c r="P54" s="144">
        <v>0</v>
      </c>
      <c r="Q54" s="144">
        <v>0.24879237906999999</v>
      </c>
    </row>
    <row r="55" spans="3:17" ht="84" hidden="1">
      <c r="C55" s="665" t="s">
        <v>482</v>
      </c>
      <c r="D55" s="666"/>
      <c r="E55" s="666"/>
      <c r="F55" s="670" t="s">
        <v>413</v>
      </c>
      <c r="G55" s="660" t="str">
        <f>IFERROR(IF(E55="","",IF(F55="Direct-from-manufacturer",(E55*H55/1000*'Inventory Settings'!$J$21),(E55*I55/1000*'Inventory Settings'!$J$21))),"")</f>
        <v/>
      </c>
      <c r="H55" s="673">
        <v>0.24879237906999999</v>
      </c>
      <c r="I55" s="673">
        <v>0.24879237906999999</v>
      </c>
      <c r="J55" s="669">
        <v>0</v>
      </c>
      <c r="K55" s="142" t="s">
        <v>483</v>
      </c>
      <c r="L55" s="142" t="s">
        <v>484</v>
      </c>
      <c r="M55" s="143" t="s">
        <v>450</v>
      </c>
      <c r="N55" s="143" t="s">
        <v>451</v>
      </c>
      <c r="O55" s="144">
        <v>0.24879237906999999</v>
      </c>
      <c r="P55" s="144">
        <v>0</v>
      </c>
      <c r="Q55" s="144">
        <v>0.24879237906999999</v>
      </c>
    </row>
    <row r="56" spans="3:17" ht="70" hidden="1">
      <c r="C56" s="665" t="s">
        <v>485</v>
      </c>
      <c r="D56" s="666"/>
      <c r="E56" s="666"/>
      <c r="F56" s="670" t="s">
        <v>413</v>
      </c>
      <c r="G56" s="660" t="str">
        <f>IFERROR(IF(E56="","",IF(F56="Direct-from-manufacturer",(E56*H56/1000*'Inventory Settings'!$J$21),(E56*I56/1000*'Inventory Settings'!$J$21))),"")</f>
        <v/>
      </c>
      <c r="H56" s="673">
        <v>0.24879237906999999</v>
      </c>
      <c r="I56" s="673">
        <v>0.24879237906999999</v>
      </c>
      <c r="J56" s="669">
        <v>0</v>
      </c>
      <c r="K56" s="142" t="s">
        <v>486</v>
      </c>
      <c r="L56" s="142" t="s">
        <v>487</v>
      </c>
      <c r="M56" s="143" t="s">
        <v>450</v>
      </c>
      <c r="N56" s="143" t="s">
        <v>468</v>
      </c>
      <c r="O56" s="144">
        <v>0.24879237906999999</v>
      </c>
      <c r="P56" s="144">
        <v>0</v>
      </c>
      <c r="Q56" s="144">
        <v>0.24879237906999999</v>
      </c>
    </row>
    <row r="57" spans="3:17" ht="84" hidden="1">
      <c r="C57" s="665" t="s">
        <v>488</v>
      </c>
      <c r="D57" s="666"/>
      <c r="E57" s="666"/>
      <c r="F57" s="670" t="s">
        <v>413</v>
      </c>
      <c r="G57" s="660" t="str">
        <f>IFERROR(IF(E57="","",IF(F57="Direct-from-manufacturer",(E57*H57/1000*'Inventory Settings'!$J$21),(E57*I57/1000*'Inventory Settings'!$J$21))),"")</f>
        <v/>
      </c>
      <c r="H57" s="673">
        <v>0.24879237907000001</v>
      </c>
      <c r="I57" s="673">
        <v>0.24879237907000001</v>
      </c>
      <c r="J57" s="669">
        <v>0</v>
      </c>
      <c r="K57" s="142" t="s">
        <v>489</v>
      </c>
      <c r="L57" s="142" t="s">
        <v>490</v>
      </c>
      <c r="M57" s="143" t="s">
        <v>450</v>
      </c>
      <c r="N57" s="143" t="s">
        <v>462</v>
      </c>
      <c r="O57" s="144">
        <v>0.24879237907000001</v>
      </c>
      <c r="P57" s="144">
        <v>0</v>
      </c>
      <c r="Q57" s="144">
        <v>0.24879237907000001</v>
      </c>
    </row>
    <row r="58" spans="3:17" ht="70" hidden="1">
      <c r="C58" s="665" t="s">
        <v>491</v>
      </c>
      <c r="D58" s="666"/>
      <c r="E58" s="666"/>
      <c r="F58" s="670" t="s">
        <v>413</v>
      </c>
      <c r="G58" s="660" t="str">
        <f>IFERROR(IF(E58="","",IF(F58="Direct-from-manufacturer",(E58*H58/1000*'Inventory Settings'!$J$21),(E58*I58/1000*'Inventory Settings'!$J$21))),"")</f>
        <v/>
      </c>
      <c r="H58" s="673">
        <v>0.24879237906999999</v>
      </c>
      <c r="I58" s="673">
        <v>0.24879237906999999</v>
      </c>
      <c r="J58" s="669">
        <v>0</v>
      </c>
      <c r="K58" s="142" t="s">
        <v>492</v>
      </c>
      <c r="L58" s="142" t="s">
        <v>493</v>
      </c>
      <c r="M58" s="143" t="s">
        <v>450</v>
      </c>
      <c r="N58" s="143" t="s">
        <v>462</v>
      </c>
      <c r="O58" s="144">
        <v>0.24879237906999999</v>
      </c>
      <c r="P58" s="144">
        <v>0</v>
      </c>
      <c r="Q58" s="144">
        <v>0.24879237906999999</v>
      </c>
    </row>
    <row r="59" spans="3:17" ht="84" hidden="1">
      <c r="C59" s="665" t="s">
        <v>494</v>
      </c>
      <c r="D59" s="666"/>
      <c r="E59" s="666"/>
      <c r="F59" s="670" t="s">
        <v>413</v>
      </c>
      <c r="G59" s="660" t="str">
        <f>IFERROR(IF(E59="","",IF(F59="Direct-from-manufacturer",(E59*H59/1000*'Inventory Settings'!$J$21),(E59*I59/1000*'Inventory Settings'!$J$21))),"")</f>
        <v/>
      </c>
      <c r="H59" s="673">
        <v>0.24879237906999999</v>
      </c>
      <c r="I59" s="673">
        <v>0.24879237906999999</v>
      </c>
      <c r="J59" s="669">
        <v>0</v>
      </c>
      <c r="K59" s="142" t="s">
        <v>495</v>
      </c>
      <c r="L59" s="142" t="s">
        <v>496</v>
      </c>
      <c r="M59" s="143" t="s">
        <v>450</v>
      </c>
      <c r="N59" s="143" t="s">
        <v>462</v>
      </c>
      <c r="O59" s="144">
        <v>0.24879237906999999</v>
      </c>
      <c r="P59" s="144">
        <v>0</v>
      </c>
      <c r="Q59" s="144">
        <v>0.24879237906999999</v>
      </c>
    </row>
    <row r="60" spans="3:17" ht="98" hidden="1">
      <c r="C60" s="665" t="s">
        <v>497</v>
      </c>
      <c r="D60" s="666"/>
      <c r="E60" s="666"/>
      <c r="F60" s="670" t="s">
        <v>413</v>
      </c>
      <c r="G60" s="660" t="str">
        <f>IFERROR(IF(E60="","",IF(F60="Direct-from-manufacturer",(E60*H60/1000*'Inventory Settings'!$J$21),(E60*I60/1000*'Inventory Settings'!$J$21))),"")</f>
        <v/>
      </c>
      <c r="H60" s="673">
        <v>0.24879237906999999</v>
      </c>
      <c r="I60" s="673">
        <v>0.24879237906999999</v>
      </c>
      <c r="J60" s="669">
        <v>0</v>
      </c>
      <c r="K60" s="142" t="s">
        <v>498</v>
      </c>
      <c r="L60" s="142" t="s">
        <v>499</v>
      </c>
      <c r="M60" s="143" t="s">
        <v>450</v>
      </c>
      <c r="N60" s="143" t="s">
        <v>451</v>
      </c>
      <c r="O60" s="144">
        <v>0.24879237906999999</v>
      </c>
      <c r="P60" s="144">
        <v>0</v>
      </c>
      <c r="Q60" s="144">
        <v>0.24879237906999999</v>
      </c>
    </row>
    <row r="61" spans="3:17" ht="154" hidden="1">
      <c r="C61" s="665" t="s">
        <v>500</v>
      </c>
      <c r="D61" s="666"/>
      <c r="E61" s="666"/>
      <c r="F61" s="670" t="s">
        <v>413</v>
      </c>
      <c r="G61" s="660" t="str">
        <f>IFERROR(IF(E61="","",IF(F61="Direct-from-manufacturer",(E61*H61/1000*'Inventory Settings'!$J$21),(E61*I61/1000*'Inventory Settings'!$J$21))),"")</f>
        <v/>
      </c>
      <c r="H61" s="673">
        <v>0.24879237906999999</v>
      </c>
      <c r="I61" s="673">
        <v>0.24879237906999999</v>
      </c>
      <c r="J61" s="669">
        <v>0</v>
      </c>
      <c r="K61" s="142" t="s">
        <v>501</v>
      </c>
      <c r="L61" s="142" t="s">
        <v>502</v>
      </c>
      <c r="M61" s="143" t="s">
        <v>450</v>
      </c>
      <c r="N61" s="143" t="s">
        <v>462</v>
      </c>
      <c r="O61" s="144">
        <v>0.24879237906999999</v>
      </c>
      <c r="P61" s="144">
        <v>0</v>
      </c>
      <c r="Q61" s="144">
        <v>0.24879237906999999</v>
      </c>
    </row>
    <row r="62" spans="3:17" ht="126" hidden="1">
      <c r="C62" s="665" t="s">
        <v>503</v>
      </c>
      <c r="D62" s="666"/>
      <c r="E62" s="666"/>
      <c r="F62" s="670" t="s">
        <v>413</v>
      </c>
      <c r="G62" s="660" t="str">
        <f>IFERROR(IF(E62="","",IF(F62="Direct-from-manufacturer",(E62*H62/1000*'Inventory Settings'!$J$21),(E62*I62/1000*'Inventory Settings'!$J$21))),"")</f>
        <v/>
      </c>
      <c r="H62" s="673">
        <v>0.24879237906999999</v>
      </c>
      <c r="I62" s="673">
        <v>0.24879237906999999</v>
      </c>
      <c r="J62" s="669">
        <v>0</v>
      </c>
      <c r="K62" s="142" t="s">
        <v>504</v>
      </c>
      <c r="L62" s="142" t="s">
        <v>505</v>
      </c>
      <c r="M62" s="143" t="s">
        <v>450</v>
      </c>
      <c r="N62" s="143" t="s">
        <v>451</v>
      </c>
      <c r="O62" s="144">
        <v>0.24879237906999999</v>
      </c>
      <c r="P62" s="144">
        <v>0</v>
      </c>
      <c r="Q62" s="144">
        <v>0.24879237906999999</v>
      </c>
    </row>
    <row r="63" spans="3:17" ht="140" hidden="1">
      <c r="C63" s="665" t="s">
        <v>506</v>
      </c>
      <c r="D63" s="666"/>
      <c r="E63" s="666"/>
      <c r="F63" s="670" t="s">
        <v>413</v>
      </c>
      <c r="G63" s="660" t="str">
        <f>IFERROR(IF(E63="","",IF(F63="Direct-from-manufacturer",(E63*H63/1000*'Inventory Settings'!$J$21),(E63*I63/1000*'Inventory Settings'!$J$21))),"")</f>
        <v/>
      </c>
      <c r="H63" s="673">
        <v>0.24879237907000001</v>
      </c>
      <c r="I63" s="673">
        <v>0.24879237907000001</v>
      </c>
      <c r="J63" s="669">
        <v>0</v>
      </c>
      <c r="K63" s="142" t="s">
        <v>507</v>
      </c>
      <c r="L63" s="142" t="s">
        <v>508</v>
      </c>
      <c r="M63" s="143" t="s">
        <v>450</v>
      </c>
      <c r="N63" s="143" t="s">
        <v>462</v>
      </c>
      <c r="O63" s="144">
        <v>0.24879237907000001</v>
      </c>
      <c r="P63" s="144">
        <v>0</v>
      </c>
      <c r="Q63" s="144">
        <v>0.24879237907000001</v>
      </c>
    </row>
    <row r="64" spans="3:17" ht="126" hidden="1">
      <c r="C64" s="665" t="s">
        <v>509</v>
      </c>
      <c r="D64" s="666"/>
      <c r="E64" s="666"/>
      <c r="F64" s="670" t="s">
        <v>413</v>
      </c>
      <c r="G64" s="660" t="str">
        <f>IFERROR(IF(E64="","",IF(F64="Direct-from-manufacturer",(E64*H64/1000*'Inventory Settings'!$J$21),(E64*I64/1000*'Inventory Settings'!$J$21))),"")</f>
        <v/>
      </c>
      <c r="H64" s="673">
        <v>0.24879237907000001</v>
      </c>
      <c r="I64" s="673">
        <v>0.24879237907000001</v>
      </c>
      <c r="J64" s="669">
        <v>0</v>
      </c>
      <c r="K64" s="142" t="s">
        <v>510</v>
      </c>
      <c r="L64" s="142" t="s">
        <v>511</v>
      </c>
      <c r="M64" s="143" t="s">
        <v>450</v>
      </c>
      <c r="N64" s="143" t="s">
        <v>462</v>
      </c>
      <c r="O64" s="144">
        <v>0.24879237907000001</v>
      </c>
      <c r="P64" s="144">
        <v>0</v>
      </c>
      <c r="Q64" s="144">
        <v>0.24879237907000001</v>
      </c>
    </row>
    <row r="65" spans="3:17" ht="70" hidden="1">
      <c r="C65" s="665" t="s">
        <v>512</v>
      </c>
      <c r="D65" s="666"/>
      <c r="E65" s="666"/>
      <c r="F65" s="670" t="s">
        <v>413</v>
      </c>
      <c r="G65" s="660" t="str">
        <f>IFERROR(IF(E65="","",IF(F65="Direct-from-manufacturer",(E65*H65/1000*'Inventory Settings'!$J$21),(E65*I65/1000*'Inventory Settings'!$J$21))),"")</f>
        <v/>
      </c>
      <c r="H65" s="673">
        <v>0.24879237907000001</v>
      </c>
      <c r="I65" s="673">
        <v>0.24879237907000001</v>
      </c>
      <c r="J65" s="669">
        <v>0</v>
      </c>
      <c r="K65" s="142" t="s">
        <v>513</v>
      </c>
      <c r="L65" s="142" t="s">
        <v>514</v>
      </c>
      <c r="M65" s="143" t="s">
        <v>450</v>
      </c>
      <c r="N65" s="143" t="s">
        <v>462</v>
      </c>
      <c r="O65" s="144">
        <v>0.24879237907000001</v>
      </c>
      <c r="P65" s="144">
        <v>0</v>
      </c>
      <c r="Q65" s="144">
        <v>0.24879237907000001</v>
      </c>
    </row>
    <row r="66" spans="3:17" ht="84" hidden="1">
      <c r="C66" s="665" t="s">
        <v>515</v>
      </c>
      <c r="D66" s="666"/>
      <c r="E66" s="666"/>
      <c r="F66" s="670" t="s">
        <v>413</v>
      </c>
      <c r="G66" s="660" t="str">
        <f>IFERROR(IF(E66="","",IF(F66="Direct-from-manufacturer",(E66*H66/1000*'Inventory Settings'!$J$21),(E66*I66/1000*'Inventory Settings'!$J$21))),"")</f>
        <v/>
      </c>
      <c r="H66" s="673">
        <v>0.24879237906999999</v>
      </c>
      <c r="I66" s="673">
        <v>0.24879237906999999</v>
      </c>
      <c r="J66" s="669">
        <v>0</v>
      </c>
      <c r="K66" s="142" t="s">
        <v>516</v>
      </c>
      <c r="L66" s="142" t="s">
        <v>517</v>
      </c>
      <c r="M66" s="143" t="s">
        <v>450</v>
      </c>
      <c r="N66" s="143" t="s">
        <v>451</v>
      </c>
      <c r="O66" s="144">
        <v>0.24879237906999999</v>
      </c>
      <c r="P66" s="144">
        <v>0</v>
      </c>
      <c r="Q66" s="144">
        <v>0.24879237906999999</v>
      </c>
    </row>
    <row r="67" spans="3:17" ht="84" hidden="1">
      <c r="C67" s="665" t="s">
        <v>518</v>
      </c>
      <c r="D67" s="666"/>
      <c r="E67" s="666"/>
      <c r="F67" s="670" t="s">
        <v>413</v>
      </c>
      <c r="G67" s="660" t="str">
        <f>IFERROR(IF(E67="","",IF(F67="Direct-from-manufacturer",(E67*H67/1000*'Inventory Settings'!$J$21),(E67*I67/1000*'Inventory Settings'!$J$21))),"")</f>
        <v/>
      </c>
      <c r="H67" s="673">
        <v>0.24879237906999999</v>
      </c>
      <c r="I67" s="673">
        <v>0.24879237906999999</v>
      </c>
      <c r="J67" s="669">
        <v>0</v>
      </c>
      <c r="K67" s="142" t="s">
        <v>519</v>
      </c>
      <c r="L67" s="142" t="s">
        <v>520</v>
      </c>
      <c r="M67" s="143" t="s">
        <v>450</v>
      </c>
      <c r="N67" s="143" t="s">
        <v>451</v>
      </c>
      <c r="O67" s="144">
        <v>0.24879237906999999</v>
      </c>
      <c r="P67" s="144">
        <v>0</v>
      </c>
      <c r="Q67" s="144">
        <v>0.24879237906999999</v>
      </c>
    </row>
    <row r="68" spans="3:17" ht="98" hidden="1">
      <c r="C68" s="665" t="s">
        <v>521</v>
      </c>
      <c r="D68" s="666"/>
      <c r="E68" s="666"/>
      <c r="F68" s="670" t="s">
        <v>413</v>
      </c>
      <c r="G68" s="660" t="str">
        <f>IFERROR(IF(E68="","",IF(F68="Direct-from-manufacturer",(E68*H68/1000*'Inventory Settings'!$J$21),(E68*I68/1000*'Inventory Settings'!$J$21))),"")</f>
        <v/>
      </c>
      <c r="H68" s="673">
        <v>0.24879237907000001</v>
      </c>
      <c r="I68" s="673">
        <v>0.24879237907000001</v>
      </c>
      <c r="J68" s="669">
        <v>0</v>
      </c>
      <c r="K68" s="142" t="s">
        <v>522</v>
      </c>
      <c r="L68" s="142" t="s">
        <v>523</v>
      </c>
      <c r="M68" s="143" t="s">
        <v>450</v>
      </c>
      <c r="N68" s="143" t="s">
        <v>451</v>
      </c>
      <c r="O68" s="144">
        <v>0.24879237907000001</v>
      </c>
      <c r="P68" s="144">
        <v>0</v>
      </c>
      <c r="Q68" s="144">
        <v>0.24879237907000001</v>
      </c>
    </row>
    <row r="69" spans="3:17" ht="126" hidden="1">
      <c r="C69" s="665" t="s">
        <v>524</v>
      </c>
      <c r="D69" s="666"/>
      <c r="E69" s="666"/>
      <c r="F69" s="670" t="s">
        <v>413</v>
      </c>
      <c r="G69" s="660" t="str">
        <f>IFERROR(IF(E69="","",IF(F69="Direct-from-manufacturer",(E69*H69/1000*'Inventory Settings'!$J$21),(E69*I69/1000*'Inventory Settings'!$J$21))),"")</f>
        <v/>
      </c>
      <c r="H69" s="673">
        <v>0.24879237906999996</v>
      </c>
      <c r="I69" s="673">
        <v>0.24879237906999996</v>
      </c>
      <c r="J69" s="669">
        <v>0</v>
      </c>
      <c r="K69" s="142" t="s">
        <v>525</v>
      </c>
      <c r="L69" s="142" t="s">
        <v>526</v>
      </c>
      <c r="M69" s="143" t="s">
        <v>450</v>
      </c>
      <c r="N69" s="143" t="s">
        <v>451</v>
      </c>
      <c r="O69" s="144">
        <v>0.24879237906999996</v>
      </c>
      <c r="P69" s="144">
        <v>0</v>
      </c>
      <c r="Q69" s="144">
        <v>0.24879237906999996</v>
      </c>
    </row>
    <row r="70" spans="3:17" ht="168" hidden="1">
      <c r="C70" s="665" t="s">
        <v>527</v>
      </c>
      <c r="D70" s="666"/>
      <c r="E70" s="666"/>
      <c r="F70" s="670" t="s">
        <v>413</v>
      </c>
      <c r="G70" s="660" t="str">
        <f>IFERROR(IF(E70="","",IF(F70="Direct-from-manufacturer",(E70*H70/1000*'Inventory Settings'!$J$21),(E70*I70/1000*'Inventory Settings'!$J$21))),"")</f>
        <v/>
      </c>
      <c r="H70" s="673">
        <v>0.24879237906999999</v>
      </c>
      <c r="I70" s="673">
        <v>0.24879237906999999</v>
      </c>
      <c r="J70" s="669">
        <v>0</v>
      </c>
      <c r="K70" s="142" t="s">
        <v>528</v>
      </c>
      <c r="L70" s="142" t="s">
        <v>529</v>
      </c>
      <c r="M70" s="143" t="s">
        <v>450</v>
      </c>
      <c r="N70" s="143" t="s">
        <v>468</v>
      </c>
      <c r="O70" s="144">
        <v>0.24879237906999999</v>
      </c>
      <c r="P70" s="144">
        <v>0</v>
      </c>
      <c r="Q70" s="144">
        <v>0.24879237906999999</v>
      </c>
    </row>
    <row r="71" spans="3:17" ht="140" hidden="1">
      <c r="C71" s="665" t="s">
        <v>530</v>
      </c>
      <c r="D71" s="666"/>
      <c r="E71" s="666"/>
      <c r="F71" s="670" t="s">
        <v>413</v>
      </c>
      <c r="G71" s="660" t="str">
        <f>IFERROR(IF(E71="","",IF(F71="Direct-from-manufacturer",(E71*H71/1000*'Inventory Settings'!$J$21),(E71*I71/1000*'Inventory Settings'!$J$21))),"")</f>
        <v/>
      </c>
      <c r="H71" s="673">
        <v>0.24879237906999996</v>
      </c>
      <c r="I71" s="673">
        <v>0.24879237906999996</v>
      </c>
      <c r="J71" s="669">
        <v>0</v>
      </c>
      <c r="K71" s="142" t="s">
        <v>531</v>
      </c>
      <c r="L71" s="142" t="s">
        <v>532</v>
      </c>
      <c r="M71" s="143" t="s">
        <v>450</v>
      </c>
      <c r="N71" s="143" t="s">
        <v>451</v>
      </c>
      <c r="O71" s="144">
        <v>0.24879237906999996</v>
      </c>
      <c r="P71" s="144">
        <v>0</v>
      </c>
      <c r="Q71" s="144">
        <v>0.24879237906999996</v>
      </c>
    </row>
    <row r="72" spans="3:17" ht="42" hidden="1">
      <c r="C72" s="665" t="s">
        <v>533</v>
      </c>
      <c r="D72" s="666"/>
      <c r="E72" s="666"/>
      <c r="F72" s="670"/>
      <c r="G72" s="660" t="str">
        <f>IFERROR(IF(E72="","",IF(F72="Direct-from-manufacturer",(E72*H72/1000*'Inventory Settings'!$J$21),(E72*I72/1000*'Inventory Settings'!$J$21))),"")</f>
        <v/>
      </c>
      <c r="H72" s="673">
        <v>0.42004013378999999</v>
      </c>
      <c r="I72" s="673">
        <v>0.48214304248000001</v>
      </c>
      <c r="J72" s="669">
        <v>0.12851987124250663</v>
      </c>
      <c r="K72" s="142">
        <v>311111</v>
      </c>
      <c r="L72" s="142" t="s">
        <v>534</v>
      </c>
      <c r="M72" s="143" t="s">
        <v>535</v>
      </c>
      <c r="N72" s="143" t="s">
        <v>536</v>
      </c>
      <c r="O72" s="144">
        <v>0.42004013378999999</v>
      </c>
      <c r="P72" s="144">
        <v>6.1964961740000005E-2</v>
      </c>
      <c r="Q72" s="144">
        <v>0.48214304248000001</v>
      </c>
    </row>
    <row r="73" spans="3:17" ht="42" hidden="1">
      <c r="C73" s="665" t="s">
        <v>537</v>
      </c>
      <c r="D73" s="666"/>
      <c r="E73" s="666"/>
      <c r="F73" s="670"/>
      <c r="G73" s="660" t="str">
        <f>IFERROR(IF(E73="","",IF(F73="Direct-from-manufacturer",(E73*H73/1000*'Inventory Settings'!$J$21),(E73*I73/1000*'Inventory Settings'!$J$21))),"")</f>
        <v/>
      </c>
      <c r="H73" s="673">
        <v>0.73394617277999996</v>
      </c>
      <c r="I73" s="673">
        <v>0.7957543827800001</v>
      </c>
      <c r="J73" s="669">
        <v>7.8142480325102182E-2</v>
      </c>
      <c r="K73" s="142">
        <v>311119</v>
      </c>
      <c r="L73" s="142" t="s">
        <v>538</v>
      </c>
      <c r="M73" s="143" t="s">
        <v>535</v>
      </c>
      <c r="N73" s="143" t="s">
        <v>536</v>
      </c>
      <c r="O73" s="144">
        <v>0.73394617277999996</v>
      </c>
      <c r="P73" s="144">
        <v>6.2182221199999992E-2</v>
      </c>
      <c r="Q73" s="144">
        <v>0.7957543827800001</v>
      </c>
    </row>
    <row r="74" spans="3:17" ht="56" hidden="1">
      <c r="C74" s="665" t="s">
        <v>539</v>
      </c>
      <c r="D74" s="666"/>
      <c r="E74" s="666"/>
      <c r="F74" s="670"/>
      <c r="G74" s="660" t="str">
        <f>IFERROR(IF(E74="","",IF(F74="Direct-from-manufacturer",(E74*H74/1000*'Inventory Settings'!$J$21),(E74*I74/1000*'Inventory Settings'!$J$21))),"")</f>
        <v/>
      </c>
      <c r="H74" s="673">
        <v>1.3453453019700001</v>
      </c>
      <c r="I74" s="673">
        <v>1.4116609482399998</v>
      </c>
      <c r="J74" s="669">
        <v>4.8192033869618629E-2</v>
      </c>
      <c r="K74" s="142">
        <v>311210</v>
      </c>
      <c r="L74" s="142" t="s">
        <v>540</v>
      </c>
      <c r="M74" s="143" t="s">
        <v>535</v>
      </c>
      <c r="N74" s="143" t="s">
        <v>541</v>
      </c>
      <c r="O74" s="144">
        <v>1.3453453019700001</v>
      </c>
      <c r="P74" s="144">
        <v>6.8030812230000015E-2</v>
      </c>
      <c r="Q74" s="144">
        <v>1.4116609482399998</v>
      </c>
    </row>
    <row r="75" spans="3:17" ht="56" hidden="1">
      <c r="C75" s="665" t="s">
        <v>542</v>
      </c>
      <c r="D75" s="666"/>
      <c r="E75" s="666"/>
      <c r="F75" s="670"/>
      <c r="G75" s="660" t="str">
        <f>IFERROR(IF(E75="","",IF(F75="Direct-from-manufacturer",(E75*H75/1000*'Inventory Settings'!$J$21),(E75*I75/1000*'Inventory Settings'!$J$21))),"")</f>
        <v/>
      </c>
      <c r="H75" s="673">
        <v>1.5482519670000001</v>
      </c>
      <c r="I75" s="673">
        <v>1.6155168539100004</v>
      </c>
      <c r="J75" s="669">
        <v>4.2576345448533372E-2</v>
      </c>
      <c r="K75" s="142">
        <v>311221</v>
      </c>
      <c r="L75" s="142" t="s">
        <v>543</v>
      </c>
      <c r="M75" s="143" t="s">
        <v>535</v>
      </c>
      <c r="N75" s="143" t="s">
        <v>541</v>
      </c>
      <c r="O75" s="144">
        <v>1.5482519670000001</v>
      </c>
      <c r="P75" s="144">
        <v>6.8782803650000002E-2</v>
      </c>
      <c r="Q75" s="144">
        <v>1.6155168539100004</v>
      </c>
    </row>
    <row r="76" spans="3:17" ht="56" hidden="1">
      <c r="C76" s="665" t="s">
        <v>544</v>
      </c>
      <c r="D76" s="666"/>
      <c r="E76" s="666"/>
      <c r="F76" s="670"/>
      <c r="G76" s="660" t="str">
        <f>IFERROR(IF(E76="","",IF(F76="Direct-from-manufacturer",(E76*H76/1000*'Inventory Settings'!$J$21),(E76*I76/1000*'Inventory Settings'!$J$21))),"")</f>
        <v/>
      </c>
      <c r="H76" s="673">
        <v>0.9893472215800001</v>
      </c>
      <c r="I76" s="673">
        <v>1.0556923473300004</v>
      </c>
      <c r="J76" s="669">
        <v>6.4517149169699667E-2</v>
      </c>
      <c r="K76" s="142">
        <v>311224</v>
      </c>
      <c r="L76" s="142" t="s">
        <v>545</v>
      </c>
      <c r="M76" s="143" t="s">
        <v>535</v>
      </c>
      <c r="N76" s="143" t="s">
        <v>541</v>
      </c>
      <c r="O76" s="144">
        <v>0.9893472215800001</v>
      </c>
      <c r="P76" s="144">
        <v>6.8110260650000032E-2</v>
      </c>
      <c r="Q76" s="144">
        <v>1.0556923473300004</v>
      </c>
    </row>
    <row r="77" spans="3:17" ht="56" hidden="1">
      <c r="C77" s="665" t="s">
        <v>546</v>
      </c>
      <c r="D77" s="666"/>
      <c r="E77" s="666"/>
      <c r="F77" s="670"/>
      <c r="G77" s="660" t="str">
        <f>IFERROR(IF(E77="","",IF(F77="Direct-from-manufacturer",(E77*H77/1000*'Inventory Settings'!$J$21),(E77*I77/1000*'Inventory Settings'!$J$21))),"")</f>
        <v/>
      </c>
      <c r="H77" s="673">
        <v>0.69836245107999972</v>
      </c>
      <c r="I77" s="673">
        <v>0.74103999421</v>
      </c>
      <c r="J77" s="669">
        <v>5.9118619848182022E-2</v>
      </c>
      <c r="K77" s="142">
        <v>311225</v>
      </c>
      <c r="L77" s="142" t="s">
        <v>547</v>
      </c>
      <c r="M77" s="143" t="s">
        <v>535</v>
      </c>
      <c r="N77" s="143" t="s">
        <v>541</v>
      </c>
      <c r="O77" s="144">
        <v>0.69836245107999972</v>
      </c>
      <c r="P77" s="144">
        <v>4.3809261709999998E-2</v>
      </c>
      <c r="Q77" s="144">
        <v>0.74103999421</v>
      </c>
    </row>
    <row r="78" spans="3:17" ht="28" hidden="1">
      <c r="C78" s="665" t="s">
        <v>548</v>
      </c>
      <c r="D78" s="666"/>
      <c r="E78" s="666"/>
      <c r="F78" s="670"/>
      <c r="G78" s="660" t="str">
        <f>IFERROR(IF(E78="","",IF(F78="Direct-from-manufacturer",(E78*H78/1000*'Inventory Settings'!$J$21),(E78*I78/1000*'Inventory Settings'!$J$21))),"")</f>
        <v/>
      </c>
      <c r="H78" s="673">
        <v>0.41558027225000005</v>
      </c>
      <c r="I78" s="673">
        <v>0.47930035623999989</v>
      </c>
      <c r="J78" s="669">
        <v>0.13267376043459128</v>
      </c>
      <c r="K78" s="142">
        <v>311230</v>
      </c>
      <c r="L78" s="142" t="s">
        <v>549</v>
      </c>
      <c r="M78" s="143" t="s">
        <v>535</v>
      </c>
      <c r="N78" s="143" t="s">
        <v>541</v>
      </c>
      <c r="O78" s="144">
        <v>0.41558027225000005</v>
      </c>
      <c r="P78" s="144">
        <v>6.3590580640000005E-2</v>
      </c>
      <c r="Q78" s="144">
        <v>0.47930035623999989</v>
      </c>
    </row>
    <row r="79" spans="3:17" ht="56" hidden="1">
      <c r="C79" s="665" t="s">
        <v>550</v>
      </c>
      <c r="D79" s="666"/>
      <c r="E79" s="666"/>
      <c r="F79" s="670"/>
      <c r="G79" s="660" t="str">
        <f>IFERROR(IF(E79="","",IF(F79="Direct-from-manufacturer",(E79*H79/1000*'Inventory Settings'!$J$21),(E79*I79/1000*'Inventory Settings'!$J$21))),"")</f>
        <v/>
      </c>
      <c r="H79" s="673">
        <v>0.48407257230999995</v>
      </c>
      <c r="I79" s="673">
        <v>0.54305732955000008</v>
      </c>
      <c r="J79" s="669">
        <v>0.10734637506560468</v>
      </c>
      <c r="K79" s="142">
        <v>311300</v>
      </c>
      <c r="L79" s="142" t="s">
        <v>551</v>
      </c>
      <c r="M79" s="143" t="s">
        <v>535</v>
      </c>
      <c r="N79" s="143" t="s">
        <v>552</v>
      </c>
      <c r="O79" s="144">
        <v>0.48407257230999995</v>
      </c>
      <c r="P79" s="144">
        <v>5.8295235779999996E-2</v>
      </c>
      <c r="Q79" s="144">
        <v>0.54305732955000008</v>
      </c>
    </row>
    <row r="80" spans="3:17" ht="56" hidden="1">
      <c r="C80" s="665" t="s">
        <v>553</v>
      </c>
      <c r="D80" s="666"/>
      <c r="E80" s="666"/>
      <c r="F80" s="670"/>
      <c r="G80" s="660" t="str">
        <f>IFERROR(IF(E80="","",IF(F80="Direct-from-manufacturer",(E80*H80/1000*'Inventory Settings'!$J$21),(E80*I80/1000*'Inventory Settings'!$J$21))),"")</f>
        <v/>
      </c>
      <c r="H80" s="673">
        <v>0.65337886858999994</v>
      </c>
      <c r="I80" s="673">
        <v>0.72178484391000008</v>
      </c>
      <c r="J80" s="669">
        <v>9.4585058741566877E-2</v>
      </c>
      <c r="K80" s="142">
        <v>311410</v>
      </c>
      <c r="L80" s="142" t="s">
        <v>554</v>
      </c>
      <c r="M80" s="143" t="s">
        <v>535</v>
      </c>
      <c r="N80" s="143" t="s">
        <v>555</v>
      </c>
      <c r="O80" s="144">
        <v>0.65337886858999994</v>
      </c>
      <c r="P80" s="144">
        <v>6.8270061860000036E-2</v>
      </c>
      <c r="Q80" s="144">
        <v>0.72178484391000008</v>
      </c>
    </row>
    <row r="81" spans="3:17" ht="98" hidden="1">
      <c r="C81" s="665" t="s">
        <v>556</v>
      </c>
      <c r="D81" s="666"/>
      <c r="E81" s="666"/>
      <c r="F81" s="670"/>
      <c r="G81" s="660" t="str">
        <f>IFERROR(IF(E81="","",IF(F81="Direct-from-manufacturer",(E81*H81/1000*'Inventory Settings'!$J$21),(E81*I81/1000*'Inventory Settings'!$J$21))),"")</f>
        <v/>
      </c>
      <c r="H81" s="673">
        <v>0.47159834168000003</v>
      </c>
      <c r="I81" s="673">
        <v>0.53031250026999999</v>
      </c>
      <c r="J81" s="669">
        <v>0.11151623454074837</v>
      </c>
      <c r="K81" s="142">
        <v>311420</v>
      </c>
      <c r="L81" s="142" t="s">
        <v>557</v>
      </c>
      <c r="M81" s="143" t="s">
        <v>535</v>
      </c>
      <c r="N81" s="143" t="s">
        <v>555</v>
      </c>
      <c r="O81" s="144">
        <v>0.47159834168000003</v>
      </c>
      <c r="P81" s="144">
        <v>5.913845316E-2</v>
      </c>
      <c r="Q81" s="144">
        <v>0.53031250026999999</v>
      </c>
    </row>
    <row r="82" spans="3:17" ht="42" hidden="1">
      <c r="C82" s="665" t="s">
        <v>558</v>
      </c>
      <c r="D82" s="666"/>
      <c r="E82" s="666"/>
      <c r="F82" s="670"/>
      <c r="G82" s="660" t="str">
        <f>IFERROR(IF(E82="","",IF(F82="Direct-from-manufacturer",(E82*H82/1000*'Inventory Settings'!$J$21),(E82*I82/1000*'Inventory Settings'!$J$21))),"")</f>
        <v/>
      </c>
      <c r="H82" s="673">
        <v>1.07016159732</v>
      </c>
      <c r="I82" s="673">
        <v>1.1273848196199998</v>
      </c>
      <c r="J82" s="669">
        <v>4.9459194908083377E-2</v>
      </c>
      <c r="K82" s="142" t="s">
        <v>559</v>
      </c>
      <c r="L82" s="142" t="s">
        <v>560</v>
      </c>
      <c r="M82" s="143" t="s">
        <v>535</v>
      </c>
      <c r="N82" s="143" t="s">
        <v>561</v>
      </c>
      <c r="O82" s="144">
        <v>1.07016159732</v>
      </c>
      <c r="P82" s="144">
        <v>5.5759545529999989E-2</v>
      </c>
      <c r="Q82" s="144">
        <v>1.1273848196199998</v>
      </c>
    </row>
    <row r="83" spans="3:17" ht="56" hidden="1">
      <c r="C83" s="665" t="s">
        <v>562</v>
      </c>
      <c r="D83" s="666"/>
      <c r="E83" s="666"/>
      <c r="F83" s="670"/>
      <c r="G83" s="660" t="str">
        <f>IFERROR(IF(E83="","",IF(F83="Direct-from-manufacturer",(E83*H83/1000*'Inventory Settings'!$J$21),(E83*I83/1000*'Inventory Settings'!$J$21))),"")</f>
        <v/>
      </c>
      <c r="H83" s="673">
        <v>1.3188209601099998</v>
      </c>
      <c r="I83" s="673">
        <v>1.3706680772800002</v>
      </c>
      <c r="J83" s="669">
        <v>3.7388580502798988E-2</v>
      </c>
      <c r="K83" s="142">
        <v>311513</v>
      </c>
      <c r="L83" s="142" t="s">
        <v>563</v>
      </c>
      <c r="M83" s="143" t="s">
        <v>535</v>
      </c>
      <c r="N83" s="143" t="s">
        <v>561</v>
      </c>
      <c r="O83" s="144">
        <v>1.3188209601099998</v>
      </c>
      <c r="P83" s="144">
        <v>5.1247333749999992E-2</v>
      </c>
      <c r="Q83" s="144">
        <v>1.3706680772800002</v>
      </c>
    </row>
    <row r="84" spans="3:17" ht="42" hidden="1">
      <c r="C84" s="665" t="s">
        <v>564</v>
      </c>
      <c r="D84" s="666"/>
      <c r="E84" s="666"/>
      <c r="F84" s="670"/>
      <c r="G84" s="660" t="str">
        <f>IFERROR(IF(E84="","",IF(F84="Direct-from-manufacturer",(E84*H84/1000*'Inventory Settings'!$J$21),(E84*I84/1000*'Inventory Settings'!$J$21))),"")</f>
        <v/>
      </c>
      <c r="H84" s="673">
        <v>0.96707214650999995</v>
      </c>
      <c r="I84" s="673">
        <v>1.0162745772500001</v>
      </c>
      <c r="J84" s="669">
        <v>5.0182638493233039E-2</v>
      </c>
      <c r="K84" s="142">
        <v>311514</v>
      </c>
      <c r="L84" s="142" t="s">
        <v>565</v>
      </c>
      <c r="M84" s="143" t="s">
        <v>535</v>
      </c>
      <c r="N84" s="143" t="s">
        <v>561</v>
      </c>
      <c r="O84" s="144">
        <v>0.96707214650999995</v>
      </c>
      <c r="P84" s="144">
        <v>5.0999339719999995E-2</v>
      </c>
      <c r="Q84" s="144">
        <v>1.0162745772500001</v>
      </c>
    </row>
    <row r="85" spans="3:17" ht="42" hidden="1">
      <c r="C85" s="665" t="s">
        <v>566</v>
      </c>
      <c r="D85" s="666"/>
      <c r="E85" s="666"/>
      <c r="F85" s="670"/>
      <c r="G85" s="660" t="str">
        <f>IFERROR(IF(E85="","",IF(F85="Direct-from-manufacturer",(E85*H85/1000*'Inventory Settings'!$J$21),(E85*I85/1000*'Inventory Settings'!$J$21))),"")</f>
        <v/>
      </c>
      <c r="H85" s="673">
        <v>0.62620442910000018</v>
      </c>
      <c r="I85" s="673">
        <v>0.66908462421000003</v>
      </c>
      <c r="J85" s="669">
        <v>6.4378798100254139E-2</v>
      </c>
      <c r="K85" s="142">
        <v>311520</v>
      </c>
      <c r="L85" s="142" t="s">
        <v>567</v>
      </c>
      <c r="M85" s="143" t="s">
        <v>535</v>
      </c>
      <c r="N85" s="143" t="s">
        <v>561</v>
      </c>
      <c r="O85" s="144">
        <v>0.62620442910000018</v>
      </c>
      <c r="P85" s="144">
        <v>4.3074863934000007E-2</v>
      </c>
      <c r="Q85" s="144">
        <v>0.66908462421000003</v>
      </c>
    </row>
    <row r="86" spans="3:17" ht="84" hidden="1">
      <c r="C86" s="665" t="s">
        <v>568</v>
      </c>
      <c r="D86" s="666"/>
      <c r="E86" s="666"/>
      <c r="F86" s="670"/>
      <c r="G86" s="660" t="str">
        <f>IFERROR(IF(E86="","",IF(F86="Direct-from-manufacturer",(E86*H86/1000*'Inventory Settings'!$J$21),(E86*I86/1000*'Inventory Settings'!$J$21))),"")</f>
        <v/>
      </c>
      <c r="H86" s="673">
        <v>1.3046948808600001</v>
      </c>
      <c r="I86" s="673">
        <v>1.3446753190000003</v>
      </c>
      <c r="J86" s="669">
        <v>3.1346254633680827E-2</v>
      </c>
      <c r="K86" s="142" t="s">
        <v>569</v>
      </c>
      <c r="L86" s="142" t="s">
        <v>570</v>
      </c>
      <c r="M86" s="143" t="s">
        <v>535</v>
      </c>
      <c r="N86" s="143" t="s">
        <v>571</v>
      </c>
      <c r="O86" s="144">
        <v>1.3046948808600001</v>
      </c>
      <c r="P86" s="144">
        <v>4.2150534949000007E-2</v>
      </c>
      <c r="Q86" s="144">
        <v>1.3446753190000003</v>
      </c>
    </row>
    <row r="87" spans="3:17" ht="42" hidden="1">
      <c r="C87" s="665" t="s">
        <v>572</v>
      </c>
      <c r="D87" s="666"/>
      <c r="E87" s="666"/>
      <c r="F87" s="670"/>
      <c r="G87" s="660" t="str">
        <f>IFERROR(IF(E87="","",IF(F87="Direct-from-manufacturer",(E87*H87/1000*'Inventory Settings'!$J$21),(E87*I87/1000*'Inventory Settings'!$J$21))),"")</f>
        <v/>
      </c>
      <c r="H87" s="673">
        <v>0.60114056822000006</v>
      </c>
      <c r="I87" s="673">
        <v>0.6464154179299999</v>
      </c>
      <c r="J87" s="669">
        <v>7.0310614029818447E-2</v>
      </c>
      <c r="K87" s="142">
        <v>311615</v>
      </c>
      <c r="L87" s="142" t="s">
        <v>573</v>
      </c>
      <c r="M87" s="143" t="s">
        <v>535</v>
      </c>
      <c r="N87" s="143" t="s">
        <v>571</v>
      </c>
      <c r="O87" s="144">
        <v>0.60114056822000006</v>
      </c>
      <c r="P87" s="144">
        <v>4.5449864953000005E-2</v>
      </c>
      <c r="Q87" s="144">
        <v>0.6464154179299999</v>
      </c>
    </row>
    <row r="88" spans="3:17" ht="98" hidden="1">
      <c r="C88" s="665" t="s">
        <v>574</v>
      </c>
      <c r="D88" s="666"/>
      <c r="E88" s="666"/>
      <c r="F88" s="670"/>
      <c r="G88" s="660" t="str">
        <f>IFERROR(IF(E88="","",IF(F88="Direct-from-manufacturer",(E88*H88/1000*'Inventory Settings'!$J$21),(E88*I88/1000*'Inventory Settings'!$J$21))),"")</f>
        <v/>
      </c>
      <c r="H88" s="673">
        <v>0.34661122727000004</v>
      </c>
      <c r="I88" s="673">
        <v>0.38756569233000004</v>
      </c>
      <c r="J88" s="669">
        <v>0.10784581924091174</v>
      </c>
      <c r="K88" s="142">
        <v>311700</v>
      </c>
      <c r="L88" s="142" t="s">
        <v>575</v>
      </c>
      <c r="M88" s="143" t="s">
        <v>535</v>
      </c>
      <c r="N88" s="143" t="s">
        <v>576</v>
      </c>
      <c r="O88" s="144">
        <v>0.34661122727000004</v>
      </c>
      <c r="P88" s="144">
        <v>4.1797339598999998E-2</v>
      </c>
      <c r="Q88" s="144">
        <v>0.38756569233000004</v>
      </c>
    </row>
    <row r="89" spans="3:17" ht="28" hidden="1">
      <c r="C89" s="665" t="s">
        <v>577</v>
      </c>
      <c r="D89" s="666"/>
      <c r="E89" s="666"/>
      <c r="F89" s="670"/>
      <c r="G89" s="660" t="str">
        <f>IFERROR(IF(E89="","",IF(F89="Direct-from-manufacturer",(E89*H89/1000*'Inventory Settings'!$J$21),(E89*I89/1000*'Inventory Settings'!$J$21))),"")</f>
        <v/>
      </c>
      <c r="H89" s="673">
        <v>0.26379928036</v>
      </c>
      <c r="I89" s="673">
        <v>0.31314906736999992</v>
      </c>
      <c r="J89" s="669">
        <v>0.15773251513995085</v>
      </c>
      <c r="K89" s="142">
        <v>311810</v>
      </c>
      <c r="L89" s="142" t="s">
        <v>578</v>
      </c>
      <c r="M89" s="143" t="s">
        <v>535</v>
      </c>
      <c r="N89" s="143" t="s">
        <v>579</v>
      </c>
      <c r="O89" s="144">
        <v>0.26379928036</v>
      </c>
      <c r="P89" s="144">
        <v>4.9393790010000001E-2</v>
      </c>
      <c r="Q89" s="144">
        <v>0.31314906736999992</v>
      </c>
    </row>
    <row r="90" spans="3:17" ht="98" hidden="1">
      <c r="C90" s="665" t="s">
        <v>580</v>
      </c>
      <c r="D90" s="666"/>
      <c r="E90" s="666"/>
      <c r="F90" s="670"/>
      <c r="G90" s="660" t="str">
        <f>IFERROR(IF(E90="","",IF(F90="Direct-from-manufacturer",(E90*H90/1000*'Inventory Settings'!$J$21),(E90*I90/1000*'Inventory Settings'!$J$21))),"")</f>
        <v/>
      </c>
      <c r="H90" s="673">
        <v>0.48182382055</v>
      </c>
      <c r="I90" s="673">
        <v>0.54688215090000003</v>
      </c>
      <c r="J90" s="669">
        <v>0.11829253557377346</v>
      </c>
      <c r="K90" s="142" t="s">
        <v>581</v>
      </c>
      <c r="L90" s="142" t="s">
        <v>582</v>
      </c>
      <c r="M90" s="143" t="s">
        <v>535</v>
      </c>
      <c r="N90" s="143" t="s">
        <v>579</v>
      </c>
      <c r="O90" s="144">
        <v>0.48182382055</v>
      </c>
      <c r="P90" s="144">
        <v>6.4692076289999997E-2</v>
      </c>
      <c r="Q90" s="144">
        <v>0.54688215090000003</v>
      </c>
    </row>
    <row r="91" spans="3:17" ht="98" hidden="1">
      <c r="C91" s="665" t="s">
        <v>583</v>
      </c>
      <c r="D91" s="666"/>
      <c r="E91" s="666"/>
      <c r="F91" s="670"/>
      <c r="G91" s="660" t="str">
        <f>IFERROR(IF(E91="","",IF(F91="Direct-from-manufacturer",(E91*H91/1000*'Inventory Settings'!$J$21),(E91*I91/1000*'Inventory Settings'!$J$21))),"")</f>
        <v/>
      </c>
      <c r="H91" s="673">
        <v>0.43115790219000005</v>
      </c>
      <c r="I91" s="673">
        <v>0.49591235396000005</v>
      </c>
      <c r="J91" s="669">
        <v>0.13101147834127247</v>
      </c>
      <c r="K91" s="142">
        <v>311910</v>
      </c>
      <c r="L91" s="142" t="s">
        <v>584</v>
      </c>
      <c r="M91" s="143" t="s">
        <v>535</v>
      </c>
      <c r="N91" s="143" t="s">
        <v>585</v>
      </c>
      <c r="O91" s="144">
        <v>0.43115790219000005</v>
      </c>
      <c r="P91" s="144">
        <v>6.4970210619999996E-2</v>
      </c>
      <c r="Q91" s="144">
        <v>0.49591235396000005</v>
      </c>
    </row>
    <row r="92" spans="3:17" ht="56" hidden="1">
      <c r="C92" s="665" t="s">
        <v>586</v>
      </c>
      <c r="D92" s="666"/>
      <c r="E92" s="666"/>
      <c r="F92" s="670"/>
      <c r="G92" s="660" t="str">
        <f>IFERROR(IF(E92="","",IF(F92="Direct-from-manufacturer",(E92*H92/1000*'Inventory Settings'!$J$21),(E92*I92/1000*'Inventory Settings'!$J$21))),"")</f>
        <v/>
      </c>
      <c r="H92" s="673">
        <v>0.47829742251999996</v>
      </c>
      <c r="I92" s="673">
        <v>0.54308156774999994</v>
      </c>
      <c r="J92" s="669">
        <v>0.11905513294784437</v>
      </c>
      <c r="K92" s="142">
        <v>311920</v>
      </c>
      <c r="L92" s="142" t="s">
        <v>587</v>
      </c>
      <c r="M92" s="143" t="s">
        <v>535</v>
      </c>
      <c r="N92" s="143" t="s">
        <v>585</v>
      </c>
      <c r="O92" s="144">
        <v>0.47829742251999996</v>
      </c>
      <c r="P92" s="144">
        <v>6.465664824999999E-2</v>
      </c>
      <c r="Q92" s="144">
        <v>0.54308156774999994</v>
      </c>
    </row>
    <row r="93" spans="3:17" ht="42" hidden="1">
      <c r="C93" s="665" t="s">
        <v>588</v>
      </c>
      <c r="D93" s="666"/>
      <c r="E93" s="666"/>
      <c r="F93" s="670"/>
      <c r="G93" s="660" t="str">
        <f>IFERROR(IF(E93="","",IF(F93="Direct-from-manufacturer",(E93*H93/1000*'Inventory Settings'!$J$21),(E93*I93/1000*'Inventory Settings'!$J$21))),"")</f>
        <v/>
      </c>
      <c r="H93" s="673">
        <v>0.41536720868000004</v>
      </c>
      <c r="I93" s="673">
        <v>0.44725344742999995</v>
      </c>
      <c r="J93" s="669">
        <v>7.0915734162035948E-2</v>
      </c>
      <c r="K93" s="142">
        <v>311930</v>
      </c>
      <c r="L93" s="142" t="s">
        <v>589</v>
      </c>
      <c r="M93" s="143" t="s">
        <v>535</v>
      </c>
      <c r="N93" s="143" t="s">
        <v>585</v>
      </c>
      <c r="O93" s="144">
        <v>0.41536720868000004</v>
      </c>
      <c r="P93" s="144">
        <v>3.1717306580999999E-2</v>
      </c>
      <c r="Q93" s="144">
        <v>0.44725344742999995</v>
      </c>
    </row>
    <row r="94" spans="3:17" ht="98" hidden="1">
      <c r="C94" s="665" t="s">
        <v>590</v>
      </c>
      <c r="D94" s="666"/>
      <c r="E94" s="666"/>
      <c r="F94" s="670"/>
      <c r="G94" s="660" t="str">
        <f>IFERROR(IF(E94="","",IF(F94="Direct-from-manufacturer",(E94*H94/1000*'Inventory Settings'!$J$21),(E94*I94/1000*'Inventory Settings'!$J$21))),"")</f>
        <v/>
      </c>
      <c r="H94" s="673">
        <v>0.40129314090000007</v>
      </c>
      <c r="I94" s="673">
        <v>0.44990209030000006</v>
      </c>
      <c r="J94" s="669">
        <v>0.10823792336134427</v>
      </c>
      <c r="K94" s="142">
        <v>311940</v>
      </c>
      <c r="L94" s="142" t="s">
        <v>591</v>
      </c>
      <c r="M94" s="143" t="s">
        <v>535</v>
      </c>
      <c r="N94" s="143" t="s">
        <v>585</v>
      </c>
      <c r="O94" s="144">
        <v>0.40129314090000007</v>
      </c>
      <c r="P94" s="144">
        <v>4.8696467969999997E-2</v>
      </c>
      <c r="Q94" s="144">
        <v>0.44990209030000006</v>
      </c>
    </row>
    <row r="95" spans="3:17" ht="98" hidden="1">
      <c r="C95" s="665" t="s">
        <v>592</v>
      </c>
      <c r="D95" s="666"/>
      <c r="E95" s="666"/>
      <c r="F95" s="670"/>
      <c r="G95" s="660" t="str">
        <f>IFERROR(IF(E95="","",IF(F95="Direct-from-manufacturer",(E95*H95/1000*'Inventory Settings'!$J$21),(E95*I95/1000*'Inventory Settings'!$J$21))),"")</f>
        <v/>
      </c>
      <c r="H95" s="673">
        <v>0.53550563097000003</v>
      </c>
      <c r="I95" s="673">
        <v>0.60754258885000012</v>
      </c>
      <c r="J95" s="669">
        <v>0.11846432966326517</v>
      </c>
      <c r="K95" s="142">
        <v>311990</v>
      </c>
      <c r="L95" s="142" t="s">
        <v>593</v>
      </c>
      <c r="M95" s="143" t="s">
        <v>535</v>
      </c>
      <c r="N95" s="143" t="s">
        <v>585</v>
      </c>
      <c r="O95" s="144">
        <v>0.53550563097000003</v>
      </c>
      <c r="P95" s="144">
        <v>7.1972125529999986E-2</v>
      </c>
      <c r="Q95" s="144">
        <v>0.60754258885000012</v>
      </c>
    </row>
    <row r="96" spans="3:17" ht="42" hidden="1">
      <c r="C96" s="665" t="s">
        <v>594</v>
      </c>
      <c r="D96" s="666"/>
      <c r="E96" s="666"/>
      <c r="F96" s="670"/>
      <c r="G96" s="660" t="str">
        <f>IFERROR(IF(E96="","",IF(F96="Direct-from-manufacturer",(E96*H96/1000*'Inventory Settings'!$J$21),(E96*I96/1000*'Inventory Settings'!$J$21))),"")</f>
        <v/>
      </c>
      <c r="H96" s="673">
        <v>0.32445764180000003</v>
      </c>
      <c r="I96" s="673">
        <v>0.38116428160000004</v>
      </c>
      <c r="J96" s="669">
        <v>0.14935882977026566</v>
      </c>
      <c r="K96" s="142">
        <v>312110</v>
      </c>
      <c r="L96" s="142" t="s">
        <v>595</v>
      </c>
      <c r="M96" s="143" t="s">
        <v>535</v>
      </c>
      <c r="N96" s="143" t="s">
        <v>596</v>
      </c>
      <c r="O96" s="144">
        <v>0.32445764180000003</v>
      </c>
      <c r="P96" s="144">
        <v>5.6930251050000012E-2</v>
      </c>
      <c r="Q96" s="144">
        <v>0.38116428160000004</v>
      </c>
    </row>
    <row r="97" spans="3:17" ht="28" hidden="1">
      <c r="C97" s="665" t="s">
        <v>597</v>
      </c>
      <c r="D97" s="666"/>
      <c r="E97" s="666"/>
      <c r="F97" s="670"/>
      <c r="G97" s="660" t="str">
        <f>IFERROR(IF(E97="","",IF(F97="Direct-from-manufacturer",(E97*H97/1000*'Inventory Settings'!$J$21),(E97*I97/1000*'Inventory Settings'!$J$21))),"")</f>
        <v/>
      </c>
      <c r="H97" s="673">
        <v>0.29754116809999998</v>
      </c>
      <c r="I97" s="673">
        <v>0.37593892869999995</v>
      </c>
      <c r="J97" s="669">
        <v>0.21081617119052037</v>
      </c>
      <c r="K97" s="142">
        <v>312120</v>
      </c>
      <c r="L97" s="142" t="s">
        <v>598</v>
      </c>
      <c r="M97" s="143" t="s">
        <v>535</v>
      </c>
      <c r="N97" s="143" t="s">
        <v>596</v>
      </c>
      <c r="O97" s="144">
        <v>0.29754116809999998</v>
      </c>
      <c r="P97" s="144">
        <v>7.925400555000002E-2</v>
      </c>
      <c r="Q97" s="144">
        <v>0.37593892869999995</v>
      </c>
    </row>
    <row r="98" spans="3:17" ht="56" hidden="1">
      <c r="C98" s="665" t="s">
        <v>599</v>
      </c>
      <c r="D98" s="666"/>
      <c r="E98" s="666"/>
      <c r="F98" s="670"/>
      <c r="G98" s="660" t="str">
        <f>IFERROR(IF(E98="","",IF(F98="Direct-from-manufacturer",(E98*H98/1000*'Inventory Settings'!$J$21),(E98*I98/1000*'Inventory Settings'!$J$21))),"")</f>
        <v/>
      </c>
      <c r="H98" s="673">
        <v>0.12983287999999998</v>
      </c>
      <c r="I98" s="673">
        <v>0.21089905259999997</v>
      </c>
      <c r="J98" s="669">
        <v>0.38357229462490244</v>
      </c>
      <c r="K98" s="142">
        <v>312130</v>
      </c>
      <c r="L98" s="142" t="s">
        <v>600</v>
      </c>
      <c r="M98" s="143" t="s">
        <v>535</v>
      </c>
      <c r="N98" s="143" t="s">
        <v>596</v>
      </c>
      <c r="O98" s="144">
        <v>0.12983287999999998</v>
      </c>
      <c r="P98" s="144">
        <v>8.089503353999998E-2</v>
      </c>
      <c r="Q98" s="144">
        <v>0.21089905259999997</v>
      </c>
    </row>
    <row r="99" spans="3:17" ht="42" hidden="1">
      <c r="C99" s="665" t="s">
        <v>601</v>
      </c>
      <c r="D99" s="666"/>
      <c r="E99" s="666"/>
      <c r="F99" s="670"/>
      <c r="G99" s="660" t="str">
        <f>IFERROR(IF(E99="","",IF(F99="Direct-from-manufacturer",(E99*H99/1000*'Inventory Settings'!$J$21),(E99*I99/1000*'Inventory Settings'!$J$21))),"")</f>
        <v/>
      </c>
      <c r="H99" s="673">
        <v>0.37241006059000004</v>
      </c>
      <c r="I99" s="673">
        <v>0.44751966334999999</v>
      </c>
      <c r="J99" s="669">
        <v>0.16614218310190818</v>
      </c>
      <c r="K99" s="142">
        <v>312140</v>
      </c>
      <c r="L99" s="142" t="s">
        <v>602</v>
      </c>
      <c r="M99" s="143" t="s">
        <v>535</v>
      </c>
      <c r="N99" s="143" t="s">
        <v>596</v>
      </c>
      <c r="O99" s="144">
        <v>0.37241006059000004</v>
      </c>
      <c r="P99" s="144">
        <v>7.4351893850000003E-2</v>
      </c>
      <c r="Q99" s="144">
        <v>0.44751966334999999</v>
      </c>
    </row>
    <row r="100" spans="3:17" ht="28" hidden="1">
      <c r="C100" s="665" t="s">
        <v>603</v>
      </c>
      <c r="D100" s="666"/>
      <c r="E100" s="666"/>
      <c r="F100" s="670"/>
      <c r="G100" s="660" t="str">
        <f>IFERROR(IF(E100="","",IF(F100="Direct-from-manufacturer",(E100*H100/1000*'Inventory Settings'!$J$21),(E100*I100/1000*'Inventory Settings'!$J$21))),"")</f>
        <v/>
      </c>
      <c r="H100" s="673">
        <v>7.2981699467999997E-2</v>
      </c>
      <c r="I100" s="673">
        <v>0.11837031430000002</v>
      </c>
      <c r="J100" s="669">
        <v>0.3835316165076702</v>
      </c>
      <c r="K100" s="142">
        <v>312200</v>
      </c>
      <c r="L100" s="142" t="s">
        <v>604</v>
      </c>
      <c r="M100" s="143" t="s">
        <v>535</v>
      </c>
      <c r="N100" s="143" t="s">
        <v>605</v>
      </c>
      <c r="O100" s="144">
        <v>7.2981699467999997E-2</v>
      </c>
      <c r="P100" s="144">
        <v>4.5398757989999997E-2</v>
      </c>
      <c r="Q100" s="144">
        <v>0.11837031430000002</v>
      </c>
    </row>
    <row r="101" spans="3:17" ht="56" hidden="1">
      <c r="C101" s="665" t="s">
        <v>606</v>
      </c>
      <c r="D101" s="666"/>
      <c r="E101" s="666"/>
      <c r="F101" s="670"/>
      <c r="G101" s="660" t="str">
        <f>IFERROR(IF(E101="","",IF(F101="Direct-from-manufacturer",(E101*H101/1000*'Inventory Settings'!$J$21),(E101*I101/1000*'Inventory Settings'!$J$21))),"")</f>
        <v/>
      </c>
      <c r="H101" s="673">
        <v>0.78267885804000004</v>
      </c>
      <c r="I101" s="673">
        <v>0.83319690850000017</v>
      </c>
      <c r="J101" s="669">
        <v>6.0871125756223304E-2</v>
      </c>
      <c r="K101" s="142">
        <v>313100</v>
      </c>
      <c r="L101" s="142" t="s">
        <v>607</v>
      </c>
      <c r="M101" s="143" t="s">
        <v>535</v>
      </c>
      <c r="N101" s="143" t="s">
        <v>608</v>
      </c>
      <c r="O101" s="144">
        <v>0.78267885804000004</v>
      </c>
      <c r="P101" s="144">
        <v>5.0717633796999992E-2</v>
      </c>
      <c r="Q101" s="144">
        <v>0.83319690850000017</v>
      </c>
    </row>
    <row r="102" spans="3:17" ht="28" hidden="1">
      <c r="C102" s="665" t="s">
        <v>609</v>
      </c>
      <c r="D102" s="666"/>
      <c r="E102" s="666"/>
      <c r="F102" s="670"/>
      <c r="G102" s="660" t="str">
        <f>IFERROR(IF(E102="","",IF(F102="Direct-from-manufacturer",(E102*H102/1000*'Inventory Settings'!$J$21),(E102*I102/1000*'Inventory Settings'!$J$21))),"")</f>
        <v/>
      </c>
      <c r="H102" s="673">
        <v>0.47299119831999992</v>
      </c>
      <c r="I102" s="673">
        <v>0.52852541829999988</v>
      </c>
      <c r="J102" s="669">
        <v>0.10560487754690838</v>
      </c>
      <c r="K102" s="142">
        <v>313200</v>
      </c>
      <c r="L102" s="142" t="s">
        <v>610</v>
      </c>
      <c r="M102" s="143" t="s">
        <v>535</v>
      </c>
      <c r="N102" s="143" t="s">
        <v>611</v>
      </c>
      <c r="O102" s="144">
        <v>0.47299119831999992</v>
      </c>
      <c r="P102" s="144">
        <v>5.5814862080000013E-2</v>
      </c>
      <c r="Q102" s="144">
        <v>0.52852541829999988</v>
      </c>
    </row>
    <row r="103" spans="3:17" ht="42" hidden="1">
      <c r="C103" s="665" t="s">
        <v>612</v>
      </c>
      <c r="D103" s="666"/>
      <c r="E103" s="666"/>
      <c r="F103" s="670"/>
      <c r="G103" s="660" t="str">
        <f>IFERROR(IF(E103="","",IF(F103="Direct-from-manufacturer",(E103*H103/1000*'Inventory Settings'!$J$21),(E103*I103/1000*'Inventory Settings'!$J$21))),"")</f>
        <v/>
      </c>
      <c r="H103" s="673">
        <v>0.41087519279999996</v>
      </c>
      <c r="I103" s="673">
        <v>0.45640788630000001</v>
      </c>
      <c r="J103" s="669">
        <v>9.8519445589606139E-2</v>
      </c>
      <c r="K103" s="142">
        <v>313300</v>
      </c>
      <c r="L103" s="142" t="s">
        <v>613</v>
      </c>
      <c r="M103" s="143" t="s">
        <v>535</v>
      </c>
      <c r="N103" s="143" t="s">
        <v>614</v>
      </c>
      <c r="O103" s="144">
        <v>0.41087519279999996</v>
      </c>
      <c r="P103" s="144">
        <v>4.4965051920999997E-2</v>
      </c>
      <c r="Q103" s="144">
        <v>0.45640788630000001</v>
      </c>
    </row>
    <row r="104" spans="3:17" ht="56" hidden="1">
      <c r="C104" s="665" t="s">
        <v>615</v>
      </c>
      <c r="D104" s="666"/>
      <c r="E104" s="666"/>
      <c r="F104" s="670"/>
      <c r="G104" s="660" t="str">
        <f>IFERROR(IF(E104="","",IF(F104="Direct-from-manufacturer",(E104*H104/1000*'Inventory Settings'!$J$21),(E104*I104/1000*'Inventory Settings'!$J$21))),"")</f>
        <v/>
      </c>
      <c r="H104" s="673">
        <v>0.22081723350000002</v>
      </c>
      <c r="I104" s="673">
        <v>0.31053740118000012</v>
      </c>
      <c r="J104" s="669">
        <v>0.28923210807685668</v>
      </c>
      <c r="K104" s="142">
        <v>314110</v>
      </c>
      <c r="L104" s="142" t="s">
        <v>616</v>
      </c>
      <c r="M104" s="143" t="s">
        <v>535</v>
      </c>
      <c r="N104" s="143" t="s">
        <v>617</v>
      </c>
      <c r="O104" s="144">
        <v>0.22081723350000002</v>
      </c>
      <c r="P104" s="144">
        <v>8.981738718E-2</v>
      </c>
      <c r="Q104" s="144">
        <v>0.31053740118000012</v>
      </c>
    </row>
    <row r="105" spans="3:17" ht="42" hidden="1">
      <c r="C105" s="665" t="s">
        <v>618</v>
      </c>
      <c r="D105" s="666"/>
      <c r="E105" s="666"/>
      <c r="F105" s="670"/>
      <c r="G105" s="660" t="str">
        <f>IFERROR(IF(E105="","",IF(F105="Direct-from-manufacturer",(E105*H105/1000*'Inventory Settings'!$J$21),(E105*I105/1000*'Inventory Settings'!$J$21))),"")</f>
        <v/>
      </c>
      <c r="H105" s="673">
        <v>0.12506266745999994</v>
      </c>
      <c r="I105" s="673">
        <v>0.2224535121</v>
      </c>
      <c r="J105" s="669">
        <v>0.43645919681571077</v>
      </c>
      <c r="K105" s="142">
        <v>314120</v>
      </c>
      <c r="L105" s="142" t="s">
        <v>619</v>
      </c>
      <c r="M105" s="143" t="s">
        <v>535</v>
      </c>
      <c r="N105" s="143" t="s">
        <v>617</v>
      </c>
      <c r="O105" s="144">
        <v>0.12506266745999994</v>
      </c>
      <c r="P105" s="144">
        <v>9.7091881219999995E-2</v>
      </c>
      <c r="Q105" s="144">
        <v>0.2224535121</v>
      </c>
    </row>
    <row r="106" spans="3:17" ht="42" hidden="1">
      <c r="C106" s="665" t="s">
        <v>620</v>
      </c>
      <c r="D106" s="666"/>
      <c r="E106" s="666"/>
      <c r="F106" s="670"/>
      <c r="G106" s="660" t="str">
        <f>IFERROR(IF(E106="","",IF(F106="Direct-from-manufacturer",(E106*H106/1000*'Inventory Settings'!$J$21),(E106*I106/1000*'Inventory Settings'!$J$21))),"")</f>
        <v/>
      </c>
      <c r="H106" s="673">
        <v>0.18768192205000001</v>
      </c>
      <c r="I106" s="673">
        <v>0.26622039157999999</v>
      </c>
      <c r="J106" s="669">
        <v>0.29689882232874748</v>
      </c>
      <c r="K106" s="142">
        <v>314900</v>
      </c>
      <c r="L106" s="142" t="s">
        <v>621</v>
      </c>
      <c r="M106" s="143" t="s">
        <v>535</v>
      </c>
      <c r="N106" s="143" t="s">
        <v>622</v>
      </c>
      <c r="O106" s="144">
        <v>0.18768192205000001</v>
      </c>
      <c r="P106" s="144">
        <v>7.9040520739999995E-2</v>
      </c>
      <c r="Q106" s="144">
        <v>0.26622039157999999</v>
      </c>
    </row>
    <row r="107" spans="3:17" ht="154" hidden="1">
      <c r="C107" s="665" t="s">
        <v>623</v>
      </c>
      <c r="D107" s="666"/>
      <c r="E107" s="666"/>
      <c r="F107" s="670"/>
      <c r="G107" s="660" t="str">
        <f>IFERROR(IF(E107="","",IF(F107="Direct-from-manufacturer",(E107*H107/1000*'Inventory Settings'!$J$21),(E107*I107/1000*'Inventory Settings'!$J$21))),"")</f>
        <v/>
      </c>
      <c r="H107" s="673">
        <v>5.5072998300000009E-2</v>
      </c>
      <c r="I107" s="673">
        <v>0.14723122305</v>
      </c>
      <c r="J107" s="669">
        <v>0.62505982313783404</v>
      </c>
      <c r="K107" s="142">
        <v>315000</v>
      </c>
      <c r="L107" s="142" t="s">
        <v>624</v>
      </c>
      <c r="M107" s="143" t="s">
        <v>535</v>
      </c>
      <c r="N107" s="143" t="s">
        <v>625</v>
      </c>
      <c r="O107" s="144">
        <v>5.5072998300000009E-2</v>
      </c>
      <c r="P107" s="144">
        <v>9.2028322239999988E-2</v>
      </c>
      <c r="Q107" s="144">
        <v>0.14723122305</v>
      </c>
    </row>
    <row r="108" spans="3:17" ht="168" hidden="1">
      <c r="C108" s="665" t="s">
        <v>626</v>
      </c>
      <c r="D108" s="666"/>
      <c r="E108" s="666"/>
      <c r="F108" s="670"/>
      <c r="G108" s="660" t="str">
        <f>IFERROR(IF(E108="","",IF(F108="Direct-from-manufacturer",(E108*H108/1000*'Inventory Settings'!$J$21),(E108*I108/1000*'Inventory Settings'!$J$21))),"")</f>
        <v/>
      </c>
      <c r="H108" s="673">
        <v>0.17398311754000007</v>
      </c>
      <c r="I108" s="673">
        <v>0.26357232709999995</v>
      </c>
      <c r="J108" s="669">
        <v>0.34103922277810339</v>
      </c>
      <c r="K108" s="142">
        <v>316000</v>
      </c>
      <c r="L108" s="142" t="s">
        <v>627</v>
      </c>
      <c r="M108" s="143" t="s">
        <v>535</v>
      </c>
      <c r="N108" s="143" t="s">
        <v>628</v>
      </c>
      <c r="O108" s="144">
        <v>0.17398311754000007</v>
      </c>
      <c r="P108" s="144">
        <v>8.9888501580000016E-2</v>
      </c>
      <c r="Q108" s="144">
        <v>0.26357232709999995</v>
      </c>
    </row>
    <row r="109" spans="3:17" ht="84" hidden="1">
      <c r="C109" s="665" t="s">
        <v>629</v>
      </c>
      <c r="D109" s="666"/>
      <c r="E109" s="666"/>
      <c r="F109" s="670"/>
      <c r="G109" s="660" t="str">
        <f>IFERROR(IF(E109="","",IF(F109="Direct-from-manufacturer",(E109*H109/1000*'Inventory Settings'!$J$21),(E109*I109/1000*'Inventory Settings'!$J$21))),"")</f>
        <v/>
      </c>
      <c r="H109" s="673">
        <v>0.22828003360999999</v>
      </c>
      <c r="I109" s="673">
        <v>0.27716317697000004</v>
      </c>
      <c r="J109" s="669">
        <v>0.17482041936705253</v>
      </c>
      <c r="K109" s="142">
        <v>321100</v>
      </c>
      <c r="L109" s="142" t="s">
        <v>630</v>
      </c>
      <c r="M109" s="143" t="s">
        <v>535</v>
      </c>
      <c r="N109" s="143" t="s">
        <v>631</v>
      </c>
      <c r="O109" s="144">
        <v>0.22828003360999999</v>
      </c>
      <c r="P109" s="144">
        <v>4.8453782830999999E-2</v>
      </c>
      <c r="Q109" s="144">
        <v>0.27716317697000004</v>
      </c>
    </row>
    <row r="110" spans="3:17" ht="84" hidden="1">
      <c r="C110" s="665" t="s">
        <v>632</v>
      </c>
      <c r="D110" s="666"/>
      <c r="E110" s="666"/>
      <c r="F110" s="670"/>
      <c r="G110" s="660" t="str">
        <f>IFERROR(IF(E110="","",IF(F110="Direct-from-manufacturer",(E110*H110/1000*'Inventory Settings'!$J$21),(E110*I110/1000*'Inventory Settings'!$J$21))),"")</f>
        <v/>
      </c>
      <c r="H110" s="673">
        <v>0.18898785017000003</v>
      </c>
      <c r="I110" s="673">
        <v>0.21941274337</v>
      </c>
      <c r="J110" s="669">
        <v>0.14045018949985705</v>
      </c>
      <c r="K110" s="142">
        <v>321200</v>
      </c>
      <c r="L110" s="142" t="s">
        <v>633</v>
      </c>
      <c r="M110" s="143" t="s">
        <v>535</v>
      </c>
      <c r="N110" s="143" t="s">
        <v>634</v>
      </c>
      <c r="O110" s="144">
        <v>0.18898785017000003</v>
      </c>
      <c r="P110" s="144">
        <v>3.0816561385000003E-2</v>
      </c>
      <c r="Q110" s="144">
        <v>0.21941274337</v>
      </c>
    </row>
    <row r="111" spans="3:17" ht="84" hidden="1">
      <c r="C111" s="665" t="s">
        <v>635</v>
      </c>
      <c r="D111" s="666"/>
      <c r="E111" s="666"/>
      <c r="F111" s="670"/>
      <c r="G111" s="660" t="str">
        <f>IFERROR(IF(E111="","",IF(F111="Direct-from-manufacturer",(E111*H111/1000*'Inventory Settings'!$J$21),(E111*I111/1000*'Inventory Settings'!$J$21))),"")</f>
        <v/>
      </c>
      <c r="H111" s="673">
        <v>0.14517021651999998</v>
      </c>
      <c r="I111" s="673">
        <v>0.18971328769999998</v>
      </c>
      <c r="J111" s="669">
        <v>0.23583627378147012</v>
      </c>
      <c r="K111" s="142">
        <v>321910</v>
      </c>
      <c r="L111" s="142" t="s">
        <v>636</v>
      </c>
      <c r="M111" s="143" t="s">
        <v>535</v>
      </c>
      <c r="N111" s="143" t="s">
        <v>637</v>
      </c>
      <c r="O111" s="144">
        <v>0.14517021651999998</v>
      </c>
      <c r="P111" s="144">
        <v>4.4741274858000002E-2</v>
      </c>
      <c r="Q111" s="144">
        <v>0.18971328769999998</v>
      </c>
    </row>
    <row r="112" spans="3:17" ht="56" hidden="1">
      <c r="C112" s="665" t="s">
        <v>638</v>
      </c>
      <c r="D112" s="666"/>
      <c r="E112" s="666"/>
      <c r="F112" s="670"/>
      <c r="G112" s="660" t="str">
        <f>IFERROR(IF(E112="","",IF(F112="Direct-from-manufacturer",(E112*H112/1000*'Inventory Settings'!$J$21),(E112*I112/1000*'Inventory Settings'!$J$21))),"")</f>
        <v/>
      </c>
      <c r="H112" s="673">
        <v>0.15557464105999996</v>
      </c>
      <c r="I112" s="673">
        <v>0.20245586400000001</v>
      </c>
      <c r="J112" s="669">
        <v>0.23092691798247933</v>
      </c>
      <c r="K112" s="142" t="s">
        <v>639</v>
      </c>
      <c r="L112" s="142" t="s">
        <v>640</v>
      </c>
      <c r="M112" s="143" t="s">
        <v>535</v>
      </c>
      <c r="N112" s="143" t="s">
        <v>637</v>
      </c>
      <c r="O112" s="144">
        <v>0.15557464105999996</v>
      </c>
      <c r="P112" s="144">
        <v>4.6752508700999992E-2</v>
      </c>
      <c r="Q112" s="144">
        <v>0.20245586400000001</v>
      </c>
    </row>
    <row r="113" spans="3:17" ht="56" hidden="1">
      <c r="C113" s="665" t="s">
        <v>641</v>
      </c>
      <c r="D113" s="666"/>
      <c r="E113" s="666"/>
      <c r="F113" s="670"/>
      <c r="G113" s="660" t="str">
        <f>IFERROR(IF(E113="","",IF(F113="Direct-from-manufacturer",(E113*H113/1000*'Inventory Settings'!$J$21),(E113*I113/1000*'Inventory Settings'!$J$21))),"")</f>
        <v/>
      </c>
      <c r="H113" s="673">
        <v>0.90102007870000012</v>
      </c>
      <c r="I113" s="673">
        <v>0.96760860002999982</v>
      </c>
      <c r="J113" s="669">
        <v>6.8946854836688748E-2</v>
      </c>
      <c r="K113" s="142">
        <v>322110</v>
      </c>
      <c r="L113" s="142" t="s">
        <v>642</v>
      </c>
      <c r="M113" s="143" t="s">
        <v>535</v>
      </c>
      <c r="N113" s="143" t="s">
        <v>643</v>
      </c>
      <c r="O113" s="144">
        <v>0.90102007870000012</v>
      </c>
      <c r="P113" s="144">
        <v>6.6713569685000015E-2</v>
      </c>
      <c r="Q113" s="144">
        <v>0.96760860002999982</v>
      </c>
    </row>
    <row r="114" spans="3:17" ht="56" hidden="1">
      <c r="C114" s="665" t="s">
        <v>644</v>
      </c>
      <c r="D114" s="666"/>
      <c r="E114" s="666"/>
      <c r="F114" s="670"/>
      <c r="G114" s="660" t="str">
        <f>IFERROR(IF(E114="","",IF(F114="Direct-from-manufacturer",(E114*H114/1000*'Inventory Settings'!$J$21),(E114*I114/1000*'Inventory Settings'!$J$21))),"")</f>
        <v/>
      </c>
      <c r="H114" s="673">
        <v>0.6721937038400001</v>
      </c>
      <c r="I114" s="673">
        <v>0.74338619351000002</v>
      </c>
      <c r="J114" s="669">
        <v>9.5352129779696398E-2</v>
      </c>
      <c r="K114" s="142">
        <v>322120</v>
      </c>
      <c r="L114" s="142" t="s">
        <v>645</v>
      </c>
      <c r="M114" s="143" t="s">
        <v>535</v>
      </c>
      <c r="N114" s="143" t="s">
        <v>643</v>
      </c>
      <c r="O114" s="144">
        <v>0.6721937038400001</v>
      </c>
      <c r="P114" s="144">
        <v>7.0883456800000022E-2</v>
      </c>
      <c r="Q114" s="144">
        <v>0.74338619351000002</v>
      </c>
    </row>
    <row r="115" spans="3:17" ht="42" hidden="1">
      <c r="C115" s="665" t="s">
        <v>646</v>
      </c>
      <c r="D115" s="666"/>
      <c r="E115" s="666"/>
      <c r="F115" s="670"/>
      <c r="G115" s="660" t="str">
        <f>IFERROR(IF(E115="","",IF(F115="Direct-from-manufacturer",(E115*H115/1000*'Inventory Settings'!$J$21),(E115*I115/1000*'Inventory Settings'!$J$21))),"")</f>
        <v/>
      </c>
      <c r="H115" s="673">
        <v>0.74947381803000002</v>
      </c>
      <c r="I115" s="673">
        <v>0.81095470254000013</v>
      </c>
      <c r="J115" s="669">
        <v>7.6431811237869629E-2</v>
      </c>
      <c r="K115" s="142">
        <v>322130</v>
      </c>
      <c r="L115" s="142" t="s">
        <v>647</v>
      </c>
      <c r="M115" s="143" t="s">
        <v>535</v>
      </c>
      <c r="N115" s="143" t="s">
        <v>643</v>
      </c>
      <c r="O115" s="144">
        <v>0.74947381803000002</v>
      </c>
      <c r="P115" s="144">
        <v>6.1982736747E-2</v>
      </c>
      <c r="Q115" s="144">
        <v>0.81095470254000013</v>
      </c>
    </row>
    <row r="116" spans="3:17" ht="70" hidden="1">
      <c r="C116" s="665" t="s">
        <v>648</v>
      </c>
      <c r="D116" s="666"/>
      <c r="E116" s="666"/>
      <c r="F116" s="670"/>
      <c r="G116" s="660" t="str">
        <f>IFERROR(IF(E116="","",IF(F116="Direct-from-manufacturer",(E116*H116/1000*'Inventory Settings'!$J$21),(E116*I116/1000*'Inventory Settings'!$J$21))),"")</f>
        <v/>
      </c>
      <c r="H116" s="673">
        <v>0.45766006273999998</v>
      </c>
      <c r="I116" s="673">
        <v>0.49486248973000002</v>
      </c>
      <c r="J116" s="669">
        <v>7.5488363937993866E-2</v>
      </c>
      <c r="K116" s="142">
        <v>322210</v>
      </c>
      <c r="L116" s="142" t="s">
        <v>649</v>
      </c>
      <c r="M116" s="143" t="s">
        <v>535</v>
      </c>
      <c r="N116" s="143" t="s">
        <v>650</v>
      </c>
      <c r="O116" s="144">
        <v>0.45766006273999998</v>
      </c>
      <c r="P116" s="144">
        <v>3.7356359723999991E-2</v>
      </c>
      <c r="Q116" s="144">
        <v>0.49486248973000002</v>
      </c>
    </row>
    <row r="117" spans="3:17" ht="98" hidden="1">
      <c r="C117" s="665" t="s">
        <v>651</v>
      </c>
      <c r="D117" s="666"/>
      <c r="E117" s="666"/>
      <c r="F117" s="670"/>
      <c r="G117" s="660" t="str">
        <f>IFERROR(IF(E117="","",IF(F117="Direct-from-manufacturer",(E117*H117/1000*'Inventory Settings'!$J$21),(E117*I117/1000*'Inventory Settings'!$J$21))),"")</f>
        <v/>
      </c>
      <c r="H117" s="673">
        <v>0.47025050306999994</v>
      </c>
      <c r="I117" s="673">
        <v>0.52647839674999997</v>
      </c>
      <c r="J117" s="669">
        <v>0.10660093346745669</v>
      </c>
      <c r="K117" s="142">
        <v>322220</v>
      </c>
      <c r="L117" s="142" t="s">
        <v>652</v>
      </c>
      <c r="M117" s="143" t="s">
        <v>535</v>
      </c>
      <c r="N117" s="143" t="s">
        <v>650</v>
      </c>
      <c r="O117" s="144">
        <v>0.47025050306999994</v>
      </c>
      <c r="P117" s="144">
        <v>5.6123088544000013E-2</v>
      </c>
      <c r="Q117" s="144">
        <v>0.52647839674999997</v>
      </c>
    </row>
    <row r="118" spans="3:17" ht="42" hidden="1">
      <c r="C118" s="665" t="s">
        <v>653</v>
      </c>
      <c r="D118" s="666"/>
      <c r="E118" s="666"/>
      <c r="F118" s="670"/>
      <c r="G118" s="660" t="str">
        <f>IFERROR(IF(E118="","",IF(F118="Direct-from-manufacturer",(E118*H118/1000*'Inventory Settings'!$J$21),(E118*I118/1000*'Inventory Settings'!$J$21))),"")</f>
        <v/>
      </c>
      <c r="H118" s="673">
        <v>0.37508737243000007</v>
      </c>
      <c r="I118" s="673">
        <v>0.42195262983000004</v>
      </c>
      <c r="J118" s="669">
        <v>0.11121646249463309</v>
      </c>
      <c r="K118" s="142">
        <v>322230</v>
      </c>
      <c r="L118" s="142" t="s">
        <v>654</v>
      </c>
      <c r="M118" s="143" t="s">
        <v>535</v>
      </c>
      <c r="N118" s="143" t="s">
        <v>650</v>
      </c>
      <c r="O118" s="144">
        <v>0.37508737243000007</v>
      </c>
      <c r="P118" s="144">
        <v>4.6928078829999997E-2</v>
      </c>
      <c r="Q118" s="144">
        <v>0.42195262983000004</v>
      </c>
    </row>
    <row r="119" spans="3:17" ht="56" hidden="1">
      <c r="C119" s="665" t="s">
        <v>655</v>
      </c>
      <c r="D119" s="666"/>
      <c r="E119" s="666"/>
      <c r="F119" s="670"/>
      <c r="G119" s="660" t="str">
        <f>IFERROR(IF(E119="","",IF(F119="Direct-from-manufacturer",(E119*H119/1000*'Inventory Settings'!$J$21),(E119*I119/1000*'Inventory Settings'!$J$21))),"")</f>
        <v/>
      </c>
      <c r="H119" s="673">
        <v>0.31398786964999997</v>
      </c>
      <c r="I119" s="673">
        <v>0.41554624492000003</v>
      </c>
      <c r="J119" s="669">
        <v>0.24288401566336068</v>
      </c>
      <c r="K119" s="142">
        <v>322291</v>
      </c>
      <c r="L119" s="142" t="s">
        <v>656</v>
      </c>
      <c r="M119" s="143" t="s">
        <v>535</v>
      </c>
      <c r="N119" s="143" t="s">
        <v>650</v>
      </c>
      <c r="O119" s="144">
        <v>0.31398786964999997</v>
      </c>
      <c r="P119" s="144">
        <v>0.10092954066</v>
      </c>
      <c r="Q119" s="144">
        <v>0.41554624492000003</v>
      </c>
    </row>
    <row r="120" spans="3:17" ht="70" hidden="1">
      <c r="C120" s="665" t="s">
        <v>657</v>
      </c>
      <c r="D120" s="666"/>
      <c r="E120" s="666"/>
      <c r="F120" s="670"/>
      <c r="G120" s="660" t="str">
        <f>IFERROR(IF(E120="","",IF(F120="Direct-from-manufacturer",(E120*H120/1000*'Inventory Settings'!$J$21),(E120*I120/1000*'Inventory Settings'!$J$21))),"")</f>
        <v/>
      </c>
      <c r="H120" s="673">
        <v>0.40738707118</v>
      </c>
      <c r="I120" s="673">
        <v>0.46792845111999998</v>
      </c>
      <c r="J120" s="669">
        <v>0.13026757313666293</v>
      </c>
      <c r="K120" s="142">
        <v>322299</v>
      </c>
      <c r="L120" s="142" t="s">
        <v>658</v>
      </c>
      <c r="M120" s="143" t="s">
        <v>535</v>
      </c>
      <c r="N120" s="143" t="s">
        <v>650</v>
      </c>
      <c r="O120" s="144">
        <v>0.40738707118</v>
      </c>
      <c r="P120" s="144">
        <v>6.0955903728999998E-2</v>
      </c>
      <c r="Q120" s="144">
        <v>0.46792845111999998</v>
      </c>
    </row>
    <row r="121" spans="3:17" ht="84" hidden="1">
      <c r="C121" s="665" t="s">
        <v>659</v>
      </c>
      <c r="D121" s="666"/>
      <c r="E121" s="666"/>
      <c r="F121" s="670"/>
      <c r="G121" s="660" t="str">
        <f>IFERROR(IF(E121="","",IF(F121="Direct-from-manufacturer",(E121*H121/1000*'Inventory Settings'!$J$21),(E121*I121/1000*'Inventory Settings'!$J$21))),"")</f>
        <v/>
      </c>
      <c r="H121" s="673">
        <v>0.2969498706</v>
      </c>
      <c r="I121" s="673">
        <v>0.34963714559999987</v>
      </c>
      <c r="J121" s="669">
        <v>0.15149300388865783</v>
      </c>
      <c r="K121" s="142">
        <v>323110</v>
      </c>
      <c r="L121" s="142" t="s">
        <v>660</v>
      </c>
      <c r="M121" s="143" t="s">
        <v>535</v>
      </c>
      <c r="N121" s="143" t="s">
        <v>661</v>
      </c>
      <c r="O121" s="144">
        <v>0.2969498706</v>
      </c>
      <c r="P121" s="144">
        <v>5.2967581458000006E-2</v>
      </c>
      <c r="Q121" s="144">
        <v>0.34963714559999987</v>
      </c>
    </row>
    <row r="122" spans="3:17" ht="42" hidden="1">
      <c r="C122" s="665" t="s">
        <v>662</v>
      </c>
      <c r="D122" s="666"/>
      <c r="E122" s="666"/>
      <c r="F122" s="670"/>
      <c r="G122" s="660" t="str">
        <f>IFERROR(IF(E122="","",IF(F122="Direct-from-manufacturer",(E122*H122/1000*'Inventory Settings'!$J$21),(E122*I122/1000*'Inventory Settings'!$J$21))),"")</f>
        <v/>
      </c>
      <c r="H122" s="673">
        <v>0.25234542949999994</v>
      </c>
      <c r="I122" s="673">
        <v>0.28892288200000005</v>
      </c>
      <c r="J122" s="669">
        <v>0.12410952045016638</v>
      </c>
      <c r="K122" s="142">
        <v>323120</v>
      </c>
      <c r="L122" s="142" t="s">
        <v>663</v>
      </c>
      <c r="M122" s="143" t="s">
        <v>535</v>
      </c>
      <c r="N122" s="143" t="s">
        <v>661</v>
      </c>
      <c r="O122" s="144">
        <v>0.25234542949999994</v>
      </c>
      <c r="P122" s="144">
        <v>3.5858080332100015E-2</v>
      </c>
      <c r="Q122" s="144">
        <v>0.28892288200000005</v>
      </c>
    </row>
    <row r="123" spans="3:17" ht="42" hidden="1">
      <c r="C123" s="665" t="s">
        <v>664</v>
      </c>
      <c r="D123" s="666"/>
      <c r="E123" s="666"/>
      <c r="F123" s="670"/>
      <c r="G123" s="660" t="str">
        <f>IFERROR(IF(E123="","",IF(F123="Direct-from-manufacturer",(E123*H123/1000*'Inventory Settings'!$J$21),(E123*I123/1000*'Inventory Settings'!$J$21))),"")</f>
        <v/>
      </c>
      <c r="H123" s="673">
        <v>0.83722375081000011</v>
      </c>
      <c r="I123" s="673">
        <v>0.90741673658999955</v>
      </c>
      <c r="J123" s="669">
        <v>7.9581357239863662E-2</v>
      </c>
      <c r="K123" s="142">
        <v>324110</v>
      </c>
      <c r="L123" s="142" t="s">
        <v>665</v>
      </c>
      <c r="M123" s="143" t="s">
        <v>535</v>
      </c>
      <c r="N123" s="143" t="s">
        <v>666</v>
      </c>
      <c r="O123" s="144">
        <v>0.83722375081000011</v>
      </c>
      <c r="P123" s="144">
        <v>7.2213455480000022E-2</v>
      </c>
      <c r="Q123" s="144">
        <v>0.90741673658999955</v>
      </c>
    </row>
    <row r="124" spans="3:17" ht="42" hidden="1">
      <c r="C124" s="665" t="s">
        <v>667</v>
      </c>
      <c r="D124" s="666"/>
      <c r="E124" s="666"/>
      <c r="F124" s="670"/>
      <c r="G124" s="660" t="str">
        <f>IFERROR(IF(E124="","",IF(F124="Direct-from-manufacturer",(E124*H124/1000*'Inventory Settings'!$J$21),(E124*I124/1000*'Inventory Settings'!$J$21))),"")</f>
        <v/>
      </c>
      <c r="H124" s="673">
        <v>1.2960825716199997</v>
      </c>
      <c r="I124" s="673">
        <v>1.3323511672000001</v>
      </c>
      <c r="J124" s="669">
        <v>3.1636869249406091E-2</v>
      </c>
      <c r="K124" s="142">
        <v>324121</v>
      </c>
      <c r="L124" s="142" t="s">
        <v>668</v>
      </c>
      <c r="M124" s="143" t="s">
        <v>535</v>
      </c>
      <c r="N124" s="143" t="s">
        <v>666</v>
      </c>
      <c r="O124" s="144">
        <v>1.2960825716199997</v>
      </c>
      <c r="P124" s="144">
        <v>4.2151419670999994E-2</v>
      </c>
      <c r="Q124" s="144">
        <v>1.3323511672000001</v>
      </c>
    </row>
    <row r="125" spans="3:17" ht="56" hidden="1">
      <c r="C125" s="665" t="s">
        <v>669</v>
      </c>
      <c r="D125" s="666"/>
      <c r="E125" s="666"/>
      <c r="F125" s="670"/>
      <c r="G125" s="660" t="str">
        <f>IFERROR(IF(E125="","",IF(F125="Direct-from-manufacturer",(E125*H125/1000*'Inventory Settings'!$J$21),(E125*I125/1000*'Inventory Settings'!$J$21))),"")</f>
        <v/>
      </c>
      <c r="H125" s="673">
        <v>0.88541485194000025</v>
      </c>
      <c r="I125" s="673">
        <v>0.92954492674999989</v>
      </c>
      <c r="J125" s="669">
        <v>4.7172568132140588E-2</v>
      </c>
      <c r="K125" s="142">
        <v>324122</v>
      </c>
      <c r="L125" s="142" t="s">
        <v>670</v>
      </c>
      <c r="M125" s="143" t="s">
        <v>535</v>
      </c>
      <c r="N125" s="143" t="s">
        <v>666</v>
      </c>
      <c r="O125" s="144">
        <v>0.88541485194000025</v>
      </c>
      <c r="P125" s="144">
        <v>4.3849021389000001E-2</v>
      </c>
      <c r="Q125" s="144">
        <v>0.92954492674999989</v>
      </c>
    </row>
    <row r="126" spans="3:17" ht="56" hidden="1">
      <c r="C126" s="665" t="s">
        <v>671</v>
      </c>
      <c r="D126" s="666"/>
      <c r="E126" s="666"/>
      <c r="F126" s="670"/>
      <c r="G126" s="660" t="str">
        <f>IFERROR(IF(E126="","",IF(F126="Direct-from-manufacturer",(E126*H126/1000*'Inventory Settings'!$J$21),(E126*I126/1000*'Inventory Settings'!$J$21))),"")</f>
        <v/>
      </c>
      <c r="H126" s="673">
        <v>0.79687762191999978</v>
      </c>
      <c r="I126" s="673">
        <v>0.87338667893000033</v>
      </c>
      <c r="J126" s="669">
        <v>8.82608324361428E-2</v>
      </c>
      <c r="K126" s="142">
        <v>324190</v>
      </c>
      <c r="L126" s="142" t="s">
        <v>672</v>
      </c>
      <c r="M126" s="143" t="s">
        <v>535</v>
      </c>
      <c r="N126" s="143" t="s">
        <v>666</v>
      </c>
      <c r="O126" s="144">
        <v>0.79687762191999978</v>
      </c>
      <c r="P126" s="144">
        <v>7.708583532100001E-2</v>
      </c>
      <c r="Q126" s="144">
        <v>0.87338667893000033</v>
      </c>
    </row>
    <row r="127" spans="3:17" ht="70" hidden="1">
      <c r="C127" s="665" t="s">
        <v>673</v>
      </c>
      <c r="D127" s="666"/>
      <c r="E127" s="666"/>
      <c r="F127" s="670"/>
      <c r="G127" s="660" t="str">
        <f>IFERROR(IF(E127="","",IF(F127="Direct-from-manufacturer",(E127*H127/1000*'Inventory Settings'!$J$21),(E127*I127/1000*'Inventory Settings'!$J$21))),"")</f>
        <v/>
      </c>
      <c r="H127" s="673">
        <v>1.1860929984200002</v>
      </c>
      <c r="I127" s="673">
        <v>1.22290065578</v>
      </c>
      <c r="J127" s="669">
        <v>2.7303159422793457E-2</v>
      </c>
      <c r="K127" s="142">
        <v>325110</v>
      </c>
      <c r="L127" s="142" t="s">
        <v>674</v>
      </c>
      <c r="M127" s="143" t="s">
        <v>535</v>
      </c>
      <c r="N127" s="143" t="s">
        <v>675</v>
      </c>
      <c r="O127" s="144">
        <v>1.1860929984200002</v>
      </c>
      <c r="P127" s="144">
        <v>3.3389051563000004E-2</v>
      </c>
      <c r="Q127" s="144">
        <v>1.22290065578</v>
      </c>
    </row>
    <row r="128" spans="3:17" ht="28" hidden="1">
      <c r="C128" s="665" t="s">
        <v>676</v>
      </c>
      <c r="D128" s="666"/>
      <c r="E128" s="666"/>
      <c r="F128" s="670"/>
      <c r="G128" s="660" t="str">
        <f>IFERROR(IF(E128="","",IF(F128="Direct-from-manufacturer",(E128*H128/1000*'Inventory Settings'!$J$21),(E128*I128/1000*'Inventory Settings'!$J$21))),"")</f>
        <v/>
      </c>
      <c r="H128" s="673">
        <v>1.3622430489899999</v>
      </c>
      <c r="I128" s="673">
        <v>1.4541703191799999</v>
      </c>
      <c r="J128" s="669">
        <v>6.2111053049089239E-2</v>
      </c>
      <c r="K128" s="142">
        <v>325120</v>
      </c>
      <c r="L128" s="142" t="s">
        <v>677</v>
      </c>
      <c r="M128" s="143" t="s">
        <v>535</v>
      </c>
      <c r="N128" s="143" t="s">
        <v>675</v>
      </c>
      <c r="O128" s="144">
        <v>1.3622430489899999</v>
      </c>
      <c r="P128" s="144">
        <v>9.032004983700001E-2</v>
      </c>
      <c r="Q128" s="144">
        <v>1.4541703191799999</v>
      </c>
    </row>
    <row r="129" spans="3:17" ht="42" hidden="1">
      <c r="C129" s="665" t="s">
        <v>678</v>
      </c>
      <c r="D129" s="666"/>
      <c r="E129" s="666"/>
      <c r="F129" s="670"/>
      <c r="G129" s="660" t="str">
        <f>IFERROR(IF(E129="","",IF(F129="Direct-from-manufacturer",(E129*H129/1000*'Inventory Settings'!$J$21),(E129*I129/1000*'Inventory Settings'!$J$21))),"")</f>
        <v/>
      </c>
      <c r="H129" s="673">
        <v>1.3240789481000002</v>
      </c>
      <c r="I129" s="673">
        <v>1.3937651171000003</v>
      </c>
      <c r="J129" s="669">
        <v>5.1281733941452794E-2</v>
      </c>
      <c r="K129" s="142">
        <v>325130</v>
      </c>
      <c r="L129" s="142" t="s">
        <v>679</v>
      </c>
      <c r="M129" s="143" t="s">
        <v>535</v>
      </c>
      <c r="N129" s="143" t="s">
        <v>675</v>
      </c>
      <c r="O129" s="144">
        <v>1.3240789481000002</v>
      </c>
      <c r="P129" s="144">
        <v>7.147469191200001E-2</v>
      </c>
      <c r="Q129" s="144">
        <v>1.3937651171000003</v>
      </c>
    </row>
    <row r="130" spans="3:17" ht="42" hidden="1">
      <c r="C130" s="665" t="s">
        <v>680</v>
      </c>
      <c r="D130" s="666"/>
      <c r="E130" s="666"/>
      <c r="F130" s="670"/>
      <c r="G130" s="660" t="str">
        <f>IFERROR(IF(E130="","",IF(F130="Direct-from-manufacturer",(E130*H130/1000*'Inventory Settings'!$J$21),(E130*I130/1000*'Inventory Settings'!$J$21))),"")</f>
        <v/>
      </c>
      <c r="H130" s="673">
        <v>1.0521521415699999</v>
      </c>
      <c r="I130" s="673">
        <v>1.12892022369</v>
      </c>
      <c r="J130" s="669">
        <v>6.3680824488215604E-2</v>
      </c>
      <c r="K130" s="142">
        <v>325180</v>
      </c>
      <c r="L130" s="142" t="s">
        <v>681</v>
      </c>
      <c r="M130" s="143" t="s">
        <v>535</v>
      </c>
      <c r="N130" s="143" t="s">
        <v>675</v>
      </c>
      <c r="O130" s="144">
        <v>1.0521521415699999</v>
      </c>
      <c r="P130" s="144">
        <v>7.1890570625999989E-2</v>
      </c>
      <c r="Q130" s="144">
        <v>1.12892022369</v>
      </c>
    </row>
    <row r="131" spans="3:17" ht="42" hidden="1">
      <c r="C131" s="665" t="s">
        <v>682</v>
      </c>
      <c r="D131" s="666"/>
      <c r="E131" s="666"/>
      <c r="F131" s="670"/>
      <c r="G131" s="660" t="str">
        <f>IFERROR(IF(E131="","",IF(F131="Direct-from-manufacturer",(E131*H131/1000*'Inventory Settings'!$J$21),(E131*I131/1000*'Inventory Settings'!$J$21))),"")</f>
        <v/>
      </c>
      <c r="H131" s="673">
        <v>1.4729286919</v>
      </c>
      <c r="I131" s="673">
        <v>1.5077178581100001</v>
      </c>
      <c r="J131" s="669">
        <v>2.2085951621440929E-2</v>
      </c>
      <c r="K131" s="142">
        <v>325190</v>
      </c>
      <c r="L131" s="142" t="s">
        <v>683</v>
      </c>
      <c r="M131" s="143" t="s">
        <v>535</v>
      </c>
      <c r="N131" s="143" t="s">
        <v>675</v>
      </c>
      <c r="O131" s="144">
        <v>1.4729286919</v>
      </c>
      <c r="P131" s="144">
        <v>3.3299383673000005E-2</v>
      </c>
      <c r="Q131" s="144">
        <v>1.5077178581100001</v>
      </c>
    </row>
    <row r="132" spans="3:17" ht="70" hidden="1">
      <c r="C132" s="665" t="s">
        <v>20</v>
      </c>
      <c r="D132" s="666"/>
      <c r="E132" s="666"/>
      <c r="F132" s="670"/>
      <c r="G132" s="660" t="str">
        <f>IFERROR(IF(E132="","",IF(F132="Direct-from-manufacturer",(E132*H132/1000*'Inventory Settings'!$J$21),(E132*I132/1000*'Inventory Settings'!$J$21))),"")</f>
        <v/>
      </c>
      <c r="H132" s="673">
        <v>1.0485777917500001</v>
      </c>
      <c r="I132" s="673">
        <v>1.0826256654399997</v>
      </c>
      <c r="J132" s="669">
        <v>3.1499728553119166E-2</v>
      </c>
      <c r="K132" s="142">
        <v>325211</v>
      </c>
      <c r="L132" s="142" t="s">
        <v>684</v>
      </c>
      <c r="M132" s="143" t="s">
        <v>535</v>
      </c>
      <c r="N132" s="143" t="s">
        <v>685</v>
      </c>
      <c r="O132" s="144">
        <v>1.0485777917500001</v>
      </c>
      <c r="P132" s="144">
        <v>3.4102414585999996E-2</v>
      </c>
      <c r="Q132" s="144">
        <v>1.0826256654399997</v>
      </c>
    </row>
    <row r="133" spans="3:17" ht="112" hidden="1">
      <c r="C133" s="665" t="s">
        <v>686</v>
      </c>
      <c r="D133" s="666"/>
      <c r="E133" s="666"/>
      <c r="F133" s="670"/>
      <c r="G133" s="660" t="str">
        <f>IFERROR(IF(E133="","",IF(F133="Direct-from-manufacturer",(E133*H133/1000*'Inventory Settings'!$J$21),(E133*I133/1000*'Inventory Settings'!$J$21))),"")</f>
        <v/>
      </c>
      <c r="H133" s="673">
        <v>1.11761719184</v>
      </c>
      <c r="I133" s="673">
        <v>1.1423842997000002</v>
      </c>
      <c r="J133" s="669">
        <v>2.190323920905685E-2</v>
      </c>
      <c r="K133" s="142" t="s">
        <v>687</v>
      </c>
      <c r="L133" s="142" t="s">
        <v>688</v>
      </c>
      <c r="M133" s="143" t="s">
        <v>535</v>
      </c>
      <c r="N133" s="143" t="s">
        <v>685</v>
      </c>
      <c r="O133" s="144">
        <v>1.11761719184</v>
      </c>
      <c r="P133" s="144">
        <v>2.5021916584999995E-2</v>
      </c>
      <c r="Q133" s="144">
        <v>1.1423842997000002</v>
      </c>
    </row>
    <row r="134" spans="3:17" ht="56" hidden="1">
      <c r="C134" s="665" t="s">
        <v>689</v>
      </c>
      <c r="D134" s="666"/>
      <c r="E134" s="666"/>
      <c r="F134" s="670"/>
      <c r="G134" s="660" t="str">
        <f>IFERROR(IF(E134="","",IF(F134="Direct-from-manufacturer",(E134*H134/1000*'Inventory Settings'!$J$21),(E134*I134/1000*'Inventory Settings'!$J$21))),"")</f>
        <v/>
      </c>
      <c r="H134" s="673">
        <v>2.0080342033900003</v>
      </c>
      <c r="I134" s="673">
        <v>2.1020370024500004</v>
      </c>
      <c r="J134" s="669">
        <v>4.1474755034467445E-2</v>
      </c>
      <c r="K134" s="142">
        <v>325310</v>
      </c>
      <c r="L134" s="142" t="s">
        <v>690</v>
      </c>
      <c r="M134" s="143" t="s">
        <v>535</v>
      </c>
      <c r="N134" s="143" t="s">
        <v>691</v>
      </c>
      <c r="O134" s="144">
        <v>2.0080342033900003</v>
      </c>
      <c r="P134" s="144">
        <v>8.7181469750000004E-2</v>
      </c>
      <c r="Q134" s="144">
        <v>2.1020370024500004</v>
      </c>
    </row>
    <row r="135" spans="3:17" ht="56" hidden="1">
      <c r="C135" s="665" t="s">
        <v>692</v>
      </c>
      <c r="D135" s="666"/>
      <c r="E135" s="666"/>
      <c r="F135" s="670"/>
      <c r="G135" s="660" t="str">
        <f>IFERROR(IF(E135="","",IF(F135="Direct-from-manufacturer",(E135*H135/1000*'Inventory Settings'!$J$21),(E135*I135/1000*'Inventory Settings'!$J$21))),"")</f>
        <v/>
      </c>
      <c r="H135" s="673">
        <v>0.49514008469999998</v>
      </c>
      <c r="I135" s="673">
        <v>0.54936861599999987</v>
      </c>
      <c r="J135" s="669">
        <v>9.976840630080698E-2</v>
      </c>
      <c r="K135" s="142">
        <v>325320</v>
      </c>
      <c r="L135" s="142" t="s">
        <v>693</v>
      </c>
      <c r="M135" s="143" t="s">
        <v>535</v>
      </c>
      <c r="N135" s="143" t="s">
        <v>691</v>
      </c>
      <c r="O135" s="144">
        <v>0.49514008469999998</v>
      </c>
      <c r="P135" s="144">
        <v>5.4809631289999994E-2</v>
      </c>
      <c r="Q135" s="144">
        <v>0.54936861599999987</v>
      </c>
    </row>
    <row r="136" spans="3:17" ht="56" hidden="1">
      <c r="C136" s="665" t="s">
        <v>694</v>
      </c>
      <c r="D136" s="666"/>
      <c r="E136" s="666"/>
      <c r="F136" s="670"/>
      <c r="G136" s="660" t="str">
        <f>IFERROR(IF(E136="","",IF(F136="Direct-from-manufacturer",(E136*H136/1000*'Inventory Settings'!$J$21),(E136*I136/1000*'Inventory Settings'!$J$21))),"")</f>
        <v/>
      </c>
      <c r="H136" s="673">
        <v>0.21233473859999996</v>
      </c>
      <c r="I136" s="673">
        <v>0.26210364976999989</v>
      </c>
      <c r="J136" s="669">
        <v>0.18876072501628641</v>
      </c>
      <c r="K136" s="142">
        <v>325411</v>
      </c>
      <c r="L136" s="142" t="s">
        <v>695</v>
      </c>
      <c r="M136" s="143" t="s">
        <v>535</v>
      </c>
      <c r="N136" s="143" t="s">
        <v>696</v>
      </c>
      <c r="O136" s="144">
        <v>0.21233473859999996</v>
      </c>
      <c r="P136" s="144">
        <v>4.9474874959999991E-2</v>
      </c>
      <c r="Q136" s="144">
        <v>0.26210364976999989</v>
      </c>
    </row>
    <row r="137" spans="3:17" ht="56" hidden="1">
      <c r="C137" s="665" t="s">
        <v>697</v>
      </c>
      <c r="D137" s="666"/>
      <c r="E137" s="666"/>
      <c r="F137" s="670"/>
      <c r="G137" s="660" t="str">
        <f>IFERROR(IF(E137="","",IF(F137="Direct-from-manufacturer",(E137*H137/1000*'Inventory Settings'!$J$21),(E137*I137/1000*'Inventory Settings'!$J$21))),"")</f>
        <v/>
      </c>
      <c r="H137" s="673">
        <v>5.9051008437000001E-2</v>
      </c>
      <c r="I137" s="673">
        <v>0.10877680274999998</v>
      </c>
      <c r="J137" s="669">
        <v>0.45723728554799803</v>
      </c>
      <c r="K137" s="142">
        <v>325412</v>
      </c>
      <c r="L137" s="142" t="s">
        <v>698</v>
      </c>
      <c r="M137" s="143" t="s">
        <v>535</v>
      </c>
      <c r="N137" s="143" t="s">
        <v>696</v>
      </c>
      <c r="O137" s="144">
        <v>5.9051008437000001E-2</v>
      </c>
      <c r="P137" s="144">
        <v>4.9736810020000001E-2</v>
      </c>
      <c r="Q137" s="144">
        <v>0.10877680274999998</v>
      </c>
    </row>
    <row r="138" spans="3:17" ht="70" hidden="1">
      <c r="C138" s="665" t="s">
        <v>699</v>
      </c>
      <c r="D138" s="666"/>
      <c r="E138" s="666"/>
      <c r="F138" s="670"/>
      <c r="G138" s="660" t="str">
        <f>IFERROR(IF(E138="","",IF(F138="Direct-from-manufacturer",(E138*H138/1000*'Inventory Settings'!$J$21),(E138*I138/1000*'Inventory Settings'!$J$21))),"")</f>
        <v/>
      </c>
      <c r="H138" s="673">
        <v>0.10167328548699998</v>
      </c>
      <c r="I138" s="673">
        <v>0.14406840624000003</v>
      </c>
      <c r="J138" s="669">
        <v>0.29620748576138334</v>
      </c>
      <c r="K138" s="142">
        <v>325413</v>
      </c>
      <c r="L138" s="142" t="s">
        <v>700</v>
      </c>
      <c r="M138" s="143" t="s">
        <v>535</v>
      </c>
      <c r="N138" s="143" t="s">
        <v>696</v>
      </c>
      <c r="O138" s="144">
        <v>0.10167328548699998</v>
      </c>
      <c r="P138" s="144">
        <v>4.2674140389999997E-2</v>
      </c>
      <c r="Q138" s="144">
        <v>0.14406840624000003</v>
      </c>
    </row>
    <row r="139" spans="3:17" ht="42" hidden="1">
      <c r="C139" s="665" t="s">
        <v>701</v>
      </c>
      <c r="D139" s="666"/>
      <c r="E139" s="666"/>
      <c r="F139" s="670"/>
      <c r="G139" s="660" t="str">
        <f>IFERROR(IF(E139="","",IF(F139="Direct-from-manufacturer",(E139*H139/1000*'Inventory Settings'!$J$21),(E139*I139/1000*'Inventory Settings'!$J$21))),"")</f>
        <v/>
      </c>
      <c r="H139" s="673">
        <v>4.6135127750000005E-2</v>
      </c>
      <c r="I139" s="673">
        <v>8.5657728949999984E-2</v>
      </c>
      <c r="J139" s="669">
        <v>0.46257751455363566</v>
      </c>
      <c r="K139" s="142">
        <v>325414</v>
      </c>
      <c r="L139" s="142" t="s">
        <v>702</v>
      </c>
      <c r="M139" s="143" t="s">
        <v>535</v>
      </c>
      <c r="N139" s="143" t="s">
        <v>696</v>
      </c>
      <c r="O139" s="144">
        <v>4.6135127750000005E-2</v>
      </c>
      <c r="P139" s="144">
        <v>3.9623339359999996E-2</v>
      </c>
      <c r="Q139" s="144">
        <v>8.5657728949999984E-2</v>
      </c>
    </row>
    <row r="140" spans="3:17" ht="70" hidden="1">
      <c r="C140" s="665" t="s">
        <v>703</v>
      </c>
      <c r="D140" s="666"/>
      <c r="E140" s="666"/>
      <c r="F140" s="670"/>
      <c r="G140" s="660" t="str">
        <f>IFERROR(IF(E140="","",IF(F140="Direct-from-manufacturer",(E140*H140/1000*'Inventory Settings'!$J$21),(E140*I140/1000*'Inventory Settings'!$J$21))),"")</f>
        <v/>
      </c>
      <c r="H140" s="673">
        <v>0.42807819622000015</v>
      </c>
      <c r="I140" s="673">
        <v>0.47171034509999998</v>
      </c>
      <c r="J140" s="669">
        <v>9.2794846868835407E-2</v>
      </c>
      <c r="K140" s="142">
        <v>325510</v>
      </c>
      <c r="L140" s="142" t="s">
        <v>704</v>
      </c>
      <c r="M140" s="143" t="s">
        <v>535</v>
      </c>
      <c r="N140" s="143" t="s">
        <v>705</v>
      </c>
      <c r="O140" s="144">
        <v>0.42807819622000015</v>
      </c>
      <c r="P140" s="144">
        <v>4.3772289240000005E-2</v>
      </c>
      <c r="Q140" s="144">
        <v>0.47171034509999998</v>
      </c>
    </row>
    <row r="141" spans="3:17" ht="42" hidden="1">
      <c r="C141" s="665" t="s">
        <v>706</v>
      </c>
      <c r="D141" s="666"/>
      <c r="E141" s="666"/>
      <c r="F141" s="670"/>
      <c r="G141" s="660" t="str">
        <f>IFERROR(IF(E141="","",IF(F141="Direct-from-manufacturer",(E141*H141/1000*'Inventory Settings'!$J$21),(E141*I141/1000*'Inventory Settings'!$J$21))),"")</f>
        <v/>
      </c>
      <c r="H141" s="673">
        <v>0.68237463659999997</v>
      </c>
      <c r="I141" s="673">
        <v>0.71883791050000023</v>
      </c>
      <c r="J141" s="669">
        <v>4.9625940348898709E-2</v>
      </c>
      <c r="K141" s="142">
        <v>325520</v>
      </c>
      <c r="L141" s="142" t="s">
        <v>707</v>
      </c>
      <c r="M141" s="143" t="s">
        <v>535</v>
      </c>
      <c r="N141" s="143" t="s">
        <v>705</v>
      </c>
      <c r="O141" s="144">
        <v>0.68237463659999997</v>
      </c>
      <c r="P141" s="144">
        <v>3.5673007266999998E-2</v>
      </c>
      <c r="Q141" s="144">
        <v>0.71883791050000023</v>
      </c>
    </row>
    <row r="142" spans="3:17" ht="56" hidden="1">
      <c r="C142" s="665" t="s">
        <v>708</v>
      </c>
      <c r="D142" s="666"/>
      <c r="E142" s="666"/>
      <c r="F142" s="670"/>
      <c r="G142" s="660" t="str">
        <f>IFERROR(IF(E142="","",IF(F142="Direct-from-manufacturer",(E142*H142/1000*'Inventory Settings'!$J$21),(E142*I142/1000*'Inventory Settings'!$J$21))),"")</f>
        <v/>
      </c>
      <c r="H142" s="673">
        <v>0.35584221818</v>
      </c>
      <c r="I142" s="673">
        <v>0.40866361612000013</v>
      </c>
      <c r="J142" s="669">
        <v>0.12978635818762393</v>
      </c>
      <c r="K142" s="142">
        <v>325610</v>
      </c>
      <c r="L142" s="142" t="s">
        <v>709</v>
      </c>
      <c r="M142" s="143" t="s">
        <v>535</v>
      </c>
      <c r="N142" s="143" t="s">
        <v>710</v>
      </c>
      <c r="O142" s="144">
        <v>0.35584221818</v>
      </c>
      <c r="P142" s="144">
        <v>5.3038962459999985E-2</v>
      </c>
      <c r="Q142" s="144">
        <v>0.40866361612000013</v>
      </c>
    </row>
    <row r="143" spans="3:17" ht="56" hidden="1">
      <c r="C143" s="665" t="s">
        <v>711</v>
      </c>
      <c r="D143" s="666"/>
      <c r="E143" s="666"/>
      <c r="F143" s="670"/>
      <c r="G143" s="660" t="str">
        <f>IFERROR(IF(E143="","",IF(F143="Direct-from-manufacturer",(E143*H143/1000*'Inventory Settings'!$J$21),(E143*I143/1000*'Inventory Settings'!$J$21))),"")</f>
        <v/>
      </c>
      <c r="H143" s="673">
        <v>0.11674108981999998</v>
      </c>
      <c r="I143" s="673">
        <v>0.20152922309999993</v>
      </c>
      <c r="J143" s="669">
        <v>0.41824370437916913</v>
      </c>
      <c r="K143" s="142">
        <v>325620</v>
      </c>
      <c r="L143" s="142" t="s">
        <v>712</v>
      </c>
      <c r="M143" s="143" t="s">
        <v>535</v>
      </c>
      <c r="N143" s="143" t="s">
        <v>710</v>
      </c>
      <c r="O143" s="144">
        <v>0.11674108981999998</v>
      </c>
      <c r="P143" s="144">
        <v>8.4288328809999993E-2</v>
      </c>
      <c r="Q143" s="144">
        <v>0.20152922309999993</v>
      </c>
    </row>
    <row r="144" spans="3:17" ht="56" hidden="1">
      <c r="C144" s="665" t="s">
        <v>713</v>
      </c>
      <c r="D144" s="666"/>
      <c r="E144" s="666"/>
      <c r="F144" s="670"/>
      <c r="G144" s="660" t="str">
        <f>IFERROR(IF(E144="","",IF(F144="Direct-from-manufacturer",(E144*H144/1000*'Inventory Settings'!$J$21),(E144*I144/1000*'Inventory Settings'!$J$21))),"")</f>
        <v/>
      </c>
      <c r="H144" s="673">
        <v>0.75409304830000001</v>
      </c>
      <c r="I144" s="673">
        <v>0.78979626500000011</v>
      </c>
      <c r="J144" s="669">
        <v>4.5271674486837422E-2</v>
      </c>
      <c r="K144" s="142">
        <v>325910</v>
      </c>
      <c r="L144" s="142" t="s">
        <v>714</v>
      </c>
      <c r="M144" s="143" t="s">
        <v>535</v>
      </c>
      <c r="N144" s="143" t="s">
        <v>715</v>
      </c>
      <c r="O144" s="144">
        <v>0.75409304830000001</v>
      </c>
      <c r="P144" s="144">
        <v>3.5755399419999993E-2</v>
      </c>
      <c r="Q144" s="144">
        <v>0.78979626500000011</v>
      </c>
    </row>
    <row r="145" spans="3:17" ht="84" hidden="1">
      <c r="C145" s="665" t="s">
        <v>716</v>
      </c>
      <c r="D145" s="666"/>
      <c r="E145" s="666"/>
      <c r="F145" s="670"/>
      <c r="G145" s="660" t="str">
        <f>IFERROR(IF(E145="","",IF(F145="Direct-from-manufacturer",(E145*H145/1000*'Inventory Settings'!$J$21),(E145*I145/1000*'Inventory Settings'!$J$21))),"")</f>
        <v/>
      </c>
      <c r="H145" s="673">
        <v>0.52035668750999997</v>
      </c>
      <c r="I145" s="673">
        <v>0.57220087049999979</v>
      </c>
      <c r="J145" s="669">
        <v>9.0043143564214542E-2</v>
      </c>
      <c r="K145" s="142" t="s">
        <v>717</v>
      </c>
      <c r="L145" s="142" t="s">
        <v>718</v>
      </c>
      <c r="M145" s="143" t="s">
        <v>535</v>
      </c>
      <c r="N145" s="143" t="s">
        <v>715</v>
      </c>
      <c r="O145" s="144">
        <v>0.52035668750999997</v>
      </c>
      <c r="P145" s="144">
        <v>5.1522765130000016E-2</v>
      </c>
      <c r="Q145" s="144">
        <v>0.57220087049999979</v>
      </c>
    </row>
    <row r="146" spans="3:17" ht="56" hidden="1">
      <c r="C146" s="665" t="s">
        <v>719</v>
      </c>
      <c r="D146" s="666"/>
      <c r="E146" s="666"/>
      <c r="F146" s="670"/>
      <c r="G146" s="660" t="str">
        <f>IFERROR(IF(E146="","",IF(F146="Direct-from-manufacturer",(E146*H146/1000*'Inventory Settings'!$J$21),(E146*I146/1000*'Inventory Settings'!$J$21))),"")</f>
        <v/>
      </c>
      <c r="H146" s="673">
        <v>0.58046792450000007</v>
      </c>
      <c r="I146" s="673">
        <v>0.61164034819999991</v>
      </c>
      <c r="J146" s="669">
        <v>5.0942130545664363E-2</v>
      </c>
      <c r="K146" s="142">
        <v>326110</v>
      </c>
      <c r="L146" s="142" t="s">
        <v>720</v>
      </c>
      <c r="M146" s="143" t="s">
        <v>535</v>
      </c>
      <c r="N146" s="143" t="s">
        <v>721</v>
      </c>
      <c r="O146" s="144">
        <v>0.58046792450000007</v>
      </c>
      <c r="P146" s="144">
        <v>3.1158262465000003E-2</v>
      </c>
      <c r="Q146" s="144">
        <v>0.61164034819999991</v>
      </c>
    </row>
    <row r="147" spans="3:17" ht="42" hidden="1">
      <c r="C147" s="665" t="s">
        <v>722</v>
      </c>
      <c r="D147" s="666"/>
      <c r="E147" s="666"/>
      <c r="F147" s="670"/>
      <c r="G147" s="660" t="str">
        <f>IFERROR(IF(E147="","",IF(F147="Direct-from-manufacturer",(E147*H147/1000*'Inventory Settings'!$J$21),(E147*I147/1000*'Inventory Settings'!$J$21))),"")</f>
        <v/>
      </c>
      <c r="H147" s="673">
        <v>0.40122813129999996</v>
      </c>
      <c r="I147" s="673">
        <v>0.43768640935000003</v>
      </c>
      <c r="J147" s="669">
        <v>8.2201355213269878E-2</v>
      </c>
      <c r="K147" s="142">
        <v>326120</v>
      </c>
      <c r="L147" s="142" t="s">
        <v>723</v>
      </c>
      <c r="M147" s="143" t="s">
        <v>535</v>
      </c>
      <c r="N147" s="143" t="s">
        <v>721</v>
      </c>
      <c r="O147" s="144">
        <v>0.40122813129999996</v>
      </c>
      <c r="P147" s="144">
        <v>3.5978416006999997E-2</v>
      </c>
      <c r="Q147" s="144">
        <v>0.43768640935000003</v>
      </c>
    </row>
    <row r="148" spans="3:17" ht="56" hidden="1">
      <c r="C148" s="665" t="s">
        <v>724</v>
      </c>
      <c r="D148" s="666"/>
      <c r="E148" s="666"/>
      <c r="F148" s="670"/>
      <c r="G148" s="660" t="str">
        <f>IFERROR(IF(E148="","",IF(F148="Direct-from-manufacturer",(E148*H148/1000*'Inventory Settings'!$J$21),(E148*I148/1000*'Inventory Settings'!$J$21))),"")</f>
        <v/>
      </c>
      <c r="H148" s="673">
        <v>0.47538340410000007</v>
      </c>
      <c r="I148" s="673">
        <v>0.50064222199999997</v>
      </c>
      <c r="J148" s="669">
        <v>5.0149647797784018E-2</v>
      </c>
      <c r="K148" s="142">
        <v>326130</v>
      </c>
      <c r="L148" s="142" t="s">
        <v>725</v>
      </c>
      <c r="M148" s="143" t="s">
        <v>535</v>
      </c>
      <c r="N148" s="143" t="s">
        <v>721</v>
      </c>
      <c r="O148" s="144">
        <v>0.47538340410000007</v>
      </c>
      <c r="P148" s="144">
        <v>2.5107031105999995E-2</v>
      </c>
      <c r="Q148" s="144">
        <v>0.50064222199999997</v>
      </c>
    </row>
    <row r="149" spans="3:17" ht="28" hidden="1">
      <c r="C149" s="665" t="s">
        <v>726</v>
      </c>
      <c r="D149" s="666"/>
      <c r="E149" s="666"/>
      <c r="F149" s="670"/>
      <c r="G149" s="660" t="str">
        <f>IFERROR(IF(E149="","",IF(F149="Direct-from-manufacturer",(E149*H149/1000*'Inventory Settings'!$J$21),(E149*I149/1000*'Inventory Settings'!$J$21))),"")</f>
        <v/>
      </c>
      <c r="H149" s="673">
        <v>0.3107144551199999</v>
      </c>
      <c r="I149" s="673">
        <v>0.34950411479999993</v>
      </c>
      <c r="J149" s="669">
        <v>0.11215085474009422</v>
      </c>
      <c r="K149" s="142">
        <v>326140</v>
      </c>
      <c r="L149" s="142" t="s">
        <v>727</v>
      </c>
      <c r="M149" s="143" t="s">
        <v>535</v>
      </c>
      <c r="N149" s="143" t="s">
        <v>721</v>
      </c>
      <c r="O149" s="144">
        <v>0.3107144551199999</v>
      </c>
      <c r="P149" s="144">
        <v>3.9197185210000006E-2</v>
      </c>
      <c r="Q149" s="144">
        <v>0.34950411479999993</v>
      </c>
    </row>
    <row r="150" spans="3:17" ht="42" hidden="1">
      <c r="C150" s="665" t="s">
        <v>728</v>
      </c>
      <c r="D150" s="666"/>
      <c r="E150" s="666"/>
      <c r="F150" s="670"/>
      <c r="G150" s="660" t="str">
        <f>IFERROR(IF(E150="","",IF(F150="Direct-from-manufacturer",(E150*H150/1000*'Inventory Settings'!$J$21),(E150*I150/1000*'Inventory Settings'!$J$21))),"")</f>
        <v/>
      </c>
      <c r="H150" s="673">
        <v>0.34699600277999992</v>
      </c>
      <c r="I150" s="673">
        <v>0.40393000150000008</v>
      </c>
      <c r="J150" s="669">
        <v>0.14166431792019291</v>
      </c>
      <c r="K150" s="142">
        <v>326150</v>
      </c>
      <c r="L150" s="142" t="s">
        <v>729</v>
      </c>
      <c r="M150" s="143" t="s">
        <v>535</v>
      </c>
      <c r="N150" s="143" t="s">
        <v>721</v>
      </c>
      <c r="O150" s="144">
        <v>0.34699600277999992</v>
      </c>
      <c r="P150" s="144">
        <v>5.7222468150000004E-2</v>
      </c>
      <c r="Q150" s="144">
        <v>0.40393000150000008</v>
      </c>
    </row>
    <row r="151" spans="3:17" ht="84" hidden="1">
      <c r="C151" s="665" t="s">
        <v>730</v>
      </c>
      <c r="D151" s="666"/>
      <c r="E151" s="666"/>
      <c r="F151" s="670"/>
      <c r="G151" s="660" t="str">
        <f>IFERROR(IF(E151="","",IF(F151="Direct-from-manufacturer",(E151*H151/1000*'Inventory Settings'!$J$21),(E151*I151/1000*'Inventory Settings'!$J$21))),"")</f>
        <v/>
      </c>
      <c r="H151" s="673">
        <v>0.74980784552000002</v>
      </c>
      <c r="I151" s="673">
        <v>0.7884401014000002</v>
      </c>
      <c r="J151" s="669">
        <v>9.0043143564214542E-2</v>
      </c>
      <c r="K151" s="142" t="s">
        <v>717</v>
      </c>
      <c r="L151" s="142" t="s">
        <v>718</v>
      </c>
      <c r="M151" s="143" t="s">
        <v>535</v>
      </c>
      <c r="N151" s="143" t="s">
        <v>715</v>
      </c>
      <c r="O151" s="144">
        <v>0.74980784552000002</v>
      </c>
      <c r="P151" s="144">
        <v>3.8387917839999987E-2</v>
      </c>
      <c r="Q151" s="144">
        <v>0.7884401014000002</v>
      </c>
    </row>
    <row r="152" spans="3:17" ht="42" hidden="1">
      <c r="C152" s="665" t="s">
        <v>731</v>
      </c>
      <c r="D152" s="666"/>
      <c r="E152" s="666"/>
      <c r="F152" s="670"/>
      <c r="G152" s="660" t="str">
        <f>IFERROR(IF(E152="","",IF(F152="Direct-from-manufacturer",(E152*H152/1000*'Inventory Settings'!$J$21),(E152*I152/1000*'Inventory Settings'!$J$21))),"")</f>
        <v/>
      </c>
      <c r="H152" s="673">
        <v>0.36256716609000006</v>
      </c>
      <c r="I152" s="673">
        <v>0.40622263694999999</v>
      </c>
      <c r="J152" s="669">
        <v>0.10703364410327455</v>
      </c>
      <c r="K152" s="142">
        <v>326190</v>
      </c>
      <c r="L152" s="142" t="s">
        <v>732</v>
      </c>
      <c r="M152" s="143" t="s">
        <v>535</v>
      </c>
      <c r="N152" s="143" t="s">
        <v>721</v>
      </c>
      <c r="O152" s="144">
        <v>0.36256716609000006</v>
      </c>
      <c r="P152" s="144">
        <v>4.3479489150000009E-2</v>
      </c>
      <c r="Q152" s="144">
        <v>0.40622263694999999</v>
      </c>
    </row>
    <row r="153" spans="3:17" ht="42" hidden="1">
      <c r="C153" s="665" t="s">
        <v>733</v>
      </c>
      <c r="D153" s="666"/>
      <c r="E153" s="666"/>
      <c r="F153" s="670"/>
      <c r="G153" s="660" t="str">
        <f>IFERROR(IF(E153="","",IF(F153="Direct-from-manufacturer",(E153*H153/1000*'Inventory Settings'!$J$21),(E153*I153/1000*'Inventory Settings'!$J$21))),"")</f>
        <v/>
      </c>
      <c r="H153" s="673">
        <v>0.35618500029</v>
      </c>
      <c r="I153" s="673">
        <v>0.43412703910000011</v>
      </c>
      <c r="J153" s="669">
        <v>0.17925695937145786</v>
      </c>
      <c r="K153" s="142">
        <v>326210</v>
      </c>
      <c r="L153" s="142" t="s">
        <v>734</v>
      </c>
      <c r="M153" s="143" t="s">
        <v>535</v>
      </c>
      <c r="N153" s="143" t="s">
        <v>735</v>
      </c>
      <c r="O153" s="144">
        <v>0.35618500029</v>
      </c>
      <c r="P153" s="144">
        <v>7.7820293010000013E-2</v>
      </c>
      <c r="Q153" s="144">
        <v>0.43412703910000011</v>
      </c>
    </row>
    <row r="154" spans="3:17" ht="56" hidden="1">
      <c r="C154" s="665" t="s">
        <v>736</v>
      </c>
      <c r="D154" s="666"/>
      <c r="E154" s="666"/>
      <c r="F154" s="670"/>
      <c r="G154" s="660" t="str">
        <f>IFERROR(IF(E154="","",IF(F154="Direct-from-manufacturer",(E154*H154/1000*'Inventory Settings'!$J$21),(E154*I154/1000*'Inventory Settings'!$J$21))),"")</f>
        <v/>
      </c>
      <c r="H154" s="673">
        <v>0.29320254009999991</v>
      </c>
      <c r="I154" s="673">
        <v>0.33820213429999996</v>
      </c>
      <c r="J154" s="669">
        <v>0.13043047895395854</v>
      </c>
      <c r="K154" s="142">
        <v>326220</v>
      </c>
      <c r="L154" s="142" t="s">
        <v>737</v>
      </c>
      <c r="M154" s="143" t="s">
        <v>535</v>
      </c>
      <c r="N154" s="143" t="s">
        <v>735</v>
      </c>
      <c r="O154" s="144">
        <v>0.29320254009999991</v>
      </c>
      <c r="P154" s="144">
        <v>4.4111866360000009E-2</v>
      </c>
      <c r="Q154" s="144">
        <v>0.33820213429999996</v>
      </c>
    </row>
    <row r="155" spans="3:17" ht="42" hidden="1">
      <c r="C155" s="665" t="s">
        <v>738</v>
      </c>
      <c r="D155" s="666"/>
      <c r="E155" s="666"/>
      <c r="F155" s="670"/>
      <c r="G155" s="660" t="str">
        <f>IFERROR(IF(E155="","",IF(F155="Direct-from-manufacturer",(E155*H155/1000*'Inventory Settings'!$J$21),(E155*I155/1000*'Inventory Settings'!$J$21))),"")</f>
        <v/>
      </c>
      <c r="H155" s="673">
        <v>0.4319347696000001</v>
      </c>
      <c r="I155" s="673">
        <v>0.47497908159999996</v>
      </c>
      <c r="J155" s="669">
        <v>9.2047788320958362E-2</v>
      </c>
      <c r="K155" s="142">
        <v>326290</v>
      </c>
      <c r="L155" s="142" t="s">
        <v>739</v>
      </c>
      <c r="M155" s="143" t="s">
        <v>535</v>
      </c>
      <c r="N155" s="143" t="s">
        <v>735</v>
      </c>
      <c r="O155" s="144">
        <v>0.4319347696000001</v>
      </c>
      <c r="P155" s="144">
        <v>4.3720773960000008E-2</v>
      </c>
      <c r="Q155" s="144">
        <v>0.47497908159999996</v>
      </c>
    </row>
    <row r="156" spans="3:17" ht="42" hidden="1">
      <c r="C156" s="665" t="s">
        <v>740</v>
      </c>
      <c r="D156" s="666"/>
      <c r="E156" s="666"/>
      <c r="F156" s="670"/>
      <c r="G156" s="660" t="str">
        <f>IFERROR(IF(E156="","",IF(F156="Direct-from-manufacturer",(E156*H156/1000*'Inventory Settings'!$J$21),(E156*I156/1000*'Inventory Settings'!$J$21))),"")</f>
        <v/>
      </c>
      <c r="H156" s="673">
        <v>0.31279756177000001</v>
      </c>
      <c r="I156" s="673">
        <v>0.40287137037999998</v>
      </c>
      <c r="J156" s="669">
        <v>0.2232472890917169</v>
      </c>
      <c r="K156" s="142">
        <v>327100</v>
      </c>
      <c r="L156" s="142" t="s">
        <v>741</v>
      </c>
      <c r="M156" s="143" t="s">
        <v>535</v>
      </c>
      <c r="N156" s="143" t="s">
        <v>742</v>
      </c>
      <c r="O156" s="144">
        <v>0.31279756177000001</v>
      </c>
      <c r="P156" s="144">
        <v>8.9939941290000006E-2</v>
      </c>
      <c r="Q156" s="144">
        <v>0.40287137037999998</v>
      </c>
    </row>
    <row r="157" spans="3:17" ht="42" hidden="1">
      <c r="C157" s="665" t="s">
        <v>743</v>
      </c>
      <c r="D157" s="666"/>
      <c r="E157" s="666"/>
      <c r="F157" s="670"/>
      <c r="G157" s="660" t="str">
        <f>IFERROR(IF(E157="","",IF(F157="Direct-from-manufacturer",(E157*H157/1000*'Inventory Settings'!$J$21),(E157*I157/1000*'Inventory Settings'!$J$21))),"")</f>
        <v/>
      </c>
      <c r="H157" s="673">
        <v>0.41824325329999995</v>
      </c>
      <c r="I157" s="673">
        <v>0.49529287642999992</v>
      </c>
      <c r="J157" s="669">
        <v>0.1552231550434294</v>
      </c>
      <c r="K157" s="142">
        <v>327200</v>
      </c>
      <c r="L157" s="142" t="s">
        <v>744</v>
      </c>
      <c r="M157" s="143" t="s">
        <v>535</v>
      </c>
      <c r="N157" s="143" t="s">
        <v>745</v>
      </c>
      <c r="O157" s="144">
        <v>0.41824325329999995</v>
      </c>
      <c r="P157" s="144">
        <v>7.688092295E-2</v>
      </c>
      <c r="Q157" s="144">
        <v>0.49529287642999992</v>
      </c>
    </row>
    <row r="158" spans="3:17" ht="56" hidden="1">
      <c r="C158" s="665" t="s">
        <v>746</v>
      </c>
      <c r="D158" s="666"/>
      <c r="E158" s="666"/>
      <c r="F158" s="670"/>
      <c r="G158" s="660" t="str">
        <f>IFERROR(IF(E158="","",IF(F158="Direct-from-manufacturer",(E158*H158/1000*'Inventory Settings'!$J$21),(E158*I158/1000*'Inventory Settings'!$J$21))),"")</f>
        <v/>
      </c>
      <c r="H158" s="673">
        <v>3.7786705211200009</v>
      </c>
      <c r="I158" s="673">
        <v>3.8711166305000009</v>
      </c>
      <c r="J158" s="669">
        <v>2.3653176867774555E-2</v>
      </c>
      <c r="K158" s="142">
        <v>327310</v>
      </c>
      <c r="L158" s="142" t="s">
        <v>747</v>
      </c>
      <c r="M158" s="143" t="s">
        <v>535</v>
      </c>
      <c r="N158" s="143" t="s">
        <v>748</v>
      </c>
      <c r="O158" s="144">
        <v>3.7786705211200009</v>
      </c>
      <c r="P158" s="144">
        <v>9.1564206337000006E-2</v>
      </c>
      <c r="Q158" s="144">
        <v>3.8711166305000009</v>
      </c>
    </row>
    <row r="159" spans="3:17" ht="56" hidden="1">
      <c r="C159" s="665" t="s">
        <v>749</v>
      </c>
      <c r="D159" s="666"/>
      <c r="E159" s="666"/>
      <c r="F159" s="670"/>
      <c r="G159" s="660" t="str">
        <f>IFERROR(IF(E159="","",IF(F159="Direct-from-manufacturer",(E159*H159/1000*'Inventory Settings'!$J$21),(E159*I159/1000*'Inventory Settings'!$J$21))),"")</f>
        <v/>
      </c>
      <c r="H159" s="673">
        <v>0.62004913200000011</v>
      </c>
      <c r="I159" s="673">
        <v>0.69201453290000015</v>
      </c>
      <c r="J159" s="669">
        <v>0.10399522035673711</v>
      </c>
      <c r="K159" s="142">
        <v>327320</v>
      </c>
      <c r="L159" s="142" t="s">
        <v>750</v>
      </c>
      <c r="M159" s="143" t="s">
        <v>535</v>
      </c>
      <c r="N159" s="143" t="s">
        <v>748</v>
      </c>
      <c r="O159" s="144">
        <v>0.62004913200000011</v>
      </c>
      <c r="P159" s="144">
        <v>7.1966203839000015E-2</v>
      </c>
      <c r="Q159" s="144">
        <v>0.69201453290000015</v>
      </c>
    </row>
    <row r="160" spans="3:17" ht="42" hidden="1">
      <c r="C160" s="665" t="s">
        <v>751</v>
      </c>
      <c r="D160" s="666"/>
      <c r="E160" s="666"/>
      <c r="F160" s="670"/>
      <c r="G160" s="660" t="str">
        <f>IFERROR(IF(E160="","",IF(F160="Direct-from-manufacturer",(E160*H160/1000*'Inventory Settings'!$J$21),(E160*I160/1000*'Inventory Settings'!$J$21))),"")</f>
        <v/>
      </c>
      <c r="H160" s="673">
        <v>0.29493539000000007</v>
      </c>
      <c r="I160" s="673">
        <v>0.37506617425999994</v>
      </c>
      <c r="J160" s="669">
        <v>0.21256753702809916</v>
      </c>
      <c r="K160" s="142">
        <v>327330</v>
      </c>
      <c r="L160" s="142" t="s">
        <v>752</v>
      </c>
      <c r="M160" s="143" t="s">
        <v>535</v>
      </c>
      <c r="N160" s="143" t="s">
        <v>748</v>
      </c>
      <c r="O160" s="144">
        <v>0.29493539000000007</v>
      </c>
      <c r="P160" s="144">
        <v>7.9726892885000025E-2</v>
      </c>
      <c r="Q160" s="144">
        <v>0.37506617425999994</v>
      </c>
    </row>
    <row r="161" spans="3:17" ht="42" hidden="1">
      <c r="C161" s="665" t="s">
        <v>753</v>
      </c>
      <c r="D161" s="666"/>
      <c r="E161" s="666"/>
      <c r="F161" s="670"/>
      <c r="G161" s="660" t="str">
        <f>IFERROR(IF(E161="","",IF(F161="Direct-from-manufacturer",(E161*H161/1000*'Inventory Settings'!$J$21),(E161*I161/1000*'Inventory Settings'!$J$21))),"")</f>
        <v/>
      </c>
      <c r="H161" s="673">
        <v>0.30317194210000004</v>
      </c>
      <c r="I161" s="673">
        <v>0.36928072668000012</v>
      </c>
      <c r="J161" s="669">
        <v>0.17817344294281429</v>
      </c>
      <c r="K161" s="142">
        <v>327390</v>
      </c>
      <c r="L161" s="142" t="s">
        <v>754</v>
      </c>
      <c r="M161" s="143" t="s">
        <v>535</v>
      </c>
      <c r="N161" s="143" t="s">
        <v>748</v>
      </c>
      <c r="O161" s="144">
        <v>0.30317194210000004</v>
      </c>
      <c r="P161" s="144">
        <v>6.5796018484999996E-2</v>
      </c>
      <c r="Q161" s="144">
        <v>0.36928072668000012</v>
      </c>
    </row>
    <row r="162" spans="3:17" ht="42" hidden="1">
      <c r="C162" s="665" t="s">
        <v>755</v>
      </c>
      <c r="D162" s="666"/>
      <c r="E162" s="666"/>
      <c r="F162" s="670"/>
      <c r="G162" s="660" t="str">
        <f>IFERROR(IF(E162="","",IF(F162="Direct-from-manufacturer",(E162*H162/1000*'Inventory Settings'!$J$21),(E162*I162/1000*'Inventory Settings'!$J$21))),"")</f>
        <v/>
      </c>
      <c r="H162" s="673">
        <v>1.6457021282400002</v>
      </c>
      <c r="I162" s="673">
        <v>1.7267631925099998</v>
      </c>
      <c r="J162" s="669">
        <v>4.7462517493130671E-2</v>
      </c>
      <c r="K162" s="142">
        <v>327400</v>
      </c>
      <c r="L162" s="142" t="s">
        <v>756</v>
      </c>
      <c r="M162" s="143" t="s">
        <v>535</v>
      </c>
      <c r="N162" s="143" t="s">
        <v>757</v>
      </c>
      <c r="O162" s="144">
        <v>1.6457021282400002</v>
      </c>
      <c r="P162" s="144">
        <v>8.1956528231000025E-2</v>
      </c>
      <c r="Q162" s="144">
        <v>1.7267631925099998</v>
      </c>
    </row>
    <row r="163" spans="3:17" ht="42" hidden="1">
      <c r="C163" s="665" t="s">
        <v>758</v>
      </c>
      <c r="D163" s="666"/>
      <c r="E163" s="666"/>
      <c r="F163" s="670"/>
      <c r="G163" s="660" t="str">
        <f>IFERROR(IF(E163="","",IF(F163="Direct-from-manufacturer",(E163*H163/1000*'Inventory Settings'!$J$21),(E163*I163/1000*'Inventory Settings'!$J$21))),"")</f>
        <v/>
      </c>
      <c r="H163" s="673">
        <v>0.16841289200000001</v>
      </c>
      <c r="I163" s="673">
        <v>0.24767859464999997</v>
      </c>
      <c r="J163" s="669">
        <v>0.31964110076558855</v>
      </c>
      <c r="K163" s="142">
        <v>327910</v>
      </c>
      <c r="L163" s="142" t="s">
        <v>759</v>
      </c>
      <c r="M163" s="143" t="s">
        <v>535</v>
      </c>
      <c r="N163" s="143" t="s">
        <v>760</v>
      </c>
      <c r="O163" s="144">
        <v>0.16841289200000001</v>
      </c>
      <c r="P163" s="144">
        <v>7.9168258630000002E-2</v>
      </c>
      <c r="Q163" s="144">
        <v>0.24767859464999997</v>
      </c>
    </row>
    <row r="164" spans="3:17" ht="56" hidden="1">
      <c r="C164" s="665" t="s">
        <v>761</v>
      </c>
      <c r="D164" s="666"/>
      <c r="E164" s="666"/>
      <c r="F164" s="670"/>
      <c r="G164" s="660" t="str">
        <f>IFERROR(IF(E164="","",IF(F164="Direct-from-manufacturer",(E164*H164/1000*'Inventory Settings'!$J$21),(E164*I164/1000*'Inventory Settings'!$J$21))),"")</f>
        <v/>
      </c>
      <c r="H164" s="673">
        <v>0.13255573748999999</v>
      </c>
      <c r="I164" s="673">
        <v>0.30076109297000003</v>
      </c>
      <c r="J164" s="669">
        <v>0.55911284458184018</v>
      </c>
      <c r="K164" s="142">
        <v>327991</v>
      </c>
      <c r="L164" s="142" t="s">
        <v>762</v>
      </c>
      <c r="M164" s="143" t="s">
        <v>535</v>
      </c>
      <c r="N164" s="143" t="s">
        <v>760</v>
      </c>
      <c r="O164" s="144">
        <v>0.13255573748999999</v>
      </c>
      <c r="P164" s="144">
        <v>0.16815939023000001</v>
      </c>
      <c r="Q164" s="144">
        <v>0.30076109297000003</v>
      </c>
    </row>
    <row r="165" spans="3:17" ht="56" hidden="1">
      <c r="C165" s="665" t="s">
        <v>763</v>
      </c>
      <c r="D165" s="666"/>
      <c r="E165" s="666"/>
      <c r="F165" s="670"/>
      <c r="G165" s="660" t="str">
        <f>IFERROR(IF(E165="","",IF(F165="Direct-from-manufacturer",(E165*H165/1000*'Inventory Settings'!$J$21),(E165*I165/1000*'Inventory Settings'!$J$21))),"")</f>
        <v/>
      </c>
      <c r="H165" s="673">
        <v>0.30489254184999998</v>
      </c>
      <c r="I165" s="673">
        <v>0.50355832659999999</v>
      </c>
      <c r="J165" s="669">
        <v>0.39424112305404591</v>
      </c>
      <c r="K165" s="142">
        <v>327992</v>
      </c>
      <c r="L165" s="142" t="s">
        <v>764</v>
      </c>
      <c r="M165" s="143" t="s">
        <v>535</v>
      </c>
      <c r="N165" s="143" t="s">
        <v>760</v>
      </c>
      <c r="O165" s="144">
        <v>0.30489254184999998</v>
      </c>
      <c r="P165" s="144">
        <v>0.19852340020200004</v>
      </c>
      <c r="Q165" s="144">
        <v>0.50355832659999999</v>
      </c>
    </row>
    <row r="166" spans="3:17" ht="42" hidden="1">
      <c r="C166" s="665" t="s">
        <v>765</v>
      </c>
      <c r="D166" s="666"/>
      <c r="E166" s="666"/>
      <c r="F166" s="670"/>
      <c r="G166" s="660" t="str">
        <f>IFERROR(IF(E166="","",IF(F166="Direct-from-manufacturer",(E166*H166/1000*'Inventory Settings'!$J$21),(E166*I166/1000*'Inventory Settings'!$J$21))),"")</f>
        <v/>
      </c>
      <c r="H166" s="673">
        <v>0.38463754170999992</v>
      </c>
      <c r="I166" s="673">
        <v>0.45629939310000006</v>
      </c>
      <c r="J166" s="669">
        <v>0.15802819857618602</v>
      </c>
      <c r="K166" s="142">
        <v>327993</v>
      </c>
      <c r="L166" s="142" t="s">
        <v>766</v>
      </c>
      <c r="M166" s="143" t="s">
        <v>535</v>
      </c>
      <c r="N166" s="143" t="s">
        <v>760</v>
      </c>
      <c r="O166" s="144">
        <v>0.38463754170999992</v>
      </c>
      <c r="P166" s="144">
        <v>7.2108171102999982E-2</v>
      </c>
      <c r="Q166" s="144">
        <v>0.45629939310000006</v>
      </c>
    </row>
    <row r="167" spans="3:17" ht="70" hidden="1">
      <c r="C167" s="665" t="s">
        <v>767</v>
      </c>
      <c r="D167" s="666"/>
      <c r="E167" s="666"/>
      <c r="F167" s="670"/>
      <c r="G167" s="660" t="str">
        <f>IFERROR(IF(E167="","",IF(F167="Direct-from-manufacturer",(E167*H167/1000*'Inventory Settings'!$J$21),(E167*I167/1000*'Inventory Settings'!$J$21))),"")</f>
        <v/>
      </c>
      <c r="H167" s="673">
        <v>0.56580988637999996</v>
      </c>
      <c r="I167" s="673">
        <v>0.64925118774000024</v>
      </c>
      <c r="J167" s="669">
        <v>0.12876240385482082</v>
      </c>
      <c r="K167" s="142">
        <v>327999</v>
      </c>
      <c r="L167" s="142" t="s">
        <v>768</v>
      </c>
      <c r="M167" s="143" t="s">
        <v>535</v>
      </c>
      <c r="N167" s="143" t="s">
        <v>760</v>
      </c>
      <c r="O167" s="144">
        <v>0.56580988637999996</v>
      </c>
      <c r="P167" s="144">
        <v>8.3599143639000006E-2</v>
      </c>
      <c r="Q167" s="144">
        <v>0.64925118774000024</v>
      </c>
    </row>
    <row r="168" spans="3:17" ht="70" hidden="1">
      <c r="C168" s="665" t="s">
        <v>769</v>
      </c>
      <c r="D168" s="666"/>
      <c r="E168" s="666"/>
      <c r="F168" s="670"/>
      <c r="G168" s="660" t="str">
        <f>IFERROR(IF(E168="","",IF(F168="Direct-from-manufacturer",(E168*H168/1000*'Inventory Settings'!$J$21),(E168*I168/1000*'Inventory Settings'!$J$21))),"")</f>
        <v/>
      </c>
      <c r="H168" s="673">
        <v>0.95567523242999997</v>
      </c>
      <c r="I168" s="673">
        <v>0.98967807269000008</v>
      </c>
      <c r="J168" s="669">
        <v>3.4262616125093646E-2</v>
      </c>
      <c r="K168" s="142">
        <v>331110</v>
      </c>
      <c r="L168" s="142" t="s">
        <v>770</v>
      </c>
      <c r="M168" s="143" t="s">
        <v>535</v>
      </c>
      <c r="N168" s="143" t="s">
        <v>771</v>
      </c>
      <c r="O168" s="144">
        <v>0.95567523242999997</v>
      </c>
      <c r="P168" s="144">
        <v>3.3908959891999997E-2</v>
      </c>
      <c r="Q168" s="144">
        <v>0.98967807269000008</v>
      </c>
    </row>
    <row r="169" spans="3:17" ht="42" hidden="1">
      <c r="C169" s="665" t="s">
        <v>772</v>
      </c>
      <c r="D169" s="666"/>
      <c r="E169" s="666"/>
      <c r="F169" s="670"/>
      <c r="G169" s="660" t="str">
        <f>IFERROR(IF(E169="","",IF(F169="Direct-from-manufacturer",(E169*H169/1000*'Inventory Settings'!$J$21),(E169*I169/1000*'Inventory Settings'!$J$21))),"")</f>
        <v/>
      </c>
      <c r="H169" s="673">
        <v>0.52244070669999987</v>
      </c>
      <c r="I169" s="673">
        <v>0.55535372800000005</v>
      </c>
      <c r="J169" s="669">
        <v>5.824238341657445E-2</v>
      </c>
      <c r="K169" s="142">
        <v>331200</v>
      </c>
      <c r="L169" s="142" t="s">
        <v>773</v>
      </c>
      <c r="M169" s="143" t="s">
        <v>535</v>
      </c>
      <c r="N169" s="143" t="s">
        <v>774</v>
      </c>
      <c r="O169" s="144">
        <v>0.52244070669999987</v>
      </c>
      <c r="P169" s="144">
        <v>3.2345124757999999E-2</v>
      </c>
      <c r="Q169" s="144">
        <v>0.55535372800000005</v>
      </c>
    </row>
    <row r="170" spans="3:17" ht="84" hidden="1">
      <c r="C170" s="665" t="s">
        <v>775</v>
      </c>
      <c r="D170" s="666"/>
      <c r="E170" s="666"/>
      <c r="F170" s="670"/>
      <c r="G170" s="660" t="str">
        <f>IFERROR(IF(E170="","",IF(F170="Direct-from-manufacturer",(E170*H170/1000*'Inventory Settings'!$J$21),(E170*I170/1000*'Inventory Settings'!$J$21))),"")</f>
        <v/>
      </c>
      <c r="H170" s="673">
        <v>1.3933782001999999</v>
      </c>
      <c r="I170" s="673">
        <v>1.4180446828999997</v>
      </c>
      <c r="J170" s="669">
        <v>2.1723063771871502E-2</v>
      </c>
      <c r="K170" s="142">
        <v>331313</v>
      </c>
      <c r="L170" s="142" t="s">
        <v>776</v>
      </c>
      <c r="M170" s="143" t="s">
        <v>535</v>
      </c>
      <c r="N170" s="143" t="s">
        <v>777</v>
      </c>
      <c r="O170" s="144">
        <v>1.3933782001999999</v>
      </c>
      <c r="P170" s="144">
        <v>3.0804275077999998E-2</v>
      </c>
      <c r="Q170" s="144">
        <v>1.4180446828999997</v>
      </c>
    </row>
    <row r="171" spans="3:17" ht="168" hidden="1">
      <c r="C171" s="665" t="s">
        <v>778</v>
      </c>
      <c r="D171" s="666"/>
      <c r="E171" s="666"/>
      <c r="F171" s="670"/>
      <c r="G171" s="660" t="str">
        <f>IFERROR(IF(E171="","",IF(F171="Direct-from-manufacturer",(E171*H171/1000*'Inventory Settings'!$J$21),(E171*I171/1000*'Inventory Settings'!$J$21))),"")</f>
        <v/>
      </c>
      <c r="H171" s="673">
        <v>0.84242590389999994</v>
      </c>
      <c r="I171" s="673">
        <v>0.87557011029999998</v>
      </c>
      <c r="J171" s="669">
        <v>3.7879859797447901E-2</v>
      </c>
      <c r="K171" s="142" t="s">
        <v>779</v>
      </c>
      <c r="L171" s="142" t="s">
        <v>780</v>
      </c>
      <c r="M171" s="143" t="s">
        <v>535</v>
      </c>
      <c r="N171" s="143" t="s">
        <v>777</v>
      </c>
      <c r="O171" s="144">
        <v>0.84242590389999994</v>
      </c>
      <c r="P171" s="144">
        <v>3.3166473020999995E-2</v>
      </c>
      <c r="Q171" s="144">
        <v>0.87557011029999998</v>
      </c>
    </row>
    <row r="172" spans="3:17" ht="56" hidden="1">
      <c r="C172" s="665" t="s">
        <v>781</v>
      </c>
      <c r="D172" s="666"/>
      <c r="E172" s="666"/>
      <c r="F172" s="670"/>
      <c r="G172" s="660" t="str">
        <f>IFERROR(IF(E172="","",IF(F172="Direct-from-manufacturer",(E172*H172/1000*'Inventory Settings'!$J$21),(E172*I172/1000*'Inventory Settings'!$J$21))),"")</f>
        <v/>
      </c>
      <c r="H172" s="673">
        <v>0.66512356094000002</v>
      </c>
      <c r="I172" s="673">
        <v>0.70168112952000006</v>
      </c>
      <c r="J172" s="669">
        <v>5.1992900045575649E-2</v>
      </c>
      <c r="K172" s="142">
        <v>331410</v>
      </c>
      <c r="L172" s="142" t="s">
        <v>782</v>
      </c>
      <c r="M172" s="143" t="s">
        <v>535</v>
      </c>
      <c r="N172" s="143" t="s">
        <v>783</v>
      </c>
      <c r="O172" s="144">
        <v>0.66512356094000002</v>
      </c>
      <c r="P172" s="144">
        <v>3.6482436830999984E-2</v>
      </c>
      <c r="Q172" s="144">
        <v>0.70168112952000006</v>
      </c>
    </row>
    <row r="173" spans="3:17" ht="84" hidden="1">
      <c r="C173" s="665" t="s">
        <v>784</v>
      </c>
      <c r="D173" s="666"/>
      <c r="E173" s="666"/>
      <c r="F173" s="670"/>
      <c r="G173" s="660" t="str">
        <f>IFERROR(IF(E173="","",IF(F173="Direct-from-manufacturer",(E173*H173/1000*'Inventory Settings'!$J$21),(E173*I173/1000*'Inventory Settings'!$J$21))),"")</f>
        <v/>
      </c>
      <c r="H173" s="673">
        <v>0.51188853870000006</v>
      </c>
      <c r="I173" s="673">
        <v>0.54252215129999992</v>
      </c>
      <c r="J173" s="669">
        <v>5.6496255154844598E-2</v>
      </c>
      <c r="K173" s="142">
        <v>331420</v>
      </c>
      <c r="L173" s="142" t="s">
        <v>785</v>
      </c>
      <c r="M173" s="143" t="s">
        <v>535</v>
      </c>
      <c r="N173" s="143" t="s">
        <v>783</v>
      </c>
      <c r="O173" s="144">
        <v>0.51188853870000006</v>
      </c>
      <c r="P173" s="144">
        <v>3.0650469887000001E-2</v>
      </c>
      <c r="Q173" s="144">
        <v>0.54252215129999992</v>
      </c>
    </row>
    <row r="174" spans="3:17" ht="98" hidden="1">
      <c r="C174" s="665" t="s">
        <v>786</v>
      </c>
      <c r="D174" s="666"/>
      <c r="E174" s="666"/>
      <c r="F174" s="670"/>
      <c r="G174" s="660" t="str">
        <f>IFERROR(IF(E174="","",IF(F174="Direct-from-manufacturer",(E174*H174/1000*'Inventory Settings'!$J$21),(E174*I174/1000*'Inventory Settings'!$J$21))),"")</f>
        <v/>
      </c>
      <c r="H174" s="673">
        <v>0.61395528629999996</v>
      </c>
      <c r="I174" s="673">
        <v>0.64781159639999997</v>
      </c>
      <c r="J174" s="669">
        <v>5.217113210509982E-2</v>
      </c>
      <c r="K174" s="142">
        <v>331490</v>
      </c>
      <c r="L174" s="142" t="s">
        <v>787</v>
      </c>
      <c r="M174" s="143" t="s">
        <v>535</v>
      </c>
      <c r="N174" s="143" t="s">
        <v>783</v>
      </c>
      <c r="O174" s="144">
        <v>0.61395528629999996</v>
      </c>
      <c r="P174" s="144">
        <v>3.3797064375000005E-2</v>
      </c>
      <c r="Q174" s="144">
        <v>0.64781159639999997</v>
      </c>
    </row>
    <row r="175" spans="3:17" ht="42" hidden="1">
      <c r="C175" s="665" t="s">
        <v>788</v>
      </c>
      <c r="D175" s="666"/>
      <c r="E175" s="666"/>
      <c r="F175" s="670"/>
      <c r="G175" s="660" t="str">
        <f>IFERROR(IF(E175="","",IF(F175="Direct-from-manufacturer",(E175*H175/1000*'Inventory Settings'!$J$21),(E175*I175/1000*'Inventory Settings'!$J$21))),"")</f>
        <v/>
      </c>
      <c r="H175" s="673">
        <v>0.42142105788000001</v>
      </c>
      <c r="I175" s="673">
        <v>0.45182477204999999</v>
      </c>
      <c r="J175" s="669">
        <v>6.6258750641691386E-2</v>
      </c>
      <c r="K175" s="142">
        <v>331510</v>
      </c>
      <c r="L175" s="142" t="s">
        <v>789</v>
      </c>
      <c r="M175" s="143" t="s">
        <v>535</v>
      </c>
      <c r="N175" s="143" t="s">
        <v>790</v>
      </c>
      <c r="O175" s="144">
        <v>0.42142105788000001</v>
      </c>
      <c r="P175" s="144">
        <v>2.9937344905E-2</v>
      </c>
      <c r="Q175" s="144">
        <v>0.45182477204999999</v>
      </c>
    </row>
    <row r="176" spans="3:17" ht="56" hidden="1">
      <c r="C176" s="665" t="s">
        <v>791</v>
      </c>
      <c r="D176" s="666"/>
      <c r="E176" s="666"/>
      <c r="F176" s="670"/>
      <c r="G176" s="660" t="str">
        <f>IFERROR(IF(E176="","",IF(F176="Direct-from-manufacturer",(E176*H176/1000*'Inventory Settings'!$J$21),(E176*I176/1000*'Inventory Settings'!$J$21))),"")</f>
        <v/>
      </c>
      <c r="H176" s="673">
        <v>0.5903084086</v>
      </c>
      <c r="I176" s="673">
        <v>0.62588613920000014</v>
      </c>
      <c r="J176" s="669">
        <v>5.6517930542789037E-2</v>
      </c>
      <c r="K176" s="142">
        <v>331520</v>
      </c>
      <c r="L176" s="142" t="s">
        <v>792</v>
      </c>
      <c r="M176" s="143" t="s">
        <v>535</v>
      </c>
      <c r="N176" s="143" t="s">
        <v>790</v>
      </c>
      <c r="O176" s="144">
        <v>0.5903084086</v>
      </c>
      <c r="P176" s="144">
        <v>3.5373789342999999E-2</v>
      </c>
      <c r="Q176" s="144">
        <v>0.62588613920000014</v>
      </c>
    </row>
    <row r="177" spans="3:17" ht="126" hidden="1">
      <c r="C177" s="665" t="s">
        <v>793</v>
      </c>
      <c r="D177" s="666"/>
      <c r="E177" s="666"/>
      <c r="F177" s="670"/>
      <c r="G177" s="660" t="str">
        <f>IFERROR(IF(E177="","",IF(F177="Direct-from-manufacturer",(E177*H177/1000*'Inventory Settings'!$J$21),(E177*I177/1000*'Inventory Settings'!$J$21))),"")</f>
        <v/>
      </c>
      <c r="H177" s="673">
        <v>0.61579317709999992</v>
      </c>
      <c r="I177" s="673">
        <v>0.64758248859999989</v>
      </c>
      <c r="J177" s="669">
        <v>5.0463163937073778E-2</v>
      </c>
      <c r="K177" s="142" t="s">
        <v>794</v>
      </c>
      <c r="L177" s="142" t="s">
        <v>795</v>
      </c>
      <c r="M177" s="143" t="s">
        <v>535</v>
      </c>
      <c r="N177" s="143" t="s">
        <v>796</v>
      </c>
      <c r="O177" s="144">
        <v>0.61579317709999992</v>
      </c>
      <c r="P177" s="144">
        <v>3.2679061285000005E-2</v>
      </c>
      <c r="Q177" s="144">
        <v>0.64758248859999989</v>
      </c>
    </row>
    <row r="178" spans="3:17" ht="42" hidden="1">
      <c r="C178" s="665" t="s">
        <v>797</v>
      </c>
      <c r="D178" s="666"/>
      <c r="E178" s="666"/>
      <c r="F178" s="670"/>
      <c r="G178" s="660" t="str">
        <f>IFERROR(IF(E178="","",IF(F178="Direct-from-manufacturer",(E178*H178/1000*'Inventory Settings'!$J$21),(E178*I178/1000*'Inventory Settings'!$J$21))),"")</f>
        <v/>
      </c>
      <c r="H178" s="673">
        <v>0.65372075407999986</v>
      </c>
      <c r="I178" s="673">
        <v>0.68068292620000004</v>
      </c>
      <c r="J178" s="669">
        <v>3.8973661793017068E-2</v>
      </c>
      <c r="K178" s="142">
        <v>332114</v>
      </c>
      <c r="L178" s="142" t="s">
        <v>798</v>
      </c>
      <c r="M178" s="143" t="s">
        <v>535</v>
      </c>
      <c r="N178" s="143" t="s">
        <v>796</v>
      </c>
      <c r="O178" s="144">
        <v>0.65372075407999986</v>
      </c>
      <c r="P178" s="144">
        <v>2.6528706153999999E-2</v>
      </c>
      <c r="Q178" s="144">
        <v>0.68068292620000004</v>
      </c>
    </row>
    <row r="179" spans="3:17" ht="126" hidden="1">
      <c r="C179" s="665" t="s">
        <v>799</v>
      </c>
      <c r="D179" s="666"/>
      <c r="E179" s="666"/>
      <c r="F179" s="670"/>
      <c r="G179" s="660" t="str">
        <f>IFERROR(IF(E179="","",IF(F179="Direct-from-manufacturer",(E179*H179/1000*'Inventory Settings'!$J$21),(E179*I179/1000*'Inventory Settings'!$J$21))),"")</f>
        <v/>
      </c>
      <c r="H179" s="673">
        <v>0.37478948660000005</v>
      </c>
      <c r="I179" s="673">
        <v>0.41060080330000004</v>
      </c>
      <c r="J179" s="669">
        <v>8.7775462299004209E-2</v>
      </c>
      <c r="K179" s="142">
        <v>332119</v>
      </c>
      <c r="L179" s="142" t="s">
        <v>800</v>
      </c>
      <c r="M179" s="143" t="s">
        <v>535</v>
      </c>
      <c r="N179" s="143" t="s">
        <v>796</v>
      </c>
      <c r="O179" s="144">
        <v>0.37478948660000005</v>
      </c>
      <c r="P179" s="144">
        <v>3.6040675329999994E-2</v>
      </c>
      <c r="Q179" s="144">
        <v>0.41060080330000004</v>
      </c>
    </row>
    <row r="180" spans="3:17" ht="98" hidden="1">
      <c r="C180" s="665" t="s">
        <v>801</v>
      </c>
      <c r="D180" s="666"/>
      <c r="E180" s="666"/>
      <c r="F180" s="670"/>
      <c r="G180" s="660" t="str">
        <f>IFERROR(IF(E180="","",IF(F180="Direct-from-manufacturer",(E180*H180/1000*'Inventory Settings'!$J$21),(E180*I180/1000*'Inventory Settings'!$J$21))),"")</f>
        <v/>
      </c>
      <c r="H180" s="673">
        <v>0.17197852570000002</v>
      </c>
      <c r="I180" s="673">
        <v>0.24323385872000003</v>
      </c>
      <c r="J180" s="669">
        <v>0.29336316886762737</v>
      </c>
      <c r="K180" s="142">
        <v>332200</v>
      </c>
      <c r="L180" s="142" t="s">
        <v>802</v>
      </c>
      <c r="M180" s="143" t="s">
        <v>535</v>
      </c>
      <c r="N180" s="143" t="s">
        <v>803</v>
      </c>
      <c r="O180" s="144">
        <v>0.17197852570000002</v>
      </c>
      <c r="P180" s="144">
        <v>7.1355855569999987E-2</v>
      </c>
      <c r="Q180" s="144">
        <v>0.24323385872000003</v>
      </c>
    </row>
    <row r="181" spans="3:17" ht="56" hidden="1">
      <c r="C181" s="665" t="s">
        <v>804</v>
      </c>
      <c r="D181" s="666"/>
      <c r="E181" s="666"/>
      <c r="F181" s="670"/>
      <c r="G181" s="660" t="str">
        <f>IFERROR(IF(E181="","",IF(F181="Direct-from-manufacturer",(E181*H181/1000*'Inventory Settings'!$J$21),(E181*I181/1000*'Inventory Settings'!$J$21))),"")</f>
        <v/>
      </c>
      <c r="H181" s="673">
        <v>0.32690308870999996</v>
      </c>
      <c r="I181" s="673">
        <v>0.3540867296700001</v>
      </c>
      <c r="J181" s="669">
        <v>7.6528275443291313E-2</v>
      </c>
      <c r="K181" s="142">
        <v>332310</v>
      </c>
      <c r="L181" s="142" t="s">
        <v>805</v>
      </c>
      <c r="M181" s="143" t="s">
        <v>535</v>
      </c>
      <c r="N181" s="143" t="s">
        <v>806</v>
      </c>
      <c r="O181" s="144">
        <v>0.32690308870999996</v>
      </c>
      <c r="P181" s="144">
        <v>2.7097646778999996E-2</v>
      </c>
      <c r="Q181" s="144">
        <v>0.3540867296700001</v>
      </c>
    </row>
    <row r="182" spans="3:17" ht="56" hidden="1">
      <c r="C182" s="665" t="s">
        <v>807</v>
      </c>
      <c r="D182" s="666"/>
      <c r="E182" s="666"/>
      <c r="F182" s="670"/>
      <c r="G182" s="660" t="str">
        <f>IFERROR(IF(E182="","",IF(F182="Direct-from-manufacturer",(E182*H182/1000*'Inventory Settings'!$J$21),(E182*I182/1000*'Inventory Settings'!$J$21))),"")</f>
        <v/>
      </c>
      <c r="H182" s="673">
        <v>0.24415073030000001</v>
      </c>
      <c r="I182" s="673">
        <v>0.28752121479999998</v>
      </c>
      <c r="J182" s="669">
        <v>0.14876440661171</v>
      </c>
      <c r="K182" s="142">
        <v>332320</v>
      </c>
      <c r="L182" s="142" t="s">
        <v>808</v>
      </c>
      <c r="M182" s="143" t="s">
        <v>535</v>
      </c>
      <c r="N182" s="143" t="s">
        <v>806</v>
      </c>
      <c r="O182" s="144">
        <v>0.24415073030000001</v>
      </c>
      <c r="P182" s="144">
        <v>4.2772922908000006E-2</v>
      </c>
      <c r="Q182" s="144">
        <v>0.28752121479999998</v>
      </c>
    </row>
    <row r="183" spans="3:17" ht="56" hidden="1">
      <c r="C183" s="665" t="s">
        <v>809</v>
      </c>
      <c r="D183" s="666"/>
      <c r="E183" s="666"/>
      <c r="F183" s="670"/>
      <c r="G183" s="660" t="str">
        <f>IFERROR(IF(E183="","",IF(F183="Direct-from-manufacturer",(E183*H183/1000*'Inventory Settings'!$J$21),(E183*I183/1000*'Inventory Settings'!$J$21))),"")</f>
        <v/>
      </c>
      <c r="H183" s="673">
        <v>0.20087333429999998</v>
      </c>
      <c r="I183" s="673">
        <v>0.23697996729999996</v>
      </c>
      <c r="J183" s="669">
        <v>0.15160739082438046</v>
      </c>
      <c r="K183" s="142">
        <v>332410</v>
      </c>
      <c r="L183" s="142" t="s">
        <v>810</v>
      </c>
      <c r="M183" s="143" t="s">
        <v>535</v>
      </c>
      <c r="N183" s="143" t="s">
        <v>811</v>
      </c>
      <c r="O183" s="144">
        <v>0.20087333429999998</v>
      </c>
      <c r="P183" s="144">
        <v>3.5927914519999993E-2</v>
      </c>
      <c r="Q183" s="144">
        <v>0.23697996729999996</v>
      </c>
    </row>
    <row r="184" spans="3:17" ht="56" hidden="1">
      <c r="C184" s="665" t="s">
        <v>812</v>
      </c>
      <c r="D184" s="666"/>
      <c r="E184" s="666"/>
      <c r="F184" s="670"/>
      <c r="G184" s="660" t="str">
        <f>IFERROR(IF(E184="","",IF(F184="Direct-from-manufacturer",(E184*H184/1000*'Inventory Settings'!$J$21),(E184*I184/1000*'Inventory Settings'!$J$21))),"")</f>
        <v/>
      </c>
      <c r="H184" s="673">
        <v>0.39904860419999988</v>
      </c>
      <c r="I184" s="673">
        <v>0.4212148423</v>
      </c>
      <c r="J184" s="669">
        <v>5.3276648186145817E-2</v>
      </c>
      <c r="K184" s="142">
        <v>332420</v>
      </c>
      <c r="L184" s="142" t="s">
        <v>813</v>
      </c>
      <c r="M184" s="143" t="s">
        <v>535</v>
      </c>
      <c r="N184" s="143" t="s">
        <v>811</v>
      </c>
      <c r="O184" s="144">
        <v>0.39904860419999988</v>
      </c>
      <c r="P184" s="144">
        <v>2.244091496399999E-2</v>
      </c>
      <c r="Q184" s="144">
        <v>0.4212148423</v>
      </c>
    </row>
    <row r="185" spans="3:17" ht="56" hidden="1">
      <c r="C185" s="665" t="s">
        <v>814</v>
      </c>
      <c r="D185" s="666"/>
      <c r="E185" s="666"/>
      <c r="F185" s="670"/>
      <c r="G185" s="660" t="str">
        <f>IFERROR(IF(E185="","",IF(F185="Direct-from-manufacturer",(E185*H185/1000*'Inventory Settings'!$J$21),(E185*I185/1000*'Inventory Settings'!$J$21))),"")</f>
        <v/>
      </c>
      <c r="H185" s="673">
        <v>0.60852247430000006</v>
      </c>
      <c r="I185" s="673">
        <v>0.63822830700000033</v>
      </c>
      <c r="J185" s="669">
        <v>4.6008567604946406E-2</v>
      </c>
      <c r="K185" s="142">
        <v>332430</v>
      </c>
      <c r="L185" s="142" t="s">
        <v>815</v>
      </c>
      <c r="M185" s="143" t="s">
        <v>535</v>
      </c>
      <c r="N185" s="143" t="s">
        <v>811</v>
      </c>
      <c r="O185" s="144">
        <v>0.60852247430000006</v>
      </c>
      <c r="P185" s="144">
        <v>2.9363970210000003E-2</v>
      </c>
      <c r="Q185" s="144">
        <v>0.63822830700000033</v>
      </c>
    </row>
    <row r="186" spans="3:17" ht="42" hidden="1">
      <c r="C186" s="665" t="s">
        <v>816</v>
      </c>
      <c r="D186" s="666"/>
      <c r="E186" s="666"/>
      <c r="F186" s="670"/>
      <c r="G186" s="660" t="str">
        <f>IFERROR(IF(E186="","",IF(F186="Direct-from-manufacturer",(E186*H186/1000*'Inventory Settings'!$J$21),(E186*I186/1000*'Inventory Settings'!$J$21))),"")</f>
        <v/>
      </c>
      <c r="H186" s="673">
        <v>0.17092909491</v>
      </c>
      <c r="I186" s="673">
        <v>0.22237443850000005</v>
      </c>
      <c r="J186" s="669">
        <v>0.23225957865656394</v>
      </c>
      <c r="K186" s="142">
        <v>332500</v>
      </c>
      <c r="L186" s="142" t="s">
        <v>817</v>
      </c>
      <c r="M186" s="143" t="s">
        <v>535</v>
      </c>
      <c r="N186" s="143" t="s">
        <v>818</v>
      </c>
      <c r="O186" s="144">
        <v>0.17092909491</v>
      </c>
      <c r="P186" s="144">
        <v>5.1648593390000004E-2</v>
      </c>
      <c r="Q186" s="144">
        <v>0.22237443850000005</v>
      </c>
    </row>
    <row r="187" spans="3:17" ht="56" hidden="1">
      <c r="C187" s="665" t="s">
        <v>819</v>
      </c>
      <c r="D187" s="666"/>
      <c r="E187" s="666"/>
      <c r="F187" s="670"/>
      <c r="G187" s="660" t="str">
        <f>IFERROR(IF(E187="","",IF(F187="Direct-from-manufacturer",(E187*H187/1000*'Inventory Settings'!$J$21),(E187*I187/1000*'Inventory Settings'!$J$21))),"")</f>
        <v/>
      </c>
      <c r="H187" s="673">
        <v>0.34772745929999999</v>
      </c>
      <c r="I187" s="673">
        <v>0.37595697520000004</v>
      </c>
      <c r="J187" s="669">
        <v>7.4295438516976342E-2</v>
      </c>
      <c r="K187" s="142">
        <v>332600</v>
      </c>
      <c r="L187" s="142" t="s">
        <v>820</v>
      </c>
      <c r="M187" s="143" t="s">
        <v>535</v>
      </c>
      <c r="N187" s="143" t="s">
        <v>821</v>
      </c>
      <c r="O187" s="144">
        <v>0.34772745929999999</v>
      </c>
      <c r="P187" s="144">
        <v>2.7931888336000001E-2</v>
      </c>
      <c r="Q187" s="144">
        <v>0.37595697520000004</v>
      </c>
    </row>
    <row r="188" spans="3:17" ht="70" hidden="1">
      <c r="C188" s="665" t="s">
        <v>822</v>
      </c>
      <c r="D188" s="666"/>
      <c r="E188" s="666"/>
      <c r="F188" s="670"/>
      <c r="G188" s="660" t="str">
        <f>IFERROR(IF(E188="","",IF(F188="Direct-from-manufacturer",(E188*H188/1000*'Inventory Settings'!$J$21),(E188*I188/1000*'Inventory Settings'!$J$21))),"")</f>
        <v/>
      </c>
      <c r="H188" s="673">
        <v>0.29534410919999998</v>
      </c>
      <c r="I188" s="673">
        <v>0.31708666140000008</v>
      </c>
      <c r="J188" s="669">
        <v>6.7616344503856174E-2</v>
      </c>
      <c r="K188" s="142">
        <v>332710</v>
      </c>
      <c r="L188" s="142" t="s">
        <v>823</v>
      </c>
      <c r="M188" s="143" t="s">
        <v>535</v>
      </c>
      <c r="N188" s="143" t="s">
        <v>824</v>
      </c>
      <c r="O188" s="144">
        <v>0.29534410919999998</v>
      </c>
      <c r="P188" s="144">
        <v>2.1440240934800001E-2</v>
      </c>
      <c r="Q188" s="144">
        <v>0.31708666140000008</v>
      </c>
    </row>
    <row r="189" spans="3:17" ht="70" hidden="1">
      <c r="C189" s="665" t="s">
        <v>825</v>
      </c>
      <c r="D189" s="666"/>
      <c r="E189" s="666"/>
      <c r="F189" s="670"/>
      <c r="G189" s="660" t="str">
        <f>IFERROR(IF(E189="","",IF(F189="Direct-from-manufacturer",(E189*H189/1000*'Inventory Settings'!$J$21),(E189*I189/1000*'Inventory Settings'!$J$21))),"")</f>
        <v/>
      </c>
      <c r="H189" s="673">
        <v>0.30083807280000002</v>
      </c>
      <c r="I189" s="673">
        <v>0.3352762071</v>
      </c>
      <c r="J189" s="669">
        <v>0.10312856322276144</v>
      </c>
      <c r="K189" s="142">
        <v>332720</v>
      </c>
      <c r="L189" s="142" t="s">
        <v>826</v>
      </c>
      <c r="M189" s="143" t="s">
        <v>535</v>
      </c>
      <c r="N189" s="143" t="s">
        <v>824</v>
      </c>
      <c r="O189" s="144">
        <v>0.30083807280000002</v>
      </c>
      <c r="P189" s="144">
        <v>3.457655352100001E-2</v>
      </c>
      <c r="Q189" s="144">
        <v>0.3352762071</v>
      </c>
    </row>
    <row r="190" spans="3:17" ht="140" hidden="1">
      <c r="C190" s="665" t="s">
        <v>827</v>
      </c>
      <c r="D190" s="666"/>
      <c r="E190" s="666"/>
      <c r="F190" s="670"/>
      <c r="G190" s="660" t="str">
        <f>IFERROR(IF(E190="","",IF(F190="Direct-from-manufacturer",(E190*H190/1000*'Inventory Settings'!$J$21),(E190*I190/1000*'Inventory Settings'!$J$21))),"")</f>
        <v/>
      </c>
      <c r="H190" s="673">
        <v>0.51076525189999999</v>
      </c>
      <c r="I190" s="673">
        <v>0.53137972329999994</v>
      </c>
      <c r="J190" s="669">
        <v>3.8388258952785678E-2</v>
      </c>
      <c r="K190" s="142">
        <v>332800</v>
      </c>
      <c r="L190" s="142" t="s">
        <v>828</v>
      </c>
      <c r="M190" s="143" t="s">
        <v>535</v>
      </c>
      <c r="N190" s="143" t="s">
        <v>829</v>
      </c>
      <c r="O190" s="144">
        <v>0.51076525189999999</v>
      </c>
      <c r="P190" s="144">
        <v>2.0398742420300001E-2</v>
      </c>
      <c r="Q190" s="144">
        <v>0.53137972329999994</v>
      </c>
    </row>
    <row r="191" spans="3:17" ht="70" hidden="1">
      <c r="C191" s="665" t="s">
        <v>830</v>
      </c>
      <c r="D191" s="666"/>
      <c r="E191" s="666"/>
      <c r="F191" s="670"/>
      <c r="G191" s="660" t="str">
        <f>IFERROR(IF(E191="","",IF(F191="Direct-from-manufacturer",(E191*H191/1000*'Inventory Settings'!$J$21),(E191*I191/1000*'Inventory Settings'!$J$21))),"")</f>
        <v/>
      </c>
      <c r="H191" s="673">
        <v>0.20292843403000002</v>
      </c>
      <c r="I191" s="673">
        <v>0.24257513750000001</v>
      </c>
      <c r="J191" s="669">
        <v>0.1634742708535</v>
      </c>
      <c r="K191" s="142" t="s">
        <v>831</v>
      </c>
      <c r="L191" s="142" t="s">
        <v>832</v>
      </c>
      <c r="M191" s="143" t="s">
        <v>535</v>
      </c>
      <c r="N191" s="143" t="s">
        <v>833</v>
      </c>
      <c r="O191" s="144">
        <v>0.20292843403000002</v>
      </c>
      <c r="P191" s="144">
        <v>3.9654793730000006E-2</v>
      </c>
      <c r="Q191" s="144">
        <v>0.24257513750000001</v>
      </c>
    </row>
    <row r="192" spans="3:17" ht="42" hidden="1">
      <c r="C192" s="665" t="s">
        <v>834</v>
      </c>
      <c r="D192" s="666"/>
      <c r="E192" s="666"/>
      <c r="F192" s="670"/>
      <c r="G192" s="660" t="str">
        <f>IFERROR(IF(E192="","",IF(F192="Direct-from-manufacturer",(E192*H192/1000*'Inventory Settings'!$J$21),(E192*I192/1000*'Inventory Settings'!$J$21))),"")</f>
        <v/>
      </c>
      <c r="H192" s="673">
        <v>0.13170870110000005</v>
      </c>
      <c r="I192" s="673">
        <v>0.19553606529999998</v>
      </c>
      <c r="J192" s="669">
        <v>0.32451449517839925</v>
      </c>
      <c r="K192" s="142">
        <v>332913</v>
      </c>
      <c r="L192" s="142" t="s">
        <v>835</v>
      </c>
      <c r="M192" s="143" t="s">
        <v>535</v>
      </c>
      <c r="N192" s="143" t="s">
        <v>833</v>
      </c>
      <c r="O192" s="144">
        <v>0.13170870110000005</v>
      </c>
      <c r="P192" s="144">
        <v>6.345428752E-2</v>
      </c>
      <c r="Q192" s="144">
        <v>0.19553606529999998</v>
      </c>
    </row>
    <row r="193" spans="3:17" ht="42" hidden="1">
      <c r="C193" s="665" t="s">
        <v>836</v>
      </c>
      <c r="D193" s="666"/>
      <c r="E193" s="666"/>
      <c r="F193" s="670"/>
      <c r="G193" s="660" t="str">
        <f>IFERROR(IF(E193="","",IF(F193="Direct-from-manufacturer",(E193*H193/1000*'Inventory Settings'!$J$21),(E193*I193/1000*'Inventory Settings'!$J$21))),"")</f>
        <v/>
      </c>
      <c r="H193" s="673">
        <v>0.24342796178000001</v>
      </c>
      <c r="I193" s="673">
        <v>0.27931840000000013</v>
      </c>
      <c r="J193" s="669">
        <v>0.12852528240173214</v>
      </c>
      <c r="K193" s="142">
        <v>332991</v>
      </c>
      <c r="L193" s="142" t="s">
        <v>837</v>
      </c>
      <c r="M193" s="143" t="s">
        <v>535</v>
      </c>
      <c r="N193" s="143" t="s">
        <v>833</v>
      </c>
      <c r="O193" s="144">
        <v>0.24342796178000001</v>
      </c>
      <c r="P193" s="144">
        <v>3.5899476239999999E-2</v>
      </c>
      <c r="Q193" s="144">
        <v>0.27931840000000013</v>
      </c>
    </row>
    <row r="194" spans="3:17" ht="70" hidden="1">
      <c r="C194" s="665" t="s">
        <v>838</v>
      </c>
      <c r="D194" s="666"/>
      <c r="E194" s="666"/>
      <c r="F194" s="670"/>
      <c r="G194" s="660" t="str">
        <f>IFERROR(IF(E194="","",IF(F194="Direct-from-manufacturer",(E194*H194/1000*'Inventory Settings'!$J$21),(E194*I194/1000*'Inventory Settings'!$J$21))),"")</f>
        <v/>
      </c>
      <c r="H194" s="673">
        <v>0.12841949402000002</v>
      </c>
      <c r="I194" s="673">
        <v>0.19613093268000004</v>
      </c>
      <c r="J194" s="669">
        <v>0.34404961531537648</v>
      </c>
      <c r="K194" s="142" t="s">
        <v>839</v>
      </c>
      <c r="L194" s="142" t="s">
        <v>840</v>
      </c>
      <c r="M194" s="143" t="s">
        <v>535</v>
      </c>
      <c r="N194" s="143" t="s">
        <v>833</v>
      </c>
      <c r="O194" s="144">
        <v>0.12841949402000002</v>
      </c>
      <c r="P194" s="144">
        <v>6.7478771940000015E-2</v>
      </c>
      <c r="Q194" s="144">
        <v>0.19613093268000004</v>
      </c>
    </row>
    <row r="195" spans="3:17" ht="42" hidden="1">
      <c r="C195" s="665" t="s">
        <v>841</v>
      </c>
      <c r="D195" s="666"/>
      <c r="E195" s="666"/>
      <c r="F195" s="670"/>
      <c r="G195" s="660" t="str">
        <f>IFERROR(IF(E195="","",IF(F195="Direct-from-manufacturer",(E195*H195/1000*'Inventory Settings'!$J$21),(E195*I195/1000*'Inventory Settings'!$J$21))),"")</f>
        <v/>
      </c>
      <c r="H195" s="673">
        <v>0.33294277289999991</v>
      </c>
      <c r="I195" s="673">
        <v>0.36881955700000002</v>
      </c>
      <c r="J195" s="669">
        <v>9.8680461025552432E-2</v>
      </c>
      <c r="K195" s="142">
        <v>332996</v>
      </c>
      <c r="L195" s="142" t="s">
        <v>842</v>
      </c>
      <c r="M195" s="143" t="s">
        <v>535</v>
      </c>
      <c r="N195" s="143" t="s">
        <v>833</v>
      </c>
      <c r="O195" s="144">
        <v>0.33294277289999991</v>
      </c>
      <c r="P195" s="144">
        <v>3.6395283920000014E-2</v>
      </c>
      <c r="Q195" s="144">
        <v>0.36881955700000002</v>
      </c>
    </row>
    <row r="196" spans="3:17" ht="84" hidden="1">
      <c r="C196" s="665" t="s">
        <v>843</v>
      </c>
      <c r="D196" s="666"/>
      <c r="E196" s="666"/>
      <c r="F196" s="670"/>
      <c r="G196" s="660" t="str">
        <f>IFERROR(IF(E196="","",IF(F196="Direct-from-manufacturer",(E196*H196/1000*'Inventory Settings'!$J$21),(E196*I196/1000*'Inventory Settings'!$J$21))),"")</f>
        <v/>
      </c>
      <c r="H196" s="673">
        <v>0.28096891079999997</v>
      </c>
      <c r="I196" s="673">
        <v>0.32362669049999998</v>
      </c>
      <c r="J196" s="669">
        <v>0.13036265465255248</v>
      </c>
      <c r="K196" s="142">
        <v>332999</v>
      </c>
      <c r="L196" s="142" t="s">
        <v>844</v>
      </c>
      <c r="M196" s="143" t="s">
        <v>535</v>
      </c>
      <c r="N196" s="143" t="s">
        <v>833</v>
      </c>
      <c r="O196" s="144">
        <v>0.28096891079999997</v>
      </c>
      <c r="P196" s="144">
        <v>4.2188834489999986E-2</v>
      </c>
      <c r="Q196" s="144">
        <v>0.32362669049999998</v>
      </c>
    </row>
    <row r="197" spans="3:17" ht="56" hidden="1">
      <c r="C197" s="665" t="s">
        <v>845</v>
      </c>
      <c r="D197" s="666"/>
      <c r="E197" s="666"/>
      <c r="F197" s="670"/>
      <c r="G197" s="660" t="str">
        <f>IFERROR(IF(E197="","",IF(F197="Direct-from-manufacturer",(E197*H197/1000*'Inventory Settings'!$J$21),(E197*I197/1000*'Inventory Settings'!$J$21))),"")</f>
        <v/>
      </c>
      <c r="H197" s="673">
        <v>0.22856161359999996</v>
      </c>
      <c r="I197" s="673">
        <v>0.27445035949999996</v>
      </c>
      <c r="J197" s="669">
        <v>0.16749597167133612</v>
      </c>
      <c r="K197" s="142">
        <v>333111</v>
      </c>
      <c r="L197" s="142" t="s">
        <v>846</v>
      </c>
      <c r="M197" s="143" t="s">
        <v>535</v>
      </c>
      <c r="N197" s="143" t="s">
        <v>847</v>
      </c>
      <c r="O197" s="144">
        <v>0.22856161359999996</v>
      </c>
      <c r="P197" s="144">
        <v>4.5969329640000008E-2</v>
      </c>
      <c r="Q197" s="144">
        <v>0.27445035949999996</v>
      </c>
    </row>
    <row r="198" spans="3:17" ht="56" hidden="1">
      <c r="C198" s="665" t="s">
        <v>848</v>
      </c>
      <c r="D198" s="666"/>
      <c r="E198" s="666"/>
      <c r="F198" s="670"/>
      <c r="G198" s="660" t="str">
        <f>IFERROR(IF(E198="","",IF(F198="Direct-from-manufacturer",(E198*H198/1000*'Inventory Settings'!$J$21),(E198*I198/1000*'Inventory Settings'!$J$21))),"")</f>
        <v/>
      </c>
      <c r="H198" s="673">
        <v>9.3219254320000014E-2</v>
      </c>
      <c r="I198" s="673">
        <v>0.19469828121000007</v>
      </c>
      <c r="J198" s="669">
        <v>0.52160431709442279</v>
      </c>
      <c r="K198" s="142">
        <v>333112</v>
      </c>
      <c r="L198" s="142" t="s">
        <v>849</v>
      </c>
      <c r="M198" s="143" t="s">
        <v>535</v>
      </c>
      <c r="N198" s="143" t="s">
        <v>847</v>
      </c>
      <c r="O198" s="144">
        <v>9.3219254320000014E-2</v>
      </c>
      <c r="P198" s="144">
        <v>0.10155546400999999</v>
      </c>
      <c r="Q198" s="144">
        <v>0.19469828121000007</v>
      </c>
    </row>
    <row r="199" spans="3:17" ht="56" hidden="1">
      <c r="C199" s="665" t="s">
        <v>850</v>
      </c>
      <c r="D199" s="666"/>
      <c r="E199" s="666"/>
      <c r="F199" s="670"/>
      <c r="G199" s="660" t="str">
        <f>IFERROR(IF(E199="","",IF(F199="Direct-from-manufacturer",(E199*H199/1000*'Inventory Settings'!$J$21),(E199*I199/1000*'Inventory Settings'!$J$21))),"")</f>
        <v/>
      </c>
      <c r="H199" s="673">
        <v>0.20682748189999994</v>
      </c>
      <c r="I199" s="673">
        <v>0.24890944150000002</v>
      </c>
      <c r="J199" s="669">
        <v>0.16914846225308813</v>
      </c>
      <c r="K199" s="142">
        <v>333120</v>
      </c>
      <c r="L199" s="142" t="s">
        <v>851</v>
      </c>
      <c r="M199" s="143" t="s">
        <v>535</v>
      </c>
      <c r="N199" s="143" t="s">
        <v>847</v>
      </c>
      <c r="O199" s="144">
        <v>0.20682748189999994</v>
      </c>
      <c r="P199" s="144">
        <v>4.210264927E-2</v>
      </c>
      <c r="Q199" s="144">
        <v>0.24890944150000002</v>
      </c>
    </row>
    <row r="200" spans="3:17" ht="56" hidden="1">
      <c r="C200" s="665" t="s">
        <v>852</v>
      </c>
      <c r="D200" s="666"/>
      <c r="E200" s="666"/>
      <c r="F200" s="670"/>
      <c r="G200" s="660" t="str">
        <f>IFERROR(IF(E200="","",IF(F200="Direct-from-manufacturer",(E200*H200/1000*'Inventory Settings'!$J$21),(E200*I200/1000*'Inventory Settings'!$J$21))),"")</f>
        <v/>
      </c>
      <c r="H200" s="673">
        <v>0.25821952980000007</v>
      </c>
      <c r="I200" s="673">
        <v>0.30621381670000003</v>
      </c>
      <c r="J200" s="669">
        <v>0.15409419812767058</v>
      </c>
      <c r="K200" s="142">
        <v>333130</v>
      </c>
      <c r="L200" s="142" t="s">
        <v>853</v>
      </c>
      <c r="M200" s="143" t="s">
        <v>535</v>
      </c>
      <c r="N200" s="143" t="s">
        <v>847</v>
      </c>
      <c r="O200" s="144">
        <v>0.25821952980000007</v>
      </c>
      <c r="P200" s="144">
        <v>4.7185772540000004E-2</v>
      </c>
      <c r="Q200" s="144">
        <v>0.30621381670000003</v>
      </c>
    </row>
    <row r="201" spans="3:17" ht="98" hidden="1">
      <c r="C201" s="665" t="s">
        <v>854</v>
      </c>
      <c r="D201" s="666"/>
      <c r="E201" s="666"/>
      <c r="F201" s="670"/>
      <c r="G201" s="660" t="str">
        <f>IFERROR(IF(E201="","",IF(F201="Direct-from-manufacturer",(E201*H201/1000*'Inventory Settings'!$J$21),(E201*I201/1000*'Inventory Settings'!$J$21))),"")</f>
        <v/>
      </c>
      <c r="H201" s="673">
        <v>0.18025781730000004</v>
      </c>
      <c r="I201" s="673">
        <v>0.21238853661999998</v>
      </c>
      <c r="J201" s="669">
        <v>0.15021803606134759</v>
      </c>
      <c r="K201" s="142" t="s">
        <v>855</v>
      </c>
      <c r="L201" s="142" t="s">
        <v>856</v>
      </c>
      <c r="M201" s="143" t="s">
        <v>535</v>
      </c>
      <c r="N201" s="143" t="s">
        <v>857</v>
      </c>
      <c r="O201" s="144">
        <v>0.18025781730000004</v>
      </c>
      <c r="P201" s="144">
        <v>3.1904588853000002E-2</v>
      </c>
      <c r="Q201" s="144">
        <v>0.21238853661999998</v>
      </c>
    </row>
    <row r="202" spans="3:17" ht="42" hidden="1">
      <c r="C202" s="665" t="s">
        <v>858</v>
      </c>
      <c r="D202" s="666"/>
      <c r="E202" s="666"/>
      <c r="F202" s="670"/>
      <c r="G202" s="660" t="str">
        <f>IFERROR(IF(E202="","",IF(F202="Direct-from-manufacturer",(E202*H202/1000*'Inventory Settings'!$J$21),(E202*I202/1000*'Inventory Settings'!$J$21))),"")</f>
        <v/>
      </c>
      <c r="H202" s="673">
        <v>0.17795362939999998</v>
      </c>
      <c r="I202" s="673">
        <v>0.21972756249999995</v>
      </c>
      <c r="J202" s="669">
        <v>0.1916387394503592</v>
      </c>
      <c r="K202" s="142">
        <v>333242</v>
      </c>
      <c r="L202" s="142" t="s">
        <v>859</v>
      </c>
      <c r="M202" s="143" t="s">
        <v>535</v>
      </c>
      <c r="N202" s="143" t="s">
        <v>857</v>
      </c>
      <c r="O202" s="144">
        <v>0.17795362939999998</v>
      </c>
      <c r="P202" s="144">
        <v>4.2108313100000003E-2</v>
      </c>
      <c r="Q202" s="144">
        <v>0.21972756249999995</v>
      </c>
    </row>
    <row r="203" spans="3:17" ht="70" hidden="1">
      <c r="C203" s="665" t="s">
        <v>860</v>
      </c>
      <c r="D203" s="666"/>
      <c r="E203" s="666"/>
      <c r="F203" s="670"/>
      <c r="G203" s="660" t="str">
        <f>IFERROR(IF(E203="","",IF(F203="Direct-from-manufacturer",(E203*H203/1000*'Inventory Settings'!$J$21),(E203*I203/1000*'Inventory Settings'!$J$21))),"")</f>
        <v/>
      </c>
      <c r="H203" s="673">
        <v>0.13596696136000003</v>
      </c>
      <c r="I203" s="673">
        <v>0.18035781379999999</v>
      </c>
      <c r="J203" s="669">
        <v>0.24781202848002146</v>
      </c>
      <c r="K203" s="142">
        <v>333314</v>
      </c>
      <c r="L203" s="142" t="s">
        <v>861</v>
      </c>
      <c r="M203" s="143" t="s">
        <v>535</v>
      </c>
      <c r="N203" s="143" t="s">
        <v>862</v>
      </c>
      <c r="O203" s="144">
        <v>0.13596696136000003</v>
      </c>
      <c r="P203" s="144">
        <v>4.4694835690000004E-2</v>
      </c>
      <c r="Q203" s="144">
        <v>0.18035781379999999</v>
      </c>
    </row>
    <row r="204" spans="3:17" ht="56" hidden="1">
      <c r="C204" s="665" t="s">
        <v>863</v>
      </c>
      <c r="D204" s="666"/>
      <c r="E204" s="666"/>
      <c r="F204" s="670"/>
      <c r="G204" s="660" t="str">
        <f>IFERROR(IF(E204="","",IF(F204="Direct-from-manufacturer",(E204*H204/1000*'Inventory Settings'!$J$21),(E204*I204/1000*'Inventory Settings'!$J$21))),"")</f>
        <v/>
      </c>
      <c r="H204" s="673">
        <v>8.7563675020000009E-2</v>
      </c>
      <c r="I204" s="673">
        <v>0.18063373320000004</v>
      </c>
      <c r="J204" s="669">
        <v>0.51800910910919484</v>
      </c>
      <c r="K204" s="142">
        <v>333316</v>
      </c>
      <c r="L204" s="142" t="s">
        <v>864</v>
      </c>
      <c r="M204" s="143" t="s">
        <v>535</v>
      </c>
      <c r="N204" s="143" t="s">
        <v>862</v>
      </c>
      <c r="O204" s="144">
        <v>8.7563675020000009E-2</v>
      </c>
      <c r="P204" s="144">
        <v>9.3569919210000019E-2</v>
      </c>
      <c r="Q204" s="144">
        <v>0.18063373320000004</v>
      </c>
    </row>
    <row r="205" spans="3:17" ht="56" hidden="1">
      <c r="C205" s="665" t="s">
        <v>865</v>
      </c>
      <c r="D205" s="666"/>
      <c r="E205" s="666"/>
      <c r="F205" s="670"/>
      <c r="G205" s="660" t="str">
        <f>IFERROR(IF(E205="","",IF(F205="Direct-from-manufacturer",(E205*H205/1000*'Inventory Settings'!$J$21),(E205*I205/1000*'Inventory Settings'!$J$21))),"")</f>
        <v/>
      </c>
      <c r="H205" s="673">
        <v>0.1935328191</v>
      </c>
      <c r="I205" s="673">
        <v>0.24782935720000007</v>
      </c>
      <c r="J205" s="669">
        <v>0.21773586616073418</v>
      </c>
      <c r="K205" s="142">
        <v>333318</v>
      </c>
      <c r="L205" s="142" t="s">
        <v>866</v>
      </c>
      <c r="M205" s="143" t="s">
        <v>535</v>
      </c>
      <c r="N205" s="143" t="s">
        <v>862</v>
      </c>
      <c r="O205" s="144">
        <v>0.1935328191</v>
      </c>
      <c r="P205" s="144">
        <v>5.3961339749999997E-2</v>
      </c>
      <c r="Q205" s="144">
        <v>0.24782935720000007</v>
      </c>
    </row>
    <row r="206" spans="3:17" ht="98" hidden="1">
      <c r="C206" s="665" t="s">
        <v>867</v>
      </c>
      <c r="D206" s="666"/>
      <c r="E206" s="666"/>
      <c r="F206" s="670"/>
      <c r="G206" s="660" t="str">
        <f>IFERROR(IF(E206="","",IF(F206="Direct-from-manufacturer",(E206*H206/1000*'Inventory Settings'!$J$21),(E206*I206/1000*'Inventory Settings'!$J$21))),"")</f>
        <v/>
      </c>
      <c r="H206" s="673">
        <v>0.20769360179999996</v>
      </c>
      <c r="I206" s="673">
        <v>0.24493338200000001</v>
      </c>
      <c r="J206" s="669">
        <v>0.15260130895510191</v>
      </c>
      <c r="K206" s="142">
        <v>333413</v>
      </c>
      <c r="L206" s="142" t="s">
        <v>868</v>
      </c>
      <c r="M206" s="143" t="s">
        <v>535</v>
      </c>
      <c r="N206" s="143" t="s">
        <v>869</v>
      </c>
      <c r="O206" s="144">
        <v>0.20769360179999996</v>
      </c>
      <c r="P206" s="144">
        <v>3.7377154699999998E-2</v>
      </c>
      <c r="Q206" s="144">
        <v>0.24493338200000001</v>
      </c>
    </row>
    <row r="207" spans="3:17" ht="98" hidden="1">
      <c r="C207" s="665" t="s">
        <v>870</v>
      </c>
      <c r="D207" s="666"/>
      <c r="E207" s="666"/>
      <c r="F207" s="670"/>
      <c r="G207" s="660" t="str">
        <f>IFERROR(IF(E207="","",IF(F207="Direct-from-manufacturer",(E207*H207/1000*'Inventory Settings'!$J$21),(E207*I207/1000*'Inventory Settings'!$J$21))),"")</f>
        <v/>
      </c>
      <c r="H207" s="673">
        <v>0.15510864262999996</v>
      </c>
      <c r="I207" s="673">
        <v>0.2098186165</v>
      </c>
      <c r="J207" s="669">
        <v>0.26072025968200963</v>
      </c>
      <c r="K207" s="142">
        <v>333414</v>
      </c>
      <c r="L207" s="142" t="s">
        <v>871</v>
      </c>
      <c r="M207" s="143" t="s">
        <v>535</v>
      </c>
      <c r="N207" s="143" t="s">
        <v>869</v>
      </c>
      <c r="O207" s="144">
        <v>0.15510864262999996</v>
      </c>
      <c r="P207" s="144">
        <v>5.4703964179999988E-2</v>
      </c>
      <c r="Q207" s="144">
        <v>0.2098186165</v>
      </c>
    </row>
    <row r="208" spans="3:17" ht="98" hidden="1">
      <c r="C208" s="665" t="s">
        <v>872</v>
      </c>
      <c r="D208" s="666"/>
      <c r="E208" s="666"/>
      <c r="F208" s="670"/>
      <c r="G208" s="660" t="str">
        <f>IFERROR(IF(E208="","",IF(F208="Direct-from-manufacturer",(E208*H208/1000*'Inventory Settings'!$J$21),(E208*I208/1000*'Inventory Settings'!$J$21))),"")</f>
        <v/>
      </c>
      <c r="H208" s="673">
        <v>0.19842155512000004</v>
      </c>
      <c r="I208" s="673">
        <v>0.24490581221999996</v>
      </c>
      <c r="J208" s="669">
        <v>0.18906358714102717</v>
      </c>
      <c r="K208" s="142">
        <v>333415</v>
      </c>
      <c r="L208" s="142" t="s">
        <v>873</v>
      </c>
      <c r="M208" s="143" t="s">
        <v>535</v>
      </c>
      <c r="N208" s="143" t="s">
        <v>869</v>
      </c>
      <c r="O208" s="144">
        <v>0.19842155512000004</v>
      </c>
      <c r="P208" s="144">
        <v>4.6302771370000002E-2</v>
      </c>
      <c r="Q208" s="144">
        <v>0.24490581221999996</v>
      </c>
    </row>
    <row r="209" spans="3:17" ht="42" hidden="1">
      <c r="C209" s="665" t="s">
        <v>874</v>
      </c>
      <c r="D209" s="666"/>
      <c r="E209" s="666"/>
      <c r="F209" s="670"/>
      <c r="G209" s="660" t="str">
        <f>IFERROR(IF(E209="","",IF(F209="Direct-from-manufacturer",(E209*H209/1000*'Inventory Settings'!$J$21),(E209*I209/1000*'Inventory Settings'!$J$21))),"")</f>
        <v/>
      </c>
      <c r="H209" s="673">
        <v>0.33157682690000001</v>
      </c>
      <c r="I209" s="673">
        <v>0.37196380409999991</v>
      </c>
      <c r="J209" s="669">
        <v>0.1067354757435658</v>
      </c>
      <c r="K209" s="142">
        <v>333511</v>
      </c>
      <c r="L209" s="142" t="s">
        <v>875</v>
      </c>
      <c r="M209" s="143" t="s">
        <v>535</v>
      </c>
      <c r="N209" s="143" t="s">
        <v>876</v>
      </c>
      <c r="O209" s="144">
        <v>0.33157682690000001</v>
      </c>
      <c r="P209" s="144">
        <v>3.9701733590000003E-2</v>
      </c>
      <c r="Q209" s="144">
        <v>0.37196380409999991</v>
      </c>
    </row>
    <row r="210" spans="3:17" ht="42" hidden="1">
      <c r="C210" s="665" t="s">
        <v>877</v>
      </c>
      <c r="D210" s="666"/>
      <c r="E210" s="666"/>
      <c r="F210" s="670"/>
      <c r="G210" s="660" t="str">
        <f>IFERROR(IF(E210="","",IF(F210="Direct-from-manufacturer",(E210*H210/1000*'Inventory Settings'!$J$21),(E210*I210/1000*'Inventory Settings'!$J$21))),"")</f>
        <v/>
      </c>
      <c r="H210" s="673">
        <v>0.22917497852000002</v>
      </c>
      <c r="I210" s="673">
        <v>0.26621131079999999</v>
      </c>
      <c r="J210" s="669">
        <v>0.14063522131156569</v>
      </c>
      <c r="K210" s="142">
        <v>333514</v>
      </c>
      <c r="L210" s="142" t="s">
        <v>878</v>
      </c>
      <c r="M210" s="143" t="s">
        <v>535</v>
      </c>
      <c r="N210" s="143" t="s">
        <v>876</v>
      </c>
      <c r="O210" s="144">
        <v>0.22917497852000002</v>
      </c>
      <c r="P210" s="144">
        <v>3.7438686610000001E-2</v>
      </c>
      <c r="Q210" s="144">
        <v>0.26621131079999999</v>
      </c>
    </row>
    <row r="211" spans="3:17" ht="98" hidden="1">
      <c r="C211" s="665" t="s">
        <v>879</v>
      </c>
      <c r="D211" s="666"/>
      <c r="E211" s="666"/>
      <c r="F211" s="670"/>
      <c r="G211" s="660" t="str">
        <f>IFERROR(IF(E211="","",IF(F211="Direct-from-manufacturer",(E211*H211/1000*'Inventory Settings'!$J$21),(E211*I211/1000*'Inventory Settings'!$J$21))),"")</f>
        <v/>
      </c>
      <c r="H211" s="673">
        <v>0.23351778940000006</v>
      </c>
      <c r="I211" s="673">
        <v>0.26828005030000002</v>
      </c>
      <c r="J211" s="669">
        <v>0.13210977081734954</v>
      </c>
      <c r="K211" s="142" t="s">
        <v>880</v>
      </c>
      <c r="L211" s="142" t="s">
        <v>881</v>
      </c>
      <c r="M211" s="143" t="s">
        <v>535</v>
      </c>
      <c r="N211" s="143" t="s">
        <v>876</v>
      </c>
      <c r="O211" s="144">
        <v>0.23351778940000006</v>
      </c>
      <c r="P211" s="144">
        <v>3.5442415960000008E-2</v>
      </c>
      <c r="Q211" s="144">
        <v>0.26828005030000002</v>
      </c>
    </row>
    <row r="212" spans="3:17" ht="56" hidden="1">
      <c r="C212" s="665" t="s">
        <v>882</v>
      </c>
      <c r="D212" s="666"/>
      <c r="E212" s="666"/>
      <c r="F212" s="670"/>
      <c r="G212" s="660" t="str">
        <f>IFERROR(IF(E212="","",IF(F212="Direct-from-manufacturer",(E212*H212/1000*'Inventory Settings'!$J$21),(E212*I212/1000*'Inventory Settings'!$J$21))),"")</f>
        <v/>
      </c>
      <c r="H212" s="673">
        <v>0.22972760178999996</v>
      </c>
      <c r="I212" s="673">
        <v>0.26559464176999997</v>
      </c>
      <c r="J212" s="669">
        <v>0.13729695402356157</v>
      </c>
      <c r="K212" s="142">
        <v>333517</v>
      </c>
      <c r="L212" s="142" t="s">
        <v>883</v>
      </c>
      <c r="M212" s="143" t="s">
        <v>535</v>
      </c>
      <c r="N212" s="143" t="s">
        <v>876</v>
      </c>
      <c r="O212" s="144">
        <v>0.22972760178999996</v>
      </c>
      <c r="P212" s="144">
        <v>3.6465335319999993E-2</v>
      </c>
      <c r="Q212" s="144">
        <v>0.26559464176999997</v>
      </c>
    </row>
    <row r="213" spans="3:17" ht="70" hidden="1">
      <c r="C213" s="665" t="s">
        <v>884</v>
      </c>
      <c r="D213" s="666"/>
      <c r="E213" s="666"/>
      <c r="F213" s="670"/>
      <c r="G213" s="660" t="str">
        <f>IFERROR(IF(E213="","",IF(F213="Direct-from-manufacturer",(E213*H213/1000*'Inventory Settings'!$J$21),(E213*I213/1000*'Inventory Settings'!$J$21))),"")</f>
        <v/>
      </c>
      <c r="H213" s="673">
        <v>0.22800887990000002</v>
      </c>
      <c r="I213" s="673">
        <v>0.26607604350000003</v>
      </c>
      <c r="J213" s="669">
        <v>0.14196851829691312</v>
      </c>
      <c r="K213" s="142">
        <v>333611</v>
      </c>
      <c r="L213" s="142" t="s">
        <v>885</v>
      </c>
      <c r="M213" s="143" t="s">
        <v>535</v>
      </c>
      <c r="N213" s="143" t="s">
        <v>886</v>
      </c>
      <c r="O213" s="144">
        <v>0.22800887990000002</v>
      </c>
      <c r="P213" s="144">
        <v>3.7774421650000008E-2</v>
      </c>
      <c r="Q213" s="144">
        <v>0.26607604350000003</v>
      </c>
    </row>
    <row r="214" spans="3:17" ht="70" hidden="1">
      <c r="C214" s="665" t="s">
        <v>887</v>
      </c>
      <c r="D214" s="666"/>
      <c r="E214" s="666"/>
      <c r="F214" s="670"/>
      <c r="G214" s="660" t="str">
        <f>IFERROR(IF(E214="","",IF(F214="Direct-from-manufacturer",(E214*H214/1000*'Inventory Settings'!$J$21),(E214*I214/1000*'Inventory Settings'!$J$21))),"")</f>
        <v/>
      </c>
      <c r="H214" s="673">
        <v>0.20083315440000005</v>
      </c>
      <c r="I214" s="673">
        <v>0.23540678240000004</v>
      </c>
      <c r="J214" s="669">
        <v>0.14727203550614434</v>
      </c>
      <c r="K214" s="142">
        <v>333612</v>
      </c>
      <c r="L214" s="142" t="s">
        <v>888</v>
      </c>
      <c r="M214" s="143" t="s">
        <v>535</v>
      </c>
      <c r="N214" s="143" t="s">
        <v>886</v>
      </c>
      <c r="O214" s="144">
        <v>0.20083315440000005</v>
      </c>
      <c r="P214" s="144">
        <v>3.4668836016000001E-2</v>
      </c>
      <c r="Q214" s="144">
        <v>0.23540678240000004</v>
      </c>
    </row>
    <row r="215" spans="3:17" ht="70" hidden="1">
      <c r="C215" s="665" t="s">
        <v>889</v>
      </c>
      <c r="D215" s="666"/>
      <c r="E215" s="666"/>
      <c r="F215" s="670"/>
      <c r="G215" s="660" t="str">
        <f>IFERROR(IF(E215="","",IF(F215="Direct-from-manufacturer",(E215*H215/1000*'Inventory Settings'!$J$21),(E215*I215/1000*'Inventory Settings'!$J$21))),"")</f>
        <v/>
      </c>
      <c r="H215" s="673">
        <v>0.21899795879000003</v>
      </c>
      <c r="I215" s="673">
        <v>0.25377672670000001</v>
      </c>
      <c r="J215" s="669">
        <v>0.13978886634445664</v>
      </c>
      <c r="K215" s="142">
        <v>333613</v>
      </c>
      <c r="L215" s="142" t="s">
        <v>890</v>
      </c>
      <c r="M215" s="143" t="s">
        <v>535</v>
      </c>
      <c r="N215" s="143" t="s">
        <v>886</v>
      </c>
      <c r="O215" s="144">
        <v>0.21899795879000003</v>
      </c>
      <c r="P215" s="144">
        <v>3.5475160929999999E-2</v>
      </c>
      <c r="Q215" s="144">
        <v>0.25377672670000001</v>
      </c>
    </row>
    <row r="216" spans="3:17" ht="70" hidden="1">
      <c r="C216" s="665" t="s">
        <v>891</v>
      </c>
      <c r="D216" s="666"/>
      <c r="E216" s="666"/>
      <c r="F216" s="670"/>
      <c r="G216" s="660" t="str">
        <f>IFERROR(IF(E216="","",IF(F216="Direct-from-manufacturer",(E216*H216/1000*'Inventory Settings'!$J$21),(E216*I216/1000*'Inventory Settings'!$J$21))),"")</f>
        <v/>
      </c>
      <c r="H216" s="673">
        <v>0.27902209180000015</v>
      </c>
      <c r="I216" s="673">
        <v>0.32174625360000003</v>
      </c>
      <c r="J216" s="669">
        <v>0.1306325744269676</v>
      </c>
      <c r="K216" s="142">
        <v>333618</v>
      </c>
      <c r="L216" s="142" t="s">
        <v>892</v>
      </c>
      <c r="M216" s="143" t="s">
        <v>535</v>
      </c>
      <c r="N216" s="143" t="s">
        <v>886</v>
      </c>
      <c r="O216" s="144">
        <v>0.27902209180000015</v>
      </c>
      <c r="P216" s="144">
        <v>4.2030541419999998E-2</v>
      </c>
      <c r="Q216" s="144">
        <v>0.32174625360000003</v>
      </c>
    </row>
    <row r="217" spans="3:17" ht="56" hidden="1">
      <c r="C217" s="665" t="s">
        <v>893</v>
      </c>
      <c r="D217" s="666"/>
      <c r="E217" s="666"/>
      <c r="F217" s="670"/>
      <c r="G217" s="660" t="str">
        <f>IFERROR(IF(E217="","",IF(F217="Direct-from-manufacturer",(E217*H217/1000*'Inventory Settings'!$J$21),(E217*I217/1000*'Inventory Settings'!$J$21))),"")</f>
        <v/>
      </c>
      <c r="H217" s="673">
        <v>0.18831895690000003</v>
      </c>
      <c r="I217" s="673">
        <v>0.22058807750000001</v>
      </c>
      <c r="J217" s="669">
        <v>0.14709883130469734</v>
      </c>
      <c r="K217" s="142">
        <v>333912</v>
      </c>
      <c r="L217" s="142" t="s">
        <v>894</v>
      </c>
      <c r="M217" s="143" t="s">
        <v>535</v>
      </c>
      <c r="N217" s="143" t="s">
        <v>895</v>
      </c>
      <c r="O217" s="144">
        <v>0.18831895690000003</v>
      </c>
      <c r="P217" s="144">
        <v>3.2448248400000004E-2</v>
      </c>
      <c r="Q217" s="144">
        <v>0.22058807750000001</v>
      </c>
    </row>
    <row r="218" spans="3:17" ht="98" hidden="1">
      <c r="C218" s="665" t="s">
        <v>896</v>
      </c>
      <c r="D218" s="666"/>
      <c r="E218" s="666"/>
      <c r="F218" s="670"/>
      <c r="G218" s="660" t="str">
        <f>IFERROR(IF(E218="","",IF(F218="Direct-from-manufacturer",(E218*H218/1000*'Inventory Settings'!$J$21),(E218*I218/1000*'Inventory Settings'!$J$21))),"")</f>
        <v/>
      </c>
      <c r="H218" s="673">
        <v>0.17280384979999999</v>
      </c>
      <c r="I218" s="673">
        <v>0.20496338040000001</v>
      </c>
      <c r="J218" s="669">
        <v>0.1553748427736216</v>
      </c>
      <c r="K218" s="142" t="s">
        <v>897</v>
      </c>
      <c r="L218" s="142" t="s">
        <v>898</v>
      </c>
      <c r="M218" s="143" t="s">
        <v>535</v>
      </c>
      <c r="N218" s="143" t="s">
        <v>895</v>
      </c>
      <c r="O218" s="144">
        <v>0.17280384979999999</v>
      </c>
      <c r="P218" s="144">
        <v>3.1846153003999997E-2</v>
      </c>
      <c r="Q218" s="144">
        <v>0.20496338040000001</v>
      </c>
    </row>
    <row r="219" spans="3:17" ht="56" hidden="1">
      <c r="C219" s="665" t="s">
        <v>899</v>
      </c>
      <c r="D219" s="666"/>
      <c r="E219" s="666"/>
      <c r="F219" s="670"/>
      <c r="G219" s="660" t="str">
        <f>IFERROR(IF(E219="","",IF(F219="Direct-from-manufacturer",(E219*H219/1000*'Inventory Settings'!$J$21),(E219*I219/1000*'Inventory Settings'!$J$21))),"")</f>
        <v/>
      </c>
      <c r="H219" s="673">
        <v>0.26776018149999997</v>
      </c>
      <c r="I219" s="673">
        <v>0.29993060099999996</v>
      </c>
      <c r="J219" s="669">
        <v>0.1062361958491858</v>
      </c>
      <c r="K219" s="142">
        <v>333920</v>
      </c>
      <c r="L219" s="142" t="s">
        <v>900</v>
      </c>
      <c r="M219" s="143" t="s">
        <v>535</v>
      </c>
      <c r="N219" s="143" t="s">
        <v>895</v>
      </c>
      <c r="O219" s="144">
        <v>0.26776018149999997</v>
      </c>
      <c r="P219" s="144">
        <v>3.1863486068999997E-2</v>
      </c>
      <c r="Q219" s="144">
        <v>0.29993060099999996</v>
      </c>
    </row>
    <row r="220" spans="3:17" ht="42" hidden="1">
      <c r="C220" s="665" t="s">
        <v>901</v>
      </c>
      <c r="D220" s="666"/>
      <c r="E220" s="666"/>
      <c r="F220" s="670"/>
      <c r="G220" s="660" t="str">
        <f>IFERROR(IF(E220="","",IF(F220="Direct-from-manufacturer",(E220*H220/1000*'Inventory Settings'!$J$21),(E220*I220/1000*'Inventory Settings'!$J$21))),"")</f>
        <v/>
      </c>
      <c r="H220" s="673">
        <v>9.4983271730000027E-2</v>
      </c>
      <c r="I220" s="673">
        <v>0.16683123996000004</v>
      </c>
      <c r="J220" s="669">
        <v>0.4288723122069637</v>
      </c>
      <c r="K220" s="142">
        <v>333991</v>
      </c>
      <c r="L220" s="142" t="s">
        <v>902</v>
      </c>
      <c r="M220" s="143" t="s">
        <v>535</v>
      </c>
      <c r="N220" s="143" t="s">
        <v>895</v>
      </c>
      <c r="O220" s="144">
        <v>9.4983271730000027E-2</v>
      </c>
      <c r="P220" s="144">
        <v>7.1549299630000021E-2</v>
      </c>
      <c r="Q220" s="144">
        <v>0.16683123996000004</v>
      </c>
    </row>
    <row r="221" spans="3:17" ht="168" hidden="1">
      <c r="C221" s="665" t="s">
        <v>903</v>
      </c>
      <c r="D221" s="666"/>
      <c r="E221" s="666"/>
      <c r="F221" s="670"/>
      <c r="G221" s="660" t="str">
        <f>IFERROR(IF(E221="","",IF(F221="Direct-from-manufacturer",(E221*H221/1000*'Inventory Settings'!$J$21),(E221*I221/1000*'Inventory Settings'!$J$21))),"")</f>
        <v/>
      </c>
      <c r="H221" s="673">
        <v>0.22813793278000005</v>
      </c>
      <c r="I221" s="673">
        <v>0.26282507230000002</v>
      </c>
      <c r="J221" s="669">
        <v>0.13499447223779948</v>
      </c>
      <c r="K221" s="142" t="s">
        <v>904</v>
      </c>
      <c r="L221" s="142" t="s">
        <v>905</v>
      </c>
      <c r="M221" s="143" t="s">
        <v>535</v>
      </c>
      <c r="N221" s="143" t="s">
        <v>895</v>
      </c>
      <c r="O221" s="144">
        <v>0.22813793278000005</v>
      </c>
      <c r="P221" s="144">
        <v>3.5479931925999991E-2</v>
      </c>
      <c r="Q221" s="144">
        <v>0.26282507230000002</v>
      </c>
    </row>
    <row r="222" spans="3:17" ht="42" hidden="1">
      <c r="C222" s="665" t="s">
        <v>906</v>
      </c>
      <c r="D222" s="666"/>
      <c r="E222" s="666"/>
      <c r="F222" s="670"/>
      <c r="G222" s="660" t="str">
        <f>IFERROR(IF(E222="","",IF(F222="Direct-from-manufacturer",(E222*H222/1000*'Inventory Settings'!$J$21),(E222*I222/1000*'Inventory Settings'!$J$21))),"")</f>
        <v/>
      </c>
      <c r="H222" s="673">
        <v>0.15418728553</v>
      </c>
      <c r="I222" s="673">
        <v>0.18859913750000001</v>
      </c>
      <c r="J222" s="669">
        <v>0.17761890607267489</v>
      </c>
      <c r="K222" s="142">
        <v>333993</v>
      </c>
      <c r="L222" s="142" t="s">
        <v>907</v>
      </c>
      <c r="M222" s="143" t="s">
        <v>535</v>
      </c>
      <c r="N222" s="143" t="s">
        <v>895</v>
      </c>
      <c r="O222" s="144">
        <v>0.15418728553</v>
      </c>
      <c r="P222" s="144">
        <v>3.3498772488999996E-2</v>
      </c>
      <c r="Q222" s="144">
        <v>0.18859913750000001</v>
      </c>
    </row>
    <row r="223" spans="3:17" ht="56" hidden="1">
      <c r="C223" s="665" t="s">
        <v>908</v>
      </c>
      <c r="D223" s="666"/>
      <c r="E223" s="666"/>
      <c r="F223" s="670"/>
      <c r="G223" s="660" t="str">
        <f>IFERROR(IF(E223="","",IF(F223="Direct-from-manufacturer",(E223*H223/1000*'Inventory Settings'!$J$21),(E223*I223/1000*'Inventory Settings'!$J$21))),"")</f>
        <v/>
      </c>
      <c r="H223" s="673">
        <v>0.19547811122999997</v>
      </c>
      <c r="I223" s="673">
        <v>0.22887814157000005</v>
      </c>
      <c r="J223" s="669">
        <v>0.14652649205360285</v>
      </c>
      <c r="K223" s="142">
        <v>333994</v>
      </c>
      <c r="L223" s="142" t="s">
        <v>909</v>
      </c>
      <c r="M223" s="143" t="s">
        <v>535</v>
      </c>
      <c r="N223" s="143" t="s">
        <v>895</v>
      </c>
      <c r="O223" s="144">
        <v>0.19547811122999997</v>
      </c>
      <c r="P223" s="144">
        <v>3.3536711192000003E-2</v>
      </c>
      <c r="Q223" s="144">
        <v>0.22887814157000005</v>
      </c>
    </row>
    <row r="224" spans="3:17" ht="56" hidden="1">
      <c r="C224" s="665" t="s">
        <v>910</v>
      </c>
      <c r="D224" s="666"/>
      <c r="E224" s="666"/>
      <c r="F224" s="670"/>
      <c r="G224" s="660" t="str">
        <f>IFERROR(IF(E224="","",IF(F224="Direct-from-manufacturer",(E224*H224/1000*'Inventory Settings'!$J$21),(E224*I224/1000*'Inventory Settings'!$J$21))),"")</f>
        <v/>
      </c>
      <c r="H224" s="673">
        <v>0.2431984559</v>
      </c>
      <c r="I224" s="673">
        <v>0.27778065689999998</v>
      </c>
      <c r="J224" s="669">
        <v>0.12445661336471553</v>
      </c>
      <c r="K224" s="142" t="s">
        <v>911</v>
      </c>
      <c r="L224" s="142" t="s">
        <v>912</v>
      </c>
      <c r="M224" s="143" t="s">
        <v>535</v>
      </c>
      <c r="N224" s="143" t="s">
        <v>895</v>
      </c>
      <c r="O224" s="144">
        <v>0.2431984559</v>
      </c>
      <c r="P224" s="144">
        <v>3.4571639815999998E-2</v>
      </c>
      <c r="Q224" s="144">
        <v>0.27778065689999998</v>
      </c>
    </row>
    <row r="225" spans="3:17" ht="182" hidden="1">
      <c r="C225" s="665" t="s">
        <v>913</v>
      </c>
      <c r="D225" s="666"/>
      <c r="E225" s="666"/>
      <c r="F225" s="670"/>
      <c r="G225" s="660" t="str">
        <f>IFERROR(IF(E225="","",IF(F225="Direct-from-manufacturer",(E225*H225/1000*'Inventory Settings'!$J$21),(E225*I225/1000*'Inventory Settings'!$J$21))),"")</f>
        <v/>
      </c>
      <c r="H225" s="673">
        <v>4.0675218939999987E-2</v>
      </c>
      <c r="I225" s="673">
        <v>0.11397451819999999</v>
      </c>
      <c r="J225" s="669">
        <v>0.64295299982237597</v>
      </c>
      <c r="K225" s="142">
        <v>334111</v>
      </c>
      <c r="L225" s="142" t="s">
        <v>914</v>
      </c>
      <c r="M225" s="143" t="s">
        <v>535</v>
      </c>
      <c r="N225" s="143" t="s">
        <v>915</v>
      </c>
      <c r="O225" s="144">
        <v>4.0675218939999987E-2</v>
      </c>
      <c r="P225" s="144">
        <v>7.3280258379999977E-2</v>
      </c>
      <c r="Q225" s="144">
        <v>0.11397451819999999</v>
      </c>
    </row>
    <row r="226" spans="3:17" ht="70" hidden="1">
      <c r="C226" s="665" t="s">
        <v>916</v>
      </c>
      <c r="D226" s="666"/>
      <c r="E226" s="666"/>
      <c r="F226" s="670"/>
      <c r="G226" s="660" t="str">
        <f>IFERROR(IF(E226="","",IF(F226="Direct-from-manufacturer",(E226*H226/1000*'Inventory Settings'!$J$21),(E226*I226/1000*'Inventory Settings'!$J$21))),"")</f>
        <v/>
      </c>
      <c r="H226" s="673">
        <v>7.5117007230000005E-2</v>
      </c>
      <c r="I226" s="673">
        <v>0.13685128860000001</v>
      </c>
      <c r="J226" s="669">
        <v>0.45472970416735986</v>
      </c>
      <c r="K226" s="142">
        <v>334112</v>
      </c>
      <c r="L226" s="142" t="s">
        <v>917</v>
      </c>
      <c r="M226" s="143" t="s">
        <v>535</v>
      </c>
      <c r="N226" s="143" t="s">
        <v>915</v>
      </c>
      <c r="O226" s="144">
        <v>7.5117007230000005E-2</v>
      </c>
      <c r="P226" s="144">
        <v>6.223034597999999E-2</v>
      </c>
      <c r="Q226" s="144">
        <v>0.13685128860000001</v>
      </c>
    </row>
    <row r="227" spans="3:17" ht="42" hidden="1">
      <c r="C227" s="665" t="s">
        <v>918</v>
      </c>
      <c r="D227" s="666"/>
      <c r="E227" s="666"/>
      <c r="F227" s="670"/>
      <c r="G227" s="660" t="str">
        <f>IFERROR(IF(E227="","",IF(F227="Direct-from-manufacturer",(E227*H227/1000*'Inventory Settings'!$J$21),(E227*I227/1000*'Inventory Settings'!$J$21))),"")</f>
        <v/>
      </c>
      <c r="H227" s="673">
        <v>0.12840287938</v>
      </c>
      <c r="I227" s="673">
        <v>0.18477940569999998</v>
      </c>
      <c r="J227" s="669">
        <v>0.30349339114689011</v>
      </c>
      <c r="K227" s="142">
        <v>334118</v>
      </c>
      <c r="L227" s="142" t="s">
        <v>919</v>
      </c>
      <c r="M227" s="143" t="s">
        <v>535</v>
      </c>
      <c r="N227" s="143" t="s">
        <v>915</v>
      </c>
      <c r="O227" s="144">
        <v>0.12840287938</v>
      </c>
      <c r="P227" s="144">
        <v>5.6079328449999993E-2</v>
      </c>
      <c r="Q227" s="144">
        <v>0.18477940569999998</v>
      </c>
    </row>
    <row r="228" spans="3:17" ht="98" hidden="1">
      <c r="C228" s="665" t="s">
        <v>920</v>
      </c>
      <c r="D228" s="666"/>
      <c r="E228" s="666"/>
      <c r="F228" s="670"/>
      <c r="G228" s="660" t="str">
        <f>IFERROR(IF(E228="","",IF(F228="Direct-from-manufacturer",(E228*H228/1000*'Inventory Settings'!$J$21),(E228*I228/1000*'Inventory Settings'!$J$21))),"")</f>
        <v/>
      </c>
      <c r="H228" s="673">
        <v>7.6537263149999993E-2</v>
      </c>
      <c r="I228" s="673">
        <v>0.20396714720000009</v>
      </c>
      <c r="J228" s="669">
        <v>0.62410106385995445</v>
      </c>
      <c r="K228" s="142">
        <v>334210</v>
      </c>
      <c r="L228" s="142" t="s">
        <v>921</v>
      </c>
      <c r="M228" s="143" t="s">
        <v>535</v>
      </c>
      <c r="N228" s="143" t="s">
        <v>922</v>
      </c>
      <c r="O228" s="144">
        <v>7.6537263149999993E-2</v>
      </c>
      <c r="P228" s="144">
        <v>0.12729611355999998</v>
      </c>
      <c r="Q228" s="144">
        <v>0.20396714720000009</v>
      </c>
    </row>
    <row r="229" spans="3:17" ht="84" hidden="1">
      <c r="C229" s="665" t="s">
        <v>923</v>
      </c>
      <c r="D229" s="666"/>
      <c r="E229" s="666"/>
      <c r="F229" s="670"/>
      <c r="G229" s="660" t="str">
        <f>IFERROR(IF(E229="","",IF(F229="Direct-from-manufacturer",(E229*H229/1000*'Inventory Settings'!$J$21),(E229*I229/1000*'Inventory Settings'!$J$21))),"")</f>
        <v/>
      </c>
      <c r="H229" s="673">
        <v>9.6743450559999986E-2</v>
      </c>
      <c r="I229" s="673">
        <v>0.21854666419999993</v>
      </c>
      <c r="J229" s="669">
        <v>0.55372042182833758</v>
      </c>
      <c r="K229" s="142">
        <v>334220</v>
      </c>
      <c r="L229" s="142" t="s">
        <v>924</v>
      </c>
      <c r="M229" s="143" t="s">
        <v>535</v>
      </c>
      <c r="N229" s="143" t="s">
        <v>922</v>
      </c>
      <c r="O229" s="144">
        <v>9.6743450559999986E-2</v>
      </c>
      <c r="P229" s="144">
        <v>0.12101375109</v>
      </c>
      <c r="Q229" s="144">
        <v>0.21854666419999993</v>
      </c>
    </row>
    <row r="230" spans="3:17" ht="56" hidden="1">
      <c r="C230" s="665" t="s">
        <v>925</v>
      </c>
      <c r="D230" s="666"/>
      <c r="E230" s="666"/>
      <c r="F230" s="670"/>
      <c r="G230" s="660" t="str">
        <f>IFERROR(IF(E230="","",IF(F230="Direct-from-manufacturer",(E230*H230/1000*'Inventory Settings'!$J$21),(E230*I230/1000*'Inventory Settings'!$J$21))),"")</f>
        <v/>
      </c>
      <c r="H230" s="673">
        <v>5.929049975999999E-2</v>
      </c>
      <c r="I230" s="673">
        <v>0.11596916400000001</v>
      </c>
      <c r="J230" s="669">
        <v>0.48874744669194986</v>
      </c>
      <c r="K230" s="142">
        <v>334290</v>
      </c>
      <c r="L230" s="142" t="s">
        <v>926</v>
      </c>
      <c r="M230" s="143" t="s">
        <v>535</v>
      </c>
      <c r="N230" s="143" t="s">
        <v>922</v>
      </c>
      <c r="O230" s="144">
        <v>5.929049975999999E-2</v>
      </c>
      <c r="P230" s="144">
        <v>5.6679632799999997E-2</v>
      </c>
      <c r="Q230" s="144">
        <v>0.11596916400000001</v>
      </c>
    </row>
    <row r="231" spans="3:17" ht="84" hidden="1">
      <c r="C231" s="665" t="s">
        <v>927</v>
      </c>
      <c r="D231" s="666"/>
      <c r="E231" s="666"/>
      <c r="F231" s="670"/>
      <c r="G231" s="660" t="str">
        <f>IFERROR(IF(E231="","",IF(F231="Direct-from-manufacturer",(E231*H231/1000*'Inventory Settings'!$J$21),(E231*I231/1000*'Inventory Settings'!$J$21))),"")</f>
        <v/>
      </c>
      <c r="H231" s="673">
        <v>5.7649638720000007E-2</v>
      </c>
      <c r="I231" s="673">
        <v>0.12561845882000003</v>
      </c>
      <c r="J231" s="669">
        <v>0.54346568148733476</v>
      </c>
      <c r="K231" s="142">
        <v>334300</v>
      </c>
      <c r="L231" s="142" t="s">
        <v>928</v>
      </c>
      <c r="M231" s="143" t="s">
        <v>535</v>
      </c>
      <c r="N231" s="143" t="s">
        <v>929</v>
      </c>
      <c r="O231" s="144">
        <v>5.7649638720000007E-2</v>
      </c>
      <c r="P231" s="144">
        <v>6.8269321330000007E-2</v>
      </c>
      <c r="Q231" s="144">
        <v>0.12561845882000003</v>
      </c>
    </row>
    <row r="232" spans="3:17" ht="84" hidden="1">
      <c r="C232" s="665" t="s">
        <v>930</v>
      </c>
      <c r="D232" s="666"/>
      <c r="E232" s="666"/>
      <c r="F232" s="670"/>
      <c r="G232" s="660" t="str">
        <f>IFERROR(IF(E232="","",IF(F232="Direct-from-manufacturer",(E232*H232/1000*'Inventory Settings'!$J$21),(E232*I232/1000*'Inventory Settings'!$J$21))),"")</f>
        <v/>
      </c>
      <c r="H232" s="673">
        <v>0.13861999660999996</v>
      </c>
      <c r="I232" s="673">
        <v>0.16843903220000001</v>
      </c>
      <c r="J232" s="669">
        <v>0.17882444053843241</v>
      </c>
      <c r="K232" s="142" t="s">
        <v>931</v>
      </c>
      <c r="L232" s="142" t="s">
        <v>932</v>
      </c>
      <c r="M232" s="143" t="s">
        <v>535</v>
      </c>
      <c r="N232" s="143" t="s">
        <v>933</v>
      </c>
      <c r="O232" s="144">
        <v>0.13861999660999996</v>
      </c>
      <c r="P232" s="144">
        <v>3.0121015698000003E-2</v>
      </c>
      <c r="Q232" s="144">
        <v>0.16843903220000001</v>
      </c>
    </row>
    <row r="233" spans="3:17" ht="56" hidden="1">
      <c r="C233" s="665" t="s">
        <v>934</v>
      </c>
      <c r="D233" s="666"/>
      <c r="E233" s="666"/>
      <c r="F233" s="670"/>
      <c r="G233" s="660" t="str">
        <f>IFERROR(IF(E233="","",IF(F233="Direct-from-manufacturer",(E233*H233/1000*'Inventory Settings'!$J$21),(E233*I233/1000*'Inventory Settings'!$J$21))),"")</f>
        <v/>
      </c>
      <c r="H233" s="673">
        <v>0.223536507</v>
      </c>
      <c r="I233" s="673">
        <v>0.27222130189999999</v>
      </c>
      <c r="J233" s="669">
        <v>0.18092480429063737</v>
      </c>
      <c r="K233" s="142">
        <v>334413</v>
      </c>
      <c r="L233" s="142" t="s">
        <v>935</v>
      </c>
      <c r="M233" s="143" t="s">
        <v>535</v>
      </c>
      <c r="N233" s="143" t="s">
        <v>933</v>
      </c>
      <c r="O233" s="144">
        <v>0.223536507</v>
      </c>
      <c r="P233" s="144">
        <v>4.9251585770000009E-2</v>
      </c>
      <c r="Q233" s="144">
        <v>0.27222130189999999</v>
      </c>
    </row>
    <row r="234" spans="3:17" ht="84" hidden="1">
      <c r="C234" s="665" t="s">
        <v>936</v>
      </c>
      <c r="D234" s="666"/>
      <c r="E234" s="666"/>
      <c r="F234" s="670"/>
      <c r="G234" s="660" t="str">
        <f>IFERROR(IF(E234="","",IF(F234="Direct-from-manufacturer",(E234*H234/1000*'Inventory Settings'!$J$21),(E234*I234/1000*'Inventory Settings'!$J$21))),"")</f>
        <v/>
      </c>
      <c r="H234" s="673">
        <v>0.12226019532</v>
      </c>
      <c r="I234" s="673">
        <v>0.16019759640000003</v>
      </c>
      <c r="J234" s="669">
        <v>0.23548494268169923</v>
      </c>
      <c r="K234" s="142">
        <v>334418</v>
      </c>
      <c r="L234" s="142" t="s">
        <v>937</v>
      </c>
      <c r="M234" s="143" t="s">
        <v>535</v>
      </c>
      <c r="N234" s="143" t="s">
        <v>933</v>
      </c>
      <c r="O234" s="144">
        <v>0.12226019532</v>
      </c>
      <c r="P234" s="144">
        <v>3.7724121805999995E-2</v>
      </c>
      <c r="Q234" s="144">
        <v>0.16019759640000003</v>
      </c>
    </row>
    <row r="235" spans="3:17" ht="70" hidden="1">
      <c r="C235" s="665" t="s">
        <v>938</v>
      </c>
      <c r="D235" s="666"/>
      <c r="E235" s="666"/>
      <c r="F235" s="670"/>
      <c r="G235" s="660" t="str">
        <f>IFERROR(IF(E235="","",IF(F235="Direct-from-manufacturer",(E235*H235/1000*'Inventory Settings'!$J$21),(E235*I235/1000*'Inventory Settings'!$J$21))),"")</f>
        <v/>
      </c>
      <c r="H235" s="673">
        <v>7.0841853390000015E-2</v>
      </c>
      <c r="I235" s="673">
        <v>0.14405764259999995</v>
      </c>
      <c r="J235" s="669">
        <v>0.50953304021372348</v>
      </c>
      <c r="K235" s="142">
        <v>334510</v>
      </c>
      <c r="L235" s="142" t="s">
        <v>939</v>
      </c>
      <c r="M235" s="143" t="s">
        <v>535</v>
      </c>
      <c r="N235" s="143" t="s">
        <v>940</v>
      </c>
      <c r="O235" s="144">
        <v>7.0841853390000015E-2</v>
      </c>
      <c r="P235" s="144">
        <v>7.3402128599999977E-2</v>
      </c>
      <c r="Q235" s="144">
        <v>0.14405764259999995</v>
      </c>
    </row>
    <row r="236" spans="3:17" ht="70" hidden="1">
      <c r="C236" s="665" t="s">
        <v>941</v>
      </c>
      <c r="D236" s="666"/>
      <c r="E236" s="666"/>
      <c r="F236" s="670"/>
      <c r="G236" s="660" t="str">
        <f>IFERROR(IF(E236="","",IF(F236="Direct-from-manufacturer",(E236*H236/1000*'Inventory Settings'!$J$21),(E236*I236/1000*'Inventory Settings'!$J$21))),"")</f>
        <v/>
      </c>
      <c r="H236" s="673">
        <v>3.9525808790000005E-2</v>
      </c>
      <c r="I236" s="673">
        <v>6.042176794999999E-2</v>
      </c>
      <c r="J236" s="669">
        <v>0.34568313145494439</v>
      </c>
      <c r="K236" s="142">
        <v>334511</v>
      </c>
      <c r="L236" s="142" t="s">
        <v>942</v>
      </c>
      <c r="M236" s="143" t="s">
        <v>535</v>
      </c>
      <c r="N236" s="143" t="s">
        <v>940</v>
      </c>
      <c r="O236" s="144">
        <v>3.9525808790000005E-2</v>
      </c>
      <c r="P236" s="144">
        <v>2.0886785952999993E-2</v>
      </c>
      <c r="Q236" s="144">
        <v>6.042176794999999E-2</v>
      </c>
    </row>
    <row r="237" spans="3:17" ht="70" hidden="1">
      <c r="C237" s="665" t="s">
        <v>943</v>
      </c>
      <c r="D237" s="666"/>
      <c r="E237" s="666"/>
      <c r="F237" s="670"/>
      <c r="G237" s="660" t="str">
        <f>IFERROR(IF(E237="","",IF(F237="Direct-from-manufacturer",(E237*H237/1000*'Inventory Settings'!$J$21),(E237*I237/1000*'Inventory Settings'!$J$21))),"")</f>
        <v/>
      </c>
      <c r="H237" s="673">
        <v>0.10673281740000001</v>
      </c>
      <c r="I237" s="673">
        <v>0.1387652402</v>
      </c>
      <c r="J237" s="669">
        <v>0.23343553871497572</v>
      </c>
      <c r="K237" s="142">
        <v>334512</v>
      </c>
      <c r="L237" s="142" t="s">
        <v>944</v>
      </c>
      <c r="M237" s="143" t="s">
        <v>535</v>
      </c>
      <c r="N237" s="143" t="s">
        <v>940</v>
      </c>
      <c r="O237" s="144">
        <v>0.10673281740000001</v>
      </c>
      <c r="P237" s="144">
        <v>3.2392738601000004E-2</v>
      </c>
      <c r="Q237" s="144">
        <v>0.1387652402</v>
      </c>
    </row>
    <row r="238" spans="3:17" ht="84" hidden="1">
      <c r="C238" s="665" t="s">
        <v>945</v>
      </c>
      <c r="D238" s="666"/>
      <c r="E238" s="666"/>
      <c r="F238" s="670"/>
      <c r="G238" s="660" t="str">
        <f>IFERROR(IF(E238="","",IF(F238="Direct-from-manufacturer",(E238*H238/1000*'Inventory Settings'!$J$21),(E238*I238/1000*'Inventory Settings'!$J$21))),"")</f>
        <v/>
      </c>
      <c r="H238" s="673">
        <v>9.3945595810000004E-2</v>
      </c>
      <c r="I238" s="673">
        <v>0.11615807548000001</v>
      </c>
      <c r="J238" s="669">
        <v>0.19148732781673661</v>
      </c>
      <c r="K238" s="142">
        <v>334513</v>
      </c>
      <c r="L238" s="142" t="s">
        <v>946</v>
      </c>
      <c r="M238" s="143" t="s">
        <v>535</v>
      </c>
      <c r="N238" s="143" t="s">
        <v>940</v>
      </c>
      <c r="O238" s="144">
        <v>9.3945595810000004E-2</v>
      </c>
      <c r="P238" s="144">
        <v>2.2242799477999998E-2</v>
      </c>
      <c r="Q238" s="144">
        <v>0.11615807548000001</v>
      </c>
    </row>
    <row r="239" spans="3:17" ht="70" hidden="1">
      <c r="C239" s="665" t="s">
        <v>947</v>
      </c>
      <c r="D239" s="666"/>
      <c r="E239" s="666"/>
      <c r="F239" s="670"/>
      <c r="G239" s="660" t="str">
        <f>IFERROR(IF(E239="","",IF(F239="Direct-from-manufacturer",(E239*H239/1000*'Inventory Settings'!$J$21),(E239*I239/1000*'Inventory Settings'!$J$21))),"")</f>
        <v/>
      </c>
      <c r="H239" s="673">
        <v>4.2113306919999989E-2</v>
      </c>
      <c r="I239" s="673">
        <v>7.2605013600000004E-2</v>
      </c>
      <c r="J239" s="669">
        <v>0.4199164948162753</v>
      </c>
      <c r="K239" s="142">
        <v>334514</v>
      </c>
      <c r="L239" s="142" t="s">
        <v>948</v>
      </c>
      <c r="M239" s="143" t="s">
        <v>535</v>
      </c>
      <c r="N239" s="143" t="s">
        <v>940</v>
      </c>
      <c r="O239" s="144">
        <v>4.2113306919999989E-2</v>
      </c>
      <c r="P239" s="144">
        <v>3.0488042816999999E-2</v>
      </c>
      <c r="Q239" s="144">
        <v>7.2605013600000004E-2</v>
      </c>
    </row>
    <row r="240" spans="3:17" ht="70" hidden="1">
      <c r="C240" s="665" t="s">
        <v>949</v>
      </c>
      <c r="D240" s="666"/>
      <c r="E240" s="666"/>
      <c r="F240" s="670"/>
      <c r="G240" s="660" t="str">
        <f>IFERROR(IF(E240="","",IF(F240="Direct-from-manufacturer",(E240*H240/1000*'Inventory Settings'!$J$21),(E240*I240/1000*'Inventory Settings'!$J$21))),"")</f>
        <v/>
      </c>
      <c r="H240" s="673">
        <v>8.0551753759999983E-2</v>
      </c>
      <c r="I240" s="673">
        <v>0.11760229370000001</v>
      </c>
      <c r="J240" s="669">
        <v>0.31867965710434093</v>
      </c>
      <c r="K240" s="142">
        <v>334515</v>
      </c>
      <c r="L240" s="142" t="s">
        <v>950</v>
      </c>
      <c r="M240" s="143" t="s">
        <v>535</v>
      </c>
      <c r="N240" s="143" t="s">
        <v>940</v>
      </c>
      <c r="O240" s="144">
        <v>8.0551753759999983E-2</v>
      </c>
      <c r="P240" s="144">
        <v>3.7477458631E-2</v>
      </c>
      <c r="Q240" s="144">
        <v>0.11760229370000001</v>
      </c>
    </row>
    <row r="241" spans="3:17" ht="70" hidden="1">
      <c r="C241" s="665" t="s">
        <v>951</v>
      </c>
      <c r="D241" s="666"/>
      <c r="E241" s="666"/>
      <c r="F241" s="670"/>
      <c r="G241" s="660" t="str">
        <f>IFERROR(IF(E241="","",IF(F241="Direct-from-manufacturer",(E241*H241/1000*'Inventory Settings'!$J$21),(E241*I241/1000*'Inventory Settings'!$J$21))),"")</f>
        <v/>
      </c>
      <c r="H241" s="673">
        <v>6.1536682959999998E-2</v>
      </c>
      <c r="I241" s="673">
        <v>9.4028540960000004E-2</v>
      </c>
      <c r="J241" s="669">
        <v>0.34448985322211473</v>
      </c>
      <c r="K241" s="142">
        <v>334516</v>
      </c>
      <c r="L241" s="142" t="s">
        <v>952</v>
      </c>
      <c r="M241" s="143" t="s">
        <v>535</v>
      </c>
      <c r="N241" s="143" t="s">
        <v>940</v>
      </c>
      <c r="O241" s="144">
        <v>6.1536682959999998E-2</v>
      </c>
      <c r="P241" s="144">
        <v>3.2391878274000002E-2</v>
      </c>
      <c r="Q241" s="144">
        <v>9.4028540960000004E-2</v>
      </c>
    </row>
    <row r="242" spans="3:17" ht="70" hidden="1">
      <c r="C242" s="665" t="s">
        <v>953</v>
      </c>
      <c r="D242" s="666"/>
      <c r="E242" s="666"/>
      <c r="F242" s="670"/>
      <c r="G242" s="660" t="str">
        <f>IFERROR(IF(E242="","",IF(F242="Direct-from-manufacturer",(E242*H242/1000*'Inventory Settings'!$J$21),(E242*I242/1000*'Inventory Settings'!$J$21))),"")</f>
        <v/>
      </c>
      <c r="H242" s="673">
        <v>0.13982197147000003</v>
      </c>
      <c r="I242" s="673">
        <v>0.19962496979999997</v>
      </c>
      <c r="J242" s="669">
        <v>0.30104618430354302</v>
      </c>
      <c r="K242" s="142">
        <v>334517</v>
      </c>
      <c r="L242" s="142" t="s">
        <v>954</v>
      </c>
      <c r="M242" s="143" t="s">
        <v>535</v>
      </c>
      <c r="N242" s="143" t="s">
        <v>940</v>
      </c>
      <c r="O242" s="144">
        <v>0.13982197147000003</v>
      </c>
      <c r="P242" s="144">
        <v>6.0096335449999996E-2</v>
      </c>
      <c r="Q242" s="144">
        <v>0.19962496979999997</v>
      </c>
    </row>
    <row r="243" spans="3:17" ht="84" hidden="1">
      <c r="C243" s="665" t="s">
        <v>955</v>
      </c>
      <c r="D243" s="666"/>
      <c r="E243" s="666"/>
      <c r="F243" s="670"/>
      <c r="G243" s="660" t="str">
        <f>IFERROR(IF(E243="","",IF(F243="Direct-from-manufacturer",(E243*H243/1000*'Inventory Settings'!$J$21),(E243*I243/1000*'Inventory Settings'!$J$21))),"")</f>
        <v/>
      </c>
      <c r="H243" s="673">
        <v>3.28514315E-2</v>
      </c>
      <c r="I243" s="673">
        <v>0.10082463246999999</v>
      </c>
      <c r="J243" s="669">
        <v>0.67414014874018213</v>
      </c>
      <c r="K243" s="142" t="s">
        <v>956</v>
      </c>
      <c r="L243" s="142" t="s">
        <v>957</v>
      </c>
      <c r="M243" s="143" t="s">
        <v>535</v>
      </c>
      <c r="N243" s="143" t="s">
        <v>940</v>
      </c>
      <c r="O243" s="144">
        <v>3.28514315E-2</v>
      </c>
      <c r="P243" s="144">
        <v>6.7969932729999988E-2</v>
      </c>
      <c r="Q243" s="144">
        <v>0.10082463246999999</v>
      </c>
    </row>
    <row r="244" spans="3:17" ht="70" hidden="1">
      <c r="C244" s="665" t="s">
        <v>958</v>
      </c>
      <c r="D244" s="666"/>
      <c r="E244" s="666"/>
      <c r="F244" s="670"/>
      <c r="G244" s="660" t="str">
        <f>IFERROR(IF(E244="","",IF(F244="Direct-from-manufacturer",(E244*H244/1000*'Inventory Settings'!$J$21),(E244*I244/1000*'Inventory Settings'!$J$21))),"")</f>
        <v/>
      </c>
      <c r="H244" s="673">
        <v>0.10717898642000002</v>
      </c>
      <c r="I244" s="673">
        <v>0.13522511372000001</v>
      </c>
      <c r="J244" s="669">
        <v>0.20949971476940235</v>
      </c>
      <c r="K244" s="142">
        <v>334610</v>
      </c>
      <c r="L244" s="142" t="s">
        <v>959</v>
      </c>
      <c r="M244" s="143" t="s">
        <v>535</v>
      </c>
      <c r="N244" s="143" t="s">
        <v>960</v>
      </c>
      <c r="O244" s="144">
        <v>0.10717898642000002</v>
      </c>
      <c r="P244" s="144">
        <v>2.8329622754E-2</v>
      </c>
      <c r="Q244" s="144">
        <v>0.13522511372000001</v>
      </c>
    </row>
    <row r="245" spans="3:17" ht="42" hidden="1">
      <c r="C245" s="665" t="s">
        <v>961</v>
      </c>
      <c r="D245" s="666"/>
      <c r="E245" s="666"/>
      <c r="F245" s="670"/>
      <c r="G245" s="660" t="str">
        <f>IFERROR(IF(E245="","",IF(F245="Direct-from-manufacturer",(E245*H245/1000*'Inventory Settings'!$J$21),(E245*I245/1000*'Inventory Settings'!$J$21))),"")</f>
        <v/>
      </c>
      <c r="H245" s="673">
        <v>0.31484213999999999</v>
      </c>
      <c r="I245" s="673">
        <v>0.43939730809999988</v>
      </c>
      <c r="J245" s="669">
        <v>0.28346337051672083</v>
      </c>
      <c r="K245" s="142">
        <v>335110</v>
      </c>
      <c r="L245" s="142" t="s">
        <v>962</v>
      </c>
      <c r="M245" s="143" t="s">
        <v>535</v>
      </c>
      <c r="N245" s="143" t="s">
        <v>963</v>
      </c>
      <c r="O245" s="144">
        <v>0.31484213999999999</v>
      </c>
      <c r="P245" s="144">
        <v>0.12455304195000001</v>
      </c>
      <c r="Q245" s="144">
        <v>0.43939730809999988</v>
      </c>
    </row>
    <row r="246" spans="3:17" ht="56" hidden="1">
      <c r="C246" s="665" t="s">
        <v>964</v>
      </c>
      <c r="D246" s="666"/>
      <c r="E246" s="666"/>
      <c r="F246" s="670"/>
      <c r="G246" s="660" t="str">
        <f>IFERROR(IF(E246="","",IF(F246="Direct-from-manufacturer",(E246*H246/1000*'Inventory Settings'!$J$21),(E246*I246/1000*'Inventory Settings'!$J$21))),"")</f>
        <v/>
      </c>
      <c r="H246" s="673">
        <v>0.15752672730000003</v>
      </c>
      <c r="I246" s="673">
        <v>0.25436860679999995</v>
      </c>
      <c r="J246" s="669">
        <v>0.37960659161026628</v>
      </c>
      <c r="K246" s="142">
        <v>335120</v>
      </c>
      <c r="L246" s="142" t="s">
        <v>965</v>
      </c>
      <c r="M246" s="143" t="s">
        <v>535</v>
      </c>
      <c r="N246" s="143" t="s">
        <v>963</v>
      </c>
      <c r="O246" s="144">
        <v>0.15752672730000003</v>
      </c>
      <c r="P246" s="144">
        <v>9.655999983999998E-2</v>
      </c>
      <c r="Q246" s="144">
        <v>0.25436860679999995</v>
      </c>
    </row>
    <row r="247" spans="3:17" ht="42" hidden="1">
      <c r="C247" s="665" t="s">
        <v>966</v>
      </c>
      <c r="D247" s="666"/>
      <c r="E247" s="666"/>
      <c r="F247" s="670"/>
      <c r="G247" s="660" t="str">
        <f>IFERROR(IF(E247="","",IF(F247="Direct-from-manufacturer",(E247*H247/1000*'Inventory Settings'!$J$21),(E247*I247/1000*'Inventory Settings'!$J$21))),"")</f>
        <v/>
      </c>
      <c r="H247" s="673">
        <v>0.17038414450999997</v>
      </c>
      <c r="I247" s="673">
        <v>0.30345203579999996</v>
      </c>
      <c r="J247" s="669">
        <v>0.43851889442489617</v>
      </c>
      <c r="K247" s="142">
        <v>335210</v>
      </c>
      <c r="L247" s="142" t="s">
        <v>967</v>
      </c>
      <c r="M247" s="143" t="s">
        <v>535</v>
      </c>
      <c r="N247" s="143" t="s">
        <v>968</v>
      </c>
      <c r="O247" s="144">
        <v>0.17038414450999997</v>
      </c>
      <c r="P247" s="144">
        <v>0.13306945125</v>
      </c>
      <c r="Q247" s="144">
        <v>0.30345203579999996</v>
      </c>
    </row>
    <row r="248" spans="3:17" ht="56" hidden="1">
      <c r="C248" s="665" t="s">
        <v>969</v>
      </c>
      <c r="D248" s="666"/>
      <c r="E248" s="666"/>
      <c r="F248" s="670"/>
      <c r="G248" s="660" t="str">
        <f>IFERROR(IF(E248="","",IF(F248="Direct-from-manufacturer",(E248*H248/1000*'Inventory Settings'!$J$21),(E248*I248/1000*'Inventory Settings'!$J$21))),"")</f>
        <v/>
      </c>
      <c r="H248" s="673">
        <v>0.16727877199999996</v>
      </c>
      <c r="I248" s="673">
        <v>0.2302215098</v>
      </c>
      <c r="J248" s="669">
        <v>0.27684657682668018</v>
      </c>
      <c r="K248" s="142" t="s">
        <v>970</v>
      </c>
      <c r="L248" s="142" t="s">
        <v>971</v>
      </c>
      <c r="M248" s="143" t="s">
        <v>535</v>
      </c>
      <c r="N248" s="143" t="s">
        <v>968</v>
      </c>
      <c r="O248" s="144">
        <v>0.16727877199999996</v>
      </c>
      <c r="P248" s="144">
        <v>6.3736036900000001E-2</v>
      </c>
      <c r="Q248" s="144">
        <v>0.2302215098</v>
      </c>
    </row>
    <row r="249" spans="3:17" ht="70" hidden="1">
      <c r="C249" s="665" t="s">
        <v>972</v>
      </c>
      <c r="D249" s="666"/>
      <c r="E249" s="666"/>
      <c r="F249" s="670"/>
      <c r="G249" s="660" t="str">
        <f>IFERROR(IF(E249="","",IF(F249="Direct-from-manufacturer",(E249*H249/1000*'Inventory Settings'!$J$21),(E249*I249/1000*'Inventory Settings'!$J$21))),"")</f>
        <v/>
      </c>
      <c r="H249" s="673">
        <v>0.25051569717000005</v>
      </c>
      <c r="I249" s="673">
        <v>0.28339509349999986</v>
      </c>
      <c r="J249" s="669">
        <v>0.11558523715231514</v>
      </c>
      <c r="K249" s="142">
        <v>335311</v>
      </c>
      <c r="L249" s="142" t="s">
        <v>973</v>
      </c>
      <c r="M249" s="143" t="s">
        <v>535</v>
      </c>
      <c r="N249" s="143" t="s">
        <v>974</v>
      </c>
      <c r="O249" s="144">
        <v>0.25051569717000005</v>
      </c>
      <c r="P249" s="144">
        <v>3.2756289090000008E-2</v>
      </c>
      <c r="Q249" s="144">
        <v>0.28339509349999986</v>
      </c>
    </row>
    <row r="250" spans="3:17" ht="70" hidden="1">
      <c r="C250" s="665" t="s">
        <v>975</v>
      </c>
      <c r="D250" s="666"/>
      <c r="E250" s="666"/>
      <c r="F250" s="670"/>
      <c r="G250" s="660" t="str">
        <f>IFERROR(IF(E250="","",IF(F250="Direct-from-manufacturer",(E250*H250/1000*'Inventory Settings'!$J$21),(E250*I250/1000*'Inventory Settings'!$J$21))),"")</f>
        <v/>
      </c>
      <c r="H250" s="673">
        <v>0.19410094170000003</v>
      </c>
      <c r="I250" s="673">
        <v>0.23168101170000002</v>
      </c>
      <c r="J250" s="669">
        <v>0.16139884777618144</v>
      </c>
      <c r="K250" s="142">
        <v>335312</v>
      </c>
      <c r="L250" s="142" t="s">
        <v>976</v>
      </c>
      <c r="M250" s="143" t="s">
        <v>535</v>
      </c>
      <c r="N250" s="143" t="s">
        <v>974</v>
      </c>
      <c r="O250" s="144">
        <v>0.19410094170000003</v>
      </c>
      <c r="P250" s="144">
        <v>3.7393048340000012E-2</v>
      </c>
      <c r="Q250" s="144">
        <v>0.23168101170000002</v>
      </c>
    </row>
    <row r="251" spans="3:17" ht="42" hidden="1">
      <c r="C251" s="665" t="s">
        <v>977</v>
      </c>
      <c r="D251" s="666"/>
      <c r="E251" s="666"/>
      <c r="F251" s="670"/>
      <c r="G251" s="660" t="str">
        <f>IFERROR(IF(E251="","",IF(F251="Direct-from-manufacturer",(E251*H251/1000*'Inventory Settings'!$J$21),(E251*I251/1000*'Inventory Settings'!$J$21))),"")</f>
        <v/>
      </c>
      <c r="H251" s="673">
        <v>0.20773267827999997</v>
      </c>
      <c r="I251" s="673">
        <v>0.24303479261999997</v>
      </c>
      <c r="J251" s="669">
        <v>0.28346337051672083</v>
      </c>
      <c r="K251" s="142">
        <v>335110</v>
      </c>
      <c r="L251" s="142" t="s">
        <v>962</v>
      </c>
      <c r="M251" s="143" t="s">
        <v>535</v>
      </c>
      <c r="N251" s="143" t="s">
        <v>963</v>
      </c>
      <c r="O251" s="144">
        <v>0.20773267827999997</v>
      </c>
      <c r="P251" s="144">
        <v>3.5607100409999988E-2</v>
      </c>
      <c r="Q251" s="144">
        <v>0.24303479261999997</v>
      </c>
    </row>
    <row r="252" spans="3:17" ht="42" hidden="1">
      <c r="C252" s="665" t="s">
        <v>978</v>
      </c>
      <c r="D252" s="666"/>
      <c r="E252" s="666"/>
      <c r="F252" s="670"/>
      <c r="G252" s="660" t="str">
        <f>IFERROR(IF(E252="","",IF(F252="Direct-from-manufacturer",(E252*H252/1000*'Inventory Settings'!$J$21),(E252*I252/1000*'Inventory Settings'!$J$21))),"")</f>
        <v/>
      </c>
      <c r="H252" s="673">
        <v>0.12171504505</v>
      </c>
      <c r="I252" s="673">
        <v>0.15470729800000002</v>
      </c>
      <c r="J252" s="669">
        <v>0.21253548827412136</v>
      </c>
      <c r="K252" s="142">
        <v>335314</v>
      </c>
      <c r="L252" s="142" t="s">
        <v>979</v>
      </c>
      <c r="M252" s="143" t="s">
        <v>535</v>
      </c>
      <c r="N252" s="143" t="s">
        <v>974</v>
      </c>
      <c r="O252" s="144">
        <v>0.12171504505</v>
      </c>
      <c r="P252" s="144">
        <v>3.2880791120000002E-2</v>
      </c>
      <c r="Q252" s="144">
        <v>0.15470729800000002</v>
      </c>
    </row>
    <row r="253" spans="3:17" ht="56" hidden="1">
      <c r="C253" s="665" t="s">
        <v>980</v>
      </c>
      <c r="D253" s="666"/>
      <c r="E253" s="666"/>
      <c r="F253" s="670"/>
      <c r="G253" s="660" t="str">
        <f>IFERROR(IF(E253="","",IF(F253="Direct-from-manufacturer",(E253*H253/1000*'Inventory Settings'!$J$21),(E253*I253/1000*'Inventory Settings'!$J$21))),"")</f>
        <v/>
      </c>
      <c r="H253" s="673">
        <v>0.26646126768</v>
      </c>
      <c r="I253" s="673">
        <v>0.31734119391000004</v>
      </c>
      <c r="J253" s="669">
        <v>0.159661831688859</v>
      </c>
      <c r="K253" s="142">
        <v>335911</v>
      </c>
      <c r="L253" s="142" t="s">
        <v>981</v>
      </c>
      <c r="M253" s="143" t="s">
        <v>535</v>
      </c>
      <c r="N253" s="143" t="s">
        <v>982</v>
      </c>
      <c r="O253" s="144">
        <v>0.26646126768</v>
      </c>
      <c r="P253" s="144">
        <v>5.0667276289999993E-2</v>
      </c>
      <c r="Q253" s="144">
        <v>0.31734119391000004</v>
      </c>
    </row>
    <row r="254" spans="3:17" ht="56" hidden="1">
      <c r="C254" s="665" t="s">
        <v>983</v>
      </c>
      <c r="D254" s="666"/>
      <c r="E254" s="666"/>
      <c r="F254" s="670"/>
      <c r="G254" s="660" t="str">
        <f>IFERROR(IF(E254="","",IF(F254="Direct-from-manufacturer",(E254*H254/1000*'Inventory Settings'!$J$21),(E254*I254/1000*'Inventory Settings'!$J$21))),"")</f>
        <v/>
      </c>
      <c r="H254" s="673">
        <v>0.14658146151000001</v>
      </c>
      <c r="I254" s="673">
        <v>0.23016800749999997</v>
      </c>
      <c r="J254" s="669">
        <v>0.35973728390554027</v>
      </c>
      <c r="K254" s="142">
        <v>335912</v>
      </c>
      <c r="L254" s="142" t="s">
        <v>984</v>
      </c>
      <c r="M254" s="143" t="s">
        <v>535</v>
      </c>
      <c r="N254" s="143" t="s">
        <v>982</v>
      </c>
      <c r="O254" s="144">
        <v>0.14658146151000001</v>
      </c>
      <c r="P254" s="144">
        <v>8.2800013860000007E-2</v>
      </c>
      <c r="Q254" s="144">
        <v>0.23016800749999997</v>
      </c>
    </row>
    <row r="255" spans="3:17" ht="56" hidden="1">
      <c r="C255" s="665" t="s">
        <v>985</v>
      </c>
      <c r="D255" s="666"/>
      <c r="E255" s="666"/>
      <c r="F255" s="670"/>
      <c r="G255" s="660" t="str">
        <f>IFERROR(IF(E255="","",IF(F255="Direct-from-manufacturer",(E255*H255/1000*'Inventory Settings'!$J$21),(E255*I255/1000*'Inventory Settings'!$J$21))),"")</f>
        <v/>
      </c>
      <c r="H255" s="673">
        <v>0.33063300169999993</v>
      </c>
      <c r="I255" s="673">
        <v>0.36225796370000002</v>
      </c>
      <c r="J255" s="669">
        <v>8.7034608260842458E-2</v>
      </c>
      <c r="K255" s="142">
        <v>335920</v>
      </c>
      <c r="L255" s="142" t="s">
        <v>986</v>
      </c>
      <c r="M255" s="143" t="s">
        <v>535</v>
      </c>
      <c r="N255" s="143" t="s">
        <v>982</v>
      </c>
      <c r="O255" s="144">
        <v>0.33063300169999993</v>
      </c>
      <c r="P255" s="144">
        <v>3.1528979959999988E-2</v>
      </c>
      <c r="Q255" s="144">
        <v>0.36225796370000002</v>
      </c>
    </row>
    <row r="256" spans="3:17" ht="56" hidden="1">
      <c r="C256" s="665" t="s">
        <v>987</v>
      </c>
      <c r="D256" s="666"/>
      <c r="E256" s="666"/>
      <c r="F256" s="670"/>
      <c r="G256" s="660" t="str">
        <f>IFERROR(IF(E256="","",IF(F256="Direct-from-manufacturer",(E256*H256/1000*'Inventory Settings'!$J$21),(E256*I256/1000*'Inventory Settings'!$J$21))),"")</f>
        <v/>
      </c>
      <c r="H256" s="673">
        <v>0.21681874598000003</v>
      </c>
      <c r="I256" s="673">
        <v>0.26399813039999998</v>
      </c>
      <c r="J256" s="669">
        <v>0.17811043653512176</v>
      </c>
      <c r="K256" s="142">
        <v>335930</v>
      </c>
      <c r="L256" s="142" t="s">
        <v>988</v>
      </c>
      <c r="M256" s="143" t="s">
        <v>535</v>
      </c>
      <c r="N256" s="143" t="s">
        <v>982</v>
      </c>
      <c r="O256" s="144">
        <v>0.21681874598000003</v>
      </c>
      <c r="P256" s="144">
        <v>4.7020822249999997E-2</v>
      </c>
      <c r="Q256" s="144">
        <v>0.26399813039999998</v>
      </c>
    </row>
    <row r="257" spans="3:17" ht="56" hidden="1">
      <c r="C257" s="665" t="s">
        <v>989</v>
      </c>
      <c r="D257" s="666"/>
      <c r="E257" s="666"/>
      <c r="F257" s="670"/>
      <c r="G257" s="660" t="str">
        <f>IFERROR(IF(E257="","",IF(F257="Direct-from-manufacturer",(E257*H257/1000*'Inventory Settings'!$J$21),(E257*I257/1000*'Inventory Settings'!$J$21))),"")</f>
        <v/>
      </c>
      <c r="H257" s="673">
        <v>0.47969309259999993</v>
      </c>
      <c r="I257" s="673">
        <v>0.50298519080000004</v>
      </c>
      <c r="J257" s="669">
        <v>4.7340292284008934E-2</v>
      </c>
      <c r="K257" s="142">
        <v>335991</v>
      </c>
      <c r="L257" s="142" t="s">
        <v>990</v>
      </c>
      <c r="M257" s="143" t="s">
        <v>535</v>
      </c>
      <c r="N257" s="143" t="s">
        <v>982</v>
      </c>
      <c r="O257" s="144">
        <v>0.47969309259999993</v>
      </c>
      <c r="P257" s="144">
        <v>2.3811465947000003E-2</v>
      </c>
      <c r="Q257" s="144">
        <v>0.50298519080000004</v>
      </c>
    </row>
    <row r="258" spans="3:17" ht="98" hidden="1">
      <c r="C258" s="665" t="s">
        <v>991</v>
      </c>
      <c r="D258" s="666"/>
      <c r="E258" s="666"/>
      <c r="F258" s="670"/>
      <c r="G258" s="660" t="str">
        <f>IFERROR(IF(E258="","",IF(F258="Direct-from-manufacturer",(E258*H258/1000*'Inventory Settings'!$J$21),(E258*I258/1000*'Inventory Settings'!$J$21))),"")</f>
        <v/>
      </c>
      <c r="H258" s="673">
        <v>0.14512609486000003</v>
      </c>
      <c r="I258" s="673">
        <v>0.17787915920000008</v>
      </c>
      <c r="J258" s="669">
        <v>0.18345905150871647</v>
      </c>
      <c r="K258" s="142">
        <v>335999</v>
      </c>
      <c r="L258" s="142" t="s">
        <v>992</v>
      </c>
      <c r="M258" s="143" t="s">
        <v>535</v>
      </c>
      <c r="N258" s="143" t="s">
        <v>982</v>
      </c>
      <c r="O258" s="144">
        <v>0.14512609486000003</v>
      </c>
      <c r="P258" s="144">
        <v>3.2633541829999994E-2</v>
      </c>
      <c r="Q258" s="144">
        <v>0.17787915920000008</v>
      </c>
    </row>
    <row r="259" spans="3:17" ht="42" hidden="1">
      <c r="C259" s="665" t="s">
        <v>993</v>
      </c>
      <c r="D259" s="666"/>
      <c r="E259" s="666"/>
      <c r="F259" s="670"/>
      <c r="G259" s="660" t="str">
        <f>IFERROR(IF(E259="","",IF(F259="Direct-from-manufacturer",(E259*H259/1000*'Inventory Settings'!$J$21),(E259*I259/1000*'Inventory Settings'!$J$21))),"")</f>
        <v/>
      </c>
      <c r="H259" s="673">
        <v>0.21479591549999999</v>
      </c>
      <c r="I259" s="673">
        <v>0.28220621540000013</v>
      </c>
      <c r="J259" s="669">
        <v>0.23804202708570105</v>
      </c>
      <c r="K259" s="142">
        <v>336111</v>
      </c>
      <c r="L259" s="142" t="s">
        <v>994</v>
      </c>
      <c r="M259" s="143" t="s">
        <v>535</v>
      </c>
      <c r="N259" s="143" t="s">
        <v>995</v>
      </c>
      <c r="O259" s="144">
        <v>0.21479591549999999</v>
      </c>
      <c r="P259" s="144">
        <v>6.717693957000001E-2</v>
      </c>
      <c r="Q259" s="144">
        <v>0.28220621540000013</v>
      </c>
    </row>
    <row r="260" spans="3:17" ht="56" hidden="1">
      <c r="C260" s="665" t="s">
        <v>996</v>
      </c>
      <c r="D260" s="666"/>
      <c r="E260" s="666"/>
      <c r="F260" s="670"/>
      <c r="G260" s="660" t="str">
        <f>IFERROR(IF(E260="","",IF(F260="Direct-from-manufacturer",(E260*H260/1000*'Inventory Settings'!$J$21),(E260*I260/1000*'Inventory Settings'!$J$21))),"")</f>
        <v/>
      </c>
      <c r="H260" s="673">
        <v>0.29632861869999999</v>
      </c>
      <c r="I260" s="673">
        <v>0.32543827089999999</v>
      </c>
      <c r="J260" s="669">
        <v>9.1003665672438269E-2</v>
      </c>
      <c r="K260" s="142">
        <v>336112</v>
      </c>
      <c r="L260" s="142" t="s">
        <v>997</v>
      </c>
      <c r="M260" s="143" t="s">
        <v>535</v>
      </c>
      <c r="N260" s="143" t="s">
        <v>995</v>
      </c>
      <c r="O260" s="144">
        <v>0.29632861869999999</v>
      </c>
      <c r="P260" s="144">
        <v>2.9616075601999997E-2</v>
      </c>
      <c r="Q260" s="144">
        <v>0.32543827089999999</v>
      </c>
    </row>
    <row r="261" spans="3:17" ht="56" hidden="1">
      <c r="C261" s="665" t="s">
        <v>998</v>
      </c>
      <c r="D261" s="666"/>
      <c r="E261" s="666"/>
      <c r="F261" s="670"/>
      <c r="G261" s="660" t="str">
        <f>IFERROR(IF(E261="","",IF(F261="Direct-from-manufacturer",(E261*H261/1000*'Inventory Settings'!$J$21),(E261*I261/1000*'Inventory Settings'!$J$21))),"")</f>
        <v/>
      </c>
      <c r="H261" s="673">
        <v>0.2957146779</v>
      </c>
      <c r="I261" s="673">
        <v>0.31198498280000003</v>
      </c>
      <c r="J261" s="669">
        <v>5.0982650992520778E-2</v>
      </c>
      <c r="K261" s="142">
        <v>336120</v>
      </c>
      <c r="L261" s="142" t="s">
        <v>999</v>
      </c>
      <c r="M261" s="143" t="s">
        <v>535</v>
      </c>
      <c r="N261" s="143" t="s">
        <v>995</v>
      </c>
      <c r="O261" s="144">
        <v>0.2957146779</v>
      </c>
      <c r="P261" s="144">
        <v>1.5905821492999999E-2</v>
      </c>
      <c r="Q261" s="144">
        <v>0.31198498280000003</v>
      </c>
    </row>
    <row r="262" spans="3:17" ht="56" hidden="1">
      <c r="C262" s="665" t="s">
        <v>1000</v>
      </c>
      <c r="D262" s="666"/>
      <c r="E262" s="666"/>
      <c r="F262" s="670"/>
      <c r="G262" s="660" t="str">
        <f>IFERROR(IF(E262="","",IF(F262="Direct-from-manufacturer",(E262*H262/1000*'Inventory Settings'!$J$21),(E262*I262/1000*'Inventory Settings'!$J$21))),"")</f>
        <v/>
      </c>
      <c r="H262" s="673">
        <v>0.2044805515</v>
      </c>
      <c r="I262" s="673">
        <v>0.24934444109999998</v>
      </c>
      <c r="J262" s="669">
        <v>0.17987029071970759</v>
      </c>
      <c r="K262" s="142">
        <v>336211</v>
      </c>
      <c r="L262" s="142" t="s">
        <v>1001</v>
      </c>
      <c r="M262" s="143" t="s">
        <v>535</v>
      </c>
      <c r="N262" s="143" t="s">
        <v>1002</v>
      </c>
      <c r="O262" s="144">
        <v>0.2044805515</v>
      </c>
      <c r="P262" s="144">
        <v>4.4849657110000003E-2</v>
      </c>
      <c r="Q262" s="144">
        <v>0.24934444109999998</v>
      </c>
    </row>
    <row r="263" spans="3:17" ht="42" hidden="1">
      <c r="C263" s="665" t="s">
        <v>1003</v>
      </c>
      <c r="D263" s="666"/>
      <c r="E263" s="666"/>
      <c r="F263" s="670"/>
      <c r="G263" s="660" t="str">
        <f>IFERROR(IF(E263="","",IF(F263="Direct-from-manufacturer",(E263*H263/1000*'Inventory Settings'!$J$21),(E263*I263/1000*'Inventory Settings'!$J$21))),"")</f>
        <v/>
      </c>
      <c r="H263" s="673">
        <v>0.23159289438000003</v>
      </c>
      <c r="I263" s="673">
        <v>0.26576276560000001</v>
      </c>
      <c r="J263" s="669">
        <v>0.1273412016299397</v>
      </c>
      <c r="K263" s="142">
        <v>336212</v>
      </c>
      <c r="L263" s="142" t="s">
        <v>1004</v>
      </c>
      <c r="M263" s="143" t="s">
        <v>535</v>
      </c>
      <c r="N263" s="143" t="s">
        <v>1002</v>
      </c>
      <c r="O263" s="144">
        <v>0.23159289438000003</v>
      </c>
      <c r="P263" s="144">
        <v>3.3842549919999999E-2</v>
      </c>
      <c r="Q263" s="144">
        <v>0.26576276560000001</v>
      </c>
    </row>
    <row r="264" spans="3:17" ht="56" hidden="1">
      <c r="C264" s="665" t="s">
        <v>1005</v>
      </c>
      <c r="D264" s="666"/>
      <c r="E264" s="666"/>
      <c r="F264" s="670"/>
      <c r="G264" s="660" t="str">
        <f>IFERROR(IF(E264="","",IF(F264="Direct-from-manufacturer",(E264*H264/1000*'Inventory Settings'!$J$21),(E264*I264/1000*'Inventory Settings'!$J$21))),"")</f>
        <v/>
      </c>
      <c r="H264" s="673">
        <v>0.14524987467</v>
      </c>
      <c r="I264" s="673">
        <v>0.20478427553999998</v>
      </c>
      <c r="J264" s="669">
        <v>0.29038342276619117</v>
      </c>
      <c r="K264" s="142">
        <v>336213</v>
      </c>
      <c r="L264" s="142" t="s">
        <v>1006</v>
      </c>
      <c r="M264" s="143" t="s">
        <v>535</v>
      </c>
      <c r="N264" s="143" t="s">
        <v>1002</v>
      </c>
      <c r="O264" s="144">
        <v>0.14524987467</v>
      </c>
      <c r="P264" s="144">
        <v>5.9465958859999994E-2</v>
      </c>
      <c r="Q264" s="144">
        <v>0.20478427553999998</v>
      </c>
    </row>
    <row r="265" spans="3:17" ht="84" hidden="1">
      <c r="C265" s="665" t="s">
        <v>1007</v>
      </c>
      <c r="D265" s="666"/>
      <c r="E265" s="666"/>
      <c r="F265" s="670"/>
      <c r="G265" s="660" t="str">
        <f>IFERROR(IF(E265="","",IF(F265="Direct-from-manufacturer",(E265*H265/1000*'Inventory Settings'!$J$21),(E265*I265/1000*'Inventory Settings'!$J$21))),"")</f>
        <v/>
      </c>
      <c r="H265" s="673">
        <v>0.22185439751000002</v>
      </c>
      <c r="I265" s="673">
        <v>0.26048026139999997</v>
      </c>
      <c r="J265" s="669">
        <v>0.14865790798841702</v>
      </c>
      <c r="K265" s="142">
        <v>336214</v>
      </c>
      <c r="L265" s="142" t="s">
        <v>1008</v>
      </c>
      <c r="M265" s="143" t="s">
        <v>535</v>
      </c>
      <c r="N265" s="143" t="s">
        <v>1002</v>
      </c>
      <c r="O265" s="144">
        <v>0.22185439751000002</v>
      </c>
      <c r="P265" s="144">
        <v>3.8722450732000008E-2</v>
      </c>
      <c r="Q265" s="144">
        <v>0.26048026139999997</v>
      </c>
    </row>
    <row r="266" spans="3:17" ht="42" hidden="1">
      <c r="C266" s="665" t="s">
        <v>1009</v>
      </c>
      <c r="D266" s="666"/>
      <c r="E266" s="666"/>
      <c r="F266" s="670"/>
      <c r="G266" s="660" t="str">
        <f>IFERROR(IF(E266="","",IF(F266="Direct-from-manufacturer",(E266*H266/1000*'Inventory Settings'!$J$21),(E266*I266/1000*'Inventory Settings'!$J$21))),"")</f>
        <v/>
      </c>
      <c r="H266" s="673">
        <v>0.31206516330000011</v>
      </c>
      <c r="I266" s="673">
        <v>0.35016313350000006</v>
      </c>
      <c r="J266" s="669">
        <v>0.10872500434144075</v>
      </c>
      <c r="K266" s="142">
        <v>336310</v>
      </c>
      <c r="L266" s="142" t="s">
        <v>1010</v>
      </c>
      <c r="M266" s="143" t="s">
        <v>535</v>
      </c>
      <c r="N266" s="143" t="s">
        <v>1011</v>
      </c>
      <c r="O266" s="144">
        <v>0.31206516330000011</v>
      </c>
      <c r="P266" s="144">
        <v>3.8071488210000004E-2</v>
      </c>
      <c r="Q266" s="144">
        <v>0.35016313350000006</v>
      </c>
    </row>
    <row r="267" spans="3:17" ht="70" hidden="1">
      <c r="C267" s="665" t="s">
        <v>1012</v>
      </c>
      <c r="D267" s="666"/>
      <c r="E267" s="666"/>
      <c r="F267" s="670"/>
      <c r="G267" s="660" t="str">
        <f>IFERROR(IF(E267="","",IF(F267="Direct-from-manufacturer",(E267*H267/1000*'Inventory Settings'!$J$21),(E267*I267/1000*'Inventory Settings'!$J$21))),"")</f>
        <v/>
      </c>
      <c r="H267" s="673">
        <v>0.24289438529999996</v>
      </c>
      <c r="I267" s="673">
        <v>0.28799607739999994</v>
      </c>
      <c r="J267" s="669">
        <v>0.15840420078582648</v>
      </c>
      <c r="K267" s="142">
        <v>336320</v>
      </c>
      <c r="L267" s="142" t="s">
        <v>1013</v>
      </c>
      <c r="M267" s="143" t="s">
        <v>535</v>
      </c>
      <c r="N267" s="143" t="s">
        <v>1011</v>
      </c>
      <c r="O267" s="144">
        <v>0.24289438529999996</v>
      </c>
      <c r="P267" s="144">
        <v>4.5619788470000013E-2</v>
      </c>
      <c r="Q267" s="144">
        <v>0.28799607739999994</v>
      </c>
    </row>
    <row r="268" spans="3:17" ht="126" hidden="1">
      <c r="C268" s="665" t="s">
        <v>1014</v>
      </c>
      <c r="D268" s="666"/>
      <c r="E268" s="666"/>
      <c r="F268" s="670"/>
      <c r="G268" s="660" t="str">
        <f>IFERROR(IF(E268="","",IF(F268="Direct-from-manufacturer",(E268*H268/1000*'Inventory Settings'!$J$21),(E268*I268/1000*'Inventory Settings'!$J$21))),"")</f>
        <v/>
      </c>
      <c r="H268" s="673">
        <v>0.35294745770000002</v>
      </c>
      <c r="I268" s="673">
        <v>0.39684174719999998</v>
      </c>
      <c r="J268" s="669">
        <v>0.11029001023408458</v>
      </c>
      <c r="K268" s="142" t="s">
        <v>1015</v>
      </c>
      <c r="L268" s="142" t="s">
        <v>1016</v>
      </c>
      <c r="M268" s="143" t="s">
        <v>535</v>
      </c>
      <c r="N268" s="143" t="s">
        <v>1011</v>
      </c>
      <c r="O268" s="144">
        <v>0.35294745770000002</v>
      </c>
      <c r="P268" s="144">
        <v>4.3767680360000005E-2</v>
      </c>
      <c r="Q268" s="144">
        <v>0.39684174719999998</v>
      </c>
    </row>
    <row r="269" spans="3:17" ht="42" hidden="1">
      <c r="C269" s="665" t="s">
        <v>1017</v>
      </c>
      <c r="D269" s="666"/>
      <c r="E269" s="666"/>
      <c r="F269" s="670"/>
      <c r="G269" s="660" t="str">
        <f>IFERROR(IF(E269="","",IF(F269="Direct-from-manufacturer",(E269*H269/1000*'Inventory Settings'!$J$21),(E269*I269/1000*'Inventory Settings'!$J$21))),"")</f>
        <v/>
      </c>
      <c r="H269" s="673">
        <v>0.35936141659999998</v>
      </c>
      <c r="I269" s="673">
        <v>0.39521223599999999</v>
      </c>
      <c r="J269" s="669">
        <v>9.1988961546220979E-2</v>
      </c>
      <c r="K269" s="142">
        <v>336350</v>
      </c>
      <c r="L269" s="142" t="s">
        <v>1018</v>
      </c>
      <c r="M269" s="143" t="s">
        <v>535</v>
      </c>
      <c r="N269" s="143" t="s">
        <v>1011</v>
      </c>
      <c r="O269" s="144">
        <v>0.35936141659999998</v>
      </c>
      <c r="P269" s="144">
        <v>3.6355163180000011E-2</v>
      </c>
      <c r="Q269" s="144">
        <v>0.39521223599999999</v>
      </c>
    </row>
    <row r="270" spans="3:17" ht="42" hidden="1">
      <c r="C270" s="665" t="s">
        <v>1019</v>
      </c>
      <c r="D270" s="666"/>
      <c r="E270" s="666"/>
      <c r="F270" s="670"/>
      <c r="G270" s="660" t="str">
        <f>IFERROR(IF(E270="","",IF(F270="Direct-from-manufacturer",(E270*H270/1000*'Inventory Settings'!$J$21),(E270*I270/1000*'Inventory Settings'!$J$21))),"")</f>
        <v/>
      </c>
      <c r="H270" s="673">
        <v>0.37500805030000001</v>
      </c>
      <c r="I270" s="673">
        <v>0.39923588950000005</v>
      </c>
      <c r="J270" s="669">
        <v>6.1212297112381721E-2</v>
      </c>
      <c r="K270" s="142">
        <v>336360</v>
      </c>
      <c r="L270" s="142" t="s">
        <v>1020</v>
      </c>
      <c r="M270" s="143" t="s">
        <v>535</v>
      </c>
      <c r="N270" s="143" t="s">
        <v>1011</v>
      </c>
      <c r="O270" s="144">
        <v>0.37500805030000001</v>
      </c>
      <c r="P270" s="144">
        <v>2.4438145886E-2</v>
      </c>
      <c r="Q270" s="144">
        <v>0.39923588950000005</v>
      </c>
    </row>
    <row r="271" spans="3:17" ht="28" hidden="1">
      <c r="C271" s="665" t="s">
        <v>1021</v>
      </c>
      <c r="D271" s="666"/>
      <c r="E271" s="666"/>
      <c r="F271" s="670"/>
      <c r="G271" s="660" t="str">
        <f>IFERROR(IF(E271="","",IF(F271="Direct-from-manufacturer",(E271*H271/1000*'Inventory Settings'!$J$21),(E271*I271/1000*'Inventory Settings'!$J$21))),"")</f>
        <v/>
      </c>
      <c r="H271" s="673">
        <v>0.68886459629999997</v>
      </c>
      <c r="I271" s="673">
        <v>0.7166638139</v>
      </c>
      <c r="J271" s="669">
        <v>3.8690342268165687E-2</v>
      </c>
      <c r="K271" s="142">
        <v>336370</v>
      </c>
      <c r="L271" s="142" t="s">
        <v>1022</v>
      </c>
      <c r="M271" s="143" t="s">
        <v>535</v>
      </c>
      <c r="N271" s="143" t="s">
        <v>1011</v>
      </c>
      <c r="O271" s="144">
        <v>0.68886459629999997</v>
      </c>
      <c r="P271" s="144">
        <v>2.7727968250999997E-2</v>
      </c>
      <c r="Q271" s="144">
        <v>0.7166638139</v>
      </c>
    </row>
    <row r="272" spans="3:17" ht="84" hidden="1">
      <c r="C272" s="665" t="s">
        <v>1023</v>
      </c>
      <c r="D272" s="666"/>
      <c r="E272" s="666"/>
      <c r="F272" s="670"/>
      <c r="G272" s="660" t="str">
        <f>IFERROR(IF(E272="","",IF(F272="Direct-from-manufacturer",(E272*H272/1000*'Inventory Settings'!$J$21),(E272*I272/1000*'Inventory Settings'!$J$21))),"")</f>
        <v/>
      </c>
      <c r="H272" s="673">
        <v>0.3557591906</v>
      </c>
      <c r="I272" s="673">
        <v>0.39958983280000004</v>
      </c>
      <c r="J272" s="669">
        <v>0.10813745271548858</v>
      </c>
      <c r="K272" s="142">
        <v>336390</v>
      </c>
      <c r="L272" s="142" t="s">
        <v>1024</v>
      </c>
      <c r="M272" s="143" t="s">
        <v>535</v>
      </c>
      <c r="N272" s="143" t="s">
        <v>1011</v>
      </c>
      <c r="O272" s="144">
        <v>0.3557591906</v>
      </c>
      <c r="P272" s="144">
        <v>4.3210626649999993E-2</v>
      </c>
      <c r="Q272" s="144">
        <v>0.39958983280000004</v>
      </c>
    </row>
    <row r="273" spans="3:17" ht="70" hidden="1">
      <c r="C273" s="665" t="s">
        <v>1025</v>
      </c>
      <c r="D273" s="666"/>
      <c r="E273" s="666"/>
      <c r="F273" s="670"/>
      <c r="G273" s="660" t="str">
        <f>IFERROR(IF(E273="","",IF(F273="Direct-from-manufacturer",(E273*H273/1000*'Inventory Settings'!$J$21),(E273*I273/1000*'Inventory Settings'!$J$21))),"")</f>
        <v/>
      </c>
      <c r="H273" s="673">
        <v>0.13871355367000002</v>
      </c>
      <c r="I273" s="673">
        <v>0.15174141199999999</v>
      </c>
      <c r="J273" s="669">
        <v>8.7203082530957321E-2</v>
      </c>
      <c r="K273" s="142">
        <v>336411</v>
      </c>
      <c r="L273" s="142" t="s">
        <v>1026</v>
      </c>
      <c r="M273" s="143" t="s">
        <v>535</v>
      </c>
      <c r="N273" s="143" t="s">
        <v>1027</v>
      </c>
      <c r="O273" s="144">
        <v>0.13871355367000002</v>
      </c>
      <c r="P273" s="144">
        <v>1.3232318873999997E-2</v>
      </c>
      <c r="Q273" s="144">
        <v>0.15174141199999999</v>
      </c>
    </row>
    <row r="274" spans="3:17" ht="84" hidden="1">
      <c r="C274" s="665" t="s">
        <v>1028</v>
      </c>
      <c r="D274" s="666"/>
      <c r="E274" s="666"/>
      <c r="F274" s="670"/>
      <c r="G274" s="660" t="str">
        <f>IFERROR(IF(E274="","",IF(F274="Direct-from-manufacturer",(E274*H274/1000*'Inventory Settings'!$J$21),(E274*I274/1000*'Inventory Settings'!$J$21))),"")</f>
        <v/>
      </c>
      <c r="H274" s="673">
        <v>0.10324901151999999</v>
      </c>
      <c r="I274" s="673">
        <v>0.11475953333</v>
      </c>
      <c r="J274" s="669">
        <v>0.10286607395878997</v>
      </c>
      <c r="K274" s="142">
        <v>336412</v>
      </c>
      <c r="L274" s="142" t="s">
        <v>1029</v>
      </c>
      <c r="M274" s="143" t="s">
        <v>535</v>
      </c>
      <c r="N274" s="143" t="s">
        <v>1027</v>
      </c>
      <c r="O274" s="144">
        <v>0.10324901151999999</v>
      </c>
      <c r="P274" s="144">
        <v>1.1804862643000002E-2</v>
      </c>
      <c r="Q274" s="144">
        <v>0.11475953333</v>
      </c>
    </row>
    <row r="275" spans="3:17" ht="84" hidden="1">
      <c r="C275" s="665" t="s">
        <v>1030</v>
      </c>
      <c r="D275" s="666"/>
      <c r="E275" s="666"/>
      <c r="F275" s="670"/>
      <c r="G275" s="660" t="str">
        <f>IFERROR(IF(E275="","",IF(F275="Direct-from-manufacturer",(E275*H275/1000*'Inventory Settings'!$J$21),(E275*I275/1000*'Inventory Settings'!$J$21))),"")</f>
        <v/>
      </c>
      <c r="H275" s="673">
        <v>0.20448199969999997</v>
      </c>
      <c r="I275" s="673">
        <v>0.21751087419999995</v>
      </c>
      <c r="J275" s="669">
        <v>5.9375255460216443E-2</v>
      </c>
      <c r="K275" s="142">
        <v>336413</v>
      </c>
      <c r="L275" s="142" t="s">
        <v>1031</v>
      </c>
      <c r="M275" s="143" t="s">
        <v>535</v>
      </c>
      <c r="N275" s="143" t="s">
        <v>1027</v>
      </c>
      <c r="O275" s="144">
        <v>0.20448199969999997</v>
      </c>
      <c r="P275" s="144">
        <v>1.2914763720999999E-2</v>
      </c>
      <c r="Q275" s="144">
        <v>0.21751087419999995</v>
      </c>
    </row>
    <row r="276" spans="3:17" ht="42" hidden="1">
      <c r="C276" s="665" t="s">
        <v>1032</v>
      </c>
      <c r="D276" s="666"/>
      <c r="E276" s="666"/>
      <c r="F276" s="670"/>
      <c r="G276" s="660" t="str">
        <f>IFERROR(IF(E276="","",IF(F276="Direct-from-manufacturer",(E276*H276/1000*'Inventory Settings'!$J$21),(E276*I276/1000*'Inventory Settings'!$J$21))),"")</f>
        <v/>
      </c>
      <c r="H276" s="673">
        <v>0.15267661999000004</v>
      </c>
      <c r="I276" s="673">
        <v>0.16573867698</v>
      </c>
      <c r="J276" s="669">
        <v>8.1820760356596883E-2</v>
      </c>
      <c r="K276" s="142">
        <v>336414</v>
      </c>
      <c r="L276" s="142" t="s">
        <v>1033</v>
      </c>
      <c r="M276" s="143" t="s">
        <v>535</v>
      </c>
      <c r="N276" s="143" t="s">
        <v>1027</v>
      </c>
      <c r="O276" s="144">
        <v>0.15267661999000004</v>
      </c>
      <c r="P276" s="144">
        <v>1.3560864571E-2</v>
      </c>
      <c r="Q276" s="144">
        <v>0.16573867698</v>
      </c>
    </row>
    <row r="277" spans="3:17" ht="98" hidden="1">
      <c r="C277" s="665" t="s">
        <v>1034</v>
      </c>
      <c r="D277" s="666"/>
      <c r="E277" s="666"/>
      <c r="F277" s="670"/>
      <c r="G277" s="660" t="str">
        <f>IFERROR(IF(E277="","",IF(F277="Direct-from-manufacturer",(E277*H277/1000*'Inventory Settings'!$J$21),(E277*I277/1000*'Inventory Settings'!$J$21))),"")</f>
        <v/>
      </c>
      <c r="H277" s="673">
        <v>0.13480978883</v>
      </c>
      <c r="I277" s="673">
        <v>0.14780506433999996</v>
      </c>
      <c r="J277" s="669">
        <v>8.7268021617506117E-2</v>
      </c>
      <c r="K277" s="142" t="s">
        <v>1035</v>
      </c>
      <c r="L277" s="142" t="s">
        <v>1036</v>
      </c>
      <c r="M277" s="143" t="s">
        <v>535</v>
      </c>
      <c r="N277" s="143" t="s">
        <v>1027</v>
      </c>
      <c r="O277" s="144">
        <v>0.13480978883</v>
      </c>
      <c r="P277" s="144">
        <v>1.2898655549999999E-2</v>
      </c>
      <c r="Q277" s="144">
        <v>0.14780506433999996</v>
      </c>
    </row>
    <row r="278" spans="3:17" ht="84" hidden="1">
      <c r="C278" s="665" t="s">
        <v>1037</v>
      </c>
      <c r="D278" s="666"/>
      <c r="E278" s="666"/>
      <c r="F278" s="670"/>
      <c r="G278" s="660" t="str">
        <f>IFERROR(IF(E278="","",IF(F278="Direct-from-manufacturer",(E278*H278/1000*'Inventory Settings'!$J$21),(E278*I278/1000*'Inventory Settings'!$J$21))),"")</f>
        <v/>
      </c>
      <c r="H278" s="673">
        <v>0.38838120729999986</v>
      </c>
      <c r="I278" s="673">
        <v>0.41983943369999999</v>
      </c>
      <c r="J278" s="669">
        <v>7.4926899273778255E-2</v>
      </c>
      <c r="K278" s="142">
        <v>336500</v>
      </c>
      <c r="L278" s="142" t="s">
        <v>1038</v>
      </c>
      <c r="M278" s="143" t="s">
        <v>535</v>
      </c>
      <c r="N278" s="143" t="s">
        <v>1039</v>
      </c>
      <c r="O278" s="144">
        <v>0.38838120729999986</v>
      </c>
      <c r="P278" s="144">
        <v>3.1457266960000001E-2</v>
      </c>
      <c r="Q278" s="144">
        <v>0.41983943369999999</v>
      </c>
    </row>
    <row r="279" spans="3:17" ht="84" hidden="1">
      <c r="C279" s="665" t="s">
        <v>1040</v>
      </c>
      <c r="D279" s="666"/>
      <c r="E279" s="666"/>
      <c r="F279" s="670"/>
      <c r="G279" s="660" t="str">
        <f>IFERROR(IF(E279="","",IF(F279="Direct-from-manufacturer",(E279*H279/1000*'Inventory Settings'!$J$21),(E279*I279/1000*'Inventory Settings'!$J$21))),"")</f>
        <v/>
      </c>
      <c r="H279" s="673">
        <v>0.23435307740000003</v>
      </c>
      <c r="I279" s="673">
        <v>0.2485511322</v>
      </c>
      <c r="J279" s="669">
        <v>5.7983748178637363E-2</v>
      </c>
      <c r="K279" s="142">
        <v>336611</v>
      </c>
      <c r="L279" s="142" t="s">
        <v>1041</v>
      </c>
      <c r="M279" s="143" t="s">
        <v>535</v>
      </c>
      <c r="N279" s="143" t="s">
        <v>1042</v>
      </c>
      <c r="O279" s="144">
        <v>0.23435307740000003</v>
      </c>
      <c r="P279" s="144">
        <v>1.4411926259000004E-2</v>
      </c>
      <c r="Q279" s="144">
        <v>0.2485511322</v>
      </c>
    </row>
    <row r="280" spans="3:17" ht="56" hidden="1">
      <c r="C280" s="665" t="s">
        <v>1043</v>
      </c>
      <c r="D280" s="666"/>
      <c r="E280" s="666"/>
      <c r="F280" s="670"/>
      <c r="G280" s="660" t="str">
        <f>IFERROR(IF(E280="","",IF(F280="Direct-from-manufacturer",(E280*H280/1000*'Inventory Settings'!$J$21),(E280*I280/1000*'Inventory Settings'!$J$21))),"")</f>
        <v/>
      </c>
      <c r="H280" s="673">
        <v>0.11656160195000001</v>
      </c>
      <c r="I280" s="673">
        <v>0.16801316775999997</v>
      </c>
      <c r="J280" s="669">
        <v>0.3068596362735469</v>
      </c>
      <c r="K280" s="142">
        <v>336612</v>
      </c>
      <c r="L280" s="142" t="s">
        <v>1044</v>
      </c>
      <c r="M280" s="143" t="s">
        <v>535</v>
      </c>
      <c r="N280" s="143" t="s">
        <v>1042</v>
      </c>
      <c r="O280" s="144">
        <v>0.11656160195000001</v>
      </c>
      <c r="P280" s="144">
        <v>5.1556459548000005E-2</v>
      </c>
      <c r="Q280" s="144">
        <v>0.16801316775999997</v>
      </c>
    </row>
    <row r="281" spans="3:17" ht="56" hidden="1">
      <c r="C281" s="665" t="s">
        <v>1045</v>
      </c>
      <c r="D281" s="666"/>
      <c r="E281" s="666"/>
      <c r="F281" s="670"/>
      <c r="G281" s="660" t="str">
        <f>IFERROR(IF(E281="","",IF(F281="Direct-from-manufacturer",(E281*H281/1000*'Inventory Settings'!$J$21),(E281*I281/1000*'Inventory Settings'!$J$21))),"")</f>
        <v/>
      </c>
      <c r="H281" s="673">
        <v>0.16822563030999996</v>
      </c>
      <c r="I281" s="673">
        <v>0.23192723029999998</v>
      </c>
      <c r="J281" s="669">
        <v>0.27355456911175818</v>
      </c>
      <c r="K281" s="142">
        <v>336991</v>
      </c>
      <c r="L281" s="142" t="s">
        <v>1046</v>
      </c>
      <c r="M281" s="143" t="s">
        <v>535</v>
      </c>
      <c r="N281" s="143" t="s">
        <v>1047</v>
      </c>
      <c r="O281" s="144">
        <v>0.16822563030999996</v>
      </c>
      <c r="P281" s="144">
        <v>6.3444753549999997E-2</v>
      </c>
      <c r="Q281" s="144">
        <v>0.23192723029999998</v>
      </c>
    </row>
    <row r="282" spans="3:17" ht="56" hidden="1">
      <c r="C282" s="665" t="s">
        <v>1048</v>
      </c>
      <c r="D282" s="666"/>
      <c r="E282" s="666"/>
      <c r="F282" s="670"/>
      <c r="G282" s="660" t="str">
        <f>IFERROR(IF(E282="","",IF(F282="Direct-from-manufacturer",(E282*H282/1000*'Inventory Settings'!$J$21),(E282*I282/1000*'Inventory Settings'!$J$21))),"")</f>
        <v/>
      </c>
      <c r="H282" s="673">
        <v>0.38330778100000001</v>
      </c>
      <c r="I282" s="673">
        <v>0.39976558779999993</v>
      </c>
      <c r="J282" s="669">
        <v>4.0586246826020585E-2</v>
      </c>
      <c r="K282" s="142">
        <v>336992</v>
      </c>
      <c r="L282" s="142" t="s">
        <v>1049</v>
      </c>
      <c r="M282" s="143" t="s">
        <v>535</v>
      </c>
      <c r="N282" s="143" t="s">
        <v>1047</v>
      </c>
      <c r="O282" s="144">
        <v>0.38330778100000001</v>
      </c>
      <c r="P282" s="144">
        <v>1.6224984819000001E-2</v>
      </c>
      <c r="Q282" s="144">
        <v>0.39976558779999993</v>
      </c>
    </row>
    <row r="283" spans="3:17" ht="56" hidden="1">
      <c r="C283" s="665" t="s">
        <v>1050</v>
      </c>
      <c r="D283" s="666"/>
      <c r="E283" s="666"/>
      <c r="F283" s="670"/>
      <c r="G283" s="660" t="str">
        <f>IFERROR(IF(E283="","",IF(F283="Direct-from-manufacturer",(E283*H283/1000*'Inventory Settings'!$J$21),(E283*I283/1000*'Inventory Settings'!$J$21))),"")</f>
        <v/>
      </c>
      <c r="H283" s="673">
        <v>0.23977891439999996</v>
      </c>
      <c r="I283" s="673">
        <v>0.29360962730000006</v>
      </c>
      <c r="J283" s="669">
        <v>0.18261034576096136</v>
      </c>
      <c r="K283" s="142">
        <v>336999</v>
      </c>
      <c r="L283" s="142" t="s">
        <v>1051</v>
      </c>
      <c r="M283" s="143" t="s">
        <v>535</v>
      </c>
      <c r="N283" s="143" t="s">
        <v>1047</v>
      </c>
      <c r="O283" s="144">
        <v>0.23977891439999996</v>
      </c>
      <c r="P283" s="144">
        <v>5.361615556000001E-2</v>
      </c>
      <c r="Q283" s="144">
        <v>0.29360962730000006</v>
      </c>
    </row>
    <row r="284" spans="3:17" ht="56" hidden="1">
      <c r="C284" s="665" t="s">
        <v>1052</v>
      </c>
      <c r="D284" s="666"/>
      <c r="E284" s="666"/>
      <c r="F284" s="670"/>
      <c r="G284" s="660" t="str">
        <f>IFERROR(IF(E284="","",IF(F284="Direct-from-manufacturer",(E284*H284/1000*'Inventory Settings'!$J$21),(E284*I284/1000*'Inventory Settings'!$J$21))),"")</f>
        <v/>
      </c>
      <c r="H284" s="673">
        <v>0.12331445921999998</v>
      </c>
      <c r="I284" s="673">
        <v>0.19928986029999998</v>
      </c>
      <c r="J284" s="669">
        <v>0.37908055290056319</v>
      </c>
      <c r="K284" s="142">
        <v>337110</v>
      </c>
      <c r="L284" s="142" t="s">
        <v>1053</v>
      </c>
      <c r="M284" s="143" t="s">
        <v>535</v>
      </c>
      <c r="N284" s="143" t="s">
        <v>1054</v>
      </c>
      <c r="O284" s="144">
        <v>0.12331445921999998</v>
      </c>
      <c r="P284" s="144">
        <v>7.5546910429999989E-2</v>
      </c>
      <c r="Q284" s="144">
        <v>0.19928986029999998</v>
      </c>
    </row>
    <row r="285" spans="3:17" ht="56" hidden="1">
      <c r="C285" s="665" t="s">
        <v>1055</v>
      </c>
      <c r="D285" s="666"/>
      <c r="E285" s="666"/>
      <c r="F285" s="670"/>
      <c r="G285" s="660" t="str">
        <f>IFERROR(IF(E285="","",IF(F285="Direct-from-manufacturer",(E285*H285/1000*'Inventory Settings'!$J$21),(E285*I285/1000*'Inventory Settings'!$J$21))),"")</f>
        <v/>
      </c>
      <c r="H285" s="673">
        <v>0.15395887516000001</v>
      </c>
      <c r="I285" s="673">
        <v>0.25405318479000005</v>
      </c>
      <c r="J285" s="669">
        <v>0.39210367629259107</v>
      </c>
      <c r="K285" s="142">
        <v>337121</v>
      </c>
      <c r="L285" s="142" t="s">
        <v>1056</v>
      </c>
      <c r="M285" s="143" t="s">
        <v>535</v>
      </c>
      <c r="N285" s="143" t="s">
        <v>1054</v>
      </c>
      <c r="O285" s="144">
        <v>0.15395887516000001</v>
      </c>
      <c r="P285" s="144">
        <v>9.9615187729999999E-2</v>
      </c>
      <c r="Q285" s="144">
        <v>0.25405318479000005</v>
      </c>
    </row>
    <row r="286" spans="3:17" ht="70" hidden="1">
      <c r="C286" s="665" t="s">
        <v>1057</v>
      </c>
      <c r="D286" s="666"/>
      <c r="E286" s="666"/>
      <c r="F286" s="670"/>
      <c r="G286" s="660" t="str">
        <f>IFERROR(IF(E286="","",IF(F286="Direct-from-manufacturer",(E286*H286/1000*'Inventory Settings'!$J$21),(E286*I286/1000*'Inventory Settings'!$J$21))),"")</f>
        <v/>
      </c>
      <c r="H286" s="673">
        <v>0.11454794624</v>
      </c>
      <c r="I286" s="673">
        <v>0.21655252471000003</v>
      </c>
      <c r="J286" s="669">
        <v>0.46921526223752136</v>
      </c>
      <c r="K286" s="142">
        <v>337122</v>
      </c>
      <c r="L286" s="142" t="s">
        <v>1058</v>
      </c>
      <c r="M286" s="143" t="s">
        <v>535</v>
      </c>
      <c r="N286" s="143" t="s">
        <v>1054</v>
      </c>
      <c r="O286" s="144">
        <v>0.11454794624</v>
      </c>
      <c r="P286" s="144">
        <v>0.10160974966999999</v>
      </c>
      <c r="Q286" s="144">
        <v>0.21655252471000003</v>
      </c>
    </row>
    <row r="287" spans="3:17" ht="70" hidden="1">
      <c r="C287" s="665" t="s">
        <v>1059</v>
      </c>
      <c r="D287" s="666"/>
      <c r="E287" s="666"/>
      <c r="F287" s="670"/>
      <c r="G287" s="660" t="str">
        <f>IFERROR(IF(E287="","",IF(F287="Direct-from-manufacturer",(E287*H287/1000*'Inventory Settings'!$J$21),(E287*I287/1000*'Inventory Settings'!$J$21))),"")</f>
        <v/>
      </c>
      <c r="H287" s="673">
        <v>0.18610794246000001</v>
      </c>
      <c r="I287" s="673">
        <v>0.29808955510000001</v>
      </c>
      <c r="J287" s="669">
        <v>0.37793598525183608</v>
      </c>
      <c r="K287" s="142" t="s">
        <v>1060</v>
      </c>
      <c r="L287" s="142" t="s">
        <v>1061</v>
      </c>
      <c r="M287" s="143" t="s">
        <v>535</v>
      </c>
      <c r="N287" s="143" t="s">
        <v>1054</v>
      </c>
      <c r="O287" s="144">
        <v>0.18610794246000001</v>
      </c>
      <c r="P287" s="144">
        <v>0.11265876969999998</v>
      </c>
      <c r="Q287" s="144">
        <v>0.29808955510000001</v>
      </c>
    </row>
    <row r="288" spans="3:17" ht="84" hidden="1">
      <c r="C288" s="665" t="s">
        <v>1062</v>
      </c>
      <c r="D288" s="666"/>
      <c r="E288" s="666"/>
      <c r="F288" s="670"/>
      <c r="G288" s="660" t="str">
        <f>IFERROR(IF(E288="","",IF(F288="Direct-from-manufacturer",(E288*H288/1000*'Inventory Settings'!$J$21),(E288*I288/1000*'Inventory Settings'!$J$21))),"")</f>
        <v/>
      </c>
      <c r="H288" s="673">
        <v>0.21575822520000007</v>
      </c>
      <c r="I288" s="673">
        <v>0.30303938479999998</v>
      </c>
      <c r="J288" s="669">
        <v>0.28831369373872889</v>
      </c>
      <c r="K288" s="142">
        <v>337127</v>
      </c>
      <c r="L288" s="142" t="s">
        <v>1063</v>
      </c>
      <c r="M288" s="143" t="s">
        <v>535</v>
      </c>
      <c r="N288" s="143" t="s">
        <v>1054</v>
      </c>
      <c r="O288" s="144">
        <v>0.21575822520000007</v>
      </c>
      <c r="P288" s="144">
        <v>8.7370404380000002E-2</v>
      </c>
      <c r="Q288" s="144">
        <v>0.30303938479999998</v>
      </c>
    </row>
    <row r="289" spans="3:17" ht="70" hidden="1">
      <c r="C289" s="665" t="s">
        <v>1064</v>
      </c>
      <c r="D289" s="666"/>
      <c r="E289" s="666"/>
      <c r="F289" s="670"/>
      <c r="G289" s="660" t="str">
        <f>IFERROR(IF(E289="","",IF(F289="Direct-from-manufacturer",(E289*H289/1000*'Inventory Settings'!$J$21),(E289*I289/1000*'Inventory Settings'!$J$21))),"")</f>
        <v/>
      </c>
      <c r="H289" s="673">
        <v>0.21907498089999999</v>
      </c>
      <c r="I289" s="673">
        <v>0.30982727810000005</v>
      </c>
      <c r="J289" s="669">
        <v>0.29294262205248983</v>
      </c>
      <c r="K289" s="142" t="s">
        <v>1065</v>
      </c>
      <c r="L289" s="142" t="s">
        <v>1066</v>
      </c>
      <c r="M289" s="143" t="s">
        <v>535</v>
      </c>
      <c r="N289" s="143" t="s">
        <v>1067</v>
      </c>
      <c r="O289" s="144">
        <v>0.21907498089999999</v>
      </c>
      <c r="P289" s="144">
        <v>9.0761615229999981E-2</v>
      </c>
      <c r="Q289" s="144">
        <v>0.30982727810000005</v>
      </c>
    </row>
    <row r="290" spans="3:17" ht="56" hidden="1">
      <c r="C290" s="665" t="s">
        <v>1068</v>
      </c>
      <c r="D290" s="666"/>
      <c r="E290" s="666"/>
      <c r="F290" s="670"/>
      <c r="G290" s="660" t="str">
        <f>IFERROR(IF(E290="","",IF(F290="Direct-from-manufacturer",(E290*H290/1000*'Inventory Settings'!$J$21),(E290*I290/1000*'Inventory Settings'!$J$21))),"")</f>
        <v/>
      </c>
      <c r="H290" s="673">
        <v>0.25619963430000003</v>
      </c>
      <c r="I290" s="673">
        <v>0.34339310989999999</v>
      </c>
      <c r="J290" s="669">
        <v>0.25408103443137831</v>
      </c>
      <c r="K290" s="142">
        <v>337215</v>
      </c>
      <c r="L290" s="142" t="s">
        <v>1069</v>
      </c>
      <c r="M290" s="143" t="s">
        <v>535</v>
      </c>
      <c r="N290" s="143" t="s">
        <v>1067</v>
      </c>
      <c r="O290" s="144">
        <v>0.25619963430000003</v>
      </c>
      <c r="P290" s="144">
        <v>8.7249676579999977E-2</v>
      </c>
      <c r="Q290" s="144">
        <v>0.34339310989999999</v>
      </c>
    </row>
    <row r="291" spans="3:17" ht="42" hidden="1">
      <c r="C291" s="665" t="s">
        <v>1070</v>
      </c>
      <c r="D291" s="666"/>
      <c r="E291" s="666"/>
      <c r="F291" s="670"/>
      <c r="G291" s="660" t="str">
        <f>IFERROR(IF(E291="","",IF(F291="Direct-from-manufacturer",(E291*H291/1000*'Inventory Settings'!$J$21),(E291*I291/1000*'Inventory Settings'!$J$21))),"")</f>
        <v/>
      </c>
      <c r="H291" s="673">
        <v>0.12572030264</v>
      </c>
      <c r="I291" s="673">
        <v>0.22980566264999999</v>
      </c>
      <c r="J291" s="669">
        <v>0.45400212469481543</v>
      </c>
      <c r="K291" s="142">
        <v>337900</v>
      </c>
      <c r="L291" s="142" t="s">
        <v>1071</v>
      </c>
      <c r="M291" s="143" t="s">
        <v>535</v>
      </c>
      <c r="N291" s="143" t="s">
        <v>1072</v>
      </c>
      <c r="O291" s="144">
        <v>0.12572030264</v>
      </c>
      <c r="P291" s="144">
        <v>0.10433225910999999</v>
      </c>
      <c r="Q291" s="144">
        <v>0.22980566264999999</v>
      </c>
    </row>
    <row r="292" spans="3:17" ht="84" hidden="1">
      <c r="C292" s="665" t="s">
        <v>1073</v>
      </c>
      <c r="D292" s="666"/>
      <c r="E292" s="666"/>
      <c r="F292" s="670"/>
      <c r="G292" s="660" t="str">
        <f>IFERROR(IF(E292="","",IF(F292="Direct-from-manufacturer",(E292*H292/1000*'Inventory Settings'!$J$21),(E292*I292/1000*'Inventory Settings'!$J$21))),"")</f>
        <v/>
      </c>
      <c r="H292" s="673">
        <v>0.14773234738999999</v>
      </c>
      <c r="I292" s="673">
        <v>0.19278994187999998</v>
      </c>
      <c r="J292" s="669">
        <v>0.23220592715290467</v>
      </c>
      <c r="K292" s="142">
        <v>339112</v>
      </c>
      <c r="L292" s="142" t="s">
        <v>1074</v>
      </c>
      <c r="M292" s="143" t="s">
        <v>535</v>
      </c>
      <c r="N292" s="143" t="s">
        <v>1075</v>
      </c>
      <c r="O292" s="144">
        <v>0.14773234738999999</v>
      </c>
      <c r="P292" s="144">
        <v>4.47669672E-2</v>
      </c>
      <c r="Q292" s="144">
        <v>0.19278994187999998</v>
      </c>
    </row>
    <row r="293" spans="3:17" ht="70" hidden="1">
      <c r="C293" s="665" t="s">
        <v>1076</v>
      </c>
      <c r="D293" s="666"/>
      <c r="E293" s="666"/>
      <c r="F293" s="670"/>
      <c r="G293" s="660" t="str">
        <f>IFERROR(IF(E293="","",IF(F293="Direct-from-manufacturer",(E293*H293/1000*'Inventory Settings'!$J$21),(E293*I293/1000*'Inventory Settings'!$J$21))),"")</f>
        <v/>
      </c>
      <c r="H293" s="673">
        <v>0.11152145585000002</v>
      </c>
      <c r="I293" s="673">
        <v>0.17152076716000003</v>
      </c>
      <c r="J293" s="669">
        <v>0.35160471602685422</v>
      </c>
      <c r="K293" s="142">
        <v>339113</v>
      </c>
      <c r="L293" s="142" t="s">
        <v>1077</v>
      </c>
      <c r="M293" s="143" t="s">
        <v>535</v>
      </c>
      <c r="N293" s="143" t="s">
        <v>1075</v>
      </c>
      <c r="O293" s="144">
        <v>0.11152145585000002</v>
      </c>
      <c r="P293" s="144">
        <v>6.0307510629999998E-2</v>
      </c>
      <c r="Q293" s="144">
        <v>0.17152076716000003</v>
      </c>
    </row>
    <row r="294" spans="3:17" ht="56" hidden="1">
      <c r="C294" s="665" t="s">
        <v>1078</v>
      </c>
      <c r="D294" s="666"/>
      <c r="E294" s="666"/>
      <c r="F294" s="670"/>
      <c r="G294" s="660" t="str">
        <f>IFERROR(IF(E294="","",IF(F294="Direct-from-manufacturer",(E294*H294/1000*'Inventory Settings'!$J$21),(E294*I294/1000*'Inventory Settings'!$J$21))),"")</f>
        <v/>
      </c>
      <c r="H294" s="673">
        <v>0.14049331997999995</v>
      </c>
      <c r="I294" s="673">
        <v>0.17225781189999997</v>
      </c>
      <c r="J294" s="669">
        <v>0.18364651484348732</v>
      </c>
      <c r="K294" s="142">
        <v>339114</v>
      </c>
      <c r="L294" s="142" t="s">
        <v>1079</v>
      </c>
      <c r="M294" s="143" t="s">
        <v>535</v>
      </c>
      <c r="N294" s="143" t="s">
        <v>1075</v>
      </c>
      <c r="O294" s="144">
        <v>0.14049331997999995</v>
      </c>
      <c r="P294" s="144">
        <v>3.163454680999999E-2</v>
      </c>
      <c r="Q294" s="144">
        <v>0.17225781189999997</v>
      </c>
    </row>
    <row r="295" spans="3:17" ht="70" hidden="1">
      <c r="C295" s="665" t="s">
        <v>1080</v>
      </c>
      <c r="D295" s="666"/>
      <c r="E295" s="666"/>
      <c r="F295" s="670"/>
      <c r="G295" s="660" t="str">
        <f>IFERROR(IF(E295="","",IF(F295="Direct-from-manufacturer",(E295*H295/1000*'Inventory Settings'!$J$21),(E295*I295/1000*'Inventory Settings'!$J$21))),"")</f>
        <v/>
      </c>
      <c r="H295" s="673">
        <v>5.6762627810000001E-2</v>
      </c>
      <c r="I295" s="673">
        <v>0.14001880463999997</v>
      </c>
      <c r="J295" s="669">
        <v>0.59241152338979153</v>
      </c>
      <c r="K295" s="142">
        <v>339115</v>
      </c>
      <c r="L295" s="142" t="s">
        <v>1081</v>
      </c>
      <c r="M295" s="143" t="s">
        <v>535</v>
      </c>
      <c r="N295" s="143" t="s">
        <v>1075</v>
      </c>
      <c r="O295" s="144">
        <v>5.6762627810000001E-2</v>
      </c>
      <c r="P295" s="144">
        <v>8.2948753359999988E-2</v>
      </c>
      <c r="Q295" s="144">
        <v>0.14001880463999997</v>
      </c>
    </row>
    <row r="296" spans="3:17" ht="56" hidden="1">
      <c r="C296" s="665" t="s">
        <v>1082</v>
      </c>
      <c r="D296" s="666"/>
      <c r="E296" s="666"/>
      <c r="F296" s="670"/>
      <c r="G296" s="660" t="str">
        <f>IFERROR(IF(E296="","",IF(F296="Direct-from-manufacturer",(E296*H296/1000*'Inventory Settings'!$J$21),(E296*I296/1000*'Inventory Settings'!$J$21))),"")</f>
        <v/>
      </c>
      <c r="H296" s="673">
        <v>7.6168806490000004E-2</v>
      </c>
      <c r="I296" s="673">
        <v>0.10489651663999995</v>
      </c>
      <c r="J296" s="669">
        <v>0.27281862531445839</v>
      </c>
      <c r="K296" s="142">
        <v>339116</v>
      </c>
      <c r="L296" s="142" t="s">
        <v>1083</v>
      </c>
      <c r="M296" s="143" t="s">
        <v>535</v>
      </c>
      <c r="N296" s="143" t="s">
        <v>1075</v>
      </c>
      <c r="O296" s="144">
        <v>7.6168806490000004E-2</v>
      </c>
      <c r="P296" s="144">
        <v>2.8617723469999998E-2</v>
      </c>
      <c r="Q296" s="144">
        <v>0.10489651663999995</v>
      </c>
    </row>
    <row r="297" spans="3:17" ht="154" hidden="1">
      <c r="C297" s="665" t="s">
        <v>1084</v>
      </c>
      <c r="D297" s="666"/>
      <c r="E297" s="666"/>
      <c r="F297" s="670"/>
      <c r="G297" s="660" t="str">
        <f>IFERROR(IF(E297="","",IF(F297="Direct-from-manufacturer",(E297*H297/1000*'Inventory Settings'!$J$21),(E297*I297/1000*'Inventory Settings'!$J$21))),"")</f>
        <v/>
      </c>
      <c r="H297" s="673">
        <v>7.3755188949999981E-2</v>
      </c>
      <c r="I297" s="673">
        <v>0.15803185306000003</v>
      </c>
      <c r="J297" s="669">
        <v>0.5326390548495411</v>
      </c>
      <c r="K297" s="142">
        <v>339910</v>
      </c>
      <c r="L297" s="142" t="s">
        <v>1085</v>
      </c>
      <c r="M297" s="143" t="s">
        <v>535</v>
      </c>
      <c r="N297" s="143" t="s">
        <v>1086</v>
      </c>
      <c r="O297" s="144">
        <v>7.3755188949999981E-2</v>
      </c>
      <c r="P297" s="144">
        <v>8.4173936849999978E-2</v>
      </c>
      <c r="Q297" s="144">
        <v>0.15803185306000003</v>
      </c>
    </row>
    <row r="298" spans="3:17" ht="42" hidden="1">
      <c r="C298" s="665" t="s">
        <v>1087</v>
      </c>
      <c r="D298" s="666"/>
      <c r="E298" s="666"/>
      <c r="F298" s="670"/>
      <c r="G298" s="660" t="str">
        <f>IFERROR(IF(E298="","",IF(F298="Direct-from-manufacturer",(E298*H298/1000*'Inventory Settings'!$J$21),(E298*I298/1000*'Inventory Settings'!$J$21))),"")</f>
        <v/>
      </c>
      <c r="H298" s="673">
        <v>0.12007998269999998</v>
      </c>
      <c r="I298" s="673">
        <v>0.23137969706000003</v>
      </c>
      <c r="J298" s="669">
        <v>0.48277504690065126</v>
      </c>
      <c r="K298" s="142">
        <v>339920</v>
      </c>
      <c r="L298" s="142" t="s">
        <v>1088</v>
      </c>
      <c r="M298" s="143" t="s">
        <v>535</v>
      </c>
      <c r="N298" s="143" t="s">
        <v>1086</v>
      </c>
      <c r="O298" s="144">
        <v>0.12007998269999998</v>
      </c>
      <c r="P298" s="144">
        <v>0.11170434409999999</v>
      </c>
      <c r="Q298" s="144">
        <v>0.23137969706000003</v>
      </c>
    </row>
    <row r="299" spans="3:17" ht="56" hidden="1">
      <c r="C299" s="665" t="s">
        <v>1089</v>
      </c>
      <c r="D299" s="666"/>
      <c r="E299" s="666"/>
      <c r="F299" s="670"/>
      <c r="G299" s="660" t="str">
        <f>IFERROR(IF(E299="","",IF(F299="Direct-from-manufacturer",(E299*H299/1000*'Inventory Settings'!$J$21),(E299*I299/1000*'Inventory Settings'!$J$21))),"")</f>
        <v/>
      </c>
      <c r="H299" s="673">
        <v>7.8438295069999983E-2</v>
      </c>
      <c r="I299" s="673">
        <v>0.18942113122999998</v>
      </c>
      <c r="J299" s="669">
        <v>0.58590417536490169</v>
      </c>
      <c r="K299" s="142">
        <v>339930</v>
      </c>
      <c r="L299" s="142" t="s">
        <v>1090</v>
      </c>
      <c r="M299" s="143" t="s">
        <v>535</v>
      </c>
      <c r="N299" s="143" t="s">
        <v>1086</v>
      </c>
      <c r="O299" s="144">
        <v>7.8438295069999983E-2</v>
      </c>
      <c r="P299" s="144">
        <v>0.11098263168999997</v>
      </c>
      <c r="Q299" s="144">
        <v>0.18942113122999998</v>
      </c>
    </row>
    <row r="300" spans="3:17" ht="56" hidden="1">
      <c r="C300" s="665" t="s">
        <v>1091</v>
      </c>
      <c r="D300" s="666"/>
      <c r="E300" s="666"/>
      <c r="F300" s="670"/>
      <c r="G300" s="660" t="str">
        <f>IFERROR(IF(E300="","",IF(F300="Direct-from-manufacturer",(E300*H300/1000*'Inventory Settings'!$J$21),(E300*I300/1000*'Inventory Settings'!$J$21))),"")</f>
        <v/>
      </c>
      <c r="H300" s="673">
        <v>0.19156117749999996</v>
      </c>
      <c r="I300" s="673">
        <v>0.29582026540000012</v>
      </c>
      <c r="J300" s="669">
        <v>0.35186515599008705</v>
      </c>
      <c r="K300" s="142">
        <v>339940</v>
      </c>
      <c r="L300" s="142" t="s">
        <v>1092</v>
      </c>
      <c r="M300" s="143" t="s">
        <v>535</v>
      </c>
      <c r="N300" s="143" t="s">
        <v>1086</v>
      </c>
      <c r="O300" s="144">
        <v>0.19156117749999996</v>
      </c>
      <c r="P300" s="144">
        <v>0.10408884383</v>
      </c>
      <c r="Q300" s="144">
        <v>0.29582026540000012</v>
      </c>
    </row>
    <row r="301" spans="3:17" ht="42" hidden="1">
      <c r="C301" s="665" t="s">
        <v>1093</v>
      </c>
      <c r="D301" s="666"/>
      <c r="E301" s="666"/>
      <c r="F301" s="670"/>
      <c r="G301" s="660" t="str">
        <f>IFERROR(IF(E301="","",IF(F301="Direct-from-manufacturer",(E301*H301/1000*'Inventory Settings'!$J$21),(E301*I301/1000*'Inventory Settings'!$J$21))),"")</f>
        <v/>
      </c>
      <c r="H301" s="673">
        <v>0.22379281440000001</v>
      </c>
      <c r="I301" s="673">
        <v>0.32321137970000002</v>
      </c>
      <c r="J301" s="669">
        <v>0.30859746996711312</v>
      </c>
      <c r="K301" s="142">
        <v>339950</v>
      </c>
      <c r="L301" s="142" t="s">
        <v>1094</v>
      </c>
      <c r="M301" s="143" t="s">
        <v>535</v>
      </c>
      <c r="N301" s="143" t="s">
        <v>1086</v>
      </c>
      <c r="O301" s="144">
        <v>0.22379281440000001</v>
      </c>
      <c r="P301" s="144">
        <v>9.9742214039999957E-2</v>
      </c>
      <c r="Q301" s="144">
        <v>0.32321137970000002</v>
      </c>
    </row>
    <row r="302" spans="3:17" ht="62" hidden="1">
      <c r="C302" s="665" t="s">
        <v>1095</v>
      </c>
      <c r="D302" s="666"/>
      <c r="E302" s="666"/>
      <c r="F302" s="670"/>
      <c r="G302" s="660" t="str">
        <f>IFERROR(IF(E302="","",IF(F302="Direct-from-manufacturer",(E302*H302/1000*'Inventory Settings'!$J$21),(E302*I302/1000*'Inventory Settings'!$J$21))),"")</f>
        <v/>
      </c>
      <c r="H302" s="673">
        <v>0.12451893318</v>
      </c>
      <c r="I302" s="673">
        <v>0.22782967507999996</v>
      </c>
      <c r="J302" s="669">
        <v>0.45334251771079681</v>
      </c>
      <c r="K302" s="142">
        <v>339990</v>
      </c>
      <c r="L302" s="142" t="s">
        <v>1096</v>
      </c>
      <c r="M302" s="143" t="s">
        <v>535</v>
      </c>
      <c r="N302" s="143" t="s">
        <v>1086</v>
      </c>
      <c r="O302" s="144">
        <v>0.12451893318</v>
      </c>
      <c r="P302" s="144">
        <v>0.10328487850999997</v>
      </c>
      <c r="Q302" s="144">
        <v>0.22782967507999996</v>
      </c>
    </row>
    <row r="303" spans="3:17" ht="56" hidden="1">
      <c r="C303" s="665" t="s">
        <v>1097</v>
      </c>
      <c r="D303" s="666"/>
      <c r="E303" s="666"/>
      <c r="F303" s="670" t="s">
        <v>413</v>
      </c>
      <c r="G303" s="660" t="str">
        <f>IFERROR(IF(E303="","",IF(F303="Direct-from-manufacturer",(E303*H303/1000*'Inventory Settings'!$J$21),(E303*I303/1000*'Inventory Settings'!$J$21))),"")</f>
        <v/>
      </c>
      <c r="H303" s="673">
        <v>0.15160854909999999</v>
      </c>
      <c r="I303" s="673">
        <v>0.15160854909999999</v>
      </c>
      <c r="J303" s="669">
        <v>0</v>
      </c>
      <c r="K303" s="142">
        <v>423100</v>
      </c>
      <c r="L303" s="142" t="s">
        <v>1098</v>
      </c>
      <c r="M303" s="143" t="s">
        <v>1099</v>
      </c>
      <c r="N303" s="143" t="s">
        <v>1100</v>
      </c>
      <c r="O303" s="144">
        <v>0.15160854909999999</v>
      </c>
      <c r="P303" s="144">
        <v>0</v>
      </c>
      <c r="Q303" s="144">
        <v>0.15160854909999999</v>
      </c>
    </row>
    <row r="304" spans="3:17" ht="392" hidden="1">
      <c r="C304" s="665" t="s">
        <v>1101</v>
      </c>
      <c r="D304" s="666"/>
      <c r="E304" s="666"/>
      <c r="F304" s="670" t="s">
        <v>413</v>
      </c>
      <c r="G304" s="660" t="str">
        <f>IFERROR(IF(E304="","",IF(F304="Direct-from-manufacturer",(E304*H304/1000*'Inventory Settings'!$J$21),(E304*I304/1000*'Inventory Settings'!$J$21))),"")</f>
        <v/>
      </c>
      <c r="H304" s="673">
        <v>0.15001578610999999</v>
      </c>
      <c r="I304" s="673">
        <v>0.15001578610999999</v>
      </c>
      <c r="J304" s="669">
        <v>0</v>
      </c>
      <c r="K304" s="142" t="s">
        <v>1102</v>
      </c>
      <c r="L304" s="142" t="s">
        <v>1103</v>
      </c>
      <c r="M304" s="143" t="s">
        <v>1099</v>
      </c>
      <c r="N304" s="143" t="s">
        <v>1104</v>
      </c>
      <c r="O304" s="144">
        <v>0.15001578610999999</v>
      </c>
      <c r="P304" s="144">
        <v>0</v>
      </c>
      <c r="Q304" s="144">
        <v>0.15001578610999999</v>
      </c>
    </row>
    <row r="305" spans="3:17" ht="70" hidden="1">
      <c r="C305" s="665" t="s">
        <v>1105</v>
      </c>
      <c r="D305" s="666"/>
      <c r="E305" s="666"/>
      <c r="F305" s="670" t="s">
        <v>413</v>
      </c>
      <c r="G305" s="660" t="str">
        <f>IFERROR(IF(E305="","",IF(F305="Direct-from-manufacturer",(E305*H305/1000*'Inventory Settings'!$J$21),(E305*I305/1000*'Inventory Settings'!$J$21))),"")</f>
        <v/>
      </c>
      <c r="H305" s="673">
        <v>8.6743921900000007E-2</v>
      </c>
      <c r="I305" s="673">
        <v>8.6743921900000007E-2</v>
      </c>
      <c r="J305" s="669">
        <v>0</v>
      </c>
      <c r="K305" s="142">
        <v>423400</v>
      </c>
      <c r="L305" s="142" t="s">
        <v>1106</v>
      </c>
      <c r="M305" s="143" t="s">
        <v>1099</v>
      </c>
      <c r="N305" s="143" t="s">
        <v>1107</v>
      </c>
      <c r="O305" s="144">
        <v>8.6743921900000007E-2</v>
      </c>
      <c r="P305" s="144">
        <v>0</v>
      </c>
      <c r="Q305" s="144">
        <v>8.6743921900000007E-2</v>
      </c>
    </row>
    <row r="306" spans="3:17" ht="70" hidden="1">
      <c r="C306" s="665" t="s">
        <v>1108</v>
      </c>
      <c r="D306" s="666"/>
      <c r="E306" s="666"/>
      <c r="F306" s="670" t="s">
        <v>413</v>
      </c>
      <c r="G306" s="660" t="str">
        <f>IFERROR(IF(E306="","",IF(F306="Direct-from-manufacturer",(E306*H306/1000*'Inventory Settings'!$J$21),(E306*I306/1000*'Inventory Settings'!$J$21))),"")</f>
        <v/>
      </c>
      <c r="H306" s="673">
        <v>0.11036140259999999</v>
      </c>
      <c r="I306" s="673">
        <v>0.11036140259999999</v>
      </c>
      <c r="J306" s="669">
        <v>0</v>
      </c>
      <c r="K306" s="142">
        <v>423600</v>
      </c>
      <c r="L306" s="142" t="s">
        <v>1109</v>
      </c>
      <c r="M306" s="143" t="s">
        <v>1099</v>
      </c>
      <c r="N306" s="143" t="s">
        <v>1110</v>
      </c>
      <c r="O306" s="144">
        <v>0.11036140259999999</v>
      </c>
      <c r="P306" s="144">
        <v>0</v>
      </c>
      <c r="Q306" s="144">
        <v>0.11036140259999999</v>
      </c>
    </row>
    <row r="307" spans="3:17" ht="56" hidden="1">
      <c r="C307" s="665" t="s">
        <v>1111</v>
      </c>
      <c r="D307" s="666"/>
      <c r="E307" s="666"/>
      <c r="F307" s="670" t="s">
        <v>413</v>
      </c>
      <c r="G307" s="660" t="str">
        <f>IFERROR(IF(E307="","",IF(F307="Direct-from-manufacturer",(E307*H307/1000*'Inventory Settings'!$J$21),(E307*I307/1000*'Inventory Settings'!$J$21))),"")</f>
        <v/>
      </c>
      <c r="H307" s="673">
        <v>0.11872632305999997</v>
      </c>
      <c r="I307" s="673">
        <v>0.11872632305999997</v>
      </c>
      <c r="J307" s="669">
        <v>0</v>
      </c>
      <c r="K307" s="142">
        <v>423800</v>
      </c>
      <c r="L307" s="142" t="s">
        <v>1112</v>
      </c>
      <c r="M307" s="143" t="s">
        <v>1099</v>
      </c>
      <c r="N307" s="143" t="s">
        <v>1113</v>
      </c>
      <c r="O307" s="144">
        <v>0.11872632305999997</v>
      </c>
      <c r="P307" s="144">
        <v>0</v>
      </c>
      <c r="Q307" s="144">
        <v>0.11872632305999997</v>
      </c>
    </row>
    <row r="308" spans="3:17" ht="294" hidden="1">
      <c r="C308" s="665" t="s">
        <v>1114</v>
      </c>
      <c r="D308" s="666"/>
      <c r="E308" s="666"/>
      <c r="F308" s="670" t="s">
        <v>413</v>
      </c>
      <c r="G308" s="660" t="str">
        <f>IFERROR(IF(E308="","",IF(F308="Direct-from-manufacturer",(E308*H308/1000*'Inventory Settings'!$J$21),(E308*I308/1000*'Inventory Settings'!$J$21))),"")</f>
        <v/>
      </c>
      <c r="H308" s="673">
        <v>0.18840258282999989</v>
      </c>
      <c r="I308" s="673">
        <v>0.18840258282999989</v>
      </c>
      <c r="J308" s="669">
        <v>0</v>
      </c>
      <c r="K308" s="142" t="s">
        <v>1115</v>
      </c>
      <c r="L308" s="142" t="s">
        <v>1116</v>
      </c>
      <c r="M308" s="143" t="s">
        <v>1099</v>
      </c>
      <c r="N308" s="143" t="s">
        <v>1117</v>
      </c>
      <c r="O308" s="144">
        <v>0.18840258282999989</v>
      </c>
      <c r="P308" s="144">
        <v>0</v>
      </c>
      <c r="Q308" s="144">
        <v>0.18840258282999989</v>
      </c>
    </row>
    <row r="309" spans="3:17" ht="56" hidden="1">
      <c r="C309" s="665" t="s">
        <v>1118</v>
      </c>
      <c r="D309" s="666"/>
      <c r="E309" s="666"/>
      <c r="F309" s="670" t="s">
        <v>413</v>
      </c>
      <c r="G309" s="660" t="str">
        <f>IFERROR(IF(E309="","",IF(F309="Direct-from-manufacturer",(E309*H309/1000*'Inventory Settings'!$J$21),(E309*I309/1000*'Inventory Settings'!$J$21))),"")</f>
        <v/>
      </c>
      <c r="H309" s="673">
        <v>0.13313951401999996</v>
      </c>
      <c r="I309" s="673">
        <v>0.13313951401999996</v>
      </c>
      <c r="J309" s="669">
        <v>0</v>
      </c>
      <c r="K309" s="142">
        <v>424200</v>
      </c>
      <c r="L309" s="142" t="s">
        <v>1119</v>
      </c>
      <c r="M309" s="143" t="s">
        <v>1099</v>
      </c>
      <c r="N309" s="143" t="s">
        <v>1120</v>
      </c>
      <c r="O309" s="144">
        <v>0.13313951401999996</v>
      </c>
      <c r="P309" s="144">
        <v>0</v>
      </c>
      <c r="Q309" s="144">
        <v>0.13313951401999996</v>
      </c>
    </row>
    <row r="310" spans="3:17" ht="98" hidden="1">
      <c r="C310" s="665" t="s">
        <v>1121</v>
      </c>
      <c r="D310" s="666"/>
      <c r="E310" s="666"/>
      <c r="F310" s="670" t="s">
        <v>413</v>
      </c>
      <c r="G310" s="660" t="str">
        <f>IFERROR(IF(E310="","",IF(F310="Direct-from-manufacturer",(E310*H310/1000*'Inventory Settings'!$J$21),(E310*I310/1000*'Inventory Settings'!$J$21))),"")</f>
        <v/>
      </c>
      <c r="H310" s="673">
        <v>0.24096581319999993</v>
      </c>
      <c r="I310" s="673">
        <v>0.24096581319999993</v>
      </c>
      <c r="J310" s="669">
        <v>0</v>
      </c>
      <c r="K310" s="142">
        <v>424400</v>
      </c>
      <c r="L310" s="142" t="s">
        <v>1122</v>
      </c>
      <c r="M310" s="143" t="s">
        <v>1099</v>
      </c>
      <c r="N310" s="143" t="s">
        <v>1123</v>
      </c>
      <c r="O310" s="144">
        <v>0.24096581319999993</v>
      </c>
      <c r="P310" s="144">
        <v>0</v>
      </c>
      <c r="Q310" s="144">
        <v>0.24096581319999993</v>
      </c>
    </row>
    <row r="311" spans="3:17" ht="42" hidden="1">
      <c r="C311" s="665" t="s">
        <v>1124</v>
      </c>
      <c r="D311" s="666"/>
      <c r="E311" s="666"/>
      <c r="F311" s="670" t="s">
        <v>413</v>
      </c>
      <c r="G311" s="660" t="str">
        <f>IFERROR(IF(E311="","",IF(F311="Direct-from-manufacturer",(E311*H311/1000*'Inventory Settings'!$J$21),(E311*I311/1000*'Inventory Settings'!$J$21))),"")</f>
        <v/>
      </c>
      <c r="H311" s="673">
        <v>8.0219132130000037E-2</v>
      </c>
      <c r="I311" s="673">
        <v>8.0219132130000037E-2</v>
      </c>
      <c r="J311" s="669">
        <v>0</v>
      </c>
      <c r="K311" s="142">
        <v>424700</v>
      </c>
      <c r="L311" s="142" t="s">
        <v>1125</v>
      </c>
      <c r="M311" s="143" t="s">
        <v>1099</v>
      </c>
      <c r="N311" s="143" t="s">
        <v>1126</v>
      </c>
      <c r="O311" s="144">
        <v>8.0219132130000037E-2</v>
      </c>
      <c r="P311" s="144">
        <v>0</v>
      </c>
      <c r="Q311" s="144">
        <v>8.0219132130000037E-2</v>
      </c>
    </row>
    <row r="312" spans="3:17" ht="70" hidden="1">
      <c r="C312" s="665" t="s">
        <v>1127</v>
      </c>
      <c r="D312" s="666"/>
      <c r="E312" s="666"/>
      <c r="F312" s="670" t="s">
        <v>413</v>
      </c>
      <c r="G312" s="660" t="str">
        <f>IFERROR(IF(E312="","",IF(F312="Direct-from-manufacturer",(E312*H312/1000*'Inventory Settings'!$J$21),(E312*I312/1000*'Inventory Settings'!$J$21))),"")</f>
        <v/>
      </c>
      <c r="H312" s="673">
        <v>5.1700660870000005E-2</v>
      </c>
      <c r="I312" s="673">
        <v>5.1700660870000005E-2</v>
      </c>
      <c r="J312" s="669">
        <v>0</v>
      </c>
      <c r="K312" s="142">
        <v>425000</v>
      </c>
      <c r="L312" s="142" t="s">
        <v>1128</v>
      </c>
      <c r="M312" s="143" t="s">
        <v>1099</v>
      </c>
      <c r="N312" s="143" t="s">
        <v>1129</v>
      </c>
      <c r="O312" s="144">
        <v>5.1700660870000005E-2</v>
      </c>
      <c r="P312" s="144">
        <v>0</v>
      </c>
      <c r="Q312" s="144">
        <v>5.1700660870000005E-2</v>
      </c>
    </row>
    <row r="313" spans="3:17" ht="154" hidden="1">
      <c r="C313" s="665" t="s">
        <v>1130</v>
      </c>
      <c r="D313" s="666"/>
      <c r="E313" s="666"/>
      <c r="F313" s="670" t="s">
        <v>413</v>
      </c>
      <c r="G313" s="660" t="str">
        <f>IFERROR(IF(E313="","",IF(F313="Direct-from-manufacturer",(E313*H313/1000*'Inventory Settings'!$J$21),(E313*I313/1000*'Inventory Settings'!$J$21))),"")</f>
        <v/>
      </c>
      <c r="H313" s="673">
        <v>0.10509732892</v>
      </c>
      <c r="I313" s="673">
        <v>0.10509732892</v>
      </c>
      <c r="J313" s="669">
        <v>0</v>
      </c>
      <c r="K313" s="142">
        <v>441000</v>
      </c>
      <c r="L313" s="142" t="s">
        <v>1131</v>
      </c>
      <c r="M313" s="143" t="s">
        <v>1132</v>
      </c>
      <c r="N313" s="143" t="s">
        <v>1133</v>
      </c>
      <c r="O313" s="144">
        <v>0.10509732892</v>
      </c>
      <c r="P313" s="144">
        <v>0</v>
      </c>
      <c r="Q313" s="144">
        <v>0.10509732892</v>
      </c>
    </row>
    <row r="314" spans="3:17" ht="42" hidden="1">
      <c r="C314" s="665" t="s">
        <v>1134</v>
      </c>
      <c r="D314" s="666"/>
      <c r="E314" s="666"/>
      <c r="F314" s="670" t="s">
        <v>413</v>
      </c>
      <c r="G314" s="660" t="str">
        <f>IFERROR(IF(E314="","",IF(F314="Direct-from-manufacturer",(E314*H314/1000*'Inventory Settings'!$J$21),(E314*I314/1000*'Inventory Settings'!$J$21))),"")</f>
        <v/>
      </c>
      <c r="H314" s="673">
        <v>0.16529738522000004</v>
      </c>
      <c r="I314" s="673">
        <v>0.16529738522000004</v>
      </c>
      <c r="J314" s="669">
        <v>0</v>
      </c>
      <c r="K314" s="142" t="s">
        <v>1135</v>
      </c>
      <c r="L314" s="142" t="s">
        <v>1136</v>
      </c>
      <c r="M314" s="143" t="s">
        <v>1132</v>
      </c>
      <c r="N314" s="143" t="s">
        <v>1137</v>
      </c>
      <c r="O314" s="144">
        <v>0.16529738522000004</v>
      </c>
      <c r="P314" s="144">
        <v>0</v>
      </c>
      <c r="Q314" s="144">
        <v>0.16529738522000004</v>
      </c>
    </row>
    <row r="315" spans="3:17" ht="42" hidden="1">
      <c r="C315" s="665" t="s">
        <v>1138</v>
      </c>
      <c r="D315" s="666"/>
      <c r="E315" s="666"/>
      <c r="F315" s="670" t="s">
        <v>413</v>
      </c>
      <c r="G315" s="660" t="str">
        <f>IFERROR(IF(E315="","",IF(F315="Direct-from-manufacturer",(E315*H315/1000*'Inventory Settings'!$J$21),(E315*I315/1000*'Inventory Settings'!$J$21))),"")</f>
        <v/>
      </c>
      <c r="H315" s="673">
        <v>0.10202691196699999</v>
      </c>
      <c r="I315" s="673">
        <v>0.10202691196699999</v>
      </c>
      <c r="J315" s="669">
        <v>0</v>
      </c>
      <c r="K315" s="142">
        <v>444000</v>
      </c>
      <c r="L315" s="142" t="s">
        <v>1139</v>
      </c>
      <c r="M315" s="143" t="s">
        <v>1132</v>
      </c>
      <c r="N315" s="143" t="s">
        <v>1140</v>
      </c>
      <c r="O315" s="144">
        <v>0.10202691196699999</v>
      </c>
      <c r="P315" s="144">
        <v>0</v>
      </c>
      <c r="Q315" s="144">
        <v>0.10202691196699999</v>
      </c>
    </row>
    <row r="316" spans="3:17" ht="84" hidden="1">
      <c r="C316" s="665" t="s">
        <v>1141</v>
      </c>
      <c r="D316" s="666"/>
      <c r="E316" s="666"/>
      <c r="F316" s="670" t="s">
        <v>413</v>
      </c>
      <c r="G316" s="660" t="str">
        <f>IFERROR(IF(E316="","",IF(F316="Direct-from-manufacturer",(E316*H316/1000*'Inventory Settings'!$J$21),(E316*I316/1000*'Inventory Settings'!$J$21))),"")</f>
        <v/>
      </c>
      <c r="H316" s="673">
        <v>0.24069188985999995</v>
      </c>
      <c r="I316" s="673">
        <v>0.24069188985999995</v>
      </c>
      <c r="J316" s="669">
        <v>0</v>
      </c>
      <c r="K316" s="142">
        <v>445000</v>
      </c>
      <c r="L316" s="142" t="s">
        <v>1142</v>
      </c>
      <c r="M316" s="143" t="s">
        <v>1132</v>
      </c>
      <c r="N316" s="143" t="s">
        <v>1143</v>
      </c>
      <c r="O316" s="144">
        <v>0.24069188985999995</v>
      </c>
      <c r="P316" s="144">
        <v>0</v>
      </c>
      <c r="Q316" s="144">
        <v>0.24069188985999995</v>
      </c>
    </row>
    <row r="317" spans="3:17" ht="28" hidden="1">
      <c r="C317" s="665" t="s">
        <v>1144</v>
      </c>
      <c r="D317" s="666"/>
      <c r="E317" s="666"/>
      <c r="F317" s="670" t="s">
        <v>413</v>
      </c>
      <c r="G317" s="660" t="str">
        <f>IFERROR(IF(E317="","",IF(F317="Direct-from-manufacturer",(E317*H317/1000*'Inventory Settings'!$J$21),(E317*I317/1000*'Inventory Settings'!$J$21))),"")</f>
        <v/>
      </c>
      <c r="H317" s="673">
        <v>0.15247758572</v>
      </c>
      <c r="I317" s="673">
        <v>0.15247758572</v>
      </c>
      <c r="J317" s="669">
        <v>0</v>
      </c>
      <c r="K317" s="142">
        <v>446000</v>
      </c>
      <c r="L317" s="142" t="s">
        <v>1145</v>
      </c>
      <c r="M317" s="143" t="s">
        <v>1132</v>
      </c>
      <c r="N317" s="143" t="s">
        <v>1146</v>
      </c>
      <c r="O317" s="144">
        <v>0.15247758572</v>
      </c>
      <c r="P317" s="144">
        <v>0</v>
      </c>
      <c r="Q317" s="144">
        <v>0.15247758572</v>
      </c>
    </row>
    <row r="318" spans="3:17" ht="28" hidden="1">
      <c r="C318" s="665" t="s">
        <v>1147</v>
      </c>
      <c r="D318" s="666"/>
      <c r="E318" s="666"/>
      <c r="F318" s="670" t="s">
        <v>413</v>
      </c>
      <c r="G318" s="660" t="str">
        <f>IFERROR(IF(E318="","",IF(F318="Direct-from-manufacturer",(E318*H318/1000*'Inventory Settings'!$J$21),(E318*I318/1000*'Inventory Settings'!$J$21))),"")</f>
        <v/>
      </c>
      <c r="H318" s="673">
        <v>0.19889597331000003</v>
      </c>
      <c r="I318" s="673">
        <v>0.19889597331000003</v>
      </c>
      <c r="J318" s="669">
        <v>0</v>
      </c>
      <c r="K318" s="142">
        <v>447000</v>
      </c>
      <c r="L318" s="142" t="s">
        <v>1148</v>
      </c>
      <c r="M318" s="143" t="s">
        <v>1132</v>
      </c>
      <c r="N318" s="143" t="s">
        <v>1149</v>
      </c>
      <c r="O318" s="144">
        <v>0.19889597331000003</v>
      </c>
      <c r="P318" s="144">
        <v>0</v>
      </c>
      <c r="Q318" s="144">
        <v>0.19889597331000003</v>
      </c>
    </row>
    <row r="319" spans="3:17" ht="31" hidden="1">
      <c r="C319" s="665" t="s">
        <v>1150</v>
      </c>
      <c r="D319" s="666"/>
      <c r="E319" s="666"/>
      <c r="F319" s="670" t="s">
        <v>413</v>
      </c>
      <c r="G319" s="660" t="str">
        <f>IFERROR(IF(E319="","",IF(F319="Direct-from-manufacturer",(E319*H319/1000*'Inventory Settings'!$J$21),(E319*I319/1000*'Inventory Settings'!$J$21))),"")</f>
        <v/>
      </c>
      <c r="H319" s="673">
        <v>0.20641399309999997</v>
      </c>
      <c r="I319" s="673">
        <v>0.20641399309999997</v>
      </c>
      <c r="J319" s="669">
        <v>0</v>
      </c>
      <c r="K319" s="142">
        <v>448000</v>
      </c>
      <c r="L319" s="142" t="s">
        <v>1151</v>
      </c>
      <c r="M319" s="143" t="s">
        <v>1132</v>
      </c>
      <c r="N319" s="143" t="s">
        <v>1152</v>
      </c>
      <c r="O319" s="144">
        <v>0.20641399309999997</v>
      </c>
      <c r="P319" s="144">
        <v>0</v>
      </c>
      <c r="Q319" s="144">
        <v>0.20641399309999997</v>
      </c>
    </row>
    <row r="320" spans="3:17" ht="70" hidden="1">
      <c r="C320" s="665" t="s">
        <v>1153</v>
      </c>
      <c r="D320" s="666"/>
      <c r="E320" s="666"/>
      <c r="F320" s="670" t="s">
        <v>413</v>
      </c>
      <c r="G320" s="660" t="str">
        <f>IFERROR(IF(E320="","",IF(F320="Direct-from-manufacturer",(E320*H320/1000*'Inventory Settings'!$J$21),(E320*I320/1000*'Inventory Settings'!$J$21))),"")</f>
        <v/>
      </c>
      <c r="H320" s="673">
        <v>0.19566798993000009</v>
      </c>
      <c r="I320" s="673">
        <v>0.19566798993000009</v>
      </c>
      <c r="J320" s="669">
        <v>0</v>
      </c>
      <c r="K320" s="142">
        <v>452000</v>
      </c>
      <c r="L320" s="142" t="s">
        <v>1154</v>
      </c>
      <c r="M320" s="143" t="s">
        <v>1132</v>
      </c>
      <c r="N320" s="143" t="s">
        <v>1155</v>
      </c>
      <c r="O320" s="144">
        <v>0.19566798993000009</v>
      </c>
      <c r="P320" s="144">
        <v>0</v>
      </c>
      <c r="Q320" s="144">
        <v>0.19566798993000009</v>
      </c>
    </row>
    <row r="321" spans="3:17" ht="42" hidden="1">
      <c r="C321" s="665" t="s">
        <v>1156</v>
      </c>
      <c r="D321" s="666"/>
      <c r="E321" s="666"/>
      <c r="F321" s="670" t="s">
        <v>413</v>
      </c>
      <c r="G321" s="660" t="str">
        <f>IFERROR(IF(E321="","",IF(F321="Direct-from-manufacturer",(E321*H321/1000*'Inventory Settings'!$J$21),(E321*I321/1000*'Inventory Settings'!$J$21))),"")</f>
        <v/>
      </c>
      <c r="H321" s="673">
        <v>9.2128139060000031E-2</v>
      </c>
      <c r="I321" s="673">
        <v>9.2128139060000031E-2</v>
      </c>
      <c r="J321" s="669">
        <v>0</v>
      </c>
      <c r="K321" s="142">
        <v>454000</v>
      </c>
      <c r="L321" s="142" t="s">
        <v>1157</v>
      </c>
      <c r="M321" s="143" t="s">
        <v>1132</v>
      </c>
      <c r="N321" s="143" t="s">
        <v>1158</v>
      </c>
      <c r="O321" s="144">
        <v>9.2128139060000031E-2</v>
      </c>
      <c r="P321" s="144">
        <v>0</v>
      </c>
      <c r="Q321" s="144">
        <v>9.2128139060000031E-2</v>
      </c>
    </row>
    <row r="322" spans="3:17" ht="70" hidden="1">
      <c r="C322" s="665" t="s">
        <v>1159</v>
      </c>
      <c r="D322" s="666"/>
      <c r="E322" s="666"/>
      <c r="F322" s="670"/>
      <c r="G322" s="660" t="str">
        <f>IFERROR(IF(E322="","",IF(F322="Direct-from-manufacturer",(E322*H322/1000*'Inventory Settings'!$J$21),(E322*I322/1000*'Inventory Settings'!$J$21))),"")</f>
        <v/>
      </c>
      <c r="H322" s="673">
        <v>7.7197970579999997E-2</v>
      </c>
      <c r="I322" s="673">
        <v>0.13356181184000002</v>
      </c>
      <c r="J322" s="669">
        <v>0.41974227286732801</v>
      </c>
      <c r="K322" s="142">
        <v>511110</v>
      </c>
      <c r="L322" s="142" t="s">
        <v>1160</v>
      </c>
      <c r="M322" s="143" t="s">
        <v>1161</v>
      </c>
      <c r="N322" s="143" t="s">
        <v>1162</v>
      </c>
      <c r="O322" s="144">
        <v>7.7197970579999997E-2</v>
      </c>
      <c r="P322" s="144">
        <v>5.6061538470000005E-2</v>
      </c>
      <c r="Q322" s="144">
        <v>0.13356181184000002</v>
      </c>
    </row>
    <row r="323" spans="3:17" ht="70" hidden="1">
      <c r="C323" s="665" t="s">
        <v>1163</v>
      </c>
      <c r="D323" s="666"/>
      <c r="E323" s="666"/>
      <c r="F323" s="670"/>
      <c r="G323" s="660" t="str">
        <f>IFERROR(IF(E323="","",IF(F323="Direct-from-manufacturer",(E323*H323/1000*'Inventory Settings'!$J$21),(E323*I323/1000*'Inventory Settings'!$J$21))),"")</f>
        <v/>
      </c>
      <c r="H323" s="673">
        <v>8.2341196470000003E-2</v>
      </c>
      <c r="I323" s="673">
        <v>0.13830519907000002</v>
      </c>
      <c r="J323" s="669">
        <v>0.40388484392208612</v>
      </c>
      <c r="K323" s="142">
        <v>511120</v>
      </c>
      <c r="L323" s="142" t="s">
        <v>1164</v>
      </c>
      <c r="M323" s="143" t="s">
        <v>1161</v>
      </c>
      <c r="N323" s="143" t="s">
        <v>1162</v>
      </c>
      <c r="O323" s="144">
        <v>8.2341196470000003E-2</v>
      </c>
      <c r="P323" s="144">
        <v>5.585937374000001E-2</v>
      </c>
      <c r="Q323" s="144">
        <v>0.13830519907000002</v>
      </c>
    </row>
    <row r="324" spans="3:17" ht="56" hidden="1">
      <c r="C324" s="665" t="s">
        <v>1165</v>
      </c>
      <c r="D324" s="666"/>
      <c r="E324" s="666"/>
      <c r="F324" s="670"/>
      <c r="G324" s="660" t="str">
        <f>IFERROR(IF(E324="","",IF(F324="Direct-from-manufacturer",(E324*H324/1000*'Inventory Settings'!$J$21),(E324*I324/1000*'Inventory Settings'!$J$21))),"")</f>
        <v/>
      </c>
      <c r="H324" s="673">
        <v>7.201840951000002E-2</v>
      </c>
      <c r="I324" s="673">
        <v>0.12745791637000004</v>
      </c>
      <c r="J324" s="669">
        <v>0.43072768521204086</v>
      </c>
      <c r="K324" s="142">
        <v>511130</v>
      </c>
      <c r="L324" s="142" t="s">
        <v>1166</v>
      </c>
      <c r="M324" s="143" t="s">
        <v>1161</v>
      </c>
      <c r="N324" s="143" t="s">
        <v>1162</v>
      </c>
      <c r="O324" s="144">
        <v>7.201840951000002E-2</v>
      </c>
      <c r="P324" s="144">
        <v>5.4899653280000002E-2</v>
      </c>
      <c r="Q324" s="144">
        <v>0.12745791637000004</v>
      </c>
    </row>
    <row r="325" spans="3:17" ht="84" hidden="1">
      <c r="C325" s="665" t="s">
        <v>1167</v>
      </c>
      <c r="D325" s="666"/>
      <c r="E325" s="666"/>
      <c r="F325" s="670"/>
      <c r="G325" s="660" t="str">
        <f>IFERROR(IF(E325="","",IF(F325="Direct-from-manufacturer",(E325*H325/1000*'Inventory Settings'!$J$21),(E325*I325/1000*'Inventory Settings'!$J$21))),"")</f>
        <v/>
      </c>
      <c r="H325" s="673">
        <v>9.1430282419999995E-2</v>
      </c>
      <c r="I325" s="673">
        <v>0.16273663226000004</v>
      </c>
      <c r="J325" s="669">
        <v>0.43647109174852217</v>
      </c>
      <c r="K325" s="142" t="s">
        <v>1168</v>
      </c>
      <c r="L325" s="142" t="s">
        <v>1169</v>
      </c>
      <c r="M325" s="143" t="s">
        <v>1161</v>
      </c>
      <c r="N325" s="143" t="s">
        <v>1162</v>
      </c>
      <c r="O325" s="144">
        <v>9.1430282419999995E-2</v>
      </c>
      <c r="P325" s="144">
        <v>7.1029835549999989E-2</v>
      </c>
      <c r="Q325" s="144">
        <v>0.16273663226000004</v>
      </c>
    </row>
    <row r="326" spans="3:17" ht="70" hidden="1">
      <c r="C326" s="665" t="s">
        <v>1170</v>
      </c>
      <c r="D326" s="666"/>
      <c r="E326" s="666"/>
      <c r="F326" s="670"/>
      <c r="G326" s="660" t="str">
        <f>IFERROR(IF(E326="","",IF(F326="Direct-from-manufacturer",(E326*H326/1000*'Inventory Settings'!$J$21),(E326*I326/1000*'Inventory Settings'!$J$21))),"")</f>
        <v/>
      </c>
      <c r="H326" s="673">
        <v>4.4190360970000002E-2</v>
      </c>
      <c r="I326" s="673">
        <v>9.8131506159999993E-2</v>
      </c>
      <c r="J326" s="669">
        <v>0.55074250222839949</v>
      </c>
      <c r="K326" s="142">
        <v>511200</v>
      </c>
      <c r="L326" s="142" t="s">
        <v>1171</v>
      </c>
      <c r="M326" s="143" t="s">
        <v>1161</v>
      </c>
      <c r="N326" s="143" t="s">
        <v>1172</v>
      </c>
      <c r="O326" s="144">
        <v>4.4190360970000002E-2</v>
      </c>
      <c r="P326" s="144">
        <v>5.4045191249999992E-2</v>
      </c>
      <c r="Q326" s="144">
        <v>9.8131506159999993E-2</v>
      </c>
    </row>
    <row r="327" spans="3:17" ht="84" hidden="1">
      <c r="C327" s="665" t="s">
        <v>1173</v>
      </c>
      <c r="D327" s="666"/>
      <c r="E327" s="666"/>
      <c r="F327" s="670"/>
      <c r="G327" s="660" t="str">
        <f>IFERROR(IF(E327="","",IF(F327="Direct-from-manufacturer",(E327*H327/1000*'Inventory Settings'!$J$21),(E327*I327/1000*'Inventory Settings'!$J$21))),"")</f>
        <v/>
      </c>
      <c r="H327" s="673">
        <v>6.2107772864000009E-2</v>
      </c>
      <c r="I327" s="673">
        <v>7.1664261419999986E-2</v>
      </c>
      <c r="J327" s="669">
        <v>0.13355658532369766</v>
      </c>
      <c r="K327" s="142">
        <v>512100</v>
      </c>
      <c r="L327" s="142" t="s">
        <v>1174</v>
      </c>
      <c r="M327" s="143" t="s">
        <v>1161</v>
      </c>
      <c r="N327" s="143" t="s">
        <v>1175</v>
      </c>
      <c r="O327" s="144">
        <v>6.2107772864000009E-2</v>
      </c>
      <c r="P327" s="144">
        <v>9.5712340450000016E-3</v>
      </c>
      <c r="Q327" s="144">
        <v>7.1664261419999986E-2</v>
      </c>
    </row>
    <row r="328" spans="3:17" ht="42" hidden="1">
      <c r="C328" s="665" t="s">
        <v>1176</v>
      </c>
      <c r="D328" s="666"/>
      <c r="E328" s="666"/>
      <c r="F328" s="670"/>
      <c r="G328" s="660" t="str">
        <f>IFERROR(IF(E328="","",IF(F328="Direct-from-manufacturer",(E328*H328/1000*'Inventory Settings'!$J$21),(E328*I328/1000*'Inventory Settings'!$J$21))),"")</f>
        <v/>
      </c>
      <c r="H328" s="673">
        <v>2.6249351269999999E-2</v>
      </c>
      <c r="I328" s="673">
        <v>6.9454799709999987E-2</v>
      </c>
      <c r="J328" s="669">
        <v>0.6209015404271766</v>
      </c>
      <c r="K328" s="142">
        <v>512200</v>
      </c>
      <c r="L328" s="142" t="s">
        <v>1177</v>
      </c>
      <c r="M328" s="143" t="s">
        <v>1161</v>
      </c>
      <c r="N328" s="143" t="s">
        <v>1178</v>
      </c>
      <c r="O328" s="144">
        <v>2.6249351269999999E-2</v>
      </c>
      <c r="P328" s="144">
        <v>4.3124592130000007E-2</v>
      </c>
      <c r="Q328" s="144">
        <v>6.9454799709999987E-2</v>
      </c>
    </row>
    <row r="329" spans="3:17" ht="42" hidden="1">
      <c r="C329" s="665" t="s">
        <v>1179</v>
      </c>
      <c r="D329" s="666"/>
      <c r="E329" s="666"/>
      <c r="F329" s="670" t="s">
        <v>413</v>
      </c>
      <c r="G329" s="660" t="str">
        <f>IFERROR(IF(E329="","",IF(F329="Direct-from-manufacturer",(E329*H329/1000*'Inventory Settings'!$J$21),(E329*I329/1000*'Inventory Settings'!$J$21))),"")</f>
        <v/>
      </c>
      <c r="H329" s="673">
        <v>0.11514151010000001</v>
      </c>
      <c r="I329" s="673">
        <v>0.11514151010000001</v>
      </c>
      <c r="J329" s="669">
        <v>0</v>
      </c>
      <c r="K329" s="142">
        <v>515100</v>
      </c>
      <c r="L329" s="142" t="s">
        <v>1180</v>
      </c>
      <c r="M329" s="143" t="s">
        <v>1161</v>
      </c>
      <c r="N329" s="143" t="s">
        <v>1181</v>
      </c>
      <c r="O329" s="144">
        <v>0.11514151010000001</v>
      </c>
      <c r="P329" s="144">
        <v>0</v>
      </c>
      <c r="Q329" s="144">
        <v>0.11514151010000001</v>
      </c>
    </row>
    <row r="330" spans="3:17" ht="98" hidden="1">
      <c r="C330" s="665" t="s">
        <v>1182</v>
      </c>
      <c r="D330" s="666"/>
      <c r="E330" s="666"/>
      <c r="F330" s="670" t="s">
        <v>413</v>
      </c>
      <c r="G330" s="660" t="str">
        <f>IFERROR(IF(E330="","",IF(F330="Direct-from-manufacturer",(E330*H330/1000*'Inventory Settings'!$J$21),(E330*I330/1000*'Inventory Settings'!$J$21))),"")</f>
        <v/>
      </c>
      <c r="H330" s="673">
        <v>0.15390680531000003</v>
      </c>
      <c r="I330" s="673">
        <v>0.15390680531000003</v>
      </c>
      <c r="J330" s="669">
        <v>0</v>
      </c>
      <c r="K330" s="142">
        <v>515200</v>
      </c>
      <c r="L330" s="142" t="s">
        <v>1183</v>
      </c>
      <c r="M330" s="143" t="s">
        <v>1161</v>
      </c>
      <c r="N330" s="143" t="s">
        <v>1184</v>
      </c>
      <c r="O330" s="144">
        <v>0.15390680531000003</v>
      </c>
      <c r="P330" s="144">
        <v>0</v>
      </c>
      <c r="Q330" s="144">
        <v>0.15390680531000003</v>
      </c>
    </row>
    <row r="331" spans="3:17" ht="140" hidden="1">
      <c r="C331" s="665" t="s">
        <v>22</v>
      </c>
      <c r="D331" s="666"/>
      <c r="E331" s="666"/>
      <c r="F331" s="670" t="s">
        <v>413</v>
      </c>
      <c r="G331" s="660" t="str">
        <f>IFERROR(IF(E331="","",IF(F331="Direct-from-manufacturer",(E331*H331/1000*'Inventory Settings'!$J$21),(E331*I331/1000*'Inventory Settings'!$J$21))),"")</f>
        <v/>
      </c>
      <c r="H331" s="673">
        <v>8.3531843900000027E-2</v>
      </c>
      <c r="I331" s="673">
        <v>8.3531843900000027E-2</v>
      </c>
      <c r="J331" s="669">
        <v>0</v>
      </c>
      <c r="K331" s="142">
        <v>517110</v>
      </c>
      <c r="L331" s="142" t="s">
        <v>1185</v>
      </c>
      <c r="M331" s="143" t="s">
        <v>1161</v>
      </c>
      <c r="N331" s="143" t="s">
        <v>1186</v>
      </c>
      <c r="O331" s="144">
        <v>8.3531843900000027E-2</v>
      </c>
      <c r="P331" s="144">
        <v>0</v>
      </c>
      <c r="Q331" s="144">
        <v>8.3531843900000027E-2</v>
      </c>
    </row>
    <row r="332" spans="3:17" ht="70" hidden="1">
      <c r="C332" s="665" t="s">
        <v>1187</v>
      </c>
      <c r="D332" s="666"/>
      <c r="E332" s="666"/>
      <c r="F332" s="670" t="s">
        <v>413</v>
      </c>
      <c r="G332" s="660" t="str">
        <f>IFERROR(IF(E332="","",IF(F332="Direct-from-manufacturer",(E332*H332/1000*'Inventory Settings'!$J$21),(E332*I332/1000*'Inventory Settings'!$J$21))),"")</f>
        <v/>
      </c>
      <c r="H332" s="673">
        <v>0.17107115800000003</v>
      </c>
      <c r="I332" s="673">
        <v>0.17107115800000003</v>
      </c>
      <c r="J332" s="669">
        <v>0</v>
      </c>
      <c r="K332" s="142">
        <v>517210</v>
      </c>
      <c r="L332" s="142" t="s">
        <v>1188</v>
      </c>
      <c r="M332" s="143" t="s">
        <v>1161</v>
      </c>
      <c r="N332" s="143" t="s">
        <v>1189</v>
      </c>
      <c r="O332" s="144">
        <v>0.17107115800000003</v>
      </c>
      <c r="P332" s="144">
        <v>0</v>
      </c>
      <c r="Q332" s="144">
        <v>0.17107115800000003</v>
      </c>
    </row>
    <row r="333" spans="3:17" ht="224" hidden="1">
      <c r="C333" s="665" t="s">
        <v>1190</v>
      </c>
      <c r="D333" s="666"/>
      <c r="E333" s="666"/>
      <c r="F333" s="670" t="s">
        <v>413</v>
      </c>
      <c r="G333" s="660" t="str">
        <f>IFERROR(IF(E333="","",IF(F333="Direct-from-manufacturer",(E333*H333/1000*'Inventory Settings'!$J$21),(E333*I333/1000*'Inventory Settings'!$J$21))),"")</f>
        <v/>
      </c>
      <c r="H333" s="673">
        <v>0.1268062378</v>
      </c>
      <c r="I333" s="673">
        <v>0.1268062378</v>
      </c>
      <c r="J333" s="669">
        <v>0</v>
      </c>
      <c r="K333" s="142" t="s">
        <v>1191</v>
      </c>
      <c r="L333" s="142" t="s">
        <v>1192</v>
      </c>
      <c r="M333" s="143" t="s">
        <v>1161</v>
      </c>
      <c r="N333" s="143" t="s">
        <v>1193</v>
      </c>
      <c r="O333" s="144">
        <v>0.1268062378</v>
      </c>
      <c r="P333" s="144">
        <v>0</v>
      </c>
      <c r="Q333" s="144">
        <v>0.1268062378</v>
      </c>
    </row>
    <row r="334" spans="3:17" ht="112" hidden="1">
      <c r="C334" s="665" t="s">
        <v>1194</v>
      </c>
      <c r="D334" s="666"/>
      <c r="E334" s="666"/>
      <c r="F334" s="670" t="s">
        <v>413</v>
      </c>
      <c r="G334" s="660" t="str">
        <f>IFERROR(IF(E334="","",IF(F334="Direct-from-manufacturer",(E334*H334/1000*'Inventory Settings'!$J$21),(E334*I334/1000*'Inventory Settings'!$J$21))),"")</f>
        <v/>
      </c>
      <c r="H334" s="673">
        <v>0.15091251608999998</v>
      </c>
      <c r="I334" s="673">
        <v>0.15091251608999998</v>
      </c>
      <c r="J334" s="669">
        <v>0</v>
      </c>
      <c r="K334" s="142">
        <v>518200</v>
      </c>
      <c r="L334" s="142" t="s">
        <v>1195</v>
      </c>
      <c r="M334" s="143" t="s">
        <v>1161</v>
      </c>
      <c r="N334" s="143" t="s">
        <v>1196</v>
      </c>
      <c r="O334" s="144">
        <v>0.15091251608999998</v>
      </c>
      <c r="P334" s="144">
        <v>0</v>
      </c>
      <c r="Q334" s="144">
        <v>0.15091251608999998</v>
      </c>
    </row>
    <row r="335" spans="3:17" ht="98" hidden="1">
      <c r="C335" s="665" t="s">
        <v>1197</v>
      </c>
      <c r="D335" s="666"/>
      <c r="E335" s="666"/>
      <c r="F335" s="670" t="s">
        <v>413</v>
      </c>
      <c r="G335" s="660" t="str">
        <f>IFERROR(IF(E335="","",IF(F335="Direct-from-manufacturer",(E335*H335/1000*'Inventory Settings'!$J$21),(E335*I335/1000*'Inventory Settings'!$J$21))),"")</f>
        <v/>
      </c>
      <c r="H335" s="673">
        <v>0.108751902</v>
      </c>
      <c r="I335" s="673">
        <v>0.108751902</v>
      </c>
      <c r="J335" s="669">
        <v>0</v>
      </c>
      <c r="K335" s="142" t="s">
        <v>1198</v>
      </c>
      <c r="L335" s="142" t="s">
        <v>1199</v>
      </c>
      <c r="M335" s="143" t="s">
        <v>1161</v>
      </c>
      <c r="N335" s="143" t="s">
        <v>1200</v>
      </c>
      <c r="O335" s="144">
        <v>0.108751902</v>
      </c>
      <c r="P335" s="144">
        <v>0</v>
      </c>
      <c r="Q335" s="144">
        <v>0.108751902</v>
      </c>
    </row>
    <row r="336" spans="3:17" ht="140" hidden="1">
      <c r="C336" s="665" t="s">
        <v>1201</v>
      </c>
      <c r="D336" s="666"/>
      <c r="E336" s="666"/>
      <c r="F336" s="670" t="s">
        <v>413</v>
      </c>
      <c r="G336" s="660" t="str">
        <f>IFERROR(IF(E336="","",IF(F336="Direct-from-manufacturer",(E336*H336/1000*'Inventory Settings'!$J$21),(E336*I336/1000*'Inventory Settings'!$J$21))),"")</f>
        <v/>
      </c>
      <c r="H336" s="673">
        <v>0.12971266806000001</v>
      </c>
      <c r="I336" s="673">
        <v>0.12971266806000001</v>
      </c>
      <c r="J336" s="669">
        <v>0</v>
      </c>
      <c r="K336" s="142">
        <v>519130</v>
      </c>
      <c r="L336" s="142" t="s">
        <v>1202</v>
      </c>
      <c r="M336" s="143" t="s">
        <v>1161</v>
      </c>
      <c r="N336" s="143" t="s">
        <v>1200</v>
      </c>
      <c r="O336" s="144">
        <v>0.12971266806000001</v>
      </c>
      <c r="P336" s="144">
        <v>0</v>
      </c>
      <c r="Q336" s="144">
        <v>0.12971266806000001</v>
      </c>
    </row>
    <row r="337" spans="3:17" ht="409.5" hidden="1">
      <c r="C337" s="665" t="s">
        <v>1203</v>
      </c>
      <c r="D337" s="666"/>
      <c r="E337" s="666"/>
      <c r="F337" s="670" t="s">
        <v>413</v>
      </c>
      <c r="G337" s="660" t="str">
        <f>IFERROR(IF(E337="","",IF(F337="Direct-from-manufacturer",(E337*H337/1000*'Inventory Settings'!$J$21),(E337*I337/1000*'Inventory Settings'!$J$21))),"")</f>
        <v/>
      </c>
      <c r="H337" s="673">
        <v>4.8625036661999993E-2</v>
      </c>
      <c r="I337" s="673">
        <v>4.8625036661999993E-2</v>
      </c>
      <c r="J337" s="669">
        <v>0</v>
      </c>
      <c r="K337" s="142" t="s">
        <v>1204</v>
      </c>
      <c r="L337" s="142" t="s">
        <v>1205</v>
      </c>
      <c r="M337" s="143" t="s">
        <v>1206</v>
      </c>
      <c r="N337" s="143" t="s">
        <v>1207</v>
      </c>
      <c r="O337" s="144">
        <v>4.8625036661999993E-2</v>
      </c>
      <c r="P337" s="144">
        <v>0</v>
      </c>
      <c r="Q337" s="144">
        <v>4.8625036661999993E-2</v>
      </c>
    </row>
    <row r="338" spans="3:17" ht="84" hidden="1">
      <c r="C338" s="665" t="s">
        <v>1208</v>
      </c>
      <c r="D338" s="666"/>
      <c r="E338" s="666"/>
      <c r="F338" s="670" t="s">
        <v>413</v>
      </c>
      <c r="G338" s="660" t="str">
        <f>IFERROR(IF(E338="","",IF(F338="Direct-from-manufacturer",(E338*H338/1000*'Inventory Settings'!$J$21),(E338*I338/1000*'Inventory Settings'!$J$21))),"")</f>
        <v/>
      </c>
      <c r="H338" s="673">
        <v>6.5604448199999998E-2</v>
      </c>
      <c r="I338" s="673">
        <v>6.5604448199999998E-2</v>
      </c>
      <c r="J338" s="669">
        <v>0</v>
      </c>
      <c r="K338" s="142" t="s">
        <v>1209</v>
      </c>
      <c r="L338" s="142" t="s">
        <v>1210</v>
      </c>
      <c r="M338" s="143" t="s">
        <v>1206</v>
      </c>
      <c r="N338" s="143" t="s">
        <v>1211</v>
      </c>
      <c r="O338" s="144">
        <v>6.5604448199999998E-2</v>
      </c>
      <c r="P338" s="144">
        <v>0</v>
      </c>
      <c r="Q338" s="144">
        <v>6.5604448199999998E-2</v>
      </c>
    </row>
    <row r="339" spans="3:17" ht="112" hidden="1">
      <c r="C339" s="665" t="s">
        <v>1212</v>
      </c>
      <c r="D339" s="666"/>
      <c r="E339" s="666"/>
      <c r="F339" s="670" t="s">
        <v>413</v>
      </c>
      <c r="G339" s="660" t="str">
        <f>IFERROR(IF(E339="","",IF(F339="Direct-from-manufacturer",(E339*H339/1000*'Inventory Settings'!$J$21),(E339*I339/1000*'Inventory Settings'!$J$21))),"")</f>
        <v/>
      </c>
      <c r="H339" s="673">
        <v>6.1434293469999991E-2</v>
      </c>
      <c r="I339" s="673">
        <v>6.1434293469999991E-2</v>
      </c>
      <c r="J339" s="669">
        <v>0</v>
      </c>
      <c r="K339" s="142" t="s">
        <v>1213</v>
      </c>
      <c r="L339" s="142" t="s">
        <v>1214</v>
      </c>
      <c r="M339" s="143" t="s">
        <v>1206</v>
      </c>
      <c r="N339" s="143" t="s">
        <v>1215</v>
      </c>
      <c r="O339" s="144">
        <v>6.1434293469999991E-2</v>
      </c>
      <c r="P339" s="144">
        <v>0</v>
      </c>
      <c r="Q339" s="144">
        <v>6.1434293469999991E-2</v>
      </c>
    </row>
    <row r="340" spans="3:17" ht="98" hidden="1">
      <c r="C340" s="665" t="s">
        <v>1216</v>
      </c>
      <c r="D340" s="666"/>
      <c r="E340" s="666"/>
      <c r="F340" s="670" t="s">
        <v>413</v>
      </c>
      <c r="G340" s="660" t="str">
        <f>IFERROR(IF(E340="","",IF(F340="Direct-from-manufacturer",(E340*H340/1000*'Inventory Settings'!$J$21),(E340*I340/1000*'Inventory Settings'!$J$21))),"")</f>
        <v/>
      </c>
      <c r="H340" s="673">
        <v>6.3264167096999988E-2</v>
      </c>
      <c r="I340" s="673">
        <v>6.3264167096999988E-2</v>
      </c>
      <c r="J340" s="669">
        <v>0</v>
      </c>
      <c r="K340" s="142">
        <v>523900</v>
      </c>
      <c r="L340" s="142" t="s">
        <v>1217</v>
      </c>
      <c r="M340" s="143" t="s">
        <v>1206</v>
      </c>
      <c r="N340" s="143" t="s">
        <v>1218</v>
      </c>
      <c r="O340" s="144">
        <v>6.3264167096999988E-2</v>
      </c>
      <c r="P340" s="144">
        <v>0</v>
      </c>
      <c r="Q340" s="144">
        <v>6.3264167096999988E-2</v>
      </c>
    </row>
    <row r="341" spans="3:17" ht="98" hidden="1">
      <c r="C341" s="665" t="s">
        <v>1219</v>
      </c>
      <c r="D341" s="666"/>
      <c r="E341" s="666"/>
      <c r="F341" s="670" t="s">
        <v>413</v>
      </c>
      <c r="G341" s="660" t="str">
        <f>IFERROR(IF(E341="","",IF(F341="Direct-from-manufacturer",(E341*H341/1000*'Inventory Settings'!$J$21),(E341*I341/1000*'Inventory Settings'!$J$21))),"")</f>
        <v/>
      </c>
      <c r="H341" s="673">
        <v>3.0865944058999999E-2</v>
      </c>
      <c r="I341" s="673">
        <v>3.0865944058999999E-2</v>
      </c>
      <c r="J341" s="669">
        <v>0</v>
      </c>
      <c r="K341" s="142" t="s">
        <v>1198</v>
      </c>
      <c r="L341" s="142" t="s">
        <v>1199</v>
      </c>
      <c r="M341" s="143" t="s">
        <v>1161</v>
      </c>
      <c r="N341" s="143" t="s">
        <v>1200</v>
      </c>
      <c r="O341" s="144">
        <v>3.0865944058999999E-2</v>
      </c>
      <c r="P341" s="144">
        <v>0</v>
      </c>
      <c r="Q341" s="144">
        <v>3.0865944058999999E-2</v>
      </c>
    </row>
    <row r="342" spans="3:17" ht="168" hidden="1">
      <c r="C342" s="665" t="s">
        <v>1220</v>
      </c>
      <c r="D342" s="666"/>
      <c r="E342" s="666"/>
      <c r="F342" s="670" t="s">
        <v>413</v>
      </c>
      <c r="G342" s="660" t="str">
        <f>IFERROR(IF(E342="","",IF(F342="Direct-from-manufacturer",(E342*H342/1000*'Inventory Settings'!$J$21),(E342*I342/1000*'Inventory Settings'!$J$21))),"")</f>
        <v/>
      </c>
      <c r="H342" s="673">
        <v>3.4864707223000002E-2</v>
      </c>
      <c r="I342" s="673">
        <v>3.4864707223000002E-2</v>
      </c>
      <c r="J342" s="669">
        <v>0</v>
      </c>
      <c r="K342" s="142" t="s">
        <v>1221</v>
      </c>
      <c r="L342" s="142" t="s">
        <v>1222</v>
      </c>
      <c r="M342" s="143" t="s">
        <v>1206</v>
      </c>
      <c r="N342" s="143" t="s">
        <v>1223</v>
      </c>
      <c r="O342" s="144">
        <v>3.4864707223000002E-2</v>
      </c>
      <c r="P342" s="144">
        <v>0</v>
      </c>
      <c r="Q342" s="144">
        <v>3.4864707223000002E-2</v>
      </c>
    </row>
    <row r="343" spans="3:17" ht="56" hidden="1">
      <c r="C343" s="665" t="s">
        <v>1224</v>
      </c>
      <c r="D343" s="666"/>
      <c r="E343" s="666"/>
      <c r="F343" s="670" t="s">
        <v>413</v>
      </c>
      <c r="G343" s="660" t="str">
        <f>IFERROR(IF(E343="","",IF(F343="Direct-from-manufacturer",(E343*H343/1000*'Inventory Settings'!$J$21),(E343*I343/1000*'Inventory Settings'!$J$21))),"")</f>
        <v/>
      </c>
      <c r="H343" s="673">
        <v>3.4289028476000009E-2</v>
      </c>
      <c r="I343" s="673">
        <v>3.4289028476000009E-2</v>
      </c>
      <c r="J343" s="669">
        <v>0</v>
      </c>
      <c r="K343" s="142">
        <v>524200</v>
      </c>
      <c r="L343" s="142" t="s">
        <v>1225</v>
      </c>
      <c r="M343" s="143" t="s">
        <v>1206</v>
      </c>
      <c r="N343" s="143" t="s">
        <v>1226</v>
      </c>
      <c r="O343" s="144">
        <v>3.4289028476000009E-2</v>
      </c>
      <c r="P343" s="144">
        <v>0</v>
      </c>
      <c r="Q343" s="144">
        <v>3.4289028476000009E-2</v>
      </c>
    </row>
    <row r="344" spans="3:17" ht="182" hidden="1">
      <c r="C344" s="665" t="s">
        <v>1227</v>
      </c>
      <c r="D344" s="666"/>
      <c r="E344" s="666"/>
      <c r="F344" s="670" t="s">
        <v>413</v>
      </c>
      <c r="G344" s="660" t="str">
        <f>IFERROR(IF(E344="","",IF(F344="Direct-from-manufacturer",(E344*H344/1000*'Inventory Settings'!$J$21),(E344*I344/1000*'Inventory Settings'!$J$21))),"")</f>
        <v/>
      </c>
      <c r="H344" s="673">
        <v>0.16930084014000002</v>
      </c>
      <c r="I344" s="673">
        <v>0.16930084014000002</v>
      </c>
      <c r="J344" s="669">
        <v>0</v>
      </c>
      <c r="K344" s="142">
        <v>525000</v>
      </c>
      <c r="L344" s="142" t="s">
        <v>1228</v>
      </c>
      <c r="M344" s="143" t="s">
        <v>1206</v>
      </c>
      <c r="N344" s="143" t="s">
        <v>1229</v>
      </c>
      <c r="O344" s="144">
        <v>0.16930084014000002</v>
      </c>
      <c r="P344" s="144">
        <v>0</v>
      </c>
      <c r="Q344" s="144">
        <v>0.16930084014000002</v>
      </c>
    </row>
    <row r="345" spans="3:17" ht="70" hidden="1">
      <c r="C345" s="665" t="s">
        <v>1230</v>
      </c>
      <c r="D345" s="666"/>
      <c r="E345" s="666"/>
      <c r="F345" s="670" t="s">
        <v>413</v>
      </c>
      <c r="G345" s="660" t="str">
        <f>IFERROR(IF(E345="","",IF(F345="Direct-from-manufacturer",(E345*H345/1000*'Inventory Settings'!$J$21),(E345*I345/1000*'Inventory Settings'!$J$21))),"")</f>
        <v/>
      </c>
      <c r="H345" s="673">
        <v>1.9682664725999999E-2</v>
      </c>
      <c r="I345" s="673">
        <v>1.9682664725999999E-2</v>
      </c>
      <c r="J345" s="669">
        <v>0</v>
      </c>
      <c r="K345" s="142" t="s">
        <v>1231</v>
      </c>
      <c r="L345" s="142" t="s">
        <v>1232</v>
      </c>
      <c r="M345" s="143" t="s">
        <v>1233</v>
      </c>
      <c r="N345" s="143" t="s">
        <v>1234</v>
      </c>
      <c r="O345" s="144">
        <v>1.9682664725999999E-2</v>
      </c>
      <c r="P345" s="144">
        <v>0</v>
      </c>
      <c r="Q345" s="144">
        <v>1.9682664725999999E-2</v>
      </c>
    </row>
    <row r="346" spans="3:17" ht="294" hidden="1">
      <c r="C346" s="665" t="s">
        <v>1235</v>
      </c>
      <c r="D346" s="666"/>
      <c r="E346" s="666"/>
      <c r="F346" s="670" t="s">
        <v>413</v>
      </c>
      <c r="G346" s="660" t="str">
        <f>IFERROR(IF(E346="","",IF(F346="Direct-from-manufacturer",(E346*H346/1000*'Inventory Settings'!$J$21),(E346*I346/1000*'Inventory Settings'!$J$21))),"")</f>
        <v/>
      </c>
      <c r="H346" s="673">
        <v>0.35591195761</v>
      </c>
      <c r="I346" s="673">
        <v>0.35591195761</v>
      </c>
      <c r="J346" s="669">
        <v>0</v>
      </c>
      <c r="K346" s="142" t="s">
        <v>1236</v>
      </c>
      <c r="L346" s="142" t="s">
        <v>1237</v>
      </c>
      <c r="M346" s="143" t="s">
        <v>1233</v>
      </c>
      <c r="N346" s="143" t="s">
        <v>1238</v>
      </c>
      <c r="O346" s="144">
        <v>0.35591195761</v>
      </c>
      <c r="P346" s="144">
        <v>0</v>
      </c>
      <c r="Q346" s="144">
        <v>0.35591195761</v>
      </c>
    </row>
    <row r="347" spans="3:17" ht="70" hidden="1">
      <c r="C347" s="665" t="s">
        <v>1239</v>
      </c>
      <c r="D347" s="666"/>
      <c r="E347" s="666"/>
      <c r="F347" s="670" t="s">
        <v>413</v>
      </c>
      <c r="G347" s="660" t="str">
        <f>IFERROR(IF(E347="","",IF(F347="Direct-from-manufacturer",(E347*H347/1000*'Inventory Settings'!$J$21),(E347*I347/1000*'Inventory Settings'!$J$21))),"")</f>
        <v/>
      </c>
      <c r="H347" s="673">
        <v>0.14486056393999999</v>
      </c>
      <c r="I347" s="673">
        <v>0.14486056393999999</v>
      </c>
      <c r="J347" s="669">
        <v>0</v>
      </c>
      <c r="K347" s="142">
        <v>532100</v>
      </c>
      <c r="L347" s="142" t="s">
        <v>1240</v>
      </c>
      <c r="M347" s="143" t="s">
        <v>1233</v>
      </c>
      <c r="N347" s="143" t="s">
        <v>1241</v>
      </c>
      <c r="O347" s="144">
        <v>0.14486056393999999</v>
      </c>
      <c r="P347" s="144">
        <v>0</v>
      </c>
      <c r="Q347" s="144">
        <v>0.14486056393999999</v>
      </c>
    </row>
    <row r="348" spans="3:17" ht="294" hidden="1">
      <c r="C348" s="665" t="s">
        <v>1242</v>
      </c>
      <c r="D348" s="666"/>
      <c r="E348" s="666"/>
      <c r="F348" s="670" t="s">
        <v>413</v>
      </c>
      <c r="G348" s="660" t="str">
        <f>IFERROR(IF(E348="","",IF(F348="Direct-from-manufacturer",(E348*H348/1000*'Inventory Settings'!$J$21),(E348*I348/1000*'Inventory Settings'!$J$21))),"")</f>
        <v/>
      </c>
      <c r="H348" s="673">
        <v>0.13659174506000002</v>
      </c>
      <c r="I348" s="673">
        <v>0.13659174506000002</v>
      </c>
      <c r="J348" s="669">
        <v>0</v>
      </c>
      <c r="K348" s="142" t="s">
        <v>1243</v>
      </c>
      <c r="L348" s="142" t="s">
        <v>1244</v>
      </c>
      <c r="M348" s="143" t="s">
        <v>1233</v>
      </c>
      <c r="N348" s="143" t="s">
        <v>1245</v>
      </c>
      <c r="O348" s="144">
        <v>0.13659174506000002</v>
      </c>
      <c r="P348" s="144">
        <v>0</v>
      </c>
      <c r="Q348" s="144">
        <v>0.13659174506000002</v>
      </c>
    </row>
    <row r="349" spans="3:17" ht="84" hidden="1">
      <c r="C349" s="665" t="s">
        <v>1246</v>
      </c>
      <c r="D349" s="666"/>
      <c r="E349" s="666"/>
      <c r="F349" s="670" t="s">
        <v>413</v>
      </c>
      <c r="G349" s="660" t="str">
        <f>IFERROR(IF(E349="","",IF(F349="Direct-from-manufacturer",(E349*H349/1000*'Inventory Settings'!$J$21),(E349*I349/1000*'Inventory Settings'!$J$21))),"")</f>
        <v/>
      </c>
      <c r="H349" s="673">
        <v>0.14390285215000001</v>
      </c>
      <c r="I349" s="673">
        <v>0.14390285215000001</v>
      </c>
      <c r="J349" s="669">
        <v>0</v>
      </c>
      <c r="K349" s="142">
        <v>532400</v>
      </c>
      <c r="L349" s="142" t="s">
        <v>1247</v>
      </c>
      <c r="M349" s="143" t="s">
        <v>1233</v>
      </c>
      <c r="N349" s="143" t="s">
        <v>1248</v>
      </c>
      <c r="O349" s="144">
        <v>0.14390285215000001</v>
      </c>
      <c r="P349" s="144">
        <v>0</v>
      </c>
      <c r="Q349" s="144">
        <v>0.14390285215000001</v>
      </c>
    </row>
    <row r="350" spans="3:17" ht="182" hidden="1">
      <c r="C350" s="665" t="s">
        <v>1249</v>
      </c>
      <c r="D350" s="666"/>
      <c r="E350" s="666"/>
      <c r="F350" s="670" t="s">
        <v>413</v>
      </c>
      <c r="G350" s="660" t="str">
        <f>IFERROR(IF(E350="","",IF(F350="Direct-from-manufacturer",(E350*H350/1000*'Inventory Settings'!$J$21),(E350*I350/1000*'Inventory Settings'!$J$21))),"")</f>
        <v/>
      </c>
      <c r="H350" s="673">
        <v>5.9557891731000005E-2</v>
      </c>
      <c r="I350" s="673">
        <v>5.9557891731000005E-2</v>
      </c>
      <c r="J350" s="669">
        <v>0</v>
      </c>
      <c r="K350" s="142">
        <v>533000</v>
      </c>
      <c r="L350" s="142" t="s">
        <v>1250</v>
      </c>
      <c r="M350" s="143" t="s">
        <v>1233</v>
      </c>
      <c r="N350" s="143" t="s">
        <v>1251</v>
      </c>
      <c r="O350" s="144">
        <v>5.9557891731000005E-2</v>
      </c>
      <c r="P350" s="144">
        <v>0</v>
      </c>
      <c r="Q350" s="144">
        <v>5.9557891731000005E-2</v>
      </c>
    </row>
    <row r="351" spans="3:17" ht="42" hidden="1">
      <c r="C351" s="665" t="s">
        <v>1252</v>
      </c>
      <c r="D351" s="666"/>
      <c r="E351" s="666"/>
      <c r="F351" s="670" t="s">
        <v>413</v>
      </c>
      <c r="G351" s="660" t="str">
        <f>IFERROR(IF(E351="","",IF(F351="Direct-from-manufacturer",(E351*H351/1000*'Inventory Settings'!$J$21),(E351*I351/1000*'Inventory Settings'!$J$21))),"")</f>
        <v/>
      </c>
      <c r="H351" s="673">
        <v>5.4688371272000005E-2</v>
      </c>
      <c r="I351" s="673">
        <v>5.4688371272000005E-2</v>
      </c>
      <c r="J351" s="669">
        <v>0</v>
      </c>
      <c r="K351" s="142">
        <v>541100</v>
      </c>
      <c r="L351" s="142" t="s">
        <v>1253</v>
      </c>
      <c r="M351" s="143" t="s">
        <v>1254</v>
      </c>
      <c r="N351" s="143" t="s">
        <v>1255</v>
      </c>
      <c r="O351" s="144">
        <v>5.4688371272000005E-2</v>
      </c>
      <c r="P351" s="144">
        <v>0</v>
      </c>
      <c r="Q351" s="144">
        <v>5.4688371272000005E-2</v>
      </c>
    </row>
    <row r="352" spans="3:17" ht="56" hidden="1">
      <c r="C352" s="665" t="s">
        <v>1256</v>
      </c>
      <c r="D352" s="666"/>
      <c r="E352" s="666"/>
      <c r="F352" s="670" t="s">
        <v>413</v>
      </c>
      <c r="G352" s="660" t="str">
        <f>IFERROR(IF(E352="","",IF(F352="Direct-from-manufacturer",(E352*H352/1000*'Inventory Settings'!$J$21),(E352*I352/1000*'Inventory Settings'!$J$21))),"")</f>
        <v/>
      </c>
      <c r="H352" s="673">
        <v>5.126802674E-2</v>
      </c>
      <c r="I352" s="673">
        <v>5.126802674E-2</v>
      </c>
      <c r="J352" s="669">
        <v>0</v>
      </c>
      <c r="K352" s="142">
        <v>541200</v>
      </c>
      <c r="L352" s="142" t="s">
        <v>1257</v>
      </c>
      <c r="M352" s="143" t="s">
        <v>1254</v>
      </c>
      <c r="N352" s="143" t="s">
        <v>1258</v>
      </c>
      <c r="O352" s="144">
        <v>5.126802674E-2</v>
      </c>
      <c r="P352" s="144">
        <v>0</v>
      </c>
      <c r="Q352" s="144">
        <v>5.126802674E-2</v>
      </c>
    </row>
    <row r="353" spans="3:17" ht="70" hidden="1">
      <c r="C353" s="665" t="s">
        <v>1259</v>
      </c>
      <c r="D353" s="666"/>
      <c r="E353" s="666"/>
      <c r="F353" s="670" t="s">
        <v>413</v>
      </c>
      <c r="G353" s="660" t="str">
        <f>IFERROR(IF(E353="","",IF(F353="Direct-from-manufacturer",(E353*H353/1000*'Inventory Settings'!$J$21),(E353*I353/1000*'Inventory Settings'!$J$21))),"")</f>
        <v/>
      </c>
      <c r="H353" s="673">
        <v>0.12614972794000001</v>
      </c>
      <c r="I353" s="673">
        <v>0.12614972794000001</v>
      </c>
      <c r="J353" s="669">
        <v>0</v>
      </c>
      <c r="K353" s="142">
        <v>541300</v>
      </c>
      <c r="L353" s="142" t="s">
        <v>1260</v>
      </c>
      <c r="M353" s="143" t="s">
        <v>1254</v>
      </c>
      <c r="N353" s="143" t="s">
        <v>1261</v>
      </c>
      <c r="O353" s="144">
        <v>0.12614972794000001</v>
      </c>
      <c r="P353" s="144">
        <v>0</v>
      </c>
      <c r="Q353" s="144">
        <v>0.12614972794000001</v>
      </c>
    </row>
    <row r="354" spans="3:17" ht="28" hidden="1">
      <c r="C354" s="665" t="s">
        <v>1262</v>
      </c>
      <c r="D354" s="666"/>
      <c r="E354" s="666"/>
      <c r="F354" s="670" t="s">
        <v>413</v>
      </c>
      <c r="G354" s="660" t="str">
        <f>IFERROR(IF(E354="","",IF(F354="Direct-from-manufacturer",(E354*H354/1000*'Inventory Settings'!$J$21),(E354*I354/1000*'Inventory Settings'!$J$21))),"")</f>
        <v/>
      </c>
      <c r="H354" s="673">
        <v>8.8994785890000025E-2</v>
      </c>
      <c r="I354" s="673">
        <v>8.8994785890000025E-2</v>
      </c>
      <c r="J354" s="669">
        <v>0</v>
      </c>
      <c r="K354" s="142">
        <v>541400</v>
      </c>
      <c r="L354" s="142" t="s">
        <v>1263</v>
      </c>
      <c r="M354" s="143" t="s">
        <v>1254</v>
      </c>
      <c r="N354" s="143" t="s">
        <v>1264</v>
      </c>
      <c r="O354" s="144">
        <v>8.8994785890000025E-2</v>
      </c>
      <c r="P354" s="144">
        <v>0</v>
      </c>
      <c r="Q354" s="144">
        <v>8.8994785890000025E-2</v>
      </c>
    </row>
    <row r="355" spans="3:17" ht="42" hidden="1">
      <c r="C355" s="665" t="s">
        <v>1265</v>
      </c>
      <c r="D355" s="666"/>
      <c r="E355" s="666"/>
      <c r="F355" s="670" t="s">
        <v>413</v>
      </c>
      <c r="G355" s="660" t="str">
        <f>IFERROR(IF(E355="","",IF(F355="Direct-from-manufacturer",(E355*H355/1000*'Inventory Settings'!$J$21),(E355*I355/1000*'Inventory Settings'!$J$21))),"")</f>
        <v/>
      </c>
      <c r="H355" s="673">
        <v>9.8412607639999983E-2</v>
      </c>
      <c r="I355" s="673">
        <v>9.8412607639999983E-2</v>
      </c>
      <c r="J355" s="669">
        <v>0</v>
      </c>
      <c r="K355" s="142">
        <v>541511</v>
      </c>
      <c r="L355" s="142" t="s">
        <v>1266</v>
      </c>
      <c r="M355" s="143" t="s">
        <v>1254</v>
      </c>
      <c r="N355" s="143" t="s">
        <v>1267</v>
      </c>
      <c r="O355" s="144">
        <v>9.8412607639999983E-2</v>
      </c>
      <c r="P355" s="144">
        <v>0</v>
      </c>
      <c r="Q355" s="144">
        <v>9.8412607639999983E-2</v>
      </c>
    </row>
    <row r="356" spans="3:17" ht="70" hidden="1">
      <c r="C356" s="665" t="s">
        <v>1268</v>
      </c>
      <c r="D356" s="666"/>
      <c r="E356" s="666"/>
      <c r="F356" s="670" t="s">
        <v>413</v>
      </c>
      <c r="G356" s="660" t="str">
        <f>IFERROR(IF(E356="","",IF(F356="Direct-from-manufacturer",(E356*H356/1000*'Inventory Settings'!$J$21),(E356*I356/1000*'Inventory Settings'!$J$21))),"")</f>
        <v/>
      </c>
      <c r="H356" s="673">
        <v>7.8989004019999989E-2</v>
      </c>
      <c r="I356" s="673">
        <v>7.8989004019999989E-2</v>
      </c>
      <c r="J356" s="669">
        <v>0</v>
      </c>
      <c r="K356" s="142">
        <v>423600</v>
      </c>
      <c r="L356" s="142" t="s">
        <v>1109</v>
      </c>
      <c r="M356" s="143" t="s">
        <v>1099</v>
      </c>
      <c r="N356" s="143" t="s">
        <v>1110</v>
      </c>
      <c r="O356" s="144">
        <v>7.8989004019999989E-2</v>
      </c>
      <c r="P356" s="144">
        <v>0</v>
      </c>
      <c r="Q356" s="144">
        <v>7.8989004019999989E-2</v>
      </c>
    </row>
    <row r="357" spans="3:17" ht="56" hidden="1">
      <c r="C357" s="665" t="s">
        <v>1269</v>
      </c>
      <c r="D357" s="666"/>
      <c r="E357" s="666"/>
      <c r="F357" s="670" t="s">
        <v>413</v>
      </c>
      <c r="G357" s="660" t="str">
        <f>IFERROR(IF(E357="","",IF(F357="Direct-from-manufacturer",(E357*H357/1000*'Inventory Settings'!$J$21),(E357*I357/1000*'Inventory Settings'!$J$21))),"")</f>
        <v/>
      </c>
      <c r="H357" s="673">
        <v>8.8962938200000008E-2</v>
      </c>
      <c r="I357" s="673">
        <v>8.8962938200000008E-2</v>
      </c>
      <c r="J357" s="669">
        <v>0</v>
      </c>
      <c r="K357" s="142">
        <v>423800</v>
      </c>
      <c r="L357" s="142" t="s">
        <v>1112</v>
      </c>
      <c r="M357" s="143" t="s">
        <v>1099</v>
      </c>
      <c r="N357" s="143" t="s">
        <v>1113</v>
      </c>
      <c r="O357" s="144">
        <v>8.8962938200000008E-2</v>
      </c>
      <c r="P357" s="144">
        <v>0</v>
      </c>
      <c r="Q357" s="144">
        <v>8.8962938200000008E-2</v>
      </c>
    </row>
    <row r="358" spans="3:17" ht="294" hidden="1">
      <c r="C358" s="665" t="s">
        <v>1270</v>
      </c>
      <c r="D358" s="666"/>
      <c r="E358" s="666"/>
      <c r="F358" s="670" t="s">
        <v>413</v>
      </c>
      <c r="G358" s="660" t="str">
        <f>IFERROR(IF(E358="","",IF(F358="Direct-from-manufacturer",(E358*H358/1000*'Inventory Settings'!$J$21),(E358*I358/1000*'Inventory Settings'!$J$21))),"")</f>
        <v/>
      </c>
      <c r="H358" s="673">
        <v>8.5559360700000017E-2</v>
      </c>
      <c r="I358" s="673">
        <v>8.5559360700000017E-2</v>
      </c>
      <c r="J358" s="669">
        <v>0</v>
      </c>
      <c r="K358" s="142" t="s">
        <v>1115</v>
      </c>
      <c r="L358" s="142" t="s">
        <v>1116</v>
      </c>
      <c r="M358" s="143" t="s">
        <v>1099</v>
      </c>
      <c r="N358" s="143" t="s">
        <v>1117</v>
      </c>
      <c r="O358" s="144">
        <v>8.5559360700000017E-2</v>
      </c>
      <c r="P358" s="144">
        <v>0</v>
      </c>
      <c r="Q358" s="144">
        <v>8.5559360700000017E-2</v>
      </c>
    </row>
    <row r="359" spans="3:17" ht="56" hidden="1">
      <c r="C359" s="665" t="s">
        <v>1271</v>
      </c>
      <c r="D359" s="666"/>
      <c r="E359" s="666"/>
      <c r="F359" s="670" t="s">
        <v>413</v>
      </c>
      <c r="G359" s="660" t="str">
        <f>IFERROR(IF(E359="","",IF(F359="Direct-from-manufacturer",(E359*H359/1000*'Inventory Settings'!$J$21),(E359*I359/1000*'Inventory Settings'!$J$21))),"")</f>
        <v/>
      </c>
      <c r="H359" s="673">
        <v>8.125917659000001E-2</v>
      </c>
      <c r="I359" s="673">
        <v>8.125917659000001E-2</v>
      </c>
      <c r="J359" s="669">
        <v>0</v>
      </c>
      <c r="K359" s="142">
        <v>424200</v>
      </c>
      <c r="L359" s="142" t="s">
        <v>1119</v>
      </c>
      <c r="M359" s="143" t="s">
        <v>1099</v>
      </c>
      <c r="N359" s="143" t="s">
        <v>1120</v>
      </c>
      <c r="O359" s="144">
        <v>8.125917659000001E-2</v>
      </c>
      <c r="P359" s="144">
        <v>0</v>
      </c>
      <c r="Q359" s="144">
        <v>8.125917659000001E-2</v>
      </c>
    </row>
    <row r="360" spans="3:17" ht="98" hidden="1">
      <c r="C360" s="665" t="s">
        <v>23</v>
      </c>
      <c r="D360" s="666"/>
      <c r="E360" s="666"/>
      <c r="F360" s="670" t="s">
        <v>413</v>
      </c>
      <c r="G360" s="660" t="str">
        <f>IFERROR(IF(E360="","",IF(F360="Direct-from-manufacturer",(E360*H360/1000*'Inventory Settings'!$J$21),(E360*I360/1000*'Inventory Settings'!$J$21))),"")</f>
        <v/>
      </c>
      <c r="H360" s="673">
        <v>0.17674319380000003</v>
      </c>
      <c r="I360" s="673">
        <v>0.17674319380000003</v>
      </c>
      <c r="J360" s="669">
        <v>0</v>
      </c>
      <c r="K360" s="142">
        <v>424400</v>
      </c>
      <c r="L360" s="142" t="s">
        <v>1122</v>
      </c>
      <c r="M360" s="143" t="s">
        <v>1099</v>
      </c>
      <c r="N360" s="143" t="s">
        <v>1123</v>
      </c>
      <c r="O360" s="144">
        <v>0.17674319380000003</v>
      </c>
      <c r="P360" s="144">
        <v>0</v>
      </c>
      <c r="Q360" s="144">
        <v>0.17674319380000003</v>
      </c>
    </row>
    <row r="361" spans="3:17" ht="42" hidden="1">
      <c r="C361" s="665" t="s">
        <v>1272</v>
      </c>
      <c r="D361" s="666"/>
      <c r="E361" s="666"/>
      <c r="F361" s="670" t="s">
        <v>413</v>
      </c>
      <c r="G361" s="660" t="str">
        <f>IFERROR(IF(E361="","",IF(F361="Direct-from-manufacturer",(E361*H361/1000*'Inventory Settings'!$J$21),(E361*I361/1000*'Inventory Settings'!$J$21))),"")</f>
        <v/>
      </c>
      <c r="H361" s="673">
        <v>0.13083536908999999</v>
      </c>
      <c r="I361" s="673">
        <v>0.13083536908999999</v>
      </c>
      <c r="J361" s="669">
        <v>0</v>
      </c>
      <c r="K361" s="142">
        <v>424700</v>
      </c>
      <c r="L361" s="142" t="s">
        <v>1125</v>
      </c>
      <c r="M361" s="143" t="s">
        <v>1099</v>
      </c>
      <c r="N361" s="143" t="s">
        <v>1126</v>
      </c>
      <c r="O361" s="144">
        <v>0.13083536908999999</v>
      </c>
      <c r="P361" s="144">
        <v>0</v>
      </c>
      <c r="Q361" s="144">
        <v>0.13083536908999999</v>
      </c>
    </row>
    <row r="362" spans="3:17" ht="70" hidden="1">
      <c r="C362" s="665" t="s">
        <v>1273</v>
      </c>
      <c r="D362" s="666"/>
      <c r="E362" s="666"/>
      <c r="F362" s="670" t="s">
        <v>413</v>
      </c>
      <c r="G362" s="660" t="str">
        <f>IFERROR(IF(E362="","",IF(F362="Direct-from-manufacturer",(E362*H362/1000*'Inventory Settings'!$J$21),(E362*I362/1000*'Inventory Settings'!$J$21))),"")</f>
        <v/>
      </c>
      <c r="H362" s="673">
        <v>7.5736779940000012E-2</v>
      </c>
      <c r="I362" s="673">
        <v>7.5736779940000012E-2</v>
      </c>
      <c r="J362" s="669">
        <v>0</v>
      </c>
      <c r="K362" s="142">
        <v>425000</v>
      </c>
      <c r="L362" s="142" t="s">
        <v>1128</v>
      </c>
      <c r="M362" s="143" t="s">
        <v>1099</v>
      </c>
      <c r="N362" s="143" t="s">
        <v>1129</v>
      </c>
      <c r="O362" s="144">
        <v>7.5736779940000012E-2</v>
      </c>
      <c r="P362" s="144">
        <v>0</v>
      </c>
      <c r="Q362" s="144">
        <v>7.5736779940000012E-2</v>
      </c>
    </row>
    <row r="363" spans="3:17" ht="154" hidden="1">
      <c r="C363" s="665" t="s">
        <v>1274</v>
      </c>
      <c r="D363" s="666"/>
      <c r="E363" s="666"/>
      <c r="F363" s="670" t="s">
        <v>413</v>
      </c>
      <c r="G363" s="660" t="str">
        <f>IFERROR(IF(E363="","",IF(F363="Direct-from-manufacturer",(E363*H363/1000*'Inventory Settings'!$J$21),(E363*I363/1000*'Inventory Settings'!$J$21))),"")</f>
        <v/>
      </c>
      <c r="H363" s="673">
        <v>0.12359409800999999</v>
      </c>
      <c r="I363" s="673">
        <v>0.12359409800999999</v>
      </c>
      <c r="J363" s="669">
        <v>0</v>
      </c>
      <c r="K363" s="142">
        <v>441000</v>
      </c>
      <c r="L363" s="142" t="s">
        <v>1131</v>
      </c>
      <c r="M363" s="143" t="s">
        <v>1132</v>
      </c>
      <c r="N363" s="143" t="s">
        <v>1133</v>
      </c>
      <c r="O363" s="144">
        <v>0.12359409800999999</v>
      </c>
      <c r="P363" s="144">
        <v>0</v>
      </c>
      <c r="Q363" s="144">
        <v>0.12359409800999999</v>
      </c>
    </row>
    <row r="364" spans="3:17" ht="42" hidden="1">
      <c r="C364" s="665" t="s">
        <v>1275</v>
      </c>
      <c r="D364" s="666"/>
      <c r="E364" s="666"/>
      <c r="F364" s="670" t="s">
        <v>413</v>
      </c>
      <c r="G364" s="660" t="str">
        <f>IFERROR(IF(E364="","",IF(F364="Direct-from-manufacturer",(E364*H364/1000*'Inventory Settings'!$J$21),(E364*I364/1000*'Inventory Settings'!$J$21))),"")</f>
        <v/>
      </c>
      <c r="H364" s="673">
        <v>0.13998944633000002</v>
      </c>
      <c r="I364" s="673">
        <v>0.13998944633000002</v>
      </c>
      <c r="J364" s="669">
        <v>0</v>
      </c>
      <c r="K364" s="142" t="s">
        <v>1135</v>
      </c>
      <c r="L364" s="142" t="s">
        <v>1136</v>
      </c>
      <c r="M364" s="143" t="s">
        <v>1132</v>
      </c>
      <c r="N364" s="143" t="s">
        <v>1137</v>
      </c>
      <c r="O364" s="144">
        <v>0.13998944633000002</v>
      </c>
      <c r="P364" s="144">
        <v>0</v>
      </c>
      <c r="Q364" s="144">
        <v>0.13998944633000002</v>
      </c>
    </row>
    <row r="365" spans="3:17" ht="42" hidden="1">
      <c r="C365" s="665" t="s">
        <v>1276</v>
      </c>
      <c r="D365" s="666"/>
      <c r="E365" s="666"/>
      <c r="F365" s="670" t="s">
        <v>413</v>
      </c>
      <c r="G365" s="660" t="str">
        <f>IFERROR(IF(E365="","",IF(F365="Direct-from-manufacturer",(E365*H365/1000*'Inventory Settings'!$J$21),(E365*I365/1000*'Inventory Settings'!$J$21))),"")</f>
        <v/>
      </c>
      <c r="H365" s="673">
        <v>0.13143384486000001</v>
      </c>
      <c r="I365" s="673">
        <v>0.13143384486000001</v>
      </c>
      <c r="J365" s="669">
        <v>0</v>
      </c>
      <c r="K365" s="142">
        <v>444000</v>
      </c>
      <c r="L365" s="142" t="s">
        <v>1139</v>
      </c>
      <c r="M365" s="143" t="s">
        <v>1132</v>
      </c>
      <c r="N365" s="143" t="s">
        <v>1140</v>
      </c>
      <c r="O365" s="144">
        <v>0.13143384486000001</v>
      </c>
      <c r="P365" s="144">
        <v>0</v>
      </c>
      <c r="Q365" s="144">
        <v>0.13143384486000001</v>
      </c>
    </row>
    <row r="366" spans="3:17" ht="70" hidden="1">
      <c r="C366" s="665" t="s">
        <v>1277</v>
      </c>
      <c r="D366" s="666"/>
      <c r="E366" s="666"/>
      <c r="F366" s="670" t="s">
        <v>413</v>
      </c>
      <c r="G366" s="660" t="str">
        <f>IFERROR(IF(E366="","",IF(F366="Direct-from-manufacturer",(E366*H366/1000*'Inventory Settings'!$J$21),(E366*I366/1000*'Inventory Settings'!$J$21))),"")</f>
        <v/>
      </c>
      <c r="H366" s="673">
        <v>0.10680129988000001</v>
      </c>
      <c r="I366" s="673">
        <v>0.10680129988000001</v>
      </c>
      <c r="J366" s="669">
        <v>0</v>
      </c>
      <c r="K366" s="142">
        <v>561100</v>
      </c>
      <c r="L366" s="142" t="s">
        <v>1278</v>
      </c>
      <c r="M366" s="143" t="s">
        <v>1279</v>
      </c>
      <c r="N366" s="143" t="s">
        <v>1280</v>
      </c>
      <c r="O366" s="144">
        <v>0.10680129988000001</v>
      </c>
      <c r="P366" s="144">
        <v>0</v>
      </c>
      <c r="Q366" s="144">
        <v>0.10680129988000001</v>
      </c>
    </row>
    <row r="367" spans="3:17" ht="140" hidden="1">
      <c r="C367" s="665" t="s">
        <v>1281</v>
      </c>
      <c r="D367" s="666"/>
      <c r="E367" s="666"/>
      <c r="F367" s="670" t="s">
        <v>413</v>
      </c>
      <c r="G367" s="660" t="str">
        <f>IFERROR(IF(E367="","",IF(F367="Direct-from-manufacturer",(E367*H367/1000*'Inventory Settings'!$J$21),(E367*I367/1000*'Inventory Settings'!$J$21))),"")</f>
        <v/>
      </c>
      <c r="H367" s="673">
        <v>0.21686484984999996</v>
      </c>
      <c r="I367" s="673">
        <v>0.21686484984999996</v>
      </c>
      <c r="J367" s="669">
        <v>0</v>
      </c>
      <c r="K367" s="142">
        <v>561200</v>
      </c>
      <c r="L367" s="142" t="s">
        <v>1282</v>
      </c>
      <c r="M367" s="143" t="s">
        <v>1279</v>
      </c>
      <c r="N367" s="143" t="s">
        <v>1283</v>
      </c>
      <c r="O367" s="144">
        <v>0.21686484984999996</v>
      </c>
      <c r="P367" s="144">
        <v>0</v>
      </c>
      <c r="Q367" s="144">
        <v>0.21686484984999996</v>
      </c>
    </row>
    <row r="368" spans="3:17" ht="42" hidden="1">
      <c r="C368" s="665" t="s">
        <v>1284</v>
      </c>
      <c r="D368" s="666"/>
      <c r="E368" s="666"/>
      <c r="F368" s="670" t="s">
        <v>413</v>
      </c>
      <c r="G368" s="660" t="str">
        <f>IFERROR(IF(E368="","",IF(F368="Direct-from-manufacturer",(E368*H368/1000*'Inventory Settings'!$J$21),(E368*I368/1000*'Inventory Settings'!$J$21))),"")</f>
        <v/>
      </c>
      <c r="H368" s="673">
        <v>3.3747301796000009E-2</v>
      </c>
      <c r="I368" s="673">
        <v>3.3747301796000009E-2</v>
      </c>
      <c r="J368" s="669">
        <v>0</v>
      </c>
      <c r="K368" s="142">
        <v>561300</v>
      </c>
      <c r="L368" s="142" t="s">
        <v>1285</v>
      </c>
      <c r="M368" s="143" t="s">
        <v>1279</v>
      </c>
      <c r="N368" s="143" t="s">
        <v>1286</v>
      </c>
      <c r="O368" s="144">
        <v>3.3747301796000009E-2</v>
      </c>
      <c r="P368" s="144">
        <v>0</v>
      </c>
      <c r="Q368" s="144">
        <v>3.3747301796000009E-2</v>
      </c>
    </row>
    <row r="369" spans="3:17" ht="42" hidden="1">
      <c r="C369" s="665" t="s">
        <v>1287</v>
      </c>
      <c r="D369" s="666"/>
      <c r="E369" s="666"/>
      <c r="F369" s="670" t="s">
        <v>413</v>
      </c>
      <c r="G369" s="660" t="str">
        <f>IFERROR(IF(E369="","",IF(F369="Direct-from-manufacturer",(E369*H369/1000*'Inventory Settings'!$J$21),(E369*I369/1000*'Inventory Settings'!$J$21))),"")</f>
        <v/>
      </c>
      <c r="H369" s="673">
        <v>0.11999778642999999</v>
      </c>
      <c r="I369" s="673">
        <v>0.11999778642999999</v>
      </c>
      <c r="J369" s="669">
        <v>0</v>
      </c>
      <c r="K369" s="142">
        <v>561400</v>
      </c>
      <c r="L369" s="142" t="s">
        <v>1288</v>
      </c>
      <c r="M369" s="143" t="s">
        <v>1279</v>
      </c>
      <c r="N369" s="143" t="s">
        <v>1289</v>
      </c>
      <c r="O369" s="144">
        <v>0.11999778642999999</v>
      </c>
      <c r="P369" s="144">
        <v>0</v>
      </c>
      <c r="Q369" s="144">
        <v>0.11999778642999999</v>
      </c>
    </row>
    <row r="370" spans="3:17" ht="56" hidden="1">
      <c r="C370" s="665" t="s">
        <v>1290</v>
      </c>
      <c r="D370" s="666"/>
      <c r="E370" s="666"/>
      <c r="F370" s="670" t="s">
        <v>413</v>
      </c>
      <c r="G370" s="660" t="str">
        <f>IFERROR(IF(E370="","",IF(F370="Direct-from-manufacturer",(E370*H370/1000*'Inventory Settings'!$J$21),(E370*I370/1000*'Inventory Settings'!$J$21))),"")</f>
        <v/>
      </c>
      <c r="H370" s="673">
        <v>0.10459686415</v>
      </c>
      <c r="I370" s="673">
        <v>0.10459686415</v>
      </c>
      <c r="J370" s="669">
        <v>0</v>
      </c>
      <c r="K370" s="142">
        <v>561500</v>
      </c>
      <c r="L370" s="142" t="s">
        <v>1291</v>
      </c>
      <c r="M370" s="143" t="s">
        <v>1279</v>
      </c>
      <c r="N370" s="143" t="s">
        <v>1292</v>
      </c>
      <c r="O370" s="144">
        <v>0.10459686415</v>
      </c>
      <c r="P370" s="144">
        <v>0</v>
      </c>
      <c r="Q370" s="144">
        <v>0.10459686415</v>
      </c>
    </row>
    <row r="371" spans="3:17" ht="28" hidden="1">
      <c r="C371" s="665" t="s">
        <v>1293</v>
      </c>
      <c r="D371" s="666"/>
      <c r="E371" s="666"/>
      <c r="F371" s="670" t="s">
        <v>413</v>
      </c>
      <c r="G371" s="660" t="str">
        <f>IFERROR(IF(E371="","",IF(F371="Direct-from-manufacturer",(E371*H371/1000*'Inventory Settings'!$J$21),(E371*I371/1000*'Inventory Settings'!$J$21))),"")</f>
        <v/>
      </c>
      <c r="H371" s="673">
        <v>8.1445286239999984E-2</v>
      </c>
      <c r="I371" s="673">
        <v>8.1445286239999984E-2</v>
      </c>
      <c r="J371" s="669">
        <v>0</v>
      </c>
      <c r="K371" s="142">
        <v>561600</v>
      </c>
      <c r="L371" s="142" t="s">
        <v>1294</v>
      </c>
      <c r="M371" s="143" t="s">
        <v>1279</v>
      </c>
      <c r="N371" s="143" t="s">
        <v>1295</v>
      </c>
      <c r="O371" s="144">
        <v>8.1445286239999984E-2</v>
      </c>
      <c r="P371" s="144">
        <v>0</v>
      </c>
      <c r="Q371" s="144">
        <v>8.1445286239999984E-2</v>
      </c>
    </row>
    <row r="372" spans="3:17" ht="42" hidden="1">
      <c r="C372" s="665" t="s">
        <v>1296</v>
      </c>
      <c r="D372" s="666"/>
      <c r="E372" s="666"/>
      <c r="F372" s="670" t="s">
        <v>413</v>
      </c>
      <c r="G372" s="660" t="str">
        <f>IFERROR(IF(E372="","",IF(F372="Direct-from-manufacturer",(E372*H372/1000*'Inventory Settings'!$J$21),(E372*I372/1000*'Inventory Settings'!$J$21))),"")</f>
        <v/>
      </c>
      <c r="H372" s="673">
        <v>0.17082597756999998</v>
      </c>
      <c r="I372" s="673">
        <v>0.17082597756999998</v>
      </c>
      <c r="J372" s="669">
        <v>0</v>
      </c>
      <c r="K372" s="142">
        <v>561700</v>
      </c>
      <c r="L372" s="142" t="s">
        <v>1297</v>
      </c>
      <c r="M372" s="143" t="s">
        <v>1279</v>
      </c>
      <c r="N372" s="143" t="s">
        <v>1298</v>
      </c>
      <c r="O372" s="144">
        <v>0.17082597756999998</v>
      </c>
      <c r="P372" s="144">
        <v>0</v>
      </c>
      <c r="Q372" s="144">
        <v>0.17082597756999998</v>
      </c>
    </row>
    <row r="373" spans="3:17" ht="70" hidden="1">
      <c r="C373" s="665" t="s">
        <v>1299</v>
      </c>
      <c r="D373" s="666"/>
      <c r="E373" s="666"/>
      <c r="F373" s="670" t="s">
        <v>413</v>
      </c>
      <c r="G373" s="660" t="str">
        <f>IFERROR(IF(E373="","",IF(F373="Direct-from-manufacturer",(E373*H373/1000*'Inventory Settings'!$J$21),(E373*I373/1000*'Inventory Settings'!$J$21))),"")</f>
        <v/>
      </c>
      <c r="H373" s="673">
        <v>0.12423162143999998</v>
      </c>
      <c r="I373" s="673">
        <v>0.12423162143999998</v>
      </c>
      <c r="J373" s="669">
        <v>0</v>
      </c>
      <c r="K373" s="142">
        <v>561900</v>
      </c>
      <c r="L373" s="142" t="s">
        <v>1300</v>
      </c>
      <c r="M373" s="143" t="s">
        <v>1279</v>
      </c>
      <c r="N373" s="143" t="s">
        <v>1301</v>
      </c>
      <c r="O373" s="144">
        <v>0.12423162143999998</v>
      </c>
      <c r="P373" s="144">
        <v>0</v>
      </c>
      <c r="Q373" s="144">
        <v>0.12423162143999998</v>
      </c>
    </row>
    <row r="374" spans="3:17" ht="56" hidden="1">
      <c r="C374" s="665" t="s">
        <v>1302</v>
      </c>
      <c r="D374" s="666"/>
      <c r="E374" s="666"/>
      <c r="F374" s="670" t="s">
        <v>413</v>
      </c>
      <c r="G374" s="660" t="str">
        <f>IFERROR(IF(E374="","",IF(F374="Direct-from-manufacturer",(E374*H374/1000*'Inventory Settings'!$J$21),(E374*I374/1000*'Inventory Settings'!$J$21))),"")</f>
        <v/>
      </c>
      <c r="H374" s="673">
        <v>0.20065671181</v>
      </c>
      <c r="I374" s="673">
        <v>0.20065671181</v>
      </c>
      <c r="J374" s="669">
        <v>0</v>
      </c>
      <c r="K374" s="142">
        <v>562111</v>
      </c>
      <c r="L374" s="142" t="s">
        <v>1303</v>
      </c>
      <c r="M374" s="143" t="s">
        <v>1279</v>
      </c>
      <c r="N374" s="143" t="s">
        <v>1304</v>
      </c>
      <c r="O374" s="144">
        <v>0.20065671181</v>
      </c>
      <c r="P374" s="144">
        <v>0</v>
      </c>
      <c r="Q374" s="144">
        <v>0.20065671181</v>
      </c>
    </row>
    <row r="375" spans="3:17" ht="112" hidden="1">
      <c r="C375" s="665" t="s">
        <v>1305</v>
      </c>
      <c r="D375" s="666"/>
      <c r="E375" s="666"/>
      <c r="F375" s="670" t="s">
        <v>413</v>
      </c>
      <c r="G375" s="660" t="str">
        <f>IFERROR(IF(E375="","",IF(F375="Direct-from-manufacturer",(E375*H375/1000*'Inventory Settings'!$J$21),(E375*I375/1000*'Inventory Settings'!$J$21))),"")</f>
        <v/>
      </c>
      <c r="H375" s="673">
        <v>2.0712406856999999</v>
      </c>
      <c r="I375" s="673">
        <v>2.0712406856999999</v>
      </c>
      <c r="J375" s="669">
        <v>0</v>
      </c>
      <c r="K375" s="142" t="s">
        <v>1306</v>
      </c>
      <c r="L375" s="142" t="s">
        <v>1307</v>
      </c>
      <c r="M375" s="143" t="s">
        <v>1279</v>
      </c>
      <c r="N375" s="143" t="s">
        <v>1304</v>
      </c>
      <c r="O375" s="144">
        <v>2.0712406856999999</v>
      </c>
      <c r="P375" s="144">
        <v>0</v>
      </c>
      <c r="Q375" s="144">
        <v>2.0712406856999999</v>
      </c>
    </row>
    <row r="376" spans="3:17" ht="210" hidden="1">
      <c r="C376" s="665" t="s">
        <v>1308</v>
      </c>
      <c r="D376" s="666"/>
      <c r="E376" s="666"/>
      <c r="F376" s="670" t="s">
        <v>413</v>
      </c>
      <c r="G376" s="660" t="str">
        <f>IFERROR(IF(E376="","",IF(F376="Direct-from-manufacturer",(E376*H376/1000*'Inventory Settings'!$J$21),(E376*I376/1000*'Inventory Settings'!$J$21))),"")</f>
        <v/>
      </c>
      <c r="H376" s="673">
        <v>0.6803392048600001</v>
      </c>
      <c r="I376" s="673">
        <v>0.6803392048600001</v>
      </c>
      <c r="J376" s="669">
        <v>0</v>
      </c>
      <c r="K376" s="142" t="s">
        <v>1309</v>
      </c>
      <c r="L376" s="142" t="s">
        <v>1310</v>
      </c>
      <c r="M376" s="143" t="s">
        <v>1279</v>
      </c>
      <c r="N376" s="143" t="s">
        <v>1311</v>
      </c>
      <c r="O376" s="144">
        <v>0.6803392048600001</v>
      </c>
      <c r="P376" s="144">
        <v>0</v>
      </c>
      <c r="Q376" s="144">
        <v>0.6803392048600001</v>
      </c>
    </row>
    <row r="377" spans="3:17" ht="70" hidden="1">
      <c r="C377" s="665" t="s">
        <v>1312</v>
      </c>
      <c r="D377" s="666"/>
      <c r="E377" s="666"/>
      <c r="F377" s="670" t="s">
        <v>413</v>
      </c>
      <c r="G377" s="660" t="str">
        <f>IFERROR(IF(E377="","",IF(F377="Direct-from-manufacturer",(E377*H377/1000*'Inventory Settings'!$J$21),(E377*I377/1000*'Inventory Settings'!$J$21))),"")</f>
        <v/>
      </c>
      <c r="H377" s="673">
        <v>13.078655111279998</v>
      </c>
      <c r="I377" s="673">
        <v>13.078655111279998</v>
      </c>
      <c r="J377" s="669">
        <v>0</v>
      </c>
      <c r="K377" s="142">
        <v>562212</v>
      </c>
      <c r="L377" s="142" t="s">
        <v>1313</v>
      </c>
      <c r="M377" s="143" t="s">
        <v>1279</v>
      </c>
      <c r="N377" s="143" t="s">
        <v>1314</v>
      </c>
      <c r="O377" s="144">
        <v>13.078655111279998</v>
      </c>
      <c r="P377" s="144">
        <v>0</v>
      </c>
      <c r="Q377" s="144">
        <v>13.078655111279998</v>
      </c>
    </row>
    <row r="378" spans="3:17" ht="42" hidden="1">
      <c r="C378" s="665" t="s">
        <v>1315</v>
      </c>
      <c r="D378" s="666"/>
      <c r="E378" s="666"/>
      <c r="F378" s="670" t="s">
        <v>413</v>
      </c>
      <c r="G378" s="660" t="str">
        <f>IFERROR(IF(E378="","",IF(F378="Direct-from-manufacturer",(E378*H378/1000*'Inventory Settings'!$J$21),(E378*I378/1000*'Inventory Settings'!$J$21))),"")</f>
        <v/>
      </c>
      <c r="H378" s="673">
        <v>2.1679115036099992</v>
      </c>
      <c r="I378" s="673">
        <v>2.1679115036099992</v>
      </c>
      <c r="J378" s="669">
        <v>0</v>
      </c>
      <c r="K378" s="142">
        <v>562213</v>
      </c>
      <c r="L378" s="142" t="s">
        <v>1316</v>
      </c>
      <c r="M378" s="143" t="s">
        <v>1279</v>
      </c>
      <c r="N378" s="143" t="s">
        <v>1314</v>
      </c>
      <c r="O378" s="144">
        <v>2.1679115036099992</v>
      </c>
      <c r="P378" s="144">
        <v>0</v>
      </c>
      <c r="Q378" s="144">
        <v>2.1679115036099992</v>
      </c>
    </row>
    <row r="379" spans="3:17" ht="84" hidden="1">
      <c r="C379" s="665" t="s">
        <v>1317</v>
      </c>
      <c r="D379" s="666"/>
      <c r="E379" s="666"/>
      <c r="F379" s="670" t="s">
        <v>413</v>
      </c>
      <c r="G379" s="660" t="str">
        <f>IFERROR(IF(E379="","",IF(F379="Direct-from-manufacturer",(E379*H379/1000*'Inventory Settings'!$J$21),(E379*I379/1000*'Inventory Settings'!$J$21))),"")</f>
        <v/>
      </c>
      <c r="H379" s="673">
        <v>0.16623698853999996</v>
      </c>
      <c r="I379" s="673">
        <v>0.16623698853999996</v>
      </c>
      <c r="J379" s="669">
        <v>0</v>
      </c>
      <c r="K379" s="142">
        <v>562910</v>
      </c>
      <c r="L379" s="142" t="s">
        <v>1318</v>
      </c>
      <c r="M379" s="143" t="s">
        <v>1279</v>
      </c>
      <c r="N379" s="143" t="s">
        <v>1319</v>
      </c>
      <c r="O379" s="144">
        <v>0.16623698853999996</v>
      </c>
      <c r="P379" s="144">
        <v>0</v>
      </c>
      <c r="Q379" s="144">
        <v>0.16623698853999996</v>
      </c>
    </row>
    <row r="380" spans="3:17" ht="70" hidden="1">
      <c r="C380" s="665" t="s">
        <v>1320</v>
      </c>
      <c r="D380" s="666"/>
      <c r="E380" s="666"/>
      <c r="F380" s="670" t="s">
        <v>413</v>
      </c>
      <c r="G380" s="660" t="str">
        <f>IFERROR(IF(E380="","",IF(F380="Direct-from-manufacturer",(E380*H380/1000*'Inventory Settings'!$J$21),(E380*I380/1000*'Inventory Settings'!$J$21))),"")</f>
        <v/>
      </c>
      <c r="H380" s="673">
        <v>0.16339625077</v>
      </c>
      <c r="I380" s="673">
        <v>0.16339625077</v>
      </c>
      <c r="J380" s="669">
        <v>0</v>
      </c>
      <c r="K380" s="142">
        <v>562920</v>
      </c>
      <c r="L380" s="142" t="s">
        <v>1321</v>
      </c>
      <c r="M380" s="143" t="s">
        <v>1279</v>
      </c>
      <c r="N380" s="143" t="s">
        <v>1319</v>
      </c>
      <c r="O380" s="144">
        <v>0.16339625077</v>
      </c>
      <c r="P380" s="144">
        <v>0</v>
      </c>
      <c r="Q380" s="144">
        <v>0.16339625077</v>
      </c>
    </row>
    <row r="381" spans="3:17" ht="56" hidden="1">
      <c r="C381" s="665" t="s">
        <v>1322</v>
      </c>
      <c r="D381" s="666"/>
      <c r="E381" s="666"/>
      <c r="F381" s="670" t="s">
        <v>413</v>
      </c>
      <c r="G381" s="660" t="str">
        <f>IFERROR(IF(E381="","",IF(F381="Direct-from-manufacturer",(E381*H381/1000*'Inventory Settings'!$J$21),(E381*I381/1000*'Inventory Settings'!$J$21))),"")</f>
        <v/>
      </c>
      <c r="H381" s="673">
        <v>0.14086377007999998</v>
      </c>
      <c r="I381" s="673">
        <v>0.14086377007999998</v>
      </c>
      <c r="J381" s="669">
        <v>0</v>
      </c>
      <c r="K381" s="142">
        <v>611100</v>
      </c>
      <c r="L381" s="142" t="s">
        <v>1323</v>
      </c>
      <c r="M381" s="143" t="s">
        <v>1324</v>
      </c>
      <c r="N381" s="143" t="s">
        <v>1325</v>
      </c>
      <c r="O381" s="144">
        <v>0.14086377007999998</v>
      </c>
      <c r="P381" s="144">
        <v>0</v>
      </c>
      <c r="Q381" s="144">
        <v>0.14086377007999998</v>
      </c>
    </row>
    <row r="382" spans="3:17" ht="210" hidden="1">
      <c r="C382" s="665" t="s">
        <v>1326</v>
      </c>
      <c r="D382" s="666"/>
      <c r="E382" s="666"/>
      <c r="F382" s="670" t="s">
        <v>413</v>
      </c>
      <c r="G382" s="660" t="str">
        <f>IFERROR(IF(E382="","",IF(F382="Direct-from-manufacturer",(E382*H382/1000*'Inventory Settings'!$J$21),(E382*I382/1000*'Inventory Settings'!$J$21))),"")</f>
        <v/>
      </c>
      <c r="H382" s="673">
        <v>0.17189779926000001</v>
      </c>
      <c r="I382" s="673">
        <v>0.17189779926000001</v>
      </c>
      <c r="J382" s="669">
        <v>0</v>
      </c>
      <c r="K382" s="142" t="s">
        <v>1327</v>
      </c>
      <c r="L382" s="142" t="s">
        <v>1328</v>
      </c>
      <c r="M382" s="143" t="s">
        <v>1324</v>
      </c>
      <c r="N382" s="143" t="s">
        <v>1329</v>
      </c>
      <c r="O382" s="144">
        <v>0.17189779926000001</v>
      </c>
      <c r="P382" s="144">
        <v>0</v>
      </c>
      <c r="Q382" s="144">
        <v>0.17189779926000001</v>
      </c>
    </row>
    <row r="383" spans="3:17" ht="210" hidden="1">
      <c r="C383" s="665" t="s">
        <v>1330</v>
      </c>
      <c r="D383" s="666"/>
      <c r="E383" s="666"/>
      <c r="F383" s="670" t="s">
        <v>413</v>
      </c>
      <c r="G383" s="660" t="str">
        <f>IFERROR(IF(E383="","",IF(F383="Direct-from-manufacturer",(E383*H383/1000*'Inventory Settings'!$J$21),(E383*I383/1000*'Inventory Settings'!$J$21))),"")</f>
        <v/>
      </c>
      <c r="H383" s="673">
        <v>0.12777768807999998</v>
      </c>
      <c r="I383" s="673">
        <v>0.12777768807999998</v>
      </c>
      <c r="J383" s="669">
        <v>0</v>
      </c>
      <c r="K383" s="142" t="s">
        <v>1331</v>
      </c>
      <c r="L383" s="142" t="s">
        <v>1332</v>
      </c>
      <c r="M383" s="143" t="s">
        <v>1324</v>
      </c>
      <c r="N383" s="143" t="s">
        <v>1333</v>
      </c>
      <c r="O383" s="144">
        <v>0.12777768807999998</v>
      </c>
      <c r="P383" s="144">
        <v>0</v>
      </c>
      <c r="Q383" s="144">
        <v>0.12777768807999998</v>
      </c>
    </row>
    <row r="384" spans="3:17" ht="84" hidden="1">
      <c r="C384" s="665" t="s">
        <v>1334</v>
      </c>
      <c r="D384" s="666"/>
      <c r="E384" s="666"/>
      <c r="F384" s="670" t="s">
        <v>413</v>
      </c>
      <c r="G384" s="660" t="str">
        <f>IFERROR(IF(E384="","",IF(F384="Direct-from-manufacturer",(E384*H384/1000*'Inventory Settings'!$J$21),(E384*I384/1000*'Inventory Settings'!$J$21))),"")</f>
        <v/>
      </c>
      <c r="H384" s="673">
        <v>8.7392424880000014E-2</v>
      </c>
      <c r="I384" s="673">
        <v>8.7392424880000014E-2</v>
      </c>
      <c r="J384" s="669">
        <v>0</v>
      </c>
      <c r="K384" s="142">
        <v>621100</v>
      </c>
      <c r="L384" s="142" t="s">
        <v>1335</v>
      </c>
      <c r="M384" s="143" t="s">
        <v>1336</v>
      </c>
      <c r="N384" s="143" t="s">
        <v>1337</v>
      </c>
      <c r="O384" s="144">
        <v>8.7392424880000014E-2</v>
      </c>
      <c r="P384" s="144">
        <v>0</v>
      </c>
      <c r="Q384" s="144">
        <v>8.7392424880000014E-2</v>
      </c>
    </row>
    <row r="385" spans="3:17" ht="98" hidden="1">
      <c r="C385" s="665" t="s">
        <v>1338</v>
      </c>
      <c r="D385" s="666"/>
      <c r="E385" s="666"/>
      <c r="F385" s="670" t="s">
        <v>413</v>
      </c>
      <c r="G385" s="660" t="str">
        <f>IFERROR(IF(E385="","",IF(F385="Direct-from-manufacturer",(E385*H385/1000*'Inventory Settings'!$J$21),(E385*I385/1000*'Inventory Settings'!$J$21))),"")</f>
        <v/>
      </c>
      <c r="H385" s="673">
        <v>9.1930963859999992E-2</v>
      </c>
      <c r="I385" s="673">
        <v>9.1930963859999992E-2</v>
      </c>
      <c r="J385" s="669">
        <v>0</v>
      </c>
      <c r="K385" s="142">
        <v>621200</v>
      </c>
      <c r="L385" s="142" t="s">
        <v>1339</v>
      </c>
      <c r="M385" s="143" t="s">
        <v>1336</v>
      </c>
      <c r="N385" s="143" t="s">
        <v>1340</v>
      </c>
      <c r="O385" s="144">
        <v>9.1930963859999992E-2</v>
      </c>
      <c r="P385" s="144">
        <v>0</v>
      </c>
      <c r="Q385" s="144">
        <v>9.1930963859999992E-2</v>
      </c>
    </row>
    <row r="386" spans="3:17" ht="31" hidden="1">
      <c r="C386" s="665" t="s">
        <v>1341</v>
      </c>
      <c r="D386" s="666"/>
      <c r="E386" s="666"/>
      <c r="F386" s="670" t="s">
        <v>413</v>
      </c>
      <c r="G386" s="660" t="str">
        <f>IFERROR(IF(E386="","",IF(F386="Direct-from-manufacturer",(E386*H386/1000*'Inventory Settings'!$J$21),(E386*I386/1000*'Inventory Settings'!$J$21))),"")</f>
        <v/>
      </c>
      <c r="H386" s="673">
        <v>0.12104886057399998</v>
      </c>
      <c r="I386" s="673">
        <v>0.12104886057399998</v>
      </c>
      <c r="J386" s="669">
        <v>0</v>
      </c>
      <c r="K386" s="142">
        <v>621300</v>
      </c>
      <c r="L386" s="142" t="s">
        <v>1342</v>
      </c>
      <c r="M386" s="143" t="s">
        <v>1336</v>
      </c>
      <c r="N386" s="143" t="s">
        <v>1343</v>
      </c>
      <c r="O386" s="144">
        <v>0.12104886057399998</v>
      </c>
      <c r="P386" s="144">
        <v>0</v>
      </c>
      <c r="Q386" s="144">
        <v>0.12104886057399998</v>
      </c>
    </row>
    <row r="387" spans="3:17" ht="56" hidden="1">
      <c r="C387" s="665" t="s">
        <v>1344</v>
      </c>
      <c r="D387" s="666"/>
      <c r="E387" s="666"/>
      <c r="F387" s="670" t="s">
        <v>413</v>
      </c>
      <c r="G387" s="660" t="str">
        <f>IFERROR(IF(E387="","",IF(F387="Direct-from-manufacturer",(E387*H387/1000*'Inventory Settings'!$J$21),(E387*I387/1000*'Inventory Settings'!$J$21))),"")</f>
        <v/>
      </c>
      <c r="H387" s="673">
        <v>0.11795475637999998</v>
      </c>
      <c r="I387" s="673">
        <v>0.11795475637999998</v>
      </c>
      <c r="J387" s="669">
        <v>0</v>
      </c>
      <c r="K387" s="142">
        <v>621400</v>
      </c>
      <c r="L387" s="142" t="s">
        <v>1345</v>
      </c>
      <c r="M387" s="143" t="s">
        <v>1336</v>
      </c>
      <c r="N387" s="143" t="s">
        <v>1346</v>
      </c>
      <c r="O387" s="144">
        <v>0.11795475637999998</v>
      </c>
      <c r="P387" s="144">
        <v>0</v>
      </c>
      <c r="Q387" s="144">
        <v>0.11795475637999998</v>
      </c>
    </row>
    <row r="388" spans="3:17" ht="56" hidden="1">
      <c r="C388" s="665" t="s">
        <v>1347</v>
      </c>
      <c r="D388" s="666"/>
      <c r="E388" s="666"/>
      <c r="F388" s="670" t="s">
        <v>413</v>
      </c>
      <c r="G388" s="660" t="str">
        <f>IFERROR(IF(E388="","",IF(F388="Direct-from-manufacturer",(E388*H388/1000*'Inventory Settings'!$J$21),(E388*I388/1000*'Inventory Settings'!$J$21))),"")</f>
        <v/>
      </c>
      <c r="H388" s="673">
        <v>0.12775775383000001</v>
      </c>
      <c r="I388" s="673">
        <v>0.12775775383000001</v>
      </c>
      <c r="J388" s="669">
        <v>0</v>
      </c>
      <c r="K388" s="142">
        <v>621500</v>
      </c>
      <c r="L388" s="142" t="s">
        <v>1348</v>
      </c>
      <c r="M388" s="143" t="s">
        <v>1336</v>
      </c>
      <c r="N388" s="143" t="s">
        <v>1349</v>
      </c>
      <c r="O388" s="144">
        <v>0.12775775383000001</v>
      </c>
      <c r="P388" s="144">
        <v>0</v>
      </c>
      <c r="Q388" s="144">
        <v>0.12775775383000001</v>
      </c>
    </row>
    <row r="389" spans="3:17" ht="84" hidden="1">
      <c r="C389" s="665" t="s">
        <v>1350</v>
      </c>
      <c r="D389" s="666"/>
      <c r="E389" s="666"/>
      <c r="F389" s="670" t="s">
        <v>413</v>
      </c>
      <c r="G389" s="660" t="str">
        <f>IFERROR(IF(E389="","",IF(F389="Direct-from-manufacturer",(E389*H389/1000*'Inventory Settings'!$J$21),(E389*I389/1000*'Inventory Settings'!$J$21))),"")</f>
        <v/>
      </c>
      <c r="H389" s="673">
        <v>0.1137833048</v>
      </c>
      <c r="I389" s="673">
        <v>0.1137833048</v>
      </c>
      <c r="J389" s="669">
        <v>0</v>
      </c>
      <c r="K389" s="142">
        <v>621600</v>
      </c>
      <c r="L389" s="142" t="s">
        <v>1351</v>
      </c>
      <c r="M389" s="143" t="s">
        <v>1336</v>
      </c>
      <c r="N389" s="143" t="s">
        <v>1352</v>
      </c>
      <c r="O389" s="144">
        <v>0.1137833048</v>
      </c>
      <c r="P389" s="144">
        <v>0</v>
      </c>
      <c r="Q389" s="144">
        <v>0.1137833048</v>
      </c>
    </row>
    <row r="390" spans="3:17" ht="56" hidden="1">
      <c r="C390" s="665" t="s">
        <v>1353</v>
      </c>
      <c r="D390" s="666"/>
      <c r="E390" s="666"/>
      <c r="F390" s="670" t="s">
        <v>413</v>
      </c>
      <c r="G390" s="660" t="str">
        <f>IFERROR(IF(E390="","",IF(F390="Direct-from-manufacturer",(E390*H390/1000*'Inventory Settings'!$J$21),(E390*I390/1000*'Inventory Settings'!$J$21))),"")</f>
        <v/>
      </c>
      <c r="H390" s="673">
        <v>0.18284640759000001</v>
      </c>
      <c r="I390" s="673">
        <v>0.18284640759000001</v>
      </c>
      <c r="J390" s="669">
        <v>0</v>
      </c>
      <c r="K390" s="142">
        <v>621900</v>
      </c>
      <c r="L390" s="142" t="s">
        <v>1354</v>
      </c>
      <c r="M390" s="143" t="s">
        <v>1336</v>
      </c>
      <c r="N390" s="143" t="s">
        <v>1355</v>
      </c>
      <c r="O390" s="144">
        <v>0.18284640759000001</v>
      </c>
      <c r="P390" s="144">
        <v>0</v>
      </c>
      <c r="Q390" s="144">
        <v>0.18284640759000001</v>
      </c>
    </row>
    <row r="391" spans="3:17" ht="84" hidden="1">
      <c r="C391" s="665" t="s">
        <v>1356</v>
      </c>
      <c r="D391" s="666"/>
      <c r="E391" s="666"/>
      <c r="F391" s="670" t="s">
        <v>413</v>
      </c>
      <c r="G391" s="660" t="str">
        <f>IFERROR(IF(E391="","",IF(F391="Direct-from-manufacturer",(E391*H391/1000*'Inventory Settings'!$J$21),(E391*I391/1000*'Inventory Settings'!$J$21))),"")</f>
        <v/>
      </c>
      <c r="H391" s="673">
        <v>0.15944516630999997</v>
      </c>
      <c r="I391" s="673">
        <v>0.15944516630999997</v>
      </c>
      <c r="J391" s="669">
        <v>0</v>
      </c>
      <c r="K391" s="142">
        <v>622000</v>
      </c>
      <c r="L391" s="142" t="s">
        <v>1357</v>
      </c>
      <c r="M391" s="143" t="s">
        <v>1336</v>
      </c>
      <c r="N391" s="143" t="s">
        <v>1358</v>
      </c>
      <c r="O391" s="144">
        <v>0.15944516630999997</v>
      </c>
      <c r="P391" s="144">
        <v>0</v>
      </c>
      <c r="Q391" s="144">
        <v>0.15944516630999997</v>
      </c>
    </row>
    <row r="392" spans="3:17" ht="210" hidden="1">
      <c r="C392" s="665" t="s">
        <v>1359</v>
      </c>
      <c r="D392" s="666"/>
      <c r="E392" s="666"/>
      <c r="F392" s="670" t="s">
        <v>413</v>
      </c>
      <c r="G392" s="660" t="str">
        <f>IFERROR(IF(E392="","",IF(F392="Direct-from-manufacturer",(E392*H392/1000*'Inventory Settings'!$J$21),(E392*I392/1000*'Inventory Settings'!$J$21))),"")</f>
        <v/>
      </c>
      <c r="H392" s="673">
        <v>0.16126695631000004</v>
      </c>
      <c r="I392" s="673">
        <v>0.16126695631000004</v>
      </c>
      <c r="J392" s="669">
        <v>0</v>
      </c>
      <c r="K392" s="142" t="s">
        <v>1360</v>
      </c>
      <c r="L392" s="142" t="s">
        <v>1361</v>
      </c>
      <c r="M392" s="143" t="s">
        <v>1336</v>
      </c>
      <c r="N392" s="143" t="s">
        <v>1362</v>
      </c>
      <c r="O392" s="144">
        <v>0.16126695631000004</v>
      </c>
      <c r="P392" s="144">
        <v>0</v>
      </c>
      <c r="Q392" s="144">
        <v>0.16126695631000004</v>
      </c>
    </row>
    <row r="393" spans="3:17" ht="210" hidden="1">
      <c r="C393" s="665" t="s">
        <v>1363</v>
      </c>
      <c r="D393" s="666"/>
      <c r="E393" s="666"/>
      <c r="F393" s="670" t="s">
        <v>413</v>
      </c>
      <c r="G393" s="660" t="str">
        <f>IFERROR(IF(E393="","",IF(F393="Direct-from-manufacturer",(E393*H393/1000*'Inventory Settings'!$J$21),(E393*I393/1000*'Inventory Settings'!$J$21))),"")</f>
        <v/>
      </c>
      <c r="H393" s="673">
        <v>0.16780645455000001</v>
      </c>
      <c r="I393" s="673">
        <v>0.16780645455000001</v>
      </c>
      <c r="J393" s="669">
        <v>0</v>
      </c>
      <c r="K393" s="142" t="s">
        <v>1364</v>
      </c>
      <c r="L393" s="142" t="s">
        <v>1365</v>
      </c>
      <c r="M393" s="143" t="s">
        <v>1336</v>
      </c>
      <c r="N393" s="143" t="s">
        <v>1366</v>
      </c>
      <c r="O393" s="144">
        <v>0.16780645455000001</v>
      </c>
      <c r="P393" s="144">
        <v>0</v>
      </c>
      <c r="Q393" s="144">
        <v>0.16780645455000001</v>
      </c>
    </row>
    <row r="394" spans="3:17" ht="42" hidden="1">
      <c r="C394" s="665" t="s">
        <v>1367</v>
      </c>
      <c r="D394" s="666"/>
      <c r="E394" s="666"/>
      <c r="F394" s="670" t="s">
        <v>413</v>
      </c>
      <c r="G394" s="660" t="str">
        <f>IFERROR(IF(E394="","",IF(F394="Direct-from-manufacturer",(E394*H394/1000*'Inventory Settings'!$J$21),(E394*I394/1000*'Inventory Settings'!$J$21))),"")</f>
        <v/>
      </c>
      <c r="H394" s="673">
        <v>0.14924146584</v>
      </c>
      <c r="I394" s="673">
        <v>0.14924146584</v>
      </c>
      <c r="J394" s="669">
        <v>0</v>
      </c>
      <c r="K394" s="142">
        <v>624100</v>
      </c>
      <c r="L394" s="142" t="s">
        <v>1368</v>
      </c>
      <c r="M394" s="143" t="s">
        <v>1336</v>
      </c>
      <c r="N394" s="143" t="s">
        <v>1369</v>
      </c>
      <c r="O394" s="144">
        <v>0.14924146584</v>
      </c>
      <c r="P394" s="144">
        <v>0</v>
      </c>
      <c r="Q394" s="144">
        <v>0.14924146584</v>
      </c>
    </row>
    <row r="395" spans="3:17" ht="210" hidden="1">
      <c r="C395" s="665" t="s">
        <v>1370</v>
      </c>
      <c r="D395" s="666"/>
      <c r="E395" s="666"/>
      <c r="F395" s="670" t="s">
        <v>413</v>
      </c>
      <c r="G395" s="660" t="str">
        <f>IFERROR(IF(E395="","",IF(F395="Direct-from-manufacturer",(E395*H395/1000*'Inventory Settings'!$J$21),(E395*I395/1000*'Inventory Settings'!$J$21))),"")</f>
        <v/>
      </c>
      <c r="H395" s="673">
        <v>0.25354169628000001</v>
      </c>
      <c r="I395" s="673">
        <v>0.25354169628000001</v>
      </c>
      <c r="J395" s="669">
        <v>0</v>
      </c>
      <c r="K395" s="142" t="s">
        <v>1371</v>
      </c>
      <c r="L395" s="142" t="s">
        <v>1372</v>
      </c>
      <c r="M395" s="143" t="s">
        <v>1336</v>
      </c>
      <c r="N395" s="143" t="s">
        <v>1373</v>
      </c>
      <c r="O395" s="144">
        <v>0.25354169628000001</v>
      </c>
      <c r="P395" s="144">
        <v>0</v>
      </c>
      <c r="Q395" s="144">
        <v>0.25354169628000001</v>
      </c>
    </row>
    <row r="396" spans="3:17" ht="56" hidden="1">
      <c r="C396" s="665" t="s">
        <v>1374</v>
      </c>
      <c r="D396" s="666"/>
      <c r="E396" s="666"/>
      <c r="F396" s="670" t="s">
        <v>413</v>
      </c>
      <c r="G396" s="660" t="str">
        <f>IFERROR(IF(E396="","",IF(F396="Direct-from-manufacturer",(E396*H396/1000*'Inventory Settings'!$J$21),(E396*I396/1000*'Inventory Settings'!$J$21))),"")</f>
        <v/>
      </c>
      <c r="H396" s="673">
        <v>0.17220434877999999</v>
      </c>
      <c r="I396" s="673">
        <v>0.17220434877999999</v>
      </c>
      <c r="J396" s="669">
        <v>0</v>
      </c>
      <c r="K396" s="142">
        <v>624400</v>
      </c>
      <c r="L396" s="142" t="s">
        <v>1375</v>
      </c>
      <c r="M396" s="143" t="s">
        <v>1336</v>
      </c>
      <c r="N396" s="143" t="s">
        <v>1376</v>
      </c>
      <c r="O396" s="144">
        <v>0.17220434877999999</v>
      </c>
      <c r="P396" s="144">
        <v>0</v>
      </c>
      <c r="Q396" s="144">
        <v>0.17220434877999999</v>
      </c>
    </row>
    <row r="397" spans="3:17" ht="42" hidden="1">
      <c r="C397" s="665" t="s">
        <v>1377</v>
      </c>
      <c r="D397" s="666"/>
      <c r="E397" s="666"/>
      <c r="F397" s="670" t="s">
        <v>413</v>
      </c>
      <c r="G397" s="660" t="str">
        <f>IFERROR(IF(E397="","",IF(F397="Direct-from-manufacturer",(E397*H397/1000*'Inventory Settings'!$J$21),(E397*I397/1000*'Inventory Settings'!$J$21))),"")</f>
        <v/>
      </c>
      <c r="H397" s="673">
        <v>8.5585129116999989E-2</v>
      </c>
      <c r="I397" s="673">
        <v>8.5585129116999989E-2</v>
      </c>
      <c r="J397" s="669">
        <v>0</v>
      </c>
      <c r="K397" s="142">
        <v>711100</v>
      </c>
      <c r="L397" s="142" t="s">
        <v>1378</v>
      </c>
      <c r="M397" s="143" t="s">
        <v>1379</v>
      </c>
      <c r="N397" s="143" t="s">
        <v>1380</v>
      </c>
      <c r="O397" s="144">
        <v>8.5585129116999989E-2</v>
      </c>
      <c r="P397" s="144">
        <v>0</v>
      </c>
      <c r="Q397" s="144">
        <v>8.5585129116999989E-2</v>
      </c>
    </row>
    <row r="398" spans="3:17" ht="126" hidden="1">
      <c r="C398" s="665" t="s">
        <v>310</v>
      </c>
      <c r="D398" s="666"/>
      <c r="E398" s="666"/>
      <c r="F398" s="670" t="s">
        <v>413</v>
      </c>
      <c r="G398" s="660" t="str">
        <f>IFERROR(IF(E398="","",IF(F398="Direct-from-manufacturer",(E398*H398/1000*'Inventory Settings'!$J$21),(E398*I398/1000*'Inventory Settings'!$J$21))),"")</f>
        <v/>
      </c>
      <c r="H398" s="673">
        <v>7.3270700391999996E-2</v>
      </c>
      <c r="I398" s="673">
        <v>7.3270700391999996E-2</v>
      </c>
      <c r="J398" s="669">
        <v>0</v>
      </c>
      <c r="K398" s="142">
        <v>711200</v>
      </c>
      <c r="L398" s="142" t="s">
        <v>1381</v>
      </c>
      <c r="M398" s="143" t="s">
        <v>1379</v>
      </c>
      <c r="N398" s="143" t="s">
        <v>1382</v>
      </c>
      <c r="O398" s="144">
        <v>7.3270700391999996E-2</v>
      </c>
      <c r="P398" s="144">
        <v>0</v>
      </c>
      <c r="Q398" s="144">
        <v>7.3270700391999996E-2</v>
      </c>
    </row>
    <row r="399" spans="3:17" ht="280" hidden="1">
      <c r="C399" s="665" t="s">
        <v>1383</v>
      </c>
      <c r="D399" s="666"/>
      <c r="E399" s="666"/>
      <c r="F399" s="670" t="s">
        <v>413</v>
      </c>
      <c r="G399" s="660" t="str">
        <f>IFERROR(IF(E399="","",IF(F399="Direct-from-manufacturer",(E399*H399/1000*'Inventory Settings'!$J$21),(E399*I399/1000*'Inventory Settings'!$J$21))),"")</f>
        <v/>
      </c>
      <c r="H399" s="673">
        <v>8.4564320569000026E-2</v>
      </c>
      <c r="I399" s="673">
        <v>8.4564320569000026E-2</v>
      </c>
      <c r="J399" s="669">
        <v>0</v>
      </c>
      <c r="K399" s="142" t="s">
        <v>1384</v>
      </c>
      <c r="L399" s="142" t="s">
        <v>1385</v>
      </c>
      <c r="M399" s="143" t="s">
        <v>1379</v>
      </c>
      <c r="N399" s="143" t="s">
        <v>1386</v>
      </c>
      <c r="O399" s="144">
        <v>8.4564320569000026E-2</v>
      </c>
      <c r="P399" s="144">
        <v>0</v>
      </c>
      <c r="Q399" s="144">
        <v>8.4564320569000026E-2</v>
      </c>
    </row>
    <row r="400" spans="3:17" ht="84" hidden="1">
      <c r="C400" s="665" t="s">
        <v>1387</v>
      </c>
      <c r="D400" s="666"/>
      <c r="E400" s="666"/>
      <c r="F400" s="670" t="s">
        <v>413</v>
      </c>
      <c r="G400" s="660" t="str">
        <f>IFERROR(IF(E400="","",IF(F400="Direct-from-manufacturer",(E400*H400/1000*'Inventory Settings'!$J$21),(E400*I400/1000*'Inventory Settings'!$J$21))),"")</f>
        <v/>
      </c>
      <c r="H400" s="673">
        <v>1.3628385176000001E-2</v>
      </c>
      <c r="I400" s="673">
        <v>1.3628385176000001E-2</v>
      </c>
      <c r="J400" s="669">
        <v>0</v>
      </c>
      <c r="K400" s="142">
        <v>711500</v>
      </c>
      <c r="L400" s="142" t="s">
        <v>1388</v>
      </c>
      <c r="M400" s="143" t="s">
        <v>1379</v>
      </c>
      <c r="N400" s="143" t="s">
        <v>1389</v>
      </c>
      <c r="O400" s="144">
        <v>1.3628385176000001E-2</v>
      </c>
      <c r="P400" s="144">
        <v>0</v>
      </c>
      <c r="Q400" s="144">
        <v>1.3628385176000001E-2</v>
      </c>
    </row>
    <row r="401" spans="3:17" ht="42" hidden="1">
      <c r="C401" s="665" t="s">
        <v>1390</v>
      </c>
      <c r="D401" s="666"/>
      <c r="E401" s="666"/>
      <c r="F401" s="670" t="s">
        <v>413</v>
      </c>
      <c r="G401" s="660" t="str">
        <f>IFERROR(IF(E401="","",IF(F401="Direct-from-manufacturer",(E401*H401/1000*'Inventory Settings'!$J$21),(E401*I401/1000*'Inventory Settings'!$J$21))),"")</f>
        <v/>
      </c>
      <c r="H401" s="673">
        <v>0.15907120299000002</v>
      </c>
      <c r="I401" s="673">
        <v>0.15907120299000002</v>
      </c>
      <c r="J401" s="669">
        <v>0</v>
      </c>
      <c r="K401" s="142">
        <v>712000</v>
      </c>
      <c r="L401" s="142" t="s">
        <v>1391</v>
      </c>
      <c r="M401" s="143" t="s">
        <v>1379</v>
      </c>
      <c r="N401" s="143" t="s">
        <v>1392</v>
      </c>
      <c r="O401" s="144">
        <v>0.15907120299000002</v>
      </c>
      <c r="P401" s="144">
        <v>0</v>
      </c>
      <c r="Q401" s="144">
        <v>0.15907120299000002</v>
      </c>
    </row>
    <row r="402" spans="3:17" ht="28" hidden="1">
      <c r="C402" s="665" t="s">
        <v>1393</v>
      </c>
      <c r="D402" s="666"/>
      <c r="E402" s="666"/>
      <c r="F402" s="670" t="s">
        <v>413</v>
      </c>
      <c r="G402" s="660" t="str">
        <f>IFERROR(IF(E402="","",IF(F402="Direct-from-manufacturer",(E402*H402/1000*'Inventory Settings'!$J$21),(E402*I402/1000*'Inventory Settings'!$J$21))),"")</f>
        <v/>
      </c>
      <c r="H402" s="673">
        <v>0.1410109343</v>
      </c>
      <c r="I402" s="673">
        <v>0.1410109343</v>
      </c>
      <c r="J402" s="669">
        <v>0</v>
      </c>
      <c r="K402" s="142">
        <v>713100</v>
      </c>
      <c r="L402" s="142" t="s">
        <v>1394</v>
      </c>
      <c r="M402" s="143" t="s">
        <v>1379</v>
      </c>
      <c r="N402" s="143" t="s">
        <v>1395</v>
      </c>
      <c r="O402" s="144">
        <v>0.1410109343</v>
      </c>
      <c r="P402" s="144">
        <v>0</v>
      </c>
      <c r="Q402" s="144">
        <v>0.1410109343</v>
      </c>
    </row>
    <row r="403" spans="3:17" ht="56" hidden="1">
      <c r="C403" s="665" t="s">
        <v>1396</v>
      </c>
      <c r="D403" s="666"/>
      <c r="E403" s="666"/>
      <c r="F403" s="670" t="s">
        <v>413</v>
      </c>
      <c r="G403" s="660" t="str">
        <f>IFERROR(IF(E403="","",IF(F403="Direct-from-manufacturer",(E403*H403/1000*'Inventory Settings'!$J$21),(E403*I403/1000*'Inventory Settings'!$J$21))),"")</f>
        <v/>
      </c>
      <c r="H403" s="673">
        <v>0.16754436699999997</v>
      </c>
      <c r="I403" s="673">
        <v>0.16754436699999997</v>
      </c>
      <c r="J403" s="669">
        <v>0</v>
      </c>
      <c r="K403" s="142">
        <v>713200</v>
      </c>
      <c r="L403" s="142" t="s">
        <v>1397</v>
      </c>
      <c r="M403" s="143" t="s">
        <v>1379</v>
      </c>
      <c r="N403" s="143" t="s">
        <v>1398</v>
      </c>
      <c r="O403" s="144">
        <v>0.16754436699999997</v>
      </c>
      <c r="P403" s="144">
        <v>0</v>
      </c>
      <c r="Q403" s="144">
        <v>0.16754436699999997</v>
      </c>
    </row>
    <row r="404" spans="3:17" ht="46.5" hidden="1">
      <c r="C404" s="665" t="s">
        <v>1399</v>
      </c>
      <c r="D404" s="666"/>
      <c r="E404" s="666"/>
      <c r="F404" s="670" t="s">
        <v>413</v>
      </c>
      <c r="G404" s="660" t="str">
        <f>IFERROR(IF(E404="","",IF(F404="Direct-from-manufacturer",(E404*H404/1000*'Inventory Settings'!$J$21),(E404*I404/1000*'Inventory Settings'!$J$21))),"")</f>
        <v/>
      </c>
      <c r="H404" s="673">
        <v>0.31793996006999997</v>
      </c>
      <c r="I404" s="673">
        <v>0.31793996006999997</v>
      </c>
      <c r="J404" s="669">
        <v>0</v>
      </c>
      <c r="K404" s="142">
        <v>713900</v>
      </c>
      <c r="L404" s="142" t="s">
        <v>1400</v>
      </c>
      <c r="M404" s="143" t="s">
        <v>1379</v>
      </c>
      <c r="N404" s="143" t="s">
        <v>1401</v>
      </c>
      <c r="O404" s="144">
        <v>0.31793996006999997</v>
      </c>
      <c r="P404" s="144">
        <v>0</v>
      </c>
      <c r="Q404" s="144">
        <v>0.31793996006999997</v>
      </c>
    </row>
    <row r="405" spans="3:17" ht="294" hidden="1">
      <c r="C405" s="665" t="s">
        <v>1402</v>
      </c>
      <c r="D405" s="666"/>
      <c r="E405" s="666"/>
      <c r="F405" s="670" t="s">
        <v>413</v>
      </c>
      <c r="G405" s="660" t="str">
        <f>IFERROR(IF(E405="","",IF(F405="Direct-from-manufacturer",(E405*H405/1000*'Inventory Settings'!$J$21),(E405*I405/1000*'Inventory Settings'!$J$21))),"")</f>
        <v/>
      </c>
      <c r="H405" s="673">
        <v>0.18651134351999993</v>
      </c>
      <c r="I405" s="673">
        <v>0.18651134351999993</v>
      </c>
      <c r="J405" s="669">
        <v>0</v>
      </c>
      <c r="K405" s="142">
        <v>721000</v>
      </c>
      <c r="L405" s="142" t="s">
        <v>1403</v>
      </c>
      <c r="M405" s="143" t="s">
        <v>1404</v>
      </c>
      <c r="N405" s="143" t="s">
        <v>1405</v>
      </c>
      <c r="O405" s="144">
        <v>0.18651134351999993</v>
      </c>
      <c r="P405" s="144">
        <v>0</v>
      </c>
      <c r="Q405" s="144">
        <v>0.18651134351999993</v>
      </c>
    </row>
    <row r="406" spans="3:17" ht="98" hidden="1">
      <c r="C406" s="665" t="s">
        <v>1406</v>
      </c>
      <c r="D406" s="666"/>
      <c r="E406" s="666"/>
      <c r="F406" s="670" t="s">
        <v>413</v>
      </c>
      <c r="G406" s="660" t="str">
        <f>IFERROR(IF(E406="","",IF(F406="Direct-from-manufacturer",(E406*H406/1000*'Inventory Settings'!$J$21),(E406*I406/1000*'Inventory Settings'!$J$21))),"")</f>
        <v/>
      </c>
      <c r="H406" s="673">
        <v>0.15811589204999998</v>
      </c>
      <c r="I406" s="673">
        <v>0.15811589204999998</v>
      </c>
      <c r="J406" s="669">
        <v>0</v>
      </c>
      <c r="K406" s="142" t="s">
        <v>1407</v>
      </c>
      <c r="L406" s="142" t="s">
        <v>1408</v>
      </c>
      <c r="M406" s="143" t="s">
        <v>1404</v>
      </c>
      <c r="N406" s="143" t="s">
        <v>1409</v>
      </c>
      <c r="O406" s="144">
        <v>0.15811589204999998</v>
      </c>
      <c r="P406" s="144">
        <v>0</v>
      </c>
      <c r="Q406" s="144">
        <v>0.15811589204999998</v>
      </c>
    </row>
    <row r="407" spans="3:17" ht="70" hidden="1">
      <c r="C407" s="665" t="s">
        <v>1410</v>
      </c>
      <c r="D407" s="666"/>
      <c r="E407" s="666"/>
      <c r="F407" s="670" t="s">
        <v>413</v>
      </c>
      <c r="G407" s="660" t="str">
        <f>IFERROR(IF(E407="","",IF(F407="Direct-from-manufacturer",(E407*H407/1000*'Inventory Settings'!$J$21),(E407*I407/1000*'Inventory Settings'!$J$21))),"")</f>
        <v/>
      </c>
      <c r="H407" s="673">
        <v>0.22313435114000005</v>
      </c>
      <c r="I407" s="673">
        <v>0.22313435114000005</v>
      </c>
      <c r="J407" s="669">
        <v>0</v>
      </c>
      <c r="K407" s="142">
        <v>722110</v>
      </c>
      <c r="L407" s="142" t="s">
        <v>1411</v>
      </c>
      <c r="M407" s="143" t="s">
        <v>1404</v>
      </c>
      <c r="N407" s="143" t="s">
        <v>1412</v>
      </c>
      <c r="O407" s="144">
        <v>0.22313435114000005</v>
      </c>
      <c r="P407" s="144">
        <v>0</v>
      </c>
      <c r="Q407" s="144">
        <v>0.22313435114000005</v>
      </c>
    </row>
    <row r="408" spans="3:17" ht="70" hidden="1">
      <c r="C408" s="665" t="s">
        <v>1413</v>
      </c>
      <c r="D408" s="666"/>
      <c r="E408" s="666"/>
      <c r="F408" s="670" t="s">
        <v>413</v>
      </c>
      <c r="G408" s="660" t="str">
        <f>IFERROR(IF(E408="","",IF(F408="Direct-from-manufacturer",(E408*H408/1000*'Inventory Settings'!$J$21),(E408*I408/1000*'Inventory Settings'!$J$21))),"")</f>
        <v/>
      </c>
      <c r="H408" s="673">
        <v>0.29286095709999993</v>
      </c>
      <c r="I408" s="673">
        <v>0.29286095709999993</v>
      </c>
      <c r="J408" s="669">
        <v>0</v>
      </c>
      <c r="K408" s="142">
        <v>722211</v>
      </c>
      <c r="L408" s="142" t="s">
        <v>1414</v>
      </c>
      <c r="M408" s="143" t="s">
        <v>1404</v>
      </c>
      <c r="N408" s="143" t="s">
        <v>1412</v>
      </c>
      <c r="O408" s="144">
        <v>0.29286095709999993</v>
      </c>
      <c r="P408" s="144">
        <v>0</v>
      </c>
      <c r="Q408" s="144">
        <v>0.29286095709999993</v>
      </c>
    </row>
    <row r="409" spans="3:17" ht="70" hidden="1">
      <c r="C409" s="665" t="s">
        <v>1415</v>
      </c>
      <c r="D409" s="666"/>
      <c r="E409" s="666"/>
      <c r="F409" s="670" t="s">
        <v>413</v>
      </c>
      <c r="G409" s="660" t="str">
        <f>IFERROR(IF(E409="","",IF(F409="Direct-from-manufacturer",(E409*H409/1000*'Inventory Settings'!$J$21),(E409*I409/1000*'Inventory Settings'!$J$21))),"")</f>
        <v/>
      </c>
      <c r="H409" s="673">
        <v>0.12840872377000001</v>
      </c>
      <c r="I409" s="673">
        <v>0.12840872377000001</v>
      </c>
      <c r="J409" s="669">
        <v>0</v>
      </c>
      <c r="K409" s="142">
        <v>811100</v>
      </c>
      <c r="L409" s="142" t="s">
        <v>1416</v>
      </c>
      <c r="M409" s="143" t="s">
        <v>1417</v>
      </c>
      <c r="N409" s="143" t="s">
        <v>1418</v>
      </c>
      <c r="O409" s="144">
        <v>0.12840872377000001</v>
      </c>
      <c r="P409" s="144">
        <v>0</v>
      </c>
      <c r="Q409" s="144">
        <v>0.12840872377000001</v>
      </c>
    </row>
    <row r="410" spans="3:17" ht="70" hidden="1">
      <c r="C410" s="665" t="s">
        <v>1419</v>
      </c>
      <c r="D410" s="666"/>
      <c r="E410" s="666"/>
      <c r="F410" s="670" t="s">
        <v>413</v>
      </c>
      <c r="G410" s="660" t="str">
        <f>IFERROR(IF(E410="","",IF(F410="Direct-from-manufacturer",(E410*H410/1000*'Inventory Settings'!$J$21),(E410*I410/1000*'Inventory Settings'!$J$21))),"")</f>
        <v/>
      </c>
      <c r="H410" s="673">
        <v>9.1214016400000014E-2</v>
      </c>
      <c r="I410" s="673">
        <v>9.1214016400000014E-2</v>
      </c>
      <c r="J410" s="669">
        <v>0</v>
      </c>
      <c r="K410" s="142">
        <v>811200</v>
      </c>
      <c r="L410" s="142" t="s">
        <v>1420</v>
      </c>
      <c r="M410" s="143" t="s">
        <v>1417</v>
      </c>
      <c r="N410" s="143" t="s">
        <v>1421</v>
      </c>
      <c r="O410" s="144">
        <v>9.1214016400000014E-2</v>
      </c>
      <c r="P410" s="144">
        <v>0</v>
      </c>
      <c r="Q410" s="144">
        <v>9.1214016400000014E-2</v>
      </c>
    </row>
    <row r="411" spans="3:17" ht="98" hidden="1">
      <c r="C411" s="665" t="s">
        <v>1422</v>
      </c>
      <c r="D411" s="666"/>
      <c r="E411" s="666"/>
      <c r="F411" s="670" t="s">
        <v>413</v>
      </c>
      <c r="G411" s="660" t="str">
        <f>IFERROR(IF(E411="","",IF(F411="Direct-from-manufacturer",(E411*H411/1000*'Inventory Settings'!$J$21),(E411*I411/1000*'Inventory Settings'!$J$21))),"")</f>
        <v/>
      </c>
      <c r="H411" s="673">
        <v>0.14446131464000003</v>
      </c>
      <c r="I411" s="673">
        <v>0.14446131464000003</v>
      </c>
      <c r="J411" s="669">
        <v>0</v>
      </c>
      <c r="K411" s="142">
        <v>811300</v>
      </c>
      <c r="L411" s="142" t="s">
        <v>1423</v>
      </c>
      <c r="M411" s="143" t="s">
        <v>1417</v>
      </c>
      <c r="N411" s="143" t="s">
        <v>1424</v>
      </c>
      <c r="O411" s="144">
        <v>0.14446131464000003</v>
      </c>
      <c r="P411" s="144">
        <v>0</v>
      </c>
      <c r="Q411" s="144">
        <v>0.14446131464000003</v>
      </c>
    </row>
    <row r="412" spans="3:17" ht="56" hidden="1">
      <c r="C412" s="665" t="s">
        <v>1425</v>
      </c>
      <c r="D412" s="666"/>
      <c r="E412" s="666"/>
      <c r="F412" s="670" t="s">
        <v>413</v>
      </c>
      <c r="G412" s="660" t="str">
        <f>IFERROR(IF(E412="","",IF(F412="Direct-from-manufacturer",(E412*H412/1000*'Inventory Settings'!$J$21),(E412*I412/1000*'Inventory Settings'!$J$21))),"")</f>
        <v/>
      </c>
      <c r="H412" s="673">
        <v>8.7109386009999998E-2</v>
      </c>
      <c r="I412" s="673">
        <v>8.7109386009999998E-2</v>
      </c>
      <c r="J412" s="669">
        <v>0</v>
      </c>
      <c r="K412" s="142">
        <v>811400</v>
      </c>
      <c r="L412" s="142" t="s">
        <v>1426</v>
      </c>
      <c r="M412" s="143" t="s">
        <v>1417</v>
      </c>
      <c r="N412" s="143" t="s">
        <v>1427</v>
      </c>
      <c r="O412" s="144">
        <v>8.7109386009999998E-2</v>
      </c>
      <c r="P412" s="144">
        <v>0</v>
      </c>
      <c r="Q412" s="144">
        <v>8.7109386009999998E-2</v>
      </c>
    </row>
    <row r="413" spans="3:17" ht="28" hidden="1">
      <c r="C413" s="665" t="s">
        <v>1428</v>
      </c>
      <c r="D413" s="666"/>
      <c r="E413" s="666"/>
      <c r="F413" s="670" t="s">
        <v>413</v>
      </c>
      <c r="G413" s="660" t="str">
        <f>IFERROR(IF(E413="","",IF(F413="Direct-from-manufacturer",(E413*H413/1000*'Inventory Settings'!$J$21),(E413*I413/1000*'Inventory Settings'!$J$21))),"")</f>
        <v/>
      </c>
      <c r="H413" s="673">
        <v>0.11054243678</v>
      </c>
      <c r="I413" s="673">
        <v>0.11054243678</v>
      </c>
      <c r="J413" s="669">
        <v>0</v>
      </c>
      <c r="K413" s="142">
        <v>812100</v>
      </c>
      <c r="L413" s="142" t="s">
        <v>1429</v>
      </c>
      <c r="M413" s="143" t="s">
        <v>1417</v>
      </c>
      <c r="N413" s="143" t="s">
        <v>1430</v>
      </c>
      <c r="O413" s="144">
        <v>0.11054243678</v>
      </c>
      <c r="P413" s="144">
        <v>0</v>
      </c>
      <c r="Q413" s="144">
        <v>0.11054243678</v>
      </c>
    </row>
    <row r="414" spans="3:17" ht="28" hidden="1">
      <c r="C414" s="665" t="s">
        <v>1431</v>
      </c>
      <c r="D414" s="666"/>
      <c r="E414" s="666"/>
      <c r="F414" s="670" t="s">
        <v>413</v>
      </c>
      <c r="G414" s="660" t="str">
        <f>IFERROR(IF(E414="","",IF(F414="Direct-from-manufacturer",(E414*H414/1000*'Inventory Settings'!$J$21),(E414*I414/1000*'Inventory Settings'!$J$21))),"")</f>
        <v/>
      </c>
      <c r="H414" s="673">
        <v>3.4712824567999984E-2</v>
      </c>
      <c r="I414" s="673">
        <v>3.4712824567999984E-2</v>
      </c>
      <c r="J414" s="669">
        <v>0</v>
      </c>
      <c r="K414" s="142">
        <v>812200</v>
      </c>
      <c r="L414" s="142" t="s">
        <v>1432</v>
      </c>
      <c r="M414" s="143" t="s">
        <v>1417</v>
      </c>
      <c r="N414" s="143" t="s">
        <v>1433</v>
      </c>
      <c r="O414" s="144">
        <v>3.4712824567999984E-2</v>
      </c>
      <c r="P414" s="144">
        <v>0</v>
      </c>
      <c r="Q414" s="144">
        <v>3.4712824567999984E-2</v>
      </c>
    </row>
    <row r="415" spans="3:17" ht="42" hidden="1">
      <c r="C415" s="665" t="s">
        <v>1434</v>
      </c>
      <c r="D415" s="666"/>
      <c r="E415" s="666"/>
      <c r="F415" s="670" t="s">
        <v>413</v>
      </c>
      <c r="G415" s="660" t="str">
        <f>IFERROR(IF(E415="","",IF(F415="Direct-from-manufacturer",(E415*H415/1000*'Inventory Settings'!$J$21),(E415*I415/1000*'Inventory Settings'!$J$21))),"")</f>
        <v/>
      </c>
      <c r="H415" s="673">
        <v>0.16493013237000001</v>
      </c>
      <c r="I415" s="673">
        <v>0.16493013237000001</v>
      </c>
      <c r="J415" s="669">
        <v>0</v>
      </c>
      <c r="K415" s="142">
        <v>812300</v>
      </c>
      <c r="L415" s="142" t="s">
        <v>1435</v>
      </c>
      <c r="M415" s="143" t="s">
        <v>1417</v>
      </c>
      <c r="N415" s="143" t="s">
        <v>1436</v>
      </c>
      <c r="O415" s="144">
        <v>0.16493013237000001</v>
      </c>
      <c r="P415" s="144">
        <v>0</v>
      </c>
      <c r="Q415" s="144">
        <v>0.16493013237000001</v>
      </c>
    </row>
    <row r="416" spans="3:17" ht="42" hidden="1">
      <c r="C416" s="665" t="s">
        <v>1437</v>
      </c>
      <c r="D416" s="666"/>
      <c r="E416" s="666"/>
      <c r="F416" s="670" t="s">
        <v>413</v>
      </c>
      <c r="G416" s="660" t="str">
        <f>IFERROR(IF(E416="","",IF(F416="Direct-from-manufacturer",(E416*H416/1000*'Inventory Settings'!$J$21),(E416*I416/1000*'Inventory Settings'!$J$21))),"")</f>
        <v/>
      </c>
      <c r="H416" s="673">
        <v>0.10046033993000003</v>
      </c>
      <c r="I416" s="673">
        <v>0.10046033993000003</v>
      </c>
      <c r="J416" s="669">
        <v>0</v>
      </c>
      <c r="K416" s="142">
        <v>812900</v>
      </c>
      <c r="L416" s="142" t="s">
        <v>1438</v>
      </c>
      <c r="M416" s="143" t="s">
        <v>1417</v>
      </c>
      <c r="N416" s="143" t="s">
        <v>1439</v>
      </c>
      <c r="O416" s="144">
        <v>0.10046033993000003</v>
      </c>
      <c r="P416" s="144">
        <v>0</v>
      </c>
      <c r="Q416" s="144">
        <v>0.10046033993000003</v>
      </c>
    </row>
    <row r="417" spans="3:17" ht="56" hidden="1">
      <c r="C417" s="665" t="s">
        <v>1440</v>
      </c>
      <c r="D417" s="666"/>
      <c r="E417" s="666"/>
      <c r="F417" s="670" t="s">
        <v>413</v>
      </c>
      <c r="G417" s="660" t="str">
        <f>IFERROR(IF(E417="","",IF(F417="Direct-from-manufacturer",(E417*H417/1000*'Inventory Settings'!$J$21),(E417*I417/1000*'Inventory Settings'!$J$21))),"")</f>
        <v/>
      </c>
      <c r="H417" s="673">
        <v>0.20092027525999995</v>
      </c>
      <c r="I417" s="673">
        <v>0.20092027525999995</v>
      </c>
      <c r="J417" s="669">
        <v>0</v>
      </c>
      <c r="K417" s="142">
        <v>813100</v>
      </c>
      <c r="L417" s="142" t="s">
        <v>1441</v>
      </c>
      <c r="M417" s="143" t="s">
        <v>1417</v>
      </c>
      <c r="N417" s="143" t="s">
        <v>1442</v>
      </c>
      <c r="O417" s="144">
        <v>0.20092027525999995</v>
      </c>
      <c r="P417" s="144">
        <v>0</v>
      </c>
      <c r="Q417" s="144">
        <v>0.20092027525999995</v>
      </c>
    </row>
    <row r="418" spans="3:17" ht="168" hidden="1">
      <c r="C418" s="665" t="s">
        <v>1443</v>
      </c>
      <c r="D418" s="666"/>
      <c r="E418" s="666"/>
      <c r="F418" s="670" t="s">
        <v>413</v>
      </c>
      <c r="G418" s="660" t="str">
        <f>IFERROR(IF(E418="","",IF(F418="Direct-from-manufacturer",(E418*H418/1000*'Inventory Settings'!$J$21),(E418*I418/1000*'Inventory Settings'!$J$21))),"")</f>
        <v/>
      </c>
      <c r="H418" s="673">
        <v>6.5544286309999991E-2</v>
      </c>
      <c r="I418" s="673">
        <v>6.5544286309999991E-2</v>
      </c>
      <c r="J418" s="669">
        <v>0</v>
      </c>
      <c r="K418" s="142" t="s">
        <v>1444</v>
      </c>
      <c r="L418" s="142" t="s">
        <v>1445</v>
      </c>
      <c r="M418" s="143" t="s">
        <v>1417</v>
      </c>
      <c r="N418" s="143" t="s">
        <v>1446</v>
      </c>
      <c r="O418" s="144">
        <v>6.5544286309999991E-2</v>
      </c>
      <c r="P418" s="144">
        <v>0</v>
      </c>
      <c r="Q418" s="144">
        <v>6.5544286309999991E-2</v>
      </c>
    </row>
    <row r="419" spans="3:17" ht="168" hidden="1">
      <c r="C419" s="665" t="s">
        <v>1447</v>
      </c>
      <c r="D419" s="666"/>
      <c r="E419" s="666"/>
      <c r="F419" s="670" t="s">
        <v>413</v>
      </c>
      <c r="G419" s="660" t="str">
        <f>IFERROR(IF(E419="","",IF(F419="Direct-from-manufacturer",(E419*H419/1000*'Inventory Settings'!$J$21),(E419*I419/1000*'Inventory Settings'!$J$21))),"")</f>
        <v/>
      </c>
      <c r="H419" s="673">
        <v>0.13980193043</v>
      </c>
      <c r="I419" s="673">
        <v>0.13980193043</v>
      </c>
      <c r="J419" s="669">
        <v>0</v>
      </c>
      <c r="K419" s="142" t="s">
        <v>1448</v>
      </c>
      <c r="L419" s="142" t="s">
        <v>1449</v>
      </c>
      <c r="M419" s="143" t="s">
        <v>1417</v>
      </c>
      <c r="N419" s="143" t="s">
        <v>1450</v>
      </c>
      <c r="O419" s="144">
        <v>0.13980193043</v>
      </c>
      <c r="P419" s="144">
        <v>0</v>
      </c>
      <c r="Q419" s="144">
        <v>0.13980193043</v>
      </c>
    </row>
    <row r="420" spans="3:17">
      <c r="G420" s="104"/>
    </row>
    <row r="421" spans="3:17">
      <c r="G421" s="104"/>
    </row>
  </sheetData>
  <sheetProtection algorithmName="SHA-512" hashValue="8hyqyh5OR9nOThXFix/fWC1bxIvoecO8pbgHxIvOrRMNcdDycz5YFCTMmkiCr8ViscszHILA8OF55zSibERiDQ==" saltValue="WMkp4OUGmMaLF1gj8VXTGA==" spinCount="100000" sheet="1" autoFilter="0"/>
  <mergeCells count="2">
    <mergeCell ref="A7:M8"/>
    <mergeCell ref="A16:B17"/>
  </mergeCells>
  <dataValidations count="2">
    <dataValidation allowBlank="1" showInputMessage="1" showErrorMessage="1" prompt="Add total annual volume of water usage in gallons" sqref="E42" xr:uid="{36A0F6E6-C56B-4D07-8F24-BCF30DCA3444}"/>
    <dataValidation type="list" allowBlank="1" showInputMessage="1" showErrorMessage="1" sqref="F72:F302 F322:F328 F19:F30 F32:F37" xr:uid="{66730C45-F36A-43F7-BBA5-854EC0C0F3D0}">
      <formula1>"Wholesaler / Retailer / Distributer, Direct-from-manufacturer"</formula1>
    </dataValidation>
  </dataValidations>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3D9FB-AC3C-4A05-B5F7-3B3B6E9091FA}">
  <sheetPr>
    <tabColor theme="3" tint="0.59999389629810485"/>
  </sheetPr>
  <dimension ref="A1:W208"/>
  <sheetViews>
    <sheetView showGridLines="0" topLeftCell="C1" zoomScale="85" zoomScaleNormal="85" workbookViewId="0"/>
  </sheetViews>
  <sheetFormatPr defaultRowHeight="15.5"/>
  <cols>
    <col min="1" max="1" width="35" customWidth="1"/>
    <col min="2" max="2" width="37.58203125" customWidth="1"/>
    <col min="3" max="3" width="31" customWidth="1"/>
    <col min="4" max="4" width="28.58203125" style="153" customWidth="1"/>
    <col min="5" max="5" width="18.4140625" style="22" customWidth="1"/>
    <col min="6" max="6" width="28.58203125" customWidth="1"/>
    <col min="7" max="7" width="20.9140625" style="1" customWidth="1"/>
    <col min="8" max="8" width="23.58203125" style="7" customWidth="1"/>
    <col min="9" max="9" width="27" style="7" customWidth="1"/>
    <col min="10" max="10" width="17.4140625" style="7" customWidth="1"/>
    <col min="11" max="11" width="86.6640625" customWidth="1"/>
    <col min="12" max="12" width="68.6640625" style="1" hidden="1" customWidth="1"/>
    <col min="13" max="13" width="19.1640625" hidden="1" customWidth="1"/>
    <col min="14" max="14" width="21.9140625" hidden="1" customWidth="1"/>
    <col min="15" max="15" width="18" hidden="1" customWidth="1"/>
    <col min="16" max="16" width="16.1640625" hidden="1" customWidth="1"/>
    <col min="17" max="17" width="14.08203125" customWidth="1"/>
  </cols>
  <sheetData>
    <row r="1" spans="1:23" s="104" customFormat="1" ht="20">
      <c r="A1" s="97" t="s">
        <v>344</v>
      </c>
      <c r="B1" s="98"/>
      <c r="C1" s="99"/>
      <c r="D1" s="100"/>
      <c r="E1" s="99"/>
      <c r="F1" s="98"/>
      <c r="G1" s="98"/>
      <c r="H1" s="101"/>
      <c r="I1" s="101"/>
      <c r="J1" s="102"/>
      <c r="K1" s="98"/>
      <c r="L1" s="98"/>
      <c r="M1" s="98"/>
      <c r="N1" s="98"/>
      <c r="O1" s="98"/>
      <c r="P1" s="98"/>
    </row>
    <row r="2" spans="1:23" s="104" customFormat="1">
      <c r="A2" s="105" t="s">
        <v>345</v>
      </c>
      <c r="B2" s="106"/>
      <c r="C2" s="107"/>
      <c r="D2" s="108"/>
      <c r="E2" s="107"/>
      <c r="F2" s="106"/>
      <c r="G2" s="106"/>
      <c r="H2" s="109"/>
      <c r="I2" s="109"/>
      <c r="J2" s="110"/>
      <c r="K2" s="106"/>
      <c r="L2" s="106"/>
      <c r="M2" s="106"/>
      <c r="N2" s="106"/>
      <c r="O2" s="106"/>
      <c r="P2" s="106"/>
    </row>
    <row r="3" spans="1:23" s="104" customFormat="1">
      <c r="A3" s="112" t="s">
        <v>346</v>
      </c>
      <c r="B3" s="106"/>
      <c r="C3" s="107"/>
      <c r="D3" s="108"/>
      <c r="E3" s="107"/>
      <c r="F3" s="106"/>
      <c r="G3" s="106"/>
      <c r="H3" s="109"/>
      <c r="I3" s="109"/>
      <c r="J3" s="110"/>
      <c r="K3" s="106"/>
      <c r="L3" s="106"/>
      <c r="M3" s="106"/>
      <c r="N3" s="106"/>
      <c r="O3" s="106"/>
      <c r="P3" s="106"/>
    </row>
    <row r="4" spans="1:23" s="104" customFormat="1" ht="6.75" customHeight="1">
      <c r="A4" s="112"/>
      <c r="B4" s="106"/>
      <c r="C4" s="107"/>
      <c r="D4" s="108"/>
      <c r="E4" s="107"/>
      <c r="F4" s="106"/>
      <c r="G4" s="106"/>
      <c r="H4" s="109"/>
      <c r="I4" s="109"/>
      <c r="J4" s="110"/>
      <c r="K4" s="106"/>
      <c r="L4" s="106"/>
      <c r="M4" s="106"/>
      <c r="N4" s="106"/>
      <c r="O4" s="106"/>
      <c r="P4" s="106"/>
    </row>
    <row r="5" spans="1:23" s="104" customFormat="1">
      <c r="A5" s="112" t="s">
        <v>347</v>
      </c>
      <c r="B5" s="106"/>
      <c r="C5" s="107"/>
      <c r="D5" s="108"/>
      <c r="E5" s="107"/>
      <c r="F5" s="106"/>
      <c r="G5" s="106"/>
      <c r="H5" s="109"/>
      <c r="I5" s="109"/>
      <c r="J5" s="110"/>
      <c r="K5" s="106"/>
      <c r="L5" s="106"/>
      <c r="M5" s="106"/>
      <c r="N5" s="106"/>
      <c r="O5" s="106"/>
      <c r="P5" s="106"/>
    </row>
    <row r="6" spans="1:23" s="104" customFormat="1">
      <c r="A6" s="112" t="s">
        <v>348</v>
      </c>
      <c r="B6" s="106"/>
      <c r="C6" s="107"/>
      <c r="D6" s="108"/>
      <c r="E6" s="107"/>
      <c r="F6" s="106"/>
      <c r="G6" s="106"/>
      <c r="H6" s="109"/>
      <c r="I6" s="109"/>
      <c r="J6" s="110"/>
      <c r="K6" s="106"/>
      <c r="L6" s="106"/>
      <c r="M6" s="106"/>
      <c r="N6" s="106"/>
      <c r="O6" s="106"/>
      <c r="P6" s="106"/>
    </row>
    <row r="7" spans="1:23" s="104" customFormat="1" ht="14">
      <c r="A7" s="1323" t="s">
        <v>1451</v>
      </c>
      <c r="B7" s="1325"/>
      <c r="C7" s="1325"/>
      <c r="D7" s="1325"/>
      <c r="E7" s="1325"/>
      <c r="F7" s="1325"/>
      <c r="G7" s="1325"/>
      <c r="H7" s="1325"/>
      <c r="I7" s="1325"/>
      <c r="J7" s="1325"/>
      <c r="K7" s="1325"/>
      <c r="L7" s="1325"/>
      <c r="M7" s="106"/>
      <c r="N7" s="106"/>
      <c r="O7" s="106"/>
      <c r="P7" s="106"/>
      <c r="V7" s="113"/>
    </row>
    <row r="8" spans="1:23" s="104" customFormat="1" ht="14">
      <c r="A8" s="1325"/>
      <c r="B8" s="1325"/>
      <c r="C8" s="1325"/>
      <c r="D8" s="1325"/>
      <c r="E8" s="1325"/>
      <c r="F8" s="1325"/>
      <c r="G8" s="1325"/>
      <c r="H8" s="1325"/>
      <c r="I8" s="1325"/>
      <c r="J8" s="1325"/>
      <c r="K8" s="1325"/>
      <c r="L8" s="1325"/>
      <c r="M8" s="106"/>
      <c r="N8" s="106"/>
      <c r="O8" s="106"/>
      <c r="P8" s="106"/>
    </row>
    <row r="9" spans="1:23" s="104" customFormat="1">
      <c r="C9" s="145"/>
      <c r="D9" s="145"/>
      <c r="E9" s="145"/>
      <c r="G9" s="115"/>
      <c r="H9" s="116"/>
      <c r="I9" s="116"/>
      <c r="J9" s="116"/>
      <c r="L9" s="115"/>
      <c r="M9" s="116"/>
      <c r="N9" s="116"/>
      <c r="O9" s="116"/>
      <c r="P9" s="116"/>
      <c r="S9" s="115"/>
      <c r="V9" s="115"/>
      <c r="W9" s="115"/>
    </row>
    <row r="10" spans="1:23" s="104" customFormat="1">
      <c r="C10" s="118"/>
      <c r="D10" s="119"/>
      <c r="E10" s="118"/>
      <c r="G10" s="115"/>
      <c r="H10" s="116"/>
      <c r="I10" s="116"/>
      <c r="J10" s="116"/>
      <c r="L10" s="115"/>
      <c r="M10" s="116"/>
      <c r="N10" s="116"/>
      <c r="O10" s="116"/>
      <c r="P10" s="116"/>
      <c r="S10" s="115"/>
      <c r="V10" s="115"/>
      <c r="W10" s="115"/>
    </row>
    <row r="11" spans="1:23" s="104" customFormat="1">
      <c r="C11" s="118"/>
      <c r="D11" s="119"/>
      <c r="E11" s="118"/>
      <c r="G11" s="115"/>
      <c r="H11" s="116"/>
      <c r="I11" s="116"/>
      <c r="J11" s="116"/>
      <c r="L11" s="115"/>
      <c r="M11" s="116"/>
      <c r="N11" s="116"/>
      <c r="O11" s="116"/>
      <c r="P11" s="116"/>
      <c r="S11" s="115"/>
      <c r="T11" s="117"/>
      <c r="V11" s="115"/>
      <c r="W11" s="115"/>
    </row>
    <row r="12" spans="1:23" s="104" customFormat="1">
      <c r="C12" s="118"/>
      <c r="D12" s="119"/>
      <c r="E12" s="118"/>
      <c r="G12" s="115"/>
      <c r="H12" s="116"/>
      <c r="I12" s="116"/>
      <c r="J12" s="116"/>
      <c r="L12" s="115"/>
      <c r="M12" s="116"/>
      <c r="N12" s="116"/>
      <c r="O12" s="116"/>
      <c r="P12" s="116"/>
      <c r="S12" s="115"/>
      <c r="V12" s="115"/>
      <c r="W12" s="115"/>
    </row>
    <row r="13" spans="1:23" s="104" customFormat="1">
      <c r="C13" s="118"/>
      <c r="D13" s="119"/>
      <c r="E13" s="118"/>
      <c r="G13" s="115"/>
      <c r="H13" s="116"/>
      <c r="I13" s="116"/>
      <c r="J13" s="116"/>
      <c r="L13" s="115"/>
      <c r="M13" s="116"/>
      <c r="N13" s="116"/>
      <c r="O13" s="116"/>
      <c r="P13" s="116"/>
      <c r="S13" s="115"/>
      <c r="V13" s="115"/>
      <c r="W13" s="115"/>
    </row>
    <row r="14" spans="1:23" s="104" customFormat="1">
      <c r="C14" s="118"/>
      <c r="D14" s="119"/>
      <c r="E14" s="118"/>
      <c r="G14" s="115"/>
      <c r="H14" s="116"/>
      <c r="I14" s="116"/>
      <c r="J14" s="116"/>
      <c r="L14" s="115"/>
      <c r="M14" s="116"/>
      <c r="N14" s="116"/>
      <c r="O14" s="116"/>
      <c r="P14" s="116"/>
      <c r="S14" s="115"/>
      <c r="V14" s="115"/>
      <c r="W14" s="115"/>
    </row>
    <row r="15" spans="1:23" s="104" customFormat="1">
      <c r="C15" s="118"/>
      <c r="D15" s="119"/>
      <c r="E15" s="118"/>
      <c r="G15" s="115"/>
      <c r="H15" s="116"/>
      <c r="I15" s="116"/>
      <c r="J15" s="116"/>
      <c r="L15" s="115"/>
      <c r="M15" s="116"/>
      <c r="N15" s="116"/>
      <c r="O15" s="116"/>
      <c r="P15" s="116"/>
      <c r="S15" s="115"/>
      <c r="V15" s="115"/>
      <c r="W15" s="115"/>
    </row>
    <row r="16" spans="1:23" s="104" customFormat="1" ht="22.5">
      <c r="A16" s="131"/>
      <c r="B16" s="131"/>
      <c r="D16" s="121"/>
      <c r="E16" s="121"/>
      <c r="F16" s="122"/>
      <c r="G16" s="123" t="s">
        <v>351</v>
      </c>
      <c r="H16" s="116"/>
      <c r="I16" s="116"/>
      <c r="J16" s="124"/>
      <c r="K16" s="115"/>
      <c r="N16" s="104" t="s">
        <v>352</v>
      </c>
    </row>
    <row r="17" spans="1:16" s="104" customFormat="1" ht="42">
      <c r="A17" s="1324" t="s">
        <v>1452</v>
      </c>
      <c r="B17" s="1324"/>
      <c r="D17" s="126" t="s">
        <v>353</v>
      </c>
      <c r="E17" s="126" t="s">
        <v>353</v>
      </c>
      <c r="F17" s="127" t="s">
        <v>353</v>
      </c>
      <c r="G17" s="128">
        <f>SUM(Table31023[Emissions (MTCO2e)])</f>
        <v>0</v>
      </c>
      <c r="H17" s="129" t="s">
        <v>354</v>
      </c>
      <c r="I17" s="129" t="s">
        <v>355</v>
      </c>
      <c r="J17" s="124"/>
      <c r="N17" s="130" t="s">
        <v>356</v>
      </c>
      <c r="O17" s="130" t="s">
        <v>357</v>
      </c>
      <c r="P17" s="130" t="s">
        <v>358</v>
      </c>
    </row>
    <row r="18" spans="1:16" ht="94.5" customHeight="1">
      <c r="A18" s="146"/>
      <c r="B18" s="146"/>
      <c r="C18" s="147" t="s">
        <v>359</v>
      </c>
      <c r="D18" s="134" t="s">
        <v>360</v>
      </c>
      <c r="E18" s="134" t="s">
        <v>361</v>
      </c>
      <c r="F18" s="134" t="s">
        <v>362</v>
      </c>
      <c r="G18" s="134" t="s">
        <v>363</v>
      </c>
      <c r="H18" s="136" t="s">
        <v>364</v>
      </c>
      <c r="I18" s="136" t="s">
        <v>1453</v>
      </c>
      <c r="J18" s="148" t="s">
        <v>366</v>
      </c>
      <c r="K18" s="149" t="s">
        <v>368</v>
      </c>
      <c r="L18" s="150" t="s">
        <v>276</v>
      </c>
      <c r="M18" s="150" t="s">
        <v>369</v>
      </c>
      <c r="N18" s="151" t="s">
        <v>370</v>
      </c>
      <c r="O18" s="151" t="s">
        <v>371</v>
      </c>
      <c r="P18" s="151" t="s">
        <v>372</v>
      </c>
    </row>
    <row r="19" spans="1:16" ht="154">
      <c r="C19" s="665" t="s">
        <v>459</v>
      </c>
      <c r="D19" s="666"/>
      <c r="E19" s="666"/>
      <c r="F19" s="667" t="s">
        <v>413</v>
      </c>
      <c r="G19" s="660" t="str">
        <f>IF(E19="","",(E19*H19/1000*'Inventory Settings'!$J$21))</f>
        <v/>
      </c>
      <c r="H19" s="668">
        <v>0.31528373175999996</v>
      </c>
      <c r="I19" s="668">
        <v>0.31528373175999996</v>
      </c>
      <c r="J19" s="669">
        <v>0</v>
      </c>
      <c r="K19" s="142" t="s">
        <v>461</v>
      </c>
      <c r="L19" s="1" t="s">
        <v>450</v>
      </c>
      <c r="M19" s="1" t="s">
        <v>462</v>
      </c>
      <c r="N19" s="152">
        <v>0.31528373175999996</v>
      </c>
      <c r="O19" s="152">
        <v>0</v>
      </c>
      <c r="P19" s="152">
        <v>0.31528373175999996</v>
      </c>
    </row>
    <row r="20" spans="1:16" ht="196">
      <c r="C20" s="665" t="s">
        <v>463</v>
      </c>
      <c r="D20" s="666"/>
      <c r="E20" s="666"/>
      <c r="F20" s="667" t="s">
        <v>413</v>
      </c>
      <c r="G20" s="660" t="str">
        <f>IF(E20="","",(E20*H20/1000*'Inventory Settings'!$J$21))</f>
        <v/>
      </c>
      <c r="H20" s="668">
        <v>0.26011296460000005</v>
      </c>
      <c r="I20" s="668">
        <v>0.26011296460000005</v>
      </c>
      <c r="J20" s="669">
        <v>0</v>
      </c>
      <c r="K20" s="142" t="s">
        <v>465</v>
      </c>
      <c r="L20" s="1" t="s">
        <v>450</v>
      </c>
      <c r="M20" s="1" t="s">
        <v>462</v>
      </c>
      <c r="N20" s="152">
        <v>0.26011296460000005</v>
      </c>
      <c r="O20" s="152">
        <v>0</v>
      </c>
      <c r="P20" s="152">
        <v>0.26011296460000005</v>
      </c>
    </row>
    <row r="21" spans="1:16" ht="28">
      <c r="C21" s="665" t="s">
        <v>473</v>
      </c>
      <c r="D21" s="666"/>
      <c r="E21" s="666"/>
      <c r="F21" s="667" t="s">
        <v>413</v>
      </c>
      <c r="G21" s="660" t="str">
        <f>IF(E21="","",(E21*H21/1000*'Inventory Settings'!$J$21))</f>
        <v/>
      </c>
      <c r="H21" s="668">
        <v>0.27403284453000004</v>
      </c>
      <c r="I21" s="668">
        <v>0.27403284453000004</v>
      </c>
      <c r="J21" s="669">
        <v>0</v>
      </c>
      <c r="K21" s="142" t="s">
        <v>475</v>
      </c>
      <c r="L21" s="1" t="s">
        <v>450</v>
      </c>
      <c r="M21" s="1" t="s">
        <v>462</v>
      </c>
      <c r="N21" s="152">
        <v>0.27403284453000004</v>
      </c>
      <c r="O21" s="152">
        <v>0</v>
      </c>
      <c r="P21" s="152">
        <v>0.27403284453000004</v>
      </c>
    </row>
    <row r="22" spans="1:16" ht="84">
      <c r="C22" s="665" t="s">
        <v>476</v>
      </c>
      <c r="D22" s="666"/>
      <c r="E22" s="666"/>
      <c r="F22" s="667" t="s">
        <v>413</v>
      </c>
      <c r="G22" s="660" t="str">
        <f>IF(E22="","",(E22*H22/1000*'Inventory Settings'!$J$21))</f>
        <v/>
      </c>
      <c r="H22" s="668">
        <v>0.24879237906999999</v>
      </c>
      <c r="I22" s="668">
        <v>0.24879237906999999</v>
      </c>
      <c r="J22" s="669">
        <v>0</v>
      </c>
      <c r="K22" s="142" t="s">
        <v>478</v>
      </c>
      <c r="L22" s="1" t="s">
        <v>450</v>
      </c>
      <c r="M22" s="1" t="s">
        <v>462</v>
      </c>
      <c r="N22" s="152">
        <v>0.24879237906999999</v>
      </c>
      <c r="O22" s="152">
        <v>0</v>
      </c>
      <c r="P22" s="152">
        <v>0.24879237906999999</v>
      </c>
    </row>
    <row r="23" spans="1:16" ht="112">
      <c r="C23" s="665" t="s">
        <v>479</v>
      </c>
      <c r="D23" s="666"/>
      <c r="E23" s="666"/>
      <c r="F23" s="667" t="s">
        <v>413</v>
      </c>
      <c r="G23" s="660" t="str">
        <f>IF(E23="","",(E23*H23/1000*'Inventory Settings'!$J$21))</f>
        <v/>
      </c>
      <c r="H23" s="668">
        <v>0.24879237906999999</v>
      </c>
      <c r="I23" s="668">
        <v>0.24879237906999999</v>
      </c>
      <c r="J23" s="669">
        <v>0</v>
      </c>
      <c r="K23" s="142" t="s">
        <v>481</v>
      </c>
      <c r="L23" s="1" t="s">
        <v>450</v>
      </c>
      <c r="M23" s="1" t="s">
        <v>462</v>
      </c>
      <c r="N23" s="152">
        <v>0.24879237906999999</v>
      </c>
      <c r="O23" s="152">
        <v>0</v>
      </c>
      <c r="P23" s="152">
        <v>0.24879237906999999</v>
      </c>
    </row>
    <row r="24" spans="1:16" ht="84">
      <c r="C24" s="665" t="s">
        <v>488</v>
      </c>
      <c r="D24" s="666"/>
      <c r="E24" s="666"/>
      <c r="F24" s="667" t="s">
        <v>413</v>
      </c>
      <c r="G24" s="660" t="str">
        <f>IF(E24="","",(E24*H24/1000*'Inventory Settings'!$J$21))</f>
        <v/>
      </c>
      <c r="H24" s="668">
        <v>0.24879237907000001</v>
      </c>
      <c r="I24" s="668">
        <v>0.24879237907000001</v>
      </c>
      <c r="J24" s="669">
        <v>0</v>
      </c>
      <c r="K24" s="142" t="s">
        <v>490</v>
      </c>
      <c r="L24" s="1" t="s">
        <v>450</v>
      </c>
      <c r="M24" s="1" t="s">
        <v>462</v>
      </c>
      <c r="N24" s="152">
        <v>0.24879237907000001</v>
      </c>
      <c r="O24" s="152">
        <v>0</v>
      </c>
      <c r="P24" s="152">
        <v>0.24879237907000001</v>
      </c>
    </row>
    <row r="25" spans="1:16" ht="70">
      <c r="C25" s="665" t="s">
        <v>491</v>
      </c>
      <c r="D25" s="666"/>
      <c r="E25" s="666"/>
      <c r="F25" s="667" t="s">
        <v>413</v>
      </c>
      <c r="G25" s="660" t="str">
        <f>IF(E25="","",(E25*H25/1000*'Inventory Settings'!$J$21))</f>
        <v/>
      </c>
      <c r="H25" s="668">
        <v>0.24879237906999999</v>
      </c>
      <c r="I25" s="668">
        <v>0.24879237906999999</v>
      </c>
      <c r="J25" s="669">
        <v>0</v>
      </c>
      <c r="K25" s="142" t="s">
        <v>493</v>
      </c>
      <c r="L25" s="1" t="s">
        <v>450</v>
      </c>
      <c r="M25" s="1" t="s">
        <v>462</v>
      </c>
      <c r="N25" s="152">
        <v>0.24879237906999999</v>
      </c>
      <c r="O25" s="152">
        <v>0</v>
      </c>
      <c r="P25" s="152">
        <v>0.24879237906999999</v>
      </c>
    </row>
    <row r="26" spans="1:16" ht="70">
      <c r="C26" s="665" t="s">
        <v>494</v>
      </c>
      <c r="D26" s="666"/>
      <c r="E26" s="666"/>
      <c r="F26" s="667" t="s">
        <v>413</v>
      </c>
      <c r="G26" s="660" t="str">
        <f>IF(E26="","",(E26*H26/1000*'Inventory Settings'!$J$21))</f>
        <v/>
      </c>
      <c r="H26" s="668">
        <v>0.24879237906999999</v>
      </c>
      <c r="I26" s="668">
        <v>0.24879237906999999</v>
      </c>
      <c r="J26" s="669">
        <v>0</v>
      </c>
      <c r="K26" s="142" t="s">
        <v>496</v>
      </c>
      <c r="L26" s="1" t="s">
        <v>450</v>
      </c>
      <c r="M26" s="1" t="s">
        <v>462</v>
      </c>
      <c r="N26" s="152">
        <v>0.24879237906999999</v>
      </c>
      <c r="O26" s="152">
        <v>0</v>
      </c>
      <c r="P26" s="152">
        <v>0.24879237906999999</v>
      </c>
    </row>
    <row r="27" spans="1:16" ht="140">
      <c r="C27" s="665" t="s">
        <v>500</v>
      </c>
      <c r="D27" s="666"/>
      <c r="E27" s="666"/>
      <c r="F27" s="667" t="s">
        <v>413</v>
      </c>
      <c r="G27" s="660" t="str">
        <f>IF(E27="","",(E27*H27/1000*'Inventory Settings'!$J$21))</f>
        <v/>
      </c>
      <c r="H27" s="668">
        <v>0.24879237906999999</v>
      </c>
      <c r="I27" s="668">
        <v>0.24879237906999999</v>
      </c>
      <c r="J27" s="669">
        <v>0</v>
      </c>
      <c r="K27" s="142" t="s">
        <v>502</v>
      </c>
      <c r="L27" s="1" t="s">
        <v>450</v>
      </c>
      <c r="M27" s="1" t="s">
        <v>462</v>
      </c>
      <c r="N27" s="152">
        <v>0.24879237906999999</v>
      </c>
      <c r="O27" s="152">
        <v>0</v>
      </c>
      <c r="P27" s="152">
        <v>0.24879237906999999</v>
      </c>
    </row>
    <row r="28" spans="1:16" ht="140">
      <c r="C28" s="665" t="s">
        <v>506</v>
      </c>
      <c r="D28" s="666"/>
      <c r="E28" s="666"/>
      <c r="F28" s="667" t="s">
        <v>413</v>
      </c>
      <c r="G28" s="660" t="str">
        <f>IF(E28="","",(E28*H28/1000*'Inventory Settings'!$J$21))</f>
        <v/>
      </c>
      <c r="H28" s="668">
        <v>0.24879237907000001</v>
      </c>
      <c r="I28" s="668">
        <v>0.24879237907000001</v>
      </c>
      <c r="J28" s="669">
        <v>0</v>
      </c>
      <c r="K28" s="142" t="s">
        <v>508</v>
      </c>
      <c r="L28" s="1" t="s">
        <v>450</v>
      </c>
      <c r="M28" s="1" t="s">
        <v>462</v>
      </c>
      <c r="N28" s="152">
        <v>0.24879237907000001</v>
      </c>
      <c r="O28" s="152">
        <v>0</v>
      </c>
      <c r="P28" s="152">
        <v>0.24879237907000001</v>
      </c>
    </row>
    <row r="29" spans="1:16" ht="112">
      <c r="C29" s="665" t="s">
        <v>509</v>
      </c>
      <c r="D29" s="666"/>
      <c r="E29" s="666"/>
      <c r="F29" s="667" t="s">
        <v>413</v>
      </c>
      <c r="G29" s="660" t="str">
        <f>IF(E29="","",(E29*H29/1000*'Inventory Settings'!$J$21))</f>
        <v/>
      </c>
      <c r="H29" s="668">
        <v>0.24879237907000001</v>
      </c>
      <c r="I29" s="668">
        <v>0.24879237907000001</v>
      </c>
      <c r="J29" s="669">
        <v>0</v>
      </c>
      <c r="K29" s="142" t="s">
        <v>511</v>
      </c>
      <c r="L29" s="1" t="s">
        <v>450</v>
      </c>
      <c r="M29" s="1" t="s">
        <v>462</v>
      </c>
      <c r="N29" s="152">
        <v>0.24879237907000001</v>
      </c>
      <c r="O29" s="152">
        <v>0</v>
      </c>
      <c r="P29" s="152">
        <v>0.24879237907000001</v>
      </c>
    </row>
    <row r="30" spans="1:16" ht="56">
      <c r="C30" s="665" t="s">
        <v>512</v>
      </c>
      <c r="D30" s="666"/>
      <c r="E30" s="666"/>
      <c r="F30" s="667" t="s">
        <v>413</v>
      </c>
      <c r="G30" s="660" t="str">
        <f>IF(E30="","",(E30*H30/1000*'Inventory Settings'!$J$21))</f>
        <v/>
      </c>
      <c r="H30" s="668">
        <v>0.24879237907000001</v>
      </c>
      <c r="I30" s="668">
        <v>0.24879237907000001</v>
      </c>
      <c r="J30" s="669">
        <v>0</v>
      </c>
      <c r="K30" s="142" t="s">
        <v>514</v>
      </c>
      <c r="L30" s="1" t="s">
        <v>450</v>
      </c>
      <c r="M30" s="1" t="s">
        <v>462</v>
      </c>
      <c r="N30" s="152">
        <v>0.24879237907000001</v>
      </c>
      <c r="O30" s="152">
        <v>0</v>
      </c>
      <c r="P30" s="152">
        <v>0.24879237907000001</v>
      </c>
    </row>
    <row r="31" spans="1:16" ht="70">
      <c r="C31" s="665" t="s">
        <v>629</v>
      </c>
      <c r="D31" s="666"/>
      <c r="E31" s="666"/>
      <c r="F31" s="670"/>
      <c r="G31" s="660" t="str">
        <f>IF(E31="","",IF(F31="Direct-from-manufacturer",(E31*H31/1000*'Inventory Settings'!$J$21),(E31*I31/1000*'Inventory Settings'!$J$21)))</f>
        <v/>
      </c>
      <c r="H31" s="668">
        <v>0.22828003360999999</v>
      </c>
      <c r="I31" s="668">
        <v>0.27716317697000004</v>
      </c>
      <c r="J31" s="669">
        <v>0.17482041936705253</v>
      </c>
      <c r="K31" s="142" t="s">
        <v>630</v>
      </c>
      <c r="L31" s="1" t="s">
        <v>535</v>
      </c>
      <c r="M31" s="1" t="s">
        <v>631</v>
      </c>
      <c r="N31" s="152">
        <v>0.22828003360999999</v>
      </c>
      <c r="O31" s="152">
        <v>4.8453782830999999E-2</v>
      </c>
      <c r="P31" s="152">
        <v>0.27716317697000004</v>
      </c>
    </row>
    <row r="32" spans="1:16" ht="84">
      <c r="C32" s="665" t="s">
        <v>632</v>
      </c>
      <c r="D32" s="666"/>
      <c r="E32" s="666"/>
      <c r="F32" s="670"/>
      <c r="G32" s="660" t="str">
        <f>IF(E32="","",IF(F32="Direct-from-manufacturer",(E32*H32/1000*'Inventory Settings'!$J$21),(E32*I32/1000*'Inventory Settings'!$J$21)))</f>
        <v/>
      </c>
      <c r="H32" s="668">
        <v>0.18898785017000003</v>
      </c>
      <c r="I32" s="668">
        <v>0.21941274337</v>
      </c>
      <c r="J32" s="669">
        <v>0.14045018949985705</v>
      </c>
      <c r="K32" s="142" t="s">
        <v>633</v>
      </c>
      <c r="L32" s="1" t="s">
        <v>535</v>
      </c>
      <c r="M32" s="1" t="s">
        <v>634</v>
      </c>
      <c r="N32" s="152">
        <v>0.18898785017000003</v>
      </c>
      <c r="O32" s="152">
        <v>3.0816561385000003E-2</v>
      </c>
      <c r="P32" s="152">
        <v>0.21941274337</v>
      </c>
    </row>
    <row r="33" spans="3:16" ht="70">
      <c r="C33" s="665" t="s">
        <v>635</v>
      </c>
      <c r="D33" s="666"/>
      <c r="E33" s="666"/>
      <c r="F33" s="670"/>
      <c r="G33" s="660" t="str">
        <f>IF(E33="","",IF(F33="Direct-from-manufacturer",(E33*H33/1000*'Inventory Settings'!$J$21),(E33*I33/1000*'Inventory Settings'!$J$21)))</f>
        <v/>
      </c>
      <c r="H33" s="668">
        <v>0.14517021651999998</v>
      </c>
      <c r="I33" s="668">
        <v>0.18971328769999998</v>
      </c>
      <c r="J33" s="669">
        <v>0.23583627378147012</v>
      </c>
      <c r="K33" s="142" t="s">
        <v>636</v>
      </c>
      <c r="L33" s="1" t="s">
        <v>535</v>
      </c>
      <c r="M33" s="1" t="s">
        <v>637</v>
      </c>
      <c r="N33" s="152">
        <v>0.14517021651999998</v>
      </c>
      <c r="O33" s="152">
        <v>4.4741274858000002E-2</v>
      </c>
      <c r="P33" s="152">
        <v>0.18971328769999998</v>
      </c>
    </row>
    <row r="34" spans="3:16" ht="56">
      <c r="C34" s="665" t="s">
        <v>638</v>
      </c>
      <c r="D34" s="666"/>
      <c r="E34" s="666"/>
      <c r="F34" s="670"/>
      <c r="G34" s="660" t="str">
        <f>IF(E34="","",IF(F34="Direct-from-manufacturer",(E34*H34/1000*'Inventory Settings'!$J$21),(E34*I34/1000*'Inventory Settings'!$J$21)))</f>
        <v/>
      </c>
      <c r="H34" s="668">
        <v>0.15557464105999996</v>
      </c>
      <c r="I34" s="668">
        <v>0.20245586400000001</v>
      </c>
      <c r="J34" s="669">
        <v>0.23092691798247933</v>
      </c>
      <c r="K34" s="142" t="s">
        <v>640</v>
      </c>
      <c r="L34" s="1" t="s">
        <v>535</v>
      </c>
      <c r="M34" s="1" t="s">
        <v>637</v>
      </c>
      <c r="N34" s="152">
        <v>0.15557464105999996</v>
      </c>
      <c r="O34" s="152">
        <v>4.6752508700999992E-2</v>
      </c>
      <c r="P34" s="152">
        <v>0.20245586400000001</v>
      </c>
    </row>
    <row r="35" spans="3:16" ht="56">
      <c r="C35" s="665" t="s">
        <v>648</v>
      </c>
      <c r="D35" s="666"/>
      <c r="E35" s="666"/>
      <c r="F35" s="670"/>
      <c r="G35" s="660" t="str">
        <f>IF(E35="","",IF(F35="Direct-from-manufacturer",(E35*H35/1000*'Inventory Settings'!$J$21),(E35*I35/1000*'Inventory Settings'!$J$21)))</f>
        <v/>
      </c>
      <c r="H35" s="668">
        <v>0.45766006273999998</v>
      </c>
      <c r="I35" s="668">
        <v>0.49486248973000002</v>
      </c>
      <c r="J35" s="669">
        <v>7.5488363937993866E-2</v>
      </c>
      <c r="K35" s="142" t="s">
        <v>649</v>
      </c>
      <c r="L35" s="1" t="s">
        <v>535</v>
      </c>
      <c r="M35" s="1" t="s">
        <v>650</v>
      </c>
      <c r="N35" s="152">
        <v>0.45766006273999998</v>
      </c>
      <c r="O35" s="152">
        <v>3.7356359723999991E-2</v>
      </c>
      <c r="P35" s="152">
        <v>0.49486248973000002</v>
      </c>
    </row>
    <row r="36" spans="3:16" ht="84">
      <c r="C36" s="665" t="s">
        <v>651</v>
      </c>
      <c r="D36" s="666"/>
      <c r="E36" s="666"/>
      <c r="F36" s="670"/>
      <c r="G36" s="660" t="str">
        <f>IF(E36="","",IF(F36="Direct-from-manufacturer",(E36*H36/1000*'Inventory Settings'!$J$21),(E36*I36/1000*'Inventory Settings'!$J$21)))</f>
        <v/>
      </c>
      <c r="H36" s="668">
        <v>0.47025050306999994</v>
      </c>
      <c r="I36" s="668">
        <v>0.52647839674999997</v>
      </c>
      <c r="J36" s="669">
        <v>0.10660093346745669</v>
      </c>
      <c r="K36" s="142" t="s">
        <v>652</v>
      </c>
      <c r="L36" s="1" t="s">
        <v>535</v>
      </c>
      <c r="M36" s="1" t="s">
        <v>650</v>
      </c>
      <c r="N36" s="152">
        <v>0.47025050306999994</v>
      </c>
      <c r="O36" s="152">
        <v>5.6123088544000013E-2</v>
      </c>
      <c r="P36" s="152">
        <v>0.52647839674999997</v>
      </c>
    </row>
    <row r="37" spans="3:16" ht="42">
      <c r="C37" s="665" t="s">
        <v>653</v>
      </c>
      <c r="D37" s="666"/>
      <c r="E37" s="666"/>
      <c r="F37" s="670"/>
      <c r="G37" s="660" t="str">
        <f>IF(E37="","",IF(F37="Direct-from-manufacturer",(E37*H37/1000*'Inventory Settings'!$J$21),(E37*I37/1000*'Inventory Settings'!$J$21)))</f>
        <v/>
      </c>
      <c r="H37" s="668">
        <v>0.37508737243000007</v>
      </c>
      <c r="I37" s="668">
        <v>0.42195262983000004</v>
      </c>
      <c r="J37" s="669">
        <v>0.11121646249463309</v>
      </c>
      <c r="K37" s="142" t="s">
        <v>654</v>
      </c>
      <c r="L37" s="1" t="s">
        <v>535</v>
      </c>
      <c r="M37" s="1" t="s">
        <v>650</v>
      </c>
      <c r="N37" s="152">
        <v>0.37508737243000007</v>
      </c>
      <c r="O37" s="152">
        <v>4.6928078829999997E-2</v>
      </c>
      <c r="P37" s="152">
        <v>0.42195262983000004</v>
      </c>
    </row>
    <row r="38" spans="3:16" ht="42">
      <c r="C38" s="665" t="s">
        <v>655</v>
      </c>
      <c r="D38" s="666"/>
      <c r="E38" s="666"/>
      <c r="F38" s="670"/>
      <c r="G38" s="660" t="str">
        <f>IF(E38="","",IF(F38="Direct-from-manufacturer",(E38*H38/1000*'Inventory Settings'!$J$21),(E38*I38/1000*'Inventory Settings'!$J$21)))</f>
        <v/>
      </c>
      <c r="H38" s="668">
        <v>0.31398786964999997</v>
      </c>
      <c r="I38" s="668">
        <v>0.41554624492000003</v>
      </c>
      <c r="J38" s="669">
        <v>0.24288401566336068</v>
      </c>
      <c r="K38" s="142" t="s">
        <v>656</v>
      </c>
      <c r="L38" s="1" t="s">
        <v>535</v>
      </c>
      <c r="M38" s="1" t="s">
        <v>650</v>
      </c>
      <c r="N38" s="152">
        <v>0.31398786964999997</v>
      </c>
      <c r="O38" s="152">
        <v>0.10092954066</v>
      </c>
      <c r="P38" s="152">
        <v>0.41554624492000003</v>
      </c>
    </row>
    <row r="39" spans="3:16" ht="56">
      <c r="C39" s="665" t="s">
        <v>657</v>
      </c>
      <c r="D39" s="666"/>
      <c r="E39" s="666"/>
      <c r="F39" s="670"/>
      <c r="G39" s="660" t="str">
        <f>IF(E39="","",IF(F39="Direct-from-manufacturer",(E39*H39/1000*'Inventory Settings'!$J$21),(E39*I39/1000*'Inventory Settings'!$J$21)))</f>
        <v/>
      </c>
      <c r="H39" s="668">
        <v>0.40738707118</v>
      </c>
      <c r="I39" s="668">
        <v>0.46792845111999998</v>
      </c>
      <c r="J39" s="669">
        <v>0.13026757313666293</v>
      </c>
      <c r="K39" s="142" t="s">
        <v>658</v>
      </c>
      <c r="L39" s="1" t="s">
        <v>535</v>
      </c>
      <c r="M39" s="1" t="s">
        <v>650</v>
      </c>
      <c r="N39" s="152">
        <v>0.40738707118</v>
      </c>
      <c r="O39" s="152">
        <v>6.0955903728999998E-2</v>
      </c>
      <c r="P39" s="152">
        <v>0.46792845111999998</v>
      </c>
    </row>
    <row r="40" spans="3:16" ht="70">
      <c r="C40" s="665" t="s">
        <v>659</v>
      </c>
      <c r="D40" s="666"/>
      <c r="E40" s="666"/>
      <c r="F40" s="670"/>
      <c r="G40" s="660" t="str">
        <f>IF(E40="","",IF(F40="Direct-from-manufacturer",(E40*H40/1000*'Inventory Settings'!$J$21),(E40*I40/1000*'Inventory Settings'!$J$21)))</f>
        <v/>
      </c>
      <c r="H40" s="668">
        <v>0.2969498706</v>
      </c>
      <c r="I40" s="668">
        <v>0.34963714559999987</v>
      </c>
      <c r="J40" s="669">
        <v>0.15149300388865783</v>
      </c>
      <c r="K40" s="142" t="s">
        <v>660</v>
      </c>
      <c r="L40" s="1" t="s">
        <v>535</v>
      </c>
      <c r="M40" s="1" t="s">
        <v>661</v>
      </c>
      <c r="N40" s="152">
        <v>0.2969498706</v>
      </c>
      <c r="O40" s="152">
        <v>5.2967581458000006E-2</v>
      </c>
      <c r="P40" s="152">
        <v>0.34963714559999987</v>
      </c>
    </row>
    <row r="41" spans="3:16" ht="42">
      <c r="C41" s="665" t="s">
        <v>662</v>
      </c>
      <c r="D41" s="666"/>
      <c r="E41" s="666"/>
      <c r="F41" s="670"/>
      <c r="G41" s="660" t="str">
        <f>IF(E41="","",IF(F41="Direct-from-manufacturer",(E41*H41/1000*'Inventory Settings'!$J$21),(E41*I41/1000*'Inventory Settings'!$J$21)))</f>
        <v/>
      </c>
      <c r="H41" s="668">
        <v>0.25234542949999994</v>
      </c>
      <c r="I41" s="668">
        <v>0.28892288200000005</v>
      </c>
      <c r="J41" s="669">
        <v>0.12410952045016638</v>
      </c>
      <c r="K41" s="142" t="s">
        <v>663</v>
      </c>
      <c r="L41" s="1" t="s">
        <v>535</v>
      </c>
      <c r="M41" s="1" t="s">
        <v>661</v>
      </c>
      <c r="N41" s="152">
        <v>0.25234542949999994</v>
      </c>
      <c r="O41" s="152">
        <v>3.5858080332100015E-2</v>
      </c>
      <c r="P41" s="152">
        <v>0.28892288200000005</v>
      </c>
    </row>
    <row r="42" spans="3:16" ht="42">
      <c r="C42" s="665" t="s">
        <v>664</v>
      </c>
      <c r="D42" s="666"/>
      <c r="E42" s="666"/>
      <c r="F42" s="670"/>
      <c r="G42" s="660" t="str">
        <f>IF(E42="","",IF(F42="Direct-from-manufacturer",(E42*H42/1000*'Inventory Settings'!$J$21),(E42*I42/1000*'Inventory Settings'!$J$21)))</f>
        <v/>
      </c>
      <c r="H42" s="668">
        <v>0.83722375081000011</v>
      </c>
      <c r="I42" s="668">
        <v>0.90741673658999955</v>
      </c>
      <c r="J42" s="669">
        <v>7.9581357239863662E-2</v>
      </c>
      <c r="K42" s="142" t="s">
        <v>665</v>
      </c>
      <c r="L42" s="1" t="s">
        <v>535</v>
      </c>
      <c r="M42" s="1" t="s">
        <v>666</v>
      </c>
      <c r="N42" s="152">
        <v>0.83722375081000011</v>
      </c>
      <c r="O42" s="152">
        <v>7.2213455480000022E-2</v>
      </c>
      <c r="P42" s="152">
        <v>0.90741673658999955</v>
      </c>
    </row>
    <row r="43" spans="3:16" ht="42">
      <c r="C43" s="665" t="s">
        <v>667</v>
      </c>
      <c r="D43" s="666"/>
      <c r="E43" s="666"/>
      <c r="F43" s="670"/>
      <c r="G43" s="660" t="str">
        <f>IF(E43="","",IF(F43="Direct-from-manufacturer",(E43*H43/1000*'Inventory Settings'!$J$21),(E43*I43/1000*'Inventory Settings'!$J$21)))</f>
        <v/>
      </c>
      <c r="H43" s="668">
        <v>1.2960825716199997</v>
      </c>
      <c r="I43" s="668">
        <v>1.3323511672000001</v>
      </c>
      <c r="J43" s="669">
        <v>3.1636869249406091E-2</v>
      </c>
      <c r="K43" s="142" t="s">
        <v>668</v>
      </c>
      <c r="L43" s="1" t="s">
        <v>535</v>
      </c>
      <c r="M43" s="1" t="s">
        <v>666</v>
      </c>
      <c r="N43" s="152">
        <v>1.2960825716199997</v>
      </c>
      <c r="O43" s="152">
        <v>4.2151419670999994E-2</v>
      </c>
      <c r="P43" s="152">
        <v>1.3323511672000001</v>
      </c>
    </row>
    <row r="44" spans="3:16" ht="56">
      <c r="C44" s="665" t="s">
        <v>669</v>
      </c>
      <c r="D44" s="666"/>
      <c r="E44" s="666"/>
      <c r="F44" s="670"/>
      <c r="G44" s="660" t="str">
        <f>IF(E44="","",IF(F44="Direct-from-manufacturer",(E44*H44/1000*'Inventory Settings'!$J$21),(E44*I44/1000*'Inventory Settings'!$J$21)))</f>
        <v/>
      </c>
      <c r="H44" s="668">
        <v>0.88541485194000025</v>
      </c>
      <c r="I44" s="668">
        <v>0.92954492674999989</v>
      </c>
      <c r="J44" s="669">
        <v>4.7172568132140588E-2</v>
      </c>
      <c r="K44" s="142" t="s">
        <v>670</v>
      </c>
      <c r="L44" s="1" t="s">
        <v>535</v>
      </c>
      <c r="M44" s="1" t="s">
        <v>666</v>
      </c>
      <c r="N44" s="152">
        <v>0.88541485194000025</v>
      </c>
      <c r="O44" s="152">
        <v>4.3849021389000001E-2</v>
      </c>
      <c r="P44" s="152">
        <v>0.92954492674999989</v>
      </c>
    </row>
    <row r="45" spans="3:16" ht="42">
      <c r="C45" s="665" t="s">
        <v>671</v>
      </c>
      <c r="D45" s="666"/>
      <c r="E45" s="666"/>
      <c r="F45" s="670"/>
      <c r="G45" s="660" t="str">
        <f>IF(E45="","",IF(F45="Direct-from-manufacturer",(E45*H45/1000*'Inventory Settings'!$J$21),(E45*I45/1000*'Inventory Settings'!$J$21)))</f>
        <v/>
      </c>
      <c r="H45" s="668">
        <v>0.79687762191999978</v>
      </c>
      <c r="I45" s="668">
        <v>0.87338667893000033</v>
      </c>
      <c r="J45" s="669">
        <v>8.82608324361428E-2</v>
      </c>
      <c r="K45" s="142" t="s">
        <v>672</v>
      </c>
      <c r="L45" s="1" t="s">
        <v>535</v>
      </c>
      <c r="M45" s="1" t="s">
        <v>666</v>
      </c>
      <c r="N45" s="152">
        <v>0.79687762191999978</v>
      </c>
      <c r="O45" s="152">
        <v>7.708583532100001E-2</v>
      </c>
      <c r="P45" s="152">
        <v>0.87338667893000033</v>
      </c>
    </row>
    <row r="46" spans="3:16" ht="70">
      <c r="C46" s="665" t="s">
        <v>673</v>
      </c>
      <c r="D46" s="666"/>
      <c r="E46" s="666"/>
      <c r="F46" s="670"/>
      <c r="G46" s="660" t="str">
        <f>IF(E46="","",IF(F46="Direct-from-manufacturer",(E46*H46/1000*'Inventory Settings'!$J$21),(E46*I46/1000*'Inventory Settings'!$J$21)))</f>
        <v/>
      </c>
      <c r="H46" s="668">
        <v>1.1860929984200002</v>
      </c>
      <c r="I46" s="668">
        <v>1.22290065578</v>
      </c>
      <c r="J46" s="669">
        <v>2.7303159422793457E-2</v>
      </c>
      <c r="K46" s="142" t="s">
        <v>674</v>
      </c>
      <c r="L46" s="1" t="s">
        <v>535</v>
      </c>
      <c r="M46" s="1" t="s">
        <v>675</v>
      </c>
      <c r="N46" s="152">
        <v>1.1860929984200002</v>
      </c>
      <c r="O46" s="152">
        <v>3.3389051563000004E-2</v>
      </c>
      <c r="P46" s="152">
        <v>1.22290065578</v>
      </c>
    </row>
    <row r="47" spans="3:16" ht="28">
      <c r="C47" s="665" t="s">
        <v>676</v>
      </c>
      <c r="D47" s="666"/>
      <c r="E47" s="666"/>
      <c r="F47" s="670"/>
      <c r="G47" s="660" t="str">
        <f>IF(E47="","",IF(F47="Direct-from-manufacturer",(E47*H47/1000*'Inventory Settings'!$J$21),(E47*I47/1000*'Inventory Settings'!$J$21)))</f>
        <v/>
      </c>
      <c r="H47" s="668">
        <v>1.3622430489899999</v>
      </c>
      <c r="I47" s="668">
        <v>1.4541703191799999</v>
      </c>
      <c r="J47" s="669">
        <v>6.2111053049089239E-2</v>
      </c>
      <c r="K47" s="142" t="s">
        <v>677</v>
      </c>
      <c r="L47" s="1" t="s">
        <v>535</v>
      </c>
      <c r="M47" s="1" t="s">
        <v>675</v>
      </c>
      <c r="N47" s="152">
        <v>1.3622430489899999</v>
      </c>
      <c r="O47" s="152">
        <v>9.032004983700001E-2</v>
      </c>
      <c r="P47" s="152">
        <v>1.4541703191799999</v>
      </c>
    </row>
    <row r="48" spans="3:16" ht="42">
      <c r="C48" s="665" t="s">
        <v>678</v>
      </c>
      <c r="D48" s="666"/>
      <c r="E48" s="666"/>
      <c r="F48" s="670"/>
      <c r="G48" s="660" t="str">
        <f>IF(E48="","",IF(F48="Direct-from-manufacturer",(E48*H48/1000*'Inventory Settings'!$J$21),(E48*I48/1000*'Inventory Settings'!$J$21)))</f>
        <v/>
      </c>
      <c r="H48" s="668">
        <v>1.3240789481000002</v>
      </c>
      <c r="I48" s="668">
        <v>1.3937651171000003</v>
      </c>
      <c r="J48" s="669">
        <v>5.1281733941452794E-2</v>
      </c>
      <c r="K48" s="142" t="s">
        <v>679</v>
      </c>
      <c r="L48" s="1" t="s">
        <v>535</v>
      </c>
      <c r="M48" s="1" t="s">
        <v>675</v>
      </c>
      <c r="N48" s="152">
        <v>1.3240789481000002</v>
      </c>
      <c r="O48" s="152">
        <v>7.147469191200001E-2</v>
      </c>
      <c r="P48" s="152">
        <v>1.3937651171000003</v>
      </c>
    </row>
    <row r="49" spans="3:16" ht="28">
      <c r="C49" s="665" t="s">
        <v>680</v>
      </c>
      <c r="D49" s="666"/>
      <c r="E49" s="666"/>
      <c r="F49" s="670"/>
      <c r="G49" s="660" t="str">
        <f>IF(E49="","",IF(F49="Direct-from-manufacturer",(E49*H49/1000*'Inventory Settings'!$J$21),(E49*I49/1000*'Inventory Settings'!$J$21)))</f>
        <v/>
      </c>
      <c r="H49" s="668">
        <v>1.0521521415699999</v>
      </c>
      <c r="I49" s="668">
        <v>1.12892022369</v>
      </c>
      <c r="J49" s="669">
        <v>6.3680824488215604E-2</v>
      </c>
      <c r="K49" s="142" t="s">
        <v>681</v>
      </c>
      <c r="L49" s="1" t="s">
        <v>535</v>
      </c>
      <c r="M49" s="1" t="s">
        <v>675</v>
      </c>
      <c r="N49" s="152">
        <v>1.0521521415699999</v>
      </c>
      <c r="O49" s="152">
        <v>7.1890570625999989E-2</v>
      </c>
      <c r="P49" s="152">
        <v>1.12892022369</v>
      </c>
    </row>
    <row r="50" spans="3:16" ht="42">
      <c r="C50" s="665" t="s">
        <v>682</v>
      </c>
      <c r="D50" s="666"/>
      <c r="E50" s="666"/>
      <c r="F50" s="670"/>
      <c r="G50" s="660" t="str">
        <f>IF(E50="","",IF(F50="Direct-from-manufacturer",(E50*H50/1000*'Inventory Settings'!$J$21),(E50*I50/1000*'Inventory Settings'!$J$21)))</f>
        <v/>
      </c>
      <c r="H50" s="668">
        <v>1.4729286919</v>
      </c>
      <c r="I50" s="668">
        <v>1.5077178581100001</v>
      </c>
      <c r="J50" s="669">
        <v>2.2085951621440929E-2</v>
      </c>
      <c r="K50" s="142" t="s">
        <v>683</v>
      </c>
      <c r="L50" s="1" t="s">
        <v>535</v>
      </c>
      <c r="M50" s="1" t="s">
        <v>675</v>
      </c>
      <c r="N50" s="152">
        <v>1.4729286919</v>
      </c>
      <c r="O50" s="152">
        <v>3.3299383673000005E-2</v>
      </c>
      <c r="P50" s="152">
        <v>1.5077178581100001</v>
      </c>
    </row>
    <row r="51" spans="3:16" ht="70">
      <c r="C51" s="665" t="s">
        <v>20</v>
      </c>
      <c r="D51" s="666"/>
      <c r="E51" s="666"/>
      <c r="F51" s="670"/>
      <c r="G51" s="660" t="str">
        <f>IF(E51="","",IF(F51="Direct-from-manufacturer",(E51*H51/1000*'Inventory Settings'!$J$21),(E51*I51/1000*'Inventory Settings'!$J$21)))</f>
        <v/>
      </c>
      <c r="H51" s="668">
        <v>1.0485777917500001</v>
      </c>
      <c r="I51" s="668">
        <v>1.0826256654399997</v>
      </c>
      <c r="J51" s="669">
        <v>3.1499728553119166E-2</v>
      </c>
      <c r="K51" s="142" t="s">
        <v>684</v>
      </c>
      <c r="L51" s="1" t="s">
        <v>535</v>
      </c>
      <c r="M51" s="1" t="s">
        <v>685</v>
      </c>
      <c r="N51" s="152">
        <v>1.0485777917500001</v>
      </c>
      <c r="O51" s="152">
        <v>3.4102414585999996E-2</v>
      </c>
      <c r="P51" s="152">
        <v>1.0826256654399997</v>
      </c>
    </row>
    <row r="52" spans="3:16" ht="98">
      <c r="C52" s="665" t="s">
        <v>686</v>
      </c>
      <c r="D52" s="666"/>
      <c r="E52" s="666"/>
      <c r="F52" s="670"/>
      <c r="G52" s="660" t="str">
        <f>IF(E52="","",IF(F52="Direct-from-manufacturer",(E52*H52/1000*'Inventory Settings'!$J$21),(E52*I52/1000*'Inventory Settings'!$J$21)))</f>
        <v/>
      </c>
      <c r="H52" s="668">
        <v>1.11761719184</v>
      </c>
      <c r="I52" s="668">
        <v>1.1423842997000002</v>
      </c>
      <c r="J52" s="669">
        <v>2.190323920905685E-2</v>
      </c>
      <c r="K52" s="142" t="s">
        <v>688</v>
      </c>
      <c r="L52" s="1" t="s">
        <v>535</v>
      </c>
      <c r="M52" s="1" t="s">
        <v>685</v>
      </c>
      <c r="N52" s="152">
        <v>1.11761719184</v>
      </c>
      <c r="O52" s="152">
        <v>2.5021916584999995E-2</v>
      </c>
      <c r="P52" s="152">
        <v>1.1423842997000002</v>
      </c>
    </row>
    <row r="53" spans="3:16" ht="56">
      <c r="C53" s="665" t="s">
        <v>694</v>
      </c>
      <c r="D53" s="666"/>
      <c r="E53" s="666"/>
      <c r="F53" s="670"/>
      <c r="G53" s="660" t="str">
        <f>IF(E53="","",IF(F53="Direct-from-manufacturer",(E53*H53/1000*'Inventory Settings'!$J$21),(E53*I53/1000*'Inventory Settings'!$J$21)))</f>
        <v/>
      </c>
      <c r="H53" s="668">
        <v>0.21233473859999996</v>
      </c>
      <c r="I53" s="668">
        <v>0.26210364976999989</v>
      </c>
      <c r="J53" s="669">
        <v>0.18876072501628641</v>
      </c>
      <c r="K53" s="142" t="s">
        <v>695</v>
      </c>
      <c r="L53" s="1" t="s">
        <v>535</v>
      </c>
      <c r="M53" s="1" t="s">
        <v>696</v>
      </c>
      <c r="N53" s="152">
        <v>0.21233473859999996</v>
      </c>
      <c r="O53" s="152">
        <v>4.9474874959999991E-2</v>
      </c>
      <c r="P53" s="152">
        <v>0.26210364976999989</v>
      </c>
    </row>
    <row r="54" spans="3:16" ht="56">
      <c r="C54" s="665" t="s">
        <v>697</v>
      </c>
      <c r="D54" s="666"/>
      <c r="E54" s="666"/>
      <c r="F54" s="670"/>
      <c r="G54" s="660" t="str">
        <f>IF(E54="","",IF(F54="Direct-from-manufacturer",(E54*H54/1000*'Inventory Settings'!$J$21),(E54*I54/1000*'Inventory Settings'!$J$21)))</f>
        <v/>
      </c>
      <c r="H54" s="668">
        <v>5.9051008437000001E-2</v>
      </c>
      <c r="I54" s="668">
        <v>0.10877680274999998</v>
      </c>
      <c r="J54" s="669">
        <v>0.45723728554799803</v>
      </c>
      <c r="K54" s="142" t="s">
        <v>698</v>
      </c>
      <c r="L54" s="1" t="s">
        <v>535</v>
      </c>
      <c r="M54" s="1" t="s">
        <v>696</v>
      </c>
      <c r="N54" s="152">
        <v>5.9051008437000001E-2</v>
      </c>
      <c r="O54" s="152">
        <v>4.9736810020000001E-2</v>
      </c>
      <c r="P54" s="152">
        <v>0.10877680274999998</v>
      </c>
    </row>
    <row r="55" spans="3:16" ht="56">
      <c r="C55" s="665" t="s">
        <v>699</v>
      </c>
      <c r="D55" s="666"/>
      <c r="E55" s="666"/>
      <c r="F55" s="670"/>
      <c r="G55" s="660" t="str">
        <f>IF(E55="","",IF(F55="Direct-from-manufacturer",(E55*H55/1000*'Inventory Settings'!$J$21),(E55*I55/1000*'Inventory Settings'!$J$21)))</f>
        <v/>
      </c>
      <c r="H55" s="668">
        <v>0.10167328548699998</v>
      </c>
      <c r="I55" s="668">
        <v>0.14406840624000003</v>
      </c>
      <c r="J55" s="669">
        <v>0.29620748576138334</v>
      </c>
      <c r="K55" s="142" t="s">
        <v>700</v>
      </c>
      <c r="L55" s="1" t="s">
        <v>535</v>
      </c>
      <c r="M55" s="1" t="s">
        <v>696</v>
      </c>
      <c r="N55" s="152">
        <v>0.10167328548699998</v>
      </c>
      <c r="O55" s="152">
        <v>4.2674140389999997E-2</v>
      </c>
      <c r="P55" s="152">
        <v>0.14406840624000003</v>
      </c>
    </row>
    <row r="56" spans="3:16" ht="42">
      <c r="C56" s="665" t="s">
        <v>701</v>
      </c>
      <c r="D56" s="666"/>
      <c r="E56" s="666"/>
      <c r="F56" s="670"/>
      <c r="G56" s="660" t="str">
        <f>IF(E56="","",IF(F56="Direct-from-manufacturer",(E56*H56/1000*'Inventory Settings'!$J$21),(E56*I56/1000*'Inventory Settings'!$J$21)))</f>
        <v/>
      </c>
      <c r="H56" s="668">
        <v>4.6135127750000005E-2</v>
      </c>
      <c r="I56" s="668">
        <v>8.5657728949999984E-2</v>
      </c>
      <c r="J56" s="669">
        <v>0.46257751455363566</v>
      </c>
      <c r="K56" s="142" t="s">
        <v>702</v>
      </c>
      <c r="L56" s="1" t="s">
        <v>535</v>
      </c>
      <c r="M56" s="1" t="s">
        <v>696</v>
      </c>
      <c r="N56" s="152">
        <v>4.6135127750000005E-2</v>
      </c>
      <c r="O56" s="152">
        <v>3.9623339359999996E-2</v>
      </c>
      <c r="P56" s="152">
        <v>8.5657728949999984E-2</v>
      </c>
    </row>
    <row r="57" spans="3:16" ht="56">
      <c r="C57" s="665" t="s">
        <v>703</v>
      </c>
      <c r="D57" s="666"/>
      <c r="E57" s="666"/>
      <c r="F57" s="670"/>
      <c r="G57" s="660" t="str">
        <f>IF(E57="","",IF(F57="Direct-from-manufacturer",(E57*H57/1000*'Inventory Settings'!$J$21),(E57*I57/1000*'Inventory Settings'!$J$21)))</f>
        <v/>
      </c>
      <c r="H57" s="668">
        <v>0.42807819622000015</v>
      </c>
      <c r="I57" s="668">
        <v>0.47171034509999998</v>
      </c>
      <c r="J57" s="669">
        <v>9.2794846868835407E-2</v>
      </c>
      <c r="K57" s="142" t="s">
        <v>704</v>
      </c>
      <c r="L57" s="1" t="s">
        <v>535</v>
      </c>
      <c r="M57" s="1" t="s">
        <v>705</v>
      </c>
      <c r="N57" s="152">
        <v>0.42807819622000015</v>
      </c>
      <c r="O57" s="152">
        <v>4.3772289240000005E-2</v>
      </c>
      <c r="P57" s="152">
        <v>0.47171034509999998</v>
      </c>
    </row>
    <row r="58" spans="3:16" ht="42">
      <c r="C58" s="665" t="s">
        <v>706</v>
      </c>
      <c r="D58" s="666"/>
      <c r="E58" s="666"/>
      <c r="F58" s="670"/>
      <c r="G58" s="660" t="str">
        <f>IF(E58="","",IF(F58="Direct-from-manufacturer",(E58*H58/1000*'Inventory Settings'!$J$21),(E58*I58/1000*'Inventory Settings'!$J$21)))</f>
        <v/>
      </c>
      <c r="H58" s="668">
        <v>0.68237463659999997</v>
      </c>
      <c r="I58" s="668">
        <v>0.71883791050000023</v>
      </c>
      <c r="J58" s="669">
        <v>4.9625940348898709E-2</v>
      </c>
      <c r="K58" s="142" t="s">
        <v>707</v>
      </c>
      <c r="L58" s="1" t="s">
        <v>535</v>
      </c>
      <c r="M58" s="1" t="s">
        <v>705</v>
      </c>
      <c r="N58" s="152">
        <v>0.68237463659999997</v>
      </c>
      <c r="O58" s="152">
        <v>3.5673007266999998E-2</v>
      </c>
      <c r="P58" s="152">
        <v>0.71883791050000023</v>
      </c>
    </row>
    <row r="59" spans="3:16" ht="56">
      <c r="C59" s="665" t="s">
        <v>708</v>
      </c>
      <c r="D59" s="666"/>
      <c r="E59" s="666"/>
      <c r="F59" s="670"/>
      <c r="G59" s="660" t="str">
        <f>IF(E59="","",IF(F59="Direct-from-manufacturer",(E59*H59/1000*'Inventory Settings'!$J$21),(E59*I59/1000*'Inventory Settings'!$J$21)))</f>
        <v/>
      </c>
      <c r="H59" s="668">
        <v>0.35584221818</v>
      </c>
      <c r="I59" s="668">
        <v>0.40866361612000013</v>
      </c>
      <c r="J59" s="669">
        <v>0.12978635818762393</v>
      </c>
      <c r="K59" s="142" t="s">
        <v>709</v>
      </c>
      <c r="L59" s="1" t="s">
        <v>535</v>
      </c>
      <c r="M59" s="1" t="s">
        <v>710</v>
      </c>
      <c r="N59" s="152">
        <v>0.35584221818</v>
      </c>
      <c r="O59" s="152">
        <v>5.3038962459999985E-2</v>
      </c>
      <c r="P59" s="152">
        <v>0.40866361612000013</v>
      </c>
    </row>
    <row r="60" spans="3:16" ht="56">
      <c r="C60" s="665" t="s">
        <v>711</v>
      </c>
      <c r="D60" s="666"/>
      <c r="E60" s="666"/>
      <c r="F60" s="670"/>
      <c r="G60" s="660" t="str">
        <f>IF(E60="","",IF(F60="Direct-from-manufacturer",(E60*H60/1000*'Inventory Settings'!$J$21),(E60*I60/1000*'Inventory Settings'!$J$21)))</f>
        <v/>
      </c>
      <c r="H60" s="668">
        <v>0.11674108981999998</v>
      </c>
      <c r="I60" s="668">
        <v>0.20152922309999993</v>
      </c>
      <c r="J60" s="669">
        <v>0.41824370437916913</v>
      </c>
      <c r="K60" s="142" t="s">
        <v>712</v>
      </c>
      <c r="L60" s="1" t="s">
        <v>535</v>
      </c>
      <c r="M60" s="1" t="s">
        <v>710</v>
      </c>
      <c r="N60" s="152">
        <v>0.11674108981999998</v>
      </c>
      <c r="O60" s="152">
        <v>8.4288328809999993E-2</v>
      </c>
      <c r="P60" s="152">
        <v>0.20152922309999993</v>
      </c>
    </row>
    <row r="61" spans="3:16" ht="56">
      <c r="C61" s="665" t="s">
        <v>713</v>
      </c>
      <c r="D61" s="666"/>
      <c r="E61" s="666"/>
      <c r="F61" s="670"/>
      <c r="G61" s="660" t="str">
        <f>IF(E61="","",IF(F61="Direct-from-manufacturer",(E61*H61/1000*'Inventory Settings'!$J$21),(E61*I61/1000*'Inventory Settings'!$J$21)))</f>
        <v/>
      </c>
      <c r="H61" s="668">
        <v>0.75409304830000001</v>
      </c>
      <c r="I61" s="668">
        <v>0.78979626500000011</v>
      </c>
      <c r="J61" s="669">
        <v>4.5271674486837422E-2</v>
      </c>
      <c r="K61" s="142" t="s">
        <v>714</v>
      </c>
      <c r="L61" s="1" t="s">
        <v>535</v>
      </c>
      <c r="M61" s="1" t="s">
        <v>715</v>
      </c>
      <c r="N61" s="152">
        <v>0.75409304830000001</v>
      </c>
      <c r="O61" s="152">
        <v>3.5755399419999993E-2</v>
      </c>
      <c r="P61" s="152">
        <v>0.78979626500000011</v>
      </c>
    </row>
    <row r="62" spans="3:16" ht="77.5">
      <c r="C62" s="665" t="s">
        <v>716</v>
      </c>
      <c r="D62" s="666"/>
      <c r="E62" s="666"/>
      <c r="F62" s="670"/>
      <c r="G62" s="660" t="str">
        <f>IF(E62="","",IF(F62="Direct-from-manufacturer",(E62*H62/1000*'Inventory Settings'!$J$21),(E62*I62/1000*'Inventory Settings'!$J$21)))</f>
        <v/>
      </c>
      <c r="H62" s="668">
        <v>0.52035668750999997</v>
      </c>
      <c r="I62" s="668">
        <v>0.57220087049999979</v>
      </c>
      <c r="J62" s="669">
        <v>9.0043143564214542E-2</v>
      </c>
      <c r="K62" s="142" t="s">
        <v>718</v>
      </c>
      <c r="L62" s="1" t="s">
        <v>535</v>
      </c>
      <c r="M62" s="1" t="s">
        <v>715</v>
      </c>
      <c r="N62" s="152">
        <v>0.52035668750999997</v>
      </c>
      <c r="O62" s="152">
        <v>5.1522765130000016E-2</v>
      </c>
      <c r="P62" s="152">
        <v>0.57220087049999979</v>
      </c>
    </row>
    <row r="63" spans="3:16" ht="42">
      <c r="C63" s="665" t="s">
        <v>719</v>
      </c>
      <c r="D63" s="666"/>
      <c r="E63" s="666"/>
      <c r="F63" s="670"/>
      <c r="G63" s="660" t="str">
        <f>IF(E63="","",IF(F63="Direct-from-manufacturer",(E63*H63/1000*'Inventory Settings'!$J$21),(E63*I63/1000*'Inventory Settings'!$J$21)))</f>
        <v/>
      </c>
      <c r="H63" s="668">
        <v>0.58046792450000007</v>
      </c>
      <c r="I63" s="668">
        <v>0.61164034819999991</v>
      </c>
      <c r="J63" s="669">
        <v>5.0942130545664363E-2</v>
      </c>
      <c r="K63" s="142" t="s">
        <v>720</v>
      </c>
      <c r="L63" s="1" t="s">
        <v>535</v>
      </c>
      <c r="M63" s="1" t="s">
        <v>721</v>
      </c>
      <c r="N63" s="152">
        <v>0.58046792450000007</v>
      </c>
      <c r="O63" s="152">
        <v>3.1158262465000003E-2</v>
      </c>
      <c r="P63" s="152">
        <v>0.61164034819999991</v>
      </c>
    </row>
    <row r="64" spans="3:16" ht="42">
      <c r="C64" s="665" t="s">
        <v>722</v>
      </c>
      <c r="D64" s="666"/>
      <c r="E64" s="666"/>
      <c r="F64" s="670"/>
      <c r="G64" s="660" t="str">
        <f>IF(E64="","",IF(F64="Direct-from-manufacturer",(E64*H64/1000*'Inventory Settings'!$J$21),(E64*I64/1000*'Inventory Settings'!$J$21)))</f>
        <v/>
      </c>
      <c r="H64" s="668">
        <v>0.40122813129999996</v>
      </c>
      <c r="I64" s="668">
        <v>0.43768640935000003</v>
      </c>
      <c r="J64" s="669">
        <v>8.2201355213269878E-2</v>
      </c>
      <c r="K64" s="142" t="s">
        <v>723</v>
      </c>
      <c r="L64" s="1" t="s">
        <v>535</v>
      </c>
      <c r="M64" s="1" t="s">
        <v>721</v>
      </c>
      <c r="N64" s="152">
        <v>0.40122813129999996</v>
      </c>
      <c r="O64" s="152">
        <v>3.5978416006999997E-2</v>
      </c>
      <c r="P64" s="152">
        <v>0.43768640935000003</v>
      </c>
    </row>
    <row r="65" spans="3:16" ht="56">
      <c r="C65" s="665" t="s">
        <v>724</v>
      </c>
      <c r="D65" s="666"/>
      <c r="E65" s="666"/>
      <c r="F65" s="670"/>
      <c r="G65" s="660" t="str">
        <f>IF(E65="","",IF(F65="Direct-from-manufacturer",(E65*H65/1000*'Inventory Settings'!$J$21),(E65*I65/1000*'Inventory Settings'!$J$21)))</f>
        <v/>
      </c>
      <c r="H65" s="668">
        <v>0.47538340410000007</v>
      </c>
      <c r="I65" s="668">
        <v>0.50064222199999997</v>
      </c>
      <c r="J65" s="669">
        <v>5.0149647797784018E-2</v>
      </c>
      <c r="K65" s="142" t="s">
        <v>725</v>
      </c>
      <c r="L65" s="1" t="s">
        <v>535</v>
      </c>
      <c r="M65" s="1" t="s">
        <v>721</v>
      </c>
      <c r="N65" s="152">
        <v>0.47538340410000007</v>
      </c>
      <c r="O65" s="152">
        <v>2.5107031105999995E-2</v>
      </c>
      <c r="P65" s="152">
        <v>0.50064222199999997</v>
      </c>
    </row>
    <row r="66" spans="3:16" ht="28">
      <c r="C66" s="665" t="s">
        <v>726</v>
      </c>
      <c r="D66" s="666"/>
      <c r="E66" s="666"/>
      <c r="F66" s="670"/>
      <c r="G66" s="660" t="str">
        <f>IF(E66="","",IF(F66="Direct-from-manufacturer",(E66*H66/1000*'Inventory Settings'!$J$21),(E66*I66/1000*'Inventory Settings'!$J$21)))</f>
        <v/>
      </c>
      <c r="H66" s="668">
        <v>0.3107144551199999</v>
      </c>
      <c r="I66" s="668">
        <v>0.34950411479999993</v>
      </c>
      <c r="J66" s="669">
        <v>0.11215085474009422</v>
      </c>
      <c r="K66" s="142" t="s">
        <v>727</v>
      </c>
      <c r="L66" s="1" t="s">
        <v>535</v>
      </c>
      <c r="M66" s="1" t="s">
        <v>721</v>
      </c>
      <c r="N66" s="152">
        <v>0.3107144551199999</v>
      </c>
      <c r="O66" s="152">
        <v>3.9197185210000006E-2</v>
      </c>
      <c r="P66" s="152">
        <v>0.34950411479999993</v>
      </c>
    </row>
    <row r="67" spans="3:16" ht="31">
      <c r="C67" s="665" t="s">
        <v>728</v>
      </c>
      <c r="D67" s="666"/>
      <c r="E67" s="666"/>
      <c r="F67" s="670"/>
      <c r="G67" s="660" t="str">
        <f>IF(E67="","",IF(F67="Direct-from-manufacturer",(E67*H67/1000*'Inventory Settings'!$J$21),(E67*I67/1000*'Inventory Settings'!$J$21)))</f>
        <v/>
      </c>
      <c r="H67" s="668">
        <v>0.34699600277999992</v>
      </c>
      <c r="I67" s="668">
        <v>0.40393000150000008</v>
      </c>
      <c r="J67" s="669">
        <v>0.14166431792019291</v>
      </c>
      <c r="K67" s="142" t="s">
        <v>729</v>
      </c>
      <c r="L67" s="1" t="s">
        <v>535</v>
      </c>
      <c r="M67" s="1" t="s">
        <v>721</v>
      </c>
      <c r="N67" s="152">
        <v>0.34699600277999992</v>
      </c>
      <c r="O67" s="152">
        <v>5.7222468150000004E-2</v>
      </c>
      <c r="P67" s="152">
        <v>0.40393000150000008</v>
      </c>
    </row>
    <row r="68" spans="3:16" ht="70">
      <c r="C68" s="665" t="s">
        <v>730</v>
      </c>
      <c r="D68" s="666"/>
      <c r="E68" s="666"/>
      <c r="F68" s="670"/>
      <c r="G68" s="660" t="str">
        <f>IF(E68="","",IF(F68="Direct-from-manufacturer",(E68*H68/1000*'Inventory Settings'!$J$21),(E68*I68/1000*'Inventory Settings'!$J$21)))</f>
        <v/>
      </c>
      <c r="H68" s="668">
        <v>0.74980784552000002</v>
      </c>
      <c r="I68" s="668">
        <v>0.7884401014000002</v>
      </c>
      <c r="J68" s="669">
        <v>9.0043143564214542E-2</v>
      </c>
      <c r="K68" s="142" t="s">
        <v>718</v>
      </c>
      <c r="L68" s="1" t="s">
        <v>535</v>
      </c>
      <c r="M68" s="1" t="s">
        <v>715</v>
      </c>
      <c r="N68" s="152">
        <v>0.74980784552000002</v>
      </c>
      <c r="O68" s="152">
        <v>3.8387917839999987E-2</v>
      </c>
      <c r="P68" s="152">
        <v>0.7884401014000002</v>
      </c>
    </row>
    <row r="69" spans="3:16" ht="42">
      <c r="C69" s="665" t="s">
        <v>731</v>
      </c>
      <c r="D69" s="666"/>
      <c r="E69" s="666"/>
      <c r="F69" s="670"/>
      <c r="G69" s="660" t="str">
        <f>IF(E69="","",IF(F69="Direct-from-manufacturer",(E69*H69/1000*'Inventory Settings'!$J$21),(E69*I69/1000*'Inventory Settings'!$J$21)))</f>
        <v/>
      </c>
      <c r="H69" s="668">
        <v>0.36256716609000006</v>
      </c>
      <c r="I69" s="668">
        <v>0.40622263694999999</v>
      </c>
      <c r="J69" s="669">
        <v>0.10703364410327455</v>
      </c>
      <c r="K69" s="142" t="s">
        <v>732</v>
      </c>
      <c r="L69" s="1" t="s">
        <v>535</v>
      </c>
      <c r="M69" s="1" t="s">
        <v>721</v>
      </c>
      <c r="N69" s="152">
        <v>0.36256716609000006</v>
      </c>
      <c r="O69" s="152">
        <v>4.3479489150000009E-2</v>
      </c>
      <c r="P69" s="152">
        <v>0.40622263694999999</v>
      </c>
    </row>
    <row r="70" spans="3:16" ht="28">
      <c r="C70" s="665" t="s">
        <v>733</v>
      </c>
      <c r="D70" s="666"/>
      <c r="E70" s="666"/>
      <c r="F70" s="670"/>
      <c r="G70" s="660" t="str">
        <f>IF(E70="","",IF(F70="Direct-from-manufacturer",(E70*H70/1000*'Inventory Settings'!$J$21),(E70*I70/1000*'Inventory Settings'!$J$21)))</f>
        <v/>
      </c>
      <c r="H70" s="668">
        <v>0.35618500029</v>
      </c>
      <c r="I70" s="668">
        <v>0.43412703910000011</v>
      </c>
      <c r="J70" s="669">
        <v>0.17925695937145786</v>
      </c>
      <c r="K70" s="142" t="s">
        <v>734</v>
      </c>
      <c r="L70" s="1" t="s">
        <v>535</v>
      </c>
      <c r="M70" s="1" t="s">
        <v>735</v>
      </c>
      <c r="N70" s="152">
        <v>0.35618500029</v>
      </c>
      <c r="O70" s="152">
        <v>7.7820293010000013E-2</v>
      </c>
      <c r="P70" s="152">
        <v>0.43412703910000011</v>
      </c>
    </row>
    <row r="71" spans="3:16" ht="56">
      <c r="C71" s="665" t="s">
        <v>736</v>
      </c>
      <c r="D71" s="666"/>
      <c r="E71" s="666"/>
      <c r="F71" s="670"/>
      <c r="G71" s="660" t="str">
        <f>IF(E71="","",IF(F71="Direct-from-manufacturer",(E71*H71/1000*'Inventory Settings'!$J$21),(E71*I71/1000*'Inventory Settings'!$J$21)))</f>
        <v/>
      </c>
      <c r="H71" s="668">
        <v>0.29320254009999991</v>
      </c>
      <c r="I71" s="668">
        <v>0.33820213429999996</v>
      </c>
      <c r="J71" s="669">
        <v>0.13043047895395854</v>
      </c>
      <c r="K71" s="142" t="s">
        <v>737</v>
      </c>
      <c r="L71" s="1" t="s">
        <v>535</v>
      </c>
      <c r="M71" s="1" t="s">
        <v>735</v>
      </c>
      <c r="N71" s="152">
        <v>0.29320254009999991</v>
      </c>
      <c r="O71" s="152">
        <v>4.4111866360000009E-2</v>
      </c>
      <c r="P71" s="152">
        <v>0.33820213429999996</v>
      </c>
    </row>
    <row r="72" spans="3:16" ht="28">
      <c r="C72" s="665" t="s">
        <v>738</v>
      </c>
      <c r="D72" s="666"/>
      <c r="E72" s="666"/>
      <c r="F72" s="670"/>
      <c r="G72" s="660" t="str">
        <f>IF(E72="","",IF(F72="Direct-from-manufacturer",(E72*H72/1000*'Inventory Settings'!$J$21),(E72*I72/1000*'Inventory Settings'!$J$21)))</f>
        <v/>
      </c>
      <c r="H72" s="668">
        <v>0.4319347696000001</v>
      </c>
      <c r="I72" s="668">
        <v>0.47497908159999996</v>
      </c>
      <c r="J72" s="669">
        <v>9.2047788320958362E-2</v>
      </c>
      <c r="K72" s="142" t="s">
        <v>739</v>
      </c>
      <c r="L72" s="1" t="s">
        <v>535</v>
      </c>
      <c r="M72" s="1" t="s">
        <v>735</v>
      </c>
      <c r="N72" s="152">
        <v>0.4319347696000001</v>
      </c>
      <c r="O72" s="152">
        <v>4.3720773960000008E-2</v>
      </c>
      <c r="P72" s="152">
        <v>0.47497908159999996</v>
      </c>
    </row>
    <row r="73" spans="3:16" ht="42">
      <c r="C73" s="665" t="s">
        <v>740</v>
      </c>
      <c r="D73" s="666"/>
      <c r="E73" s="666"/>
      <c r="F73" s="670"/>
      <c r="G73" s="660" t="str">
        <f>IF(E73="","",IF(F73="Direct-from-manufacturer",(E73*H73/1000*'Inventory Settings'!$J$21),(E73*I73/1000*'Inventory Settings'!$J$21)))</f>
        <v/>
      </c>
      <c r="H73" s="668">
        <v>0.31279756177000001</v>
      </c>
      <c r="I73" s="668">
        <v>0.40287137037999998</v>
      </c>
      <c r="J73" s="669">
        <v>0.2232472890917169</v>
      </c>
      <c r="K73" s="142" t="s">
        <v>741</v>
      </c>
      <c r="L73" s="1" t="s">
        <v>535</v>
      </c>
      <c r="M73" s="1" t="s">
        <v>742</v>
      </c>
      <c r="N73" s="152">
        <v>0.31279756177000001</v>
      </c>
      <c r="O73" s="152">
        <v>8.9939941290000006E-2</v>
      </c>
      <c r="P73" s="152">
        <v>0.40287137037999998</v>
      </c>
    </row>
    <row r="74" spans="3:16" ht="42">
      <c r="C74" s="665" t="s">
        <v>743</v>
      </c>
      <c r="D74" s="666"/>
      <c r="E74" s="666"/>
      <c r="F74" s="670"/>
      <c r="G74" s="660" t="str">
        <f>IF(E74="","",IF(F74="Direct-from-manufacturer",(E74*H74/1000*'Inventory Settings'!$J$21),(E74*I74/1000*'Inventory Settings'!$J$21)))</f>
        <v/>
      </c>
      <c r="H74" s="668">
        <v>0.41824325329999995</v>
      </c>
      <c r="I74" s="668">
        <v>0.49529287642999992</v>
      </c>
      <c r="J74" s="669">
        <v>0.1552231550434294</v>
      </c>
      <c r="K74" s="142" t="s">
        <v>744</v>
      </c>
      <c r="L74" s="1" t="s">
        <v>535</v>
      </c>
      <c r="M74" s="1" t="s">
        <v>745</v>
      </c>
      <c r="N74" s="152">
        <v>0.41824325329999995</v>
      </c>
      <c r="O74" s="152">
        <v>7.688092295E-2</v>
      </c>
      <c r="P74" s="152">
        <v>0.49529287642999992</v>
      </c>
    </row>
    <row r="75" spans="3:16" ht="42">
      <c r="C75" s="665" t="s">
        <v>746</v>
      </c>
      <c r="D75" s="666"/>
      <c r="E75" s="666"/>
      <c r="F75" s="670"/>
      <c r="G75" s="660" t="str">
        <f>IF(E75="","",IF(F75="Direct-from-manufacturer",(E75*H75/1000*'Inventory Settings'!$J$21),(E75*I75/1000*'Inventory Settings'!$J$21)))</f>
        <v/>
      </c>
      <c r="H75" s="668">
        <v>3.7786705211200009</v>
      </c>
      <c r="I75" s="668">
        <v>3.8711166305000009</v>
      </c>
      <c r="J75" s="669">
        <v>2.3653176867774555E-2</v>
      </c>
      <c r="K75" s="142" t="s">
        <v>747</v>
      </c>
      <c r="L75" s="1" t="s">
        <v>535</v>
      </c>
      <c r="M75" s="1" t="s">
        <v>748</v>
      </c>
      <c r="N75" s="152">
        <v>3.7786705211200009</v>
      </c>
      <c r="O75" s="152">
        <v>9.1564206337000006E-2</v>
      </c>
      <c r="P75" s="152">
        <v>3.8711166305000009</v>
      </c>
    </row>
    <row r="76" spans="3:16" ht="42">
      <c r="C76" s="665" t="s">
        <v>749</v>
      </c>
      <c r="D76" s="666"/>
      <c r="E76" s="666"/>
      <c r="F76" s="670"/>
      <c r="G76" s="660" t="str">
        <f>IF(E76="","",IF(F76="Direct-from-manufacturer",(E76*H76/1000*'Inventory Settings'!$J$21),(E76*I76/1000*'Inventory Settings'!$J$21)))</f>
        <v/>
      </c>
      <c r="H76" s="668">
        <v>0.62004913200000011</v>
      </c>
      <c r="I76" s="668">
        <v>0.69201453290000015</v>
      </c>
      <c r="J76" s="669">
        <v>0.10399522035673711</v>
      </c>
      <c r="K76" s="142" t="s">
        <v>750</v>
      </c>
      <c r="L76" s="1" t="s">
        <v>535</v>
      </c>
      <c r="M76" s="1" t="s">
        <v>748</v>
      </c>
      <c r="N76" s="152">
        <v>0.62004913200000011</v>
      </c>
      <c r="O76" s="152">
        <v>7.1966203839000015E-2</v>
      </c>
      <c r="P76" s="152">
        <v>0.69201453290000015</v>
      </c>
    </row>
    <row r="77" spans="3:16" ht="42">
      <c r="C77" s="665" t="s">
        <v>751</v>
      </c>
      <c r="D77" s="666"/>
      <c r="E77" s="666"/>
      <c r="F77" s="670"/>
      <c r="G77" s="660" t="str">
        <f>IF(E77="","",IF(F77="Direct-from-manufacturer",(E77*H77/1000*'Inventory Settings'!$J$21),(E77*I77/1000*'Inventory Settings'!$J$21)))</f>
        <v/>
      </c>
      <c r="H77" s="668">
        <v>0.29493539000000007</v>
      </c>
      <c r="I77" s="668">
        <v>0.37506617425999994</v>
      </c>
      <c r="J77" s="669">
        <v>0.21256753702809916</v>
      </c>
      <c r="K77" s="142" t="s">
        <v>752</v>
      </c>
      <c r="L77" s="1" t="s">
        <v>535</v>
      </c>
      <c r="M77" s="1" t="s">
        <v>748</v>
      </c>
      <c r="N77" s="152">
        <v>0.29493539000000007</v>
      </c>
      <c r="O77" s="152">
        <v>7.9726892885000025E-2</v>
      </c>
      <c r="P77" s="152">
        <v>0.37506617425999994</v>
      </c>
    </row>
    <row r="78" spans="3:16" ht="42">
      <c r="C78" s="665" t="s">
        <v>753</v>
      </c>
      <c r="D78" s="666"/>
      <c r="E78" s="666"/>
      <c r="F78" s="670"/>
      <c r="G78" s="660" t="str">
        <f>IF(E78="","",IF(F78="Direct-from-manufacturer",(E78*H78/1000*'Inventory Settings'!$J$21),(E78*I78/1000*'Inventory Settings'!$J$21)))</f>
        <v/>
      </c>
      <c r="H78" s="668">
        <v>0.30317194210000004</v>
      </c>
      <c r="I78" s="668">
        <v>0.36928072668000012</v>
      </c>
      <c r="J78" s="669">
        <v>0.17817344294281429</v>
      </c>
      <c r="K78" s="142" t="s">
        <v>754</v>
      </c>
      <c r="L78" s="1" t="s">
        <v>535</v>
      </c>
      <c r="M78" s="1" t="s">
        <v>748</v>
      </c>
      <c r="N78" s="152">
        <v>0.30317194210000004</v>
      </c>
      <c r="O78" s="152">
        <v>6.5796018484999996E-2</v>
      </c>
      <c r="P78" s="152">
        <v>0.36928072668000012</v>
      </c>
    </row>
    <row r="79" spans="3:16" ht="42">
      <c r="C79" s="665" t="s">
        <v>755</v>
      </c>
      <c r="D79" s="666"/>
      <c r="E79" s="666"/>
      <c r="F79" s="670"/>
      <c r="G79" s="660" t="str">
        <f>IF(E79="","",IF(F79="Direct-from-manufacturer",(E79*H79/1000*'Inventory Settings'!$J$21),(E79*I79/1000*'Inventory Settings'!$J$21)))</f>
        <v/>
      </c>
      <c r="H79" s="668">
        <v>1.6457021282400002</v>
      </c>
      <c r="I79" s="668">
        <v>1.7267631925099998</v>
      </c>
      <c r="J79" s="669">
        <v>4.7462517493130671E-2</v>
      </c>
      <c r="K79" s="142" t="s">
        <v>756</v>
      </c>
      <c r="L79" s="1" t="s">
        <v>535</v>
      </c>
      <c r="M79" s="1" t="s">
        <v>757</v>
      </c>
      <c r="N79" s="152">
        <v>1.6457021282400002</v>
      </c>
      <c r="O79" s="152">
        <v>8.1956528231000025E-2</v>
      </c>
      <c r="P79" s="152">
        <v>1.7267631925099998</v>
      </c>
    </row>
    <row r="80" spans="3:16" ht="42">
      <c r="C80" s="665" t="s">
        <v>758</v>
      </c>
      <c r="D80" s="666"/>
      <c r="E80" s="666"/>
      <c r="F80" s="670"/>
      <c r="G80" s="660" t="str">
        <f>IF(E80="","",IF(F80="Direct-from-manufacturer",(E80*H80/1000*'Inventory Settings'!$J$21),(E80*I80/1000*'Inventory Settings'!$J$21)))</f>
        <v/>
      </c>
      <c r="H80" s="668">
        <v>0.16841289200000001</v>
      </c>
      <c r="I80" s="668">
        <v>0.24767859464999997</v>
      </c>
      <c r="J80" s="669">
        <v>0.31964110076558855</v>
      </c>
      <c r="K80" s="142" t="s">
        <v>759</v>
      </c>
      <c r="L80" s="1" t="s">
        <v>535</v>
      </c>
      <c r="M80" s="1" t="s">
        <v>760</v>
      </c>
      <c r="N80" s="152">
        <v>0.16841289200000001</v>
      </c>
      <c r="O80" s="152">
        <v>7.9168258630000002E-2</v>
      </c>
      <c r="P80" s="152">
        <v>0.24767859464999997</v>
      </c>
    </row>
    <row r="81" spans="3:16" ht="42">
      <c r="C81" s="665" t="s">
        <v>761</v>
      </c>
      <c r="D81" s="666"/>
      <c r="E81" s="666"/>
      <c r="F81" s="670"/>
      <c r="G81" s="660" t="str">
        <f>IF(E81="","",IF(F81="Direct-from-manufacturer",(E81*H81/1000*'Inventory Settings'!$J$21),(E81*I81/1000*'Inventory Settings'!$J$21)))</f>
        <v/>
      </c>
      <c r="H81" s="668">
        <v>0.13255573748999999</v>
      </c>
      <c r="I81" s="668">
        <v>0.30076109297000003</v>
      </c>
      <c r="J81" s="669">
        <v>0.55911284458184018</v>
      </c>
      <c r="K81" s="142" t="s">
        <v>762</v>
      </c>
      <c r="L81" s="1" t="s">
        <v>535</v>
      </c>
      <c r="M81" s="1" t="s">
        <v>760</v>
      </c>
      <c r="N81" s="152">
        <v>0.13255573748999999</v>
      </c>
      <c r="O81" s="152">
        <v>0.16815939023000001</v>
      </c>
      <c r="P81" s="152">
        <v>0.30076109297000003</v>
      </c>
    </row>
    <row r="82" spans="3:16" ht="42">
      <c r="C82" s="665" t="s">
        <v>763</v>
      </c>
      <c r="D82" s="666"/>
      <c r="E82" s="666"/>
      <c r="F82" s="670"/>
      <c r="G82" s="660" t="str">
        <f>IF(E82="","",IF(F82="Direct-from-manufacturer",(E82*H82/1000*'Inventory Settings'!$J$21),(E82*I82/1000*'Inventory Settings'!$J$21)))</f>
        <v/>
      </c>
      <c r="H82" s="668">
        <v>0.30489254184999998</v>
      </c>
      <c r="I82" s="668">
        <v>0.50355832659999999</v>
      </c>
      <c r="J82" s="669">
        <v>0.39424112305404591</v>
      </c>
      <c r="K82" s="142" t="s">
        <v>764</v>
      </c>
      <c r="L82" s="1" t="s">
        <v>535</v>
      </c>
      <c r="M82" s="1" t="s">
        <v>760</v>
      </c>
      <c r="N82" s="152">
        <v>0.30489254184999998</v>
      </c>
      <c r="O82" s="152">
        <v>0.19852340020200004</v>
      </c>
      <c r="P82" s="152">
        <v>0.50355832659999999</v>
      </c>
    </row>
    <row r="83" spans="3:16" ht="42">
      <c r="C83" s="665" t="s">
        <v>765</v>
      </c>
      <c r="D83" s="666"/>
      <c r="E83" s="666"/>
      <c r="F83" s="670"/>
      <c r="G83" s="660" t="str">
        <f>IF(E83="","",IF(F83="Direct-from-manufacturer",(E83*H83/1000*'Inventory Settings'!$J$21),(E83*I83/1000*'Inventory Settings'!$J$21)))</f>
        <v/>
      </c>
      <c r="H83" s="668">
        <v>0.38463754170999992</v>
      </c>
      <c r="I83" s="668">
        <v>0.45629939310000006</v>
      </c>
      <c r="J83" s="669">
        <v>0.15802819857618602</v>
      </c>
      <c r="K83" s="142" t="s">
        <v>766</v>
      </c>
      <c r="L83" s="1" t="s">
        <v>535</v>
      </c>
      <c r="M83" s="1" t="s">
        <v>760</v>
      </c>
      <c r="N83" s="152">
        <v>0.38463754170999992</v>
      </c>
      <c r="O83" s="152">
        <v>7.2108171102999982E-2</v>
      </c>
      <c r="P83" s="152">
        <v>0.45629939310000006</v>
      </c>
    </row>
    <row r="84" spans="3:16" ht="70">
      <c r="C84" s="665" t="s">
        <v>767</v>
      </c>
      <c r="D84" s="666"/>
      <c r="E84" s="666"/>
      <c r="F84" s="670"/>
      <c r="G84" s="660" t="str">
        <f>IF(E84="","",IF(F84="Direct-from-manufacturer",(E84*H84/1000*'Inventory Settings'!$J$21),(E84*I84/1000*'Inventory Settings'!$J$21)))</f>
        <v/>
      </c>
      <c r="H84" s="668">
        <v>0.56580988637999996</v>
      </c>
      <c r="I84" s="668">
        <v>0.64925118774000024</v>
      </c>
      <c r="J84" s="669">
        <v>0.12876240385482082</v>
      </c>
      <c r="K84" s="142" t="s">
        <v>768</v>
      </c>
      <c r="L84" s="1" t="s">
        <v>535</v>
      </c>
      <c r="M84" s="1" t="s">
        <v>760</v>
      </c>
      <c r="N84" s="152">
        <v>0.56580988637999996</v>
      </c>
      <c r="O84" s="152">
        <v>8.3599143639000006E-2</v>
      </c>
      <c r="P84" s="152">
        <v>0.64925118774000024</v>
      </c>
    </row>
    <row r="85" spans="3:16" ht="70">
      <c r="C85" s="665" t="s">
        <v>769</v>
      </c>
      <c r="D85" s="666"/>
      <c r="E85" s="666"/>
      <c r="F85" s="670"/>
      <c r="G85" s="660" t="str">
        <f>IF(E85="","",IF(F85="Direct-from-manufacturer",(E85*H85/1000*'Inventory Settings'!$J$21),(E85*I85/1000*'Inventory Settings'!$J$21)))</f>
        <v/>
      </c>
      <c r="H85" s="668">
        <v>0.95567523242999997</v>
      </c>
      <c r="I85" s="668">
        <v>0.98967807269000008</v>
      </c>
      <c r="J85" s="669">
        <v>3.4262616125093646E-2</v>
      </c>
      <c r="K85" s="142" t="s">
        <v>770</v>
      </c>
      <c r="L85" s="1" t="s">
        <v>535</v>
      </c>
      <c r="M85" s="1" t="s">
        <v>771</v>
      </c>
      <c r="N85" s="152">
        <v>0.95567523242999997</v>
      </c>
      <c r="O85" s="152">
        <v>3.3908959891999997E-2</v>
      </c>
      <c r="P85" s="152">
        <v>0.98967807269000008</v>
      </c>
    </row>
    <row r="86" spans="3:16" ht="42">
      <c r="C86" s="665" t="s">
        <v>772</v>
      </c>
      <c r="D86" s="666"/>
      <c r="E86" s="666"/>
      <c r="F86" s="670"/>
      <c r="G86" s="660" t="str">
        <f>IF(E86="","",IF(F86="Direct-from-manufacturer",(E86*H86/1000*'Inventory Settings'!$J$21),(E86*I86/1000*'Inventory Settings'!$J$21)))</f>
        <v/>
      </c>
      <c r="H86" s="668">
        <v>0.52244070669999987</v>
      </c>
      <c r="I86" s="668">
        <v>0.55535372800000005</v>
      </c>
      <c r="J86" s="669">
        <v>5.824238341657445E-2</v>
      </c>
      <c r="K86" s="142" t="s">
        <v>773</v>
      </c>
      <c r="L86" s="1" t="s">
        <v>535</v>
      </c>
      <c r="M86" s="1" t="s">
        <v>774</v>
      </c>
      <c r="N86" s="152">
        <v>0.52244070669999987</v>
      </c>
      <c r="O86" s="152">
        <v>3.2345124757999999E-2</v>
      </c>
      <c r="P86" s="152">
        <v>0.55535372800000005</v>
      </c>
    </row>
    <row r="87" spans="3:16" ht="70">
      <c r="C87" s="665" t="s">
        <v>775</v>
      </c>
      <c r="D87" s="666"/>
      <c r="E87" s="666"/>
      <c r="F87" s="670"/>
      <c r="G87" s="660" t="str">
        <f>IF(E87="","",IF(F87="Direct-from-manufacturer",(E87*H87/1000*'Inventory Settings'!$J$21),(E87*I87/1000*'Inventory Settings'!$J$21)))</f>
        <v/>
      </c>
      <c r="H87" s="668">
        <v>1.3933782001999999</v>
      </c>
      <c r="I87" s="668">
        <v>1.4180446828999997</v>
      </c>
      <c r="J87" s="669">
        <v>2.1723063771871502E-2</v>
      </c>
      <c r="K87" s="142" t="s">
        <v>776</v>
      </c>
      <c r="L87" s="1" t="s">
        <v>535</v>
      </c>
      <c r="M87" s="1" t="s">
        <v>777</v>
      </c>
      <c r="N87" s="152">
        <v>1.3933782001999999</v>
      </c>
      <c r="O87" s="152">
        <v>3.0804275077999998E-2</v>
      </c>
      <c r="P87" s="152">
        <v>1.4180446828999997</v>
      </c>
    </row>
    <row r="88" spans="3:16" ht="154">
      <c r="C88" s="665" t="s">
        <v>778</v>
      </c>
      <c r="D88" s="666"/>
      <c r="E88" s="666"/>
      <c r="F88" s="670"/>
      <c r="G88" s="660" t="str">
        <f>IF(E88="","",IF(F88="Direct-from-manufacturer",(E88*H88/1000*'Inventory Settings'!$J$21),(E88*I88/1000*'Inventory Settings'!$J$21)))</f>
        <v/>
      </c>
      <c r="H88" s="668">
        <v>0.84242590389999994</v>
      </c>
      <c r="I88" s="668">
        <v>0.87557011029999998</v>
      </c>
      <c r="J88" s="669">
        <v>3.7879859797447901E-2</v>
      </c>
      <c r="K88" s="142" t="s">
        <v>780</v>
      </c>
      <c r="L88" s="1" t="s">
        <v>535</v>
      </c>
      <c r="M88" s="1" t="s">
        <v>777</v>
      </c>
      <c r="N88" s="152">
        <v>0.84242590389999994</v>
      </c>
      <c r="O88" s="152">
        <v>3.3166473020999995E-2</v>
      </c>
      <c r="P88" s="152">
        <v>0.87557011029999998</v>
      </c>
    </row>
    <row r="89" spans="3:16" ht="56">
      <c r="C89" s="665" t="s">
        <v>781</v>
      </c>
      <c r="D89" s="666"/>
      <c r="E89" s="666"/>
      <c r="F89" s="670"/>
      <c r="G89" s="660" t="str">
        <f>IF(E89="","",IF(F89="Direct-from-manufacturer",(E89*H89/1000*'Inventory Settings'!$J$21),(E89*I89/1000*'Inventory Settings'!$J$21)))</f>
        <v/>
      </c>
      <c r="H89" s="668">
        <v>0.66512356094000002</v>
      </c>
      <c r="I89" s="668">
        <v>0.70168112952000006</v>
      </c>
      <c r="J89" s="669">
        <v>5.1992900045575649E-2</v>
      </c>
      <c r="K89" s="142" t="s">
        <v>782</v>
      </c>
      <c r="L89" s="1" t="s">
        <v>535</v>
      </c>
      <c r="M89" s="1" t="s">
        <v>783</v>
      </c>
      <c r="N89" s="152">
        <v>0.66512356094000002</v>
      </c>
      <c r="O89" s="152">
        <v>3.6482436830999984E-2</v>
      </c>
      <c r="P89" s="152">
        <v>0.70168112952000006</v>
      </c>
    </row>
    <row r="90" spans="3:16" ht="70">
      <c r="C90" s="665" t="s">
        <v>784</v>
      </c>
      <c r="D90" s="666"/>
      <c r="E90" s="666"/>
      <c r="F90" s="670"/>
      <c r="G90" s="660" t="str">
        <f>IF(E90="","",IF(F90="Direct-from-manufacturer",(E90*H90/1000*'Inventory Settings'!$J$21),(E90*I90/1000*'Inventory Settings'!$J$21)))</f>
        <v/>
      </c>
      <c r="H90" s="668">
        <v>0.51188853870000006</v>
      </c>
      <c r="I90" s="668">
        <v>0.54252215129999992</v>
      </c>
      <c r="J90" s="669">
        <v>5.6496255154844598E-2</v>
      </c>
      <c r="K90" s="142" t="s">
        <v>785</v>
      </c>
      <c r="L90" s="1" t="s">
        <v>535</v>
      </c>
      <c r="M90" s="1" t="s">
        <v>783</v>
      </c>
      <c r="N90" s="152">
        <v>0.51188853870000006</v>
      </c>
      <c r="O90" s="152">
        <v>3.0650469887000001E-2</v>
      </c>
      <c r="P90" s="152">
        <v>0.54252215129999992</v>
      </c>
    </row>
    <row r="91" spans="3:16" ht="84">
      <c r="C91" s="665" t="s">
        <v>786</v>
      </c>
      <c r="D91" s="666"/>
      <c r="E91" s="666"/>
      <c r="F91" s="670"/>
      <c r="G91" s="660" t="str">
        <f>IF(E91="","",IF(F91="Direct-from-manufacturer",(E91*H91/1000*'Inventory Settings'!$J$21),(E91*I91/1000*'Inventory Settings'!$J$21)))</f>
        <v/>
      </c>
      <c r="H91" s="668">
        <v>0.61395528629999996</v>
      </c>
      <c r="I91" s="668">
        <v>0.64781159639999997</v>
      </c>
      <c r="J91" s="669">
        <v>5.217113210509982E-2</v>
      </c>
      <c r="K91" s="142" t="s">
        <v>787</v>
      </c>
      <c r="L91" s="1" t="s">
        <v>535</v>
      </c>
      <c r="M91" s="1" t="s">
        <v>783</v>
      </c>
      <c r="N91" s="152">
        <v>0.61395528629999996</v>
      </c>
      <c r="O91" s="152">
        <v>3.3797064375000005E-2</v>
      </c>
      <c r="P91" s="152">
        <v>0.64781159639999997</v>
      </c>
    </row>
    <row r="92" spans="3:16" ht="84">
      <c r="C92" s="665" t="s">
        <v>801</v>
      </c>
      <c r="D92" s="666"/>
      <c r="E92" s="666"/>
      <c r="F92" s="670"/>
      <c r="G92" s="660" t="str">
        <f>IF(E92="","",IF(F92="Direct-from-manufacturer",(E92*H92/1000*'Inventory Settings'!$J$21),(E92*I92/1000*'Inventory Settings'!$J$21)))</f>
        <v/>
      </c>
      <c r="H92" s="668">
        <v>0.17197852570000002</v>
      </c>
      <c r="I92" s="668">
        <v>0.24323385872000003</v>
      </c>
      <c r="J92" s="669">
        <v>0.29336316886762737</v>
      </c>
      <c r="K92" s="142" t="s">
        <v>802</v>
      </c>
      <c r="L92" s="1" t="s">
        <v>535</v>
      </c>
      <c r="M92" s="1" t="s">
        <v>803</v>
      </c>
      <c r="N92" s="152">
        <v>0.17197852570000002</v>
      </c>
      <c r="O92" s="152">
        <v>7.1355855569999987E-2</v>
      </c>
      <c r="P92" s="152">
        <v>0.24323385872000003</v>
      </c>
    </row>
    <row r="93" spans="3:16" ht="42">
      <c r="C93" s="665" t="s">
        <v>804</v>
      </c>
      <c r="D93" s="666"/>
      <c r="E93" s="666"/>
      <c r="F93" s="670"/>
      <c r="G93" s="660" t="str">
        <f>IF(E93="","",IF(F93="Direct-from-manufacturer",(E93*H93/1000*'Inventory Settings'!$J$21),(E93*I93/1000*'Inventory Settings'!$J$21)))</f>
        <v/>
      </c>
      <c r="H93" s="668">
        <v>0.32690308870999996</v>
      </c>
      <c r="I93" s="668">
        <v>0.3540867296700001</v>
      </c>
      <c r="J93" s="669">
        <v>7.6528275443291313E-2</v>
      </c>
      <c r="K93" s="142" t="s">
        <v>805</v>
      </c>
      <c r="L93" s="1" t="s">
        <v>535</v>
      </c>
      <c r="M93" s="1" t="s">
        <v>806</v>
      </c>
      <c r="N93" s="152">
        <v>0.32690308870999996</v>
      </c>
      <c r="O93" s="152">
        <v>2.7097646778999996E-2</v>
      </c>
      <c r="P93" s="152">
        <v>0.3540867296700001</v>
      </c>
    </row>
    <row r="94" spans="3:16" ht="56">
      <c r="C94" s="665" t="s">
        <v>807</v>
      </c>
      <c r="D94" s="666"/>
      <c r="E94" s="666"/>
      <c r="F94" s="670"/>
      <c r="G94" s="660" t="str">
        <f>IF(E94="","",IF(F94="Direct-from-manufacturer",(E94*H94/1000*'Inventory Settings'!$J$21),(E94*I94/1000*'Inventory Settings'!$J$21)))</f>
        <v/>
      </c>
      <c r="H94" s="668">
        <v>0.24415073030000001</v>
      </c>
      <c r="I94" s="668">
        <v>0.28752121479999998</v>
      </c>
      <c r="J94" s="669">
        <v>0.14876440661171</v>
      </c>
      <c r="K94" s="142" t="s">
        <v>808</v>
      </c>
      <c r="L94" s="1" t="s">
        <v>535</v>
      </c>
      <c r="M94" s="1" t="s">
        <v>806</v>
      </c>
      <c r="N94" s="152">
        <v>0.24415073030000001</v>
      </c>
      <c r="O94" s="152">
        <v>4.2772922908000006E-2</v>
      </c>
      <c r="P94" s="152">
        <v>0.28752121479999998</v>
      </c>
    </row>
    <row r="95" spans="3:16" ht="56">
      <c r="C95" s="665" t="s">
        <v>809</v>
      </c>
      <c r="D95" s="666"/>
      <c r="E95" s="666"/>
      <c r="F95" s="670"/>
      <c r="G95" s="660" t="str">
        <f>IF(E95="","",IF(F95="Direct-from-manufacturer",(E95*H95/1000*'Inventory Settings'!$J$21),(E95*I95/1000*'Inventory Settings'!$J$21)))</f>
        <v/>
      </c>
      <c r="H95" s="668">
        <v>0.20087333429999998</v>
      </c>
      <c r="I95" s="668">
        <v>0.23697996729999996</v>
      </c>
      <c r="J95" s="669">
        <v>0.15160739082438046</v>
      </c>
      <c r="K95" s="142" t="s">
        <v>810</v>
      </c>
      <c r="L95" s="1" t="s">
        <v>535</v>
      </c>
      <c r="M95" s="1" t="s">
        <v>811</v>
      </c>
      <c r="N95" s="152">
        <v>0.20087333429999998</v>
      </c>
      <c r="O95" s="152">
        <v>3.5927914519999993E-2</v>
      </c>
      <c r="P95" s="152">
        <v>0.23697996729999996</v>
      </c>
    </row>
    <row r="96" spans="3:16" ht="56">
      <c r="C96" s="665" t="s">
        <v>812</v>
      </c>
      <c r="D96" s="666"/>
      <c r="E96" s="666"/>
      <c r="F96" s="670"/>
      <c r="G96" s="660" t="str">
        <f>IF(E96="","",IF(F96="Direct-from-manufacturer",(E96*H96/1000*'Inventory Settings'!$J$21),(E96*I96/1000*'Inventory Settings'!$J$21)))</f>
        <v/>
      </c>
      <c r="H96" s="668">
        <v>0.39904860419999988</v>
      </c>
      <c r="I96" s="668">
        <v>0.4212148423</v>
      </c>
      <c r="J96" s="669">
        <v>5.3276648186145817E-2</v>
      </c>
      <c r="K96" s="142" t="s">
        <v>813</v>
      </c>
      <c r="L96" s="1" t="s">
        <v>535</v>
      </c>
      <c r="M96" s="1" t="s">
        <v>811</v>
      </c>
      <c r="N96" s="152">
        <v>0.39904860419999988</v>
      </c>
      <c r="O96" s="152">
        <v>2.244091496399999E-2</v>
      </c>
      <c r="P96" s="152">
        <v>0.4212148423</v>
      </c>
    </row>
    <row r="97" spans="3:16" ht="56">
      <c r="C97" s="665" t="s">
        <v>814</v>
      </c>
      <c r="D97" s="666"/>
      <c r="E97" s="666"/>
      <c r="F97" s="670"/>
      <c r="G97" s="660" t="str">
        <f>IF(E97="","",IF(F97="Direct-from-manufacturer",(E97*H97/1000*'Inventory Settings'!$J$21),(E97*I97/1000*'Inventory Settings'!$J$21)))</f>
        <v/>
      </c>
      <c r="H97" s="668">
        <v>0.60852247430000006</v>
      </c>
      <c r="I97" s="668">
        <v>0.63822830700000033</v>
      </c>
      <c r="J97" s="669">
        <v>4.6008567604946406E-2</v>
      </c>
      <c r="K97" s="142" t="s">
        <v>815</v>
      </c>
      <c r="L97" s="1" t="s">
        <v>535</v>
      </c>
      <c r="M97" s="1" t="s">
        <v>811</v>
      </c>
      <c r="N97" s="152">
        <v>0.60852247430000006</v>
      </c>
      <c r="O97" s="152">
        <v>2.9363970210000003E-2</v>
      </c>
      <c r="P97" s="152">
        <v>0.63822830700000033</v>
      </c>
    </row>
    <row r="98" spans="3:16" ht="31">
      <c r="C98" s="665" t="s">
        <v>816</v>
      </c>
      <c r="D98" s="666"/>
      <c r="E98" s="666"/>
      <c r="F98" s="670"/>
      <c r="G98" s="660" t="str">
        <f>IF(E98="","",IF(F98="Direct-from-manufacturer",(E98*H98/1000*'Inventory Settings'!$J$21),(E98*I98/1000*'Inventory Settings'!$J$21)))</f>
        <v/>
      </c>
      <c r="H98" s="668">
        <v>0.17092909491</v>
      </c>
      <c r="I98" s="668">
        <v>0.22237443850000005</v>
      </c>
      <c r="J98" s="669">
        <v>0.23225957865656394</v>
      </c>
      <c r="K98" s="142" t="s">
        <v>817</v>
      </c>
      <c r="L98" s="1" t="s">
        <v>535</v>
      </c>
      <c r="M98" s="1" t="s">
        <v>818</v>
      </c>
      <c r="N98" s="152">
        <v>0.17092909491</v>
      </c>
      <c r="O98" s="152">
        <v>5.1648593390000004E-2</v>
      </c>
      <c r="P98" s="152">
        <v>0.22237443850000005</v>
      </c>
    </row>
    <row r="99" spans="3:16" ht="56">
      <c r="C99" s="665" t="s">
        <v>819</v>
      </c>
      <c r="D99" s="666"/>
      <c r="E99" s="666"/>
      <c r="F99" s="670"/>
      <c r="G99" s="660" t="str">
        <f>IF(E99="","",IF(F99="Direct-from-manufacturer",(E99*H99/1000*'Inventory Settings'!$J$21),(E99*I99/1000*'Inventory Settings'!$J$21)))</f>
        <v/>
      </c>
      <c r="H99" s="668">
        <v>0.34772745929999999</v>
      </c>
      <c r="I99" s="668">
        <v>0.37595697520000004</v>
      </c>
      <c r="J99" s="669">
        <v>7.4295438516976342E-2</v>
      </c>
      <c r="K99" s="142" t="s">
        <v>820</v>
      </c>
      <c r="L99" s="1" t="s">
        <v>535</v>
      </c>
      <c r="M99" s="1" t="s">
        <v>821</v>
      </c>
      <c r="N99" s="152">
        <v>0.34772745929999999</v>
      </c>
      <c r="O99" s="152">
        <v>2.7931888336000001E-2</v>
      </c>
      <c r="P99" s="152">
        <v>0.37595697520000004</v>
      </c>
    </row>
    <row r="100" spans="3:16" ht="56">
      <c r="C100" s="665" t="s">
        <v>822</v>
      </c>
      <c r="D100" s="666"/>
      <c r="E100" s="666"/>
      <c r="F100" s="670"/>
      <c r="G100" s="660" t="str">
        <f>IF(E100="","",IF(F100="Direct-from-manufacturer",(E100*H100/1000*'Inventory Settings'!$J$21),(E100*I100/1000*'Inventory Settings'!$J$21)))</f>
        <v/>
      </c>
      <c r="H100" s="668">
        <v>0.29534410919999998</v>
      </c>
      <c r="I100" s="668">
        <v>0.31708666140000008</v>
      </c>
      <c r="J100" s="669">
        <v>6.7616344503856174E-2</v>
      </c>
      <c r="K100" s="142" t="s">
        <v>823</v>
      </c>
      <c r="L100" s="1" t="s">
        <v>535</v>
      </c>
      <c r="M100" s="1" t="s">
        <v>824</v>
      </c>
      <c r="N100" s="152">
        <v>0.29534410919999998</v>
      </c>
      <c r="O100" s="152">
        <v>2.1440240934800001E-2</v>
      </c>
      <c r="P100" s="152">
        <v>0.31708666140000008</v>
      </c>
    </row>
    <row r="101" spans="3:16" ht="56">
      <c r="C101" s="665" t="s">
        <v>825</v>
      </c>
      <c r="D101" s="666"/>
      <c r="E101" s="666"/>
      <c r="F101" s="670"/>
      <c r="G101" s="660" t="str">
        <f>IF(E101="","",IF(F101="Direct-from-manufacturer",(E101*H101/1000*'Inventory Settings'!$J$21),(E101*I101/1000*'Inventory Settings'!$J$21)))</f>
        <v/>
      </c>
      <c r="H101" s="668">
        <v>0.30083807280000002</v>
      </c>
      <c r="I101" s="668">
        <v>0.3352762071</v>
      </c>
      <c r="J101" s="669">
        <v>0.10312856322276144</v>
      </c>
      <c r="K101" s="142" t="s">
        <v>826</v>
      </c>
      <c r="L101" s="1" t="s">
        <v>535</v>
      </c>
      <c r="M101" s="1" t="s">
        <v>824</v>
      </c>
      <c r="N101" s="152">
        <v>0.30083807280000002</v>
      </c>
      <c r="O101" s="152">
        <v>3.457655352100001E-2</v>
      </c>
      <c r="P101" s="152">
        <v>0.3352762071</v>
      </c>
    </row>
    <row r="102" spans="3:16" ht="126">
      <c r="C102" s="665" t="s">
        <v>827</v>
      </c>
      <c r="D102" s="666"/>
      <c r="E102" s="666"/>
      <c r="F102" s="670"/>
      <c r="G102" s="660" t="str">
        <f>IF(E102="","",IF(F102="Direct-from-manufacturer",(E102*H102/1000*'Inventory Settings'!$J$21),(E102*I102/1000*'Inventory Settings'!$J$21)))</f>
        <v/>
      </c>
      <c r="H102" s="668">
        <v>0.51076525189999999</v>
      </c>
      <c r="I102" s="668">
        <v>0.53137972329999994</v>
      </c>
      <c r="J102" s="669">
        <v>3.8388258952785678E-2</v>
      </c>
      <c r="K102" s="142" t="s">
        <v>828</v>
      </c>
      <c r="L102" s="1" t="s">
        <v>535</v>
      </c>
      <c r="M102" s="1" t="s">
        <v>829</v>
      </c>
      <c r="N102" s="152">
        <v>0.51076525189999999</v>
      </c>
      <c r="O102" s="152">
        <v>2.0398742420300001E-2</v>
      </c>
      <c r="P102" s="152">
        <v>0.53137972329999994</v>
      </c>
    </row>
    <row r="103" spans="3:16" ht="70">
      <c r="C103" s="665" t="s">
        <v>830</v>
      </c>
      <c r="D103" s="666"/>
      <c r="E103" s="666"/>
      <c r="F103" s="670"/>
      <c r="G103" s="660" t="str">
        <f>IF(E103="","",IF(F103="Direct-from-manufacturer",(E103*H103/1000*'Inventory Settings'!$J$21),(E103*I103/1000*'Inventory Settings'!$J$21)))</f>
        <v/>
      </c>
      <c r="H103" s="668">
        <v>0.20292843403000002</v>
      </c>
      <c r="I103" s="668">
        <v>0.24257513750000001</v>
      </c>
      <c r="J103" s="669">
        <v>0.1634742708535</v>
      </c>
      <c r="K103" s="142" t="s">
        <v>832</v>
      </c>
      <c r="L103" s="1" t="s">
        <v>535</v>
      </c>
      <c r="M103" s="1" t="s">
        <v>833</v>
      </c>
      <c r="N103" s="152">
        <v>0.20292843403000002</v>
      </c>
      <c r="O103" s="152">
        <v>3.9654793730000006E-2</v>
      </c>
      <c r="P103" s="152">
        <v>0.24257513750000001</v>
      </c>
    </row>
    <row r="104" spans="3:16" ht="42">
      <c r="C104" s="665" t="s">
        <v>834</v>
      </c>
      <c r="D104" s="666"/>
      <c r="E104" s="666"/>
      <c r="F104" s="670"/>
      <c r="G104" s="660" t="str">
        <f>IF(E104="","",IF(F104="Direct-from-manufacturer",(E104*H104/1000*'Inventory Settings'!$J$21),(E104*I104/1000*'Inventory Settings'!$J$21)))</f>
        <v/>
      </c>
      <c r="H104" s="668">
        <v>0.13170870110000005</v>
      </c>
      <c r="I104" s="668">
        <v>0.19553606529999998</v>
      </c>
      <c r="J104" s="669">
        <v>0.32451449517839925</v>
      </c>
      <c r="K104" s="142" t="s">
        <v>835</v>
      </c>
      <c r="L104" s="1" t="s">
        <v>535</v>
      </c>
      <c r="M104" s="1" t="s">
        <v>833</v>
      </c>
      <c r="N104" s="152">
        <v>0.13170870110000005</v>
      </c>
      <c r="O104" s="152">
        <v>6.345428752E-2</v>
      </c>
      <c r="P104" s="152">
        <v>0.19553606529999998</v>
      </c>
    </row>
    <row r="105" spans="3:16" ht="42">
      <c r="C105" s="665" t="s">
        <v>836</v>
      </c>
      <c r="D105" s="666"/>
      <c r="E105" s="666"/>
      <c r="F105" s="670"/>
      <c r="G105" s="660" t="str">
        <f>IF(E105="","",IF(F105="Direct-from-manufacturer",(E105*H105/1000*'Inventory Settings'!$J$21),(E105*I105/1000*'Inventory Settings'!$J$21)))</f>
        <v/>
      </c>
      <c r="H105" s="668">
        <v>0.24342796178000001</v>
      </c>
      <c r="I105" s="668">
        <v>0.27931840000000013</v>
      </c>
      <c r="J105" s="669">
        <v>0.12852528240173214</v>
      </c>
      <c r="K105" s="142" t="s">
        <v>837</v>
      </c>
      <c r="L105" s="1" t="s">
        <v>535</v>
      </c>
      <c r="M105" s="1" t="s">
        <v>833</v>
      </c>
      <c r="N105" s="152">
        <v>0.24342796178000001</v>
      </c>
      <c r="O105" s="152">
        <v>3.5899476239999999E-2</v>
      </c>
      <c r="P105" s="152">
        <v>0.27931840000000013</v>
      </c>
    </row>
    <row r="106" spans="3:16" ht="70">
      <c r="C106" s="665" t="s">
        <v>838</v>
      </c>
      <c r="D106" s="666"/>
      <c r="E106" s="666"/>
      <c r="F106" s="670"/>
      <c r="G106" s="660" t="str">
        <f>IF(E106="","",IF(F106="Direct-from-manufacturer",(E106*H106/1000*'Inventory Settings'!$J$21),(E106*I106/1000*'Inventory Settings'!$J$21)))</f>
        <v/>
      </c>
      <c r="H106" s="668">
        <v>0.12841949402000002</v>
      </c>
      <c r="I106" s="668">
        <v>0.19613093268000004</v>
      </c>
      <c r="J106" s="669">
        <v>0.34404961531537648</v>
      </c>
      <c r="K106" s="142" t="s">
        <v>840</v>
      </c>
      <c r="L106" s="1" t="s">
        <v>535</v>
      </c>
      <c r="M106" s="1" t="s">
        <v>833</v>
      </c>
      <c r="N106" s="152">
        <v>0.12841949402000002</v>
      </c>
      <c r="O106" s="152">
        <v>6.7478771940000015E-2</v>
      </c>
      <c r="P106" s="152">
        <v>0.19613093268000004</v>
      </c>
    </row>
    <row r="107" spans="3:16" ht="42">
      <c r="C107" s="665" t="s">
        <v>841</v>
      </c>
      <c r="D107" s="666"/>
      <c r="E107" s="666"/>
      <c r="F107" s="670"/>
      <c r="G107" s="660" t="str">
        <f>IF(E107="","",IF(F107="Direct-from-manufacturer",(E107*H107/1000*'Inventory Settings'!$J$21),(E107*I107/1000*'Inventory Settings'!$J$21)))</f>
        <v/>
      </c>
      <c r="H107" s="668">
        <v>0.33294277289999991</v>
      </c>
      <c r="I107" s="668">
        <v>0.36881955700000002</v>
      </c>
      <c r="J107" s="669">
        <v>9.8680461025552432E-2</v>
      </c>
      <c r="K107" s="142" t="s">
        <v>842</v>
      </c>
      <c r="L107" s="1" t="s">
        <v>535</v>
      </c>
      <c r="M107" s="1" t="s">
        <v>833</v>
      </c>
      <c r="N107" s="152">
        <v>0.33294277289999991</v>
      </c>
      <c r="O107" s="152">
        <v>3.6395283920000014E-2</v>
      </c>
      <c r="P107" s="152">
        <v>0.36881955700000002</v>
      </c>
    </row>
    <row r="108" spans="3:16" ht="70">
      <c r="C108" s="665" t="s">
        <v>843</v>
      </c>
      <c r="D108" s="666"/>
      <c r="E108" s="666"/>
      <c r="F108" s="670"/>
      <c r="G108" s="660" t="str">
        <f>IF(E108="","",IF(F108="Direct-from-manufacturer",(E108*H108/1000*'Inventory Settings'!$J$21),(E108*I108/1000*'Inventory Settings'!$J$21)))</f>
        <v/>
      </c>
      <c r="H108" s="668">
        <v>0.28096891079999997</v>
      </c>
      <c r="I108" s="668">
        <v>0.32362669049999998</v>
      </c>
      <c r="J108" s="669">
        <v>0.13036265465255248</v>
      </c>
      <c r="K108" s="142" t="s">
        <v>844</v>
      </c>
      <c r="L108" s="1" t="s">
        <v>535</v>
      </c>
      <c r="M108" s="1" t="s">
        <v>833</v>
      </c>
      <c r="N108" s="152">
        <v>0.28096891079999997</v>
      </c>
      <c r="O108" s="152">
        <v>4.2188834489999986E-2</v>
      </c>
      <c r="P108" s="152">
        <v>0.32362669049999998</v>
      </c>
    </row>
    <row r="109" spans="3:16" ht="56">
      <c r="C109" s="665" t="s">
        <v>845</v>
      </c>
      <c r="D109" s="666"/>
      <c r="E109" s="666"/>
      <c r="F109" s="670"/>
      <c r="G109" s="660" t="str">
        <f>IF(E109="","",IF(F109="Direct-from-manufacturer",(E109*H109/1000*'Inventory Settings'!$J$21),(E109*I109/1000*'Inventory Settings'!$J$21)))</f>
        <v/>
      </c>
      <c r="H109" s="668">
        <v>0.22856161359999996</v>
      </c>
      <c r="I109" s="668">
        <v>0.27445035949999996</v>
      </c>
      <c r="J109" s="669">
        <v>0.16749597167133612</v>
      </c>
      <c r="K109" s="142" t="s">
        <v>846</v>
      </c>
      <c r="L109" s="1" t="s">
        <v>535</v>
      </c>
      <c r="M109" s="1" t="s">
        <v>847</v>
      </c>
      <c r="N109" s="152">
        <v>0.22856161359999996</v>
      </c>
      <c r="O109" s="152">
        <v>4.5969329640000008E-2</v>
      </c>
      <c r="P109" s="152">
        <v>0.27445035949999996</v>
      </c>
    </row>
    <row r="110" spans="3:16" ht="56">
      <c r="C110" s="665" t="s">
        <v>848</v>
      </c>
      <c r="D110" s="666"/>
      <c r="E110" s="666"/>
      <c r="F110" s="670"/>
      <c r="G110" s="660" t="str">
        <f>IF(E110="","",IF(F110="Direct-from-manufacturer",(E110*H110/1000*'Inventory Settings'!$J$21),(E110*I110/1000*'Inventory Settings'!$J$21)))</f>
        <v/>
      </c>
      <c r="H110" s="668">
        <v>9.3219254320000014E-2</v>
      </c>
      <c r="I110" s="668">
        <v>0.19469828121000007</v>
      </c>
      <c r="J110" s="669">
        <v>0.52160431709442279</v>
      </c>
      <c r="K110" s="142" t="s">
        <v>849</v>
      </c>
      <c r="L110" s="1" t="s">
        <v>535</v>
      </c>
      <c r="M110" s="1" t="s">
        <v>847</v>
      </c>
      <c r="N110" s="152">
        <v>9.3219254320000014E-2</v>
      </c>
      <c r="O110" s="152">
        <v>0.10155546400999999</v>
      </c>
      <c r="P110" s="152">
        <v>0.19469828121000007</v>
      </c>
    </row>
    <row r="111" spans="3:16" ht="56">
      <c r="C111" s="665" t="s">
        <v>850</v>
      </c>
      <c r="D111" s="666"/>
      <c r="E111" s="666"/>
      <c r="F111" s="670"/>
      <c r="G111" s="660" t="str">
        <f>IF(E111="","",IF(F111="Direct-from-manufacturer",(E111*H111/1000*'Inventory Settings'!$J$21),(E111*I111/1000*'Inventory Settings'!$J$21)))</f>
        <v/>
      </c>
      <c r="H111" s="668">
        <v>0.20682748189999994</v>
      </c>
      <c r="I111" s="668">
        <v>0.24890944150000002</v>
      </c>
      <c r="J111" s="669">
        <v>0.16914846225308813</v>
      </c>
      <c r="K111" s="142" t="s">
        <v>851</v>
      </c>
      <c r="L111" s="1" t="s">
        <v>535</v>
      </c>
      <c r="M111" s="1" t="s">
        <v>847</v>
      </c>
      <c r="N111" s="152">
        <v>0.20682748189999994</v>
      </c>
      <c r="O111" s="152">
        <v>4.210264927E-2</v>
      </c>
      <c r="P111" s="152">
        <v>0.24890944150000002</v>
      </c>
    </row>
    <row r="112" spans="3:16" ht="56">
      <c r="C112" s="665" t="s">
        <v>852</v>
      </c>
      <c r="D112" s="666"/>
      <c r="E112" s="666"/>
      <c r="F112" s="670"/>
      <c r="G112" s="660" t="str">
        <f>IF(E112="","",IF(F112="Direct-from-manufacturer",(E112*H112/1000*'Inventory Settings'!$J$21),(E112*I112/1000*'Inventory Settings'!$J$21)))</f>
        <v/>
      </c>
      <c r="H112" s="668">
        <v>0.25821952980000007</v>
      </c>
      <c r="I112" s="668">
        <v>0.30621381670000003</v>
      </c>
      <c r="J112" s="669">
        <v>0.15409419812767058</v>
      </c>
      <c r="K112" s="142" t="s">
        <v>853</v>
      </c>
      <c r="L112" s="1" t="s">
        <v>535</v>
      </c>
      <c r="M112" s="1" t="s">
        <v>847</v>
      </c>
      <c r="N112" s="152">
        <v>0.25821952980000007</v>
      </c>
      <c r="O112" s="152">
        <v>4.7185772540000004E-2</v>
      </c>
      <c r="P112" s="152">
        <v>0.30621381670000003</v>
      </c>
    </row>
    <row r="113" spans="3:16" ht="84">
      <c r="C113" s="665" t="s">
        <v>854</v>
      </c>
      <c r="D113" s="666"/>
      <c r="E113" s="666"/>
      <c r="F113" s="670"/>
      <c r="G113" s="660" t="str">
        <f>IF(E113="","",IF(F113="Direct-from-manufacturer",(E113*H113/1000*'Inventory Settings'!$J$21),(E113*I113/1000*'Inventory Settings'!$J$21)))</f>
        <v/>
      </c>
      <c r="H113" s="668">
        <v>0.18025781730000004</v>
      </c>
      <c r="I113" s="668">
        <v>0.21238853661999998</v>
      </c>
      <c r="J113" s="669">
        <v>0.15021803606134759</v>
      </c>
      <c r="K113" s="142" t="s">
        <v>856</v>
      </c>
      <c r="L113" s="1" t="s">
        <v>535</v>
      </c>
      <c r="M113" s="1" t="s">
        <v>857</v>
      </c>
      <c r="N113" s="152">
        <v>0.18025781730000004</v>
      </c>
      <c r="O113" s="152">
        <v>3.1904588853000002E-2</v>
      </c>
      <c r="P113" s="152">
        <v>0.21238853661999998</v>
      </c>
    </row>
    <row r="114" spans="3:16" ht="42">
      <c r="C114" s="665" t="s">
        <v>858</v>
      </c>
      <c r="D114" s="666"/>
      <c r="E114" s="666"/>
      <c r="F114" s="670"/>
      <c r="G114" s="660" t="str">
        <f>IF(E114="","",IF(F114="Direct-from-manufacturer",(E114*H114/1000*'Inventory Settings'!$J$21),(E114*I114/1000*'Inventory Settings'!$J$21)))</f>
        <v/>
      </c>
      <c r="H114" s="668">
        <v>0.17795362939999998</v>
      </c>
      <c r="I114" s="668">
        <v>0.21972756249999995</v>
      </c>
      <c r="J114" s="669">
        <v>0.1916387394503592</v>
      </c>
      <c r="K114" s="142" t="s">
        <v>859</v>
      </c>
      <c r="L114" s="1" t="s">
        <v>535</v>
      </c>
      <c r="M114" s="1" t="s">
        <v>857</v>
      </c>
      <c r="N114" s="152">
        <v>0.17795362939999998</v>
      </c>
      <c r="O114" s="152">
        <v>4.2108313100000003E-2</v>
      </c>
      <c r="P114" s="152">
        <v>0.21972756249999995</v>
      </c>
    </row>
    <row r="115" spans="3:16" ht="56">
      <c r="C115" s="665" t="s">
        <v>860</v>
      </c>
      <c r="D115" s="666"/>
      <c r="E115" s="666"/>
      <c r="F115" s="670"/>
      <c r="G115" s="660" t="str">
        <f>IF(E115="","",IF(F115="Direct-from-manufacturer",(E115*H115/1000*'Inventory Settings'!$J$21),(E115*I115/1000*'Inventory Settings'!$J$21)))</f>
        <v/>
      </c>
      <c r="H115" s="668">
        <v>0.13596696136000003</v>
      </c>
      <c r="I115" s="668">
        <v>0.18035781379999999</v>
      </c>
      <c r="J115" s="669">
        <v>0.24781202848002146</v>
      </c>
      <c r="K115" s="142" t="s">
        <v>861</v>
      </c>
      <c r="L115" s="1" t="s">
        <v>535</v>
      </c>
      <c r="M115" s="1" t="s">
        <v>862</v>
      </c>
      <c r="N115" s="152">
        <v>0.13596696136000003</v>
      </c>
      <c r="O115" s="152">
        <v>4.4694835690000004E-2</v>
      </c>
      <c r="P115" s="152">
        <v>0.18035781379999999</v>
      </c>
    </row>
    <row r="116" spans="3:16" ht="56">
      <c r="C116" s="665" t="s">
        <v>863</v>
      </c>
      <c r="D116" s="666"/>
      <c r="E116" s="666"/>
      <c r="F116" s="670"/>
      <c r="G116" s="660" t="str">
        <f>IF(E116="","",IF(F116="Direct-from-manufacturer",(E116*H116/1000*'Inventory Settings'!$J$21),(E116*I116/1000*'Inventory Settings'!$J$21)))</f>
        <v/>
      </c>
      <c r="H116" s="668">
        <v>8.7563675020000009E-2</v>
      </c>
      <c r="I116" s="668">
        <v>0.18063373320000004</v>
      </c>
      <c r="J116" s="669">
        <v>0.51800910910919484</v>
      </c>
      <c r="K116" s="142" t="s">
        <v>864</v>
      </c>
      <c r="L116" s="1" t="s">
        <v>535</v>
      </c>
      <c r="M116" s="1" t="s">
        <v>862</v>
      </c>
      <c r="N116" s="152">
        <v>8.7563675020000009E-2</v>
      </c>
      <c r="O116" s="152">
        <v>9.3569919210000019E-2</v>
      </c>
      <c r="P116" s="152">
        <v>0.18063373320000004</v>
      </c>
    </row>
    <row r="117" spans="3:16" ht="56">
      <c r="C117" s="665" t="s">
        <v>865</v>
      </c>
      <c r="D117" s="666"/>
      <c r="E117" s="666"/>
      <c r="F117" s="670"/>
      <c r="G117" s="660" t="str">
        <f>IF(E117="","",IF(F117="Direct-from-manufacturer",(E117*H117/1000*'Inventory Settings'!$J$21),(E117*I117/1000*'Inventory Settings'!$J$21)))</f>
        <v/>
      </c>
      <c r="H117" s="668">
        <v>0.1935328191</v>
      </c>
      <c r="I117" s="668">
        <v>0.24782935720000007</v>
      </c>
      <c r="J117" s="669">
        <v>0.21773586616073418</v>
      </c>
      <c r="K117" s="142" t="s">
        <v>866</v>
      </c>
      <c r="L117" s="1" t="s">
        <v>535</v>
      </c>
      <c r="M117" s="1" t="s">
        <v>862</v>
      </c>
      <c r="N117" s="152">
        <v>0.1935328191</v>
      </c>
      <c r="O117" s="152">
        <v>5.3961339749999997E-2</v>
      </c>
      <c r="P117" s="152">
        <v>0.24782935720000007</v>
      </c>
    </row>
    <row r="118" spans="3:16" ht="98">
      <c r="C118" s="665" t="s">
        <v>867</v>
      </c>
      <c r="D118" s="666"/>
      <c r="E118" s="666"/>
      <c r="F118" s="670"/>
      <c r="G118" s="660" t="str">
        <f>IF(E118="","",IF(F118="Direct-from-manufacturer",(E118*H118/1000*'Inventory Settings'!$J$21),(E118*I118/1000*'Inventory Settings'!$J$21)))</f>
        <v/>
      </c>
      <c r="H118" s="668">
        <v>0.20769360179999996</v>
      </c>
      <c r="I118" s="668">
        <v>0.24493338200000001</v>
      </c>
      <c r="J118" s="669">
        <v>0.15260130895510191</v>
      </c>
      <c r="K118" s="142" t="s">
        <v>868</v>
      </c>
      <c r="L118" s="1" t="s">
        <v>535</v>
      </c>
      <c r="M118" s="1" t="s">
        <v>869</v>
      </c>
      <c r="N118" s="152">
        <v>0.20769360179999996</v>
      </c>
      <c r="O118" s="152">
        <v>3.7377154699999998E-2</v>
      </c>
      <c r="P118" s="152">
        <v>0.24493338200000001</v>
      </c>
    </row>
    <row r="119" spans="3:16" ht="98">
      <c r="C119" s="665" t="s">
        <v>870</v>
      </c>
      <c r="D119" s="666"/>
      <c r="E119" s="666"/>
      <c r="F119" s="670"/>
      <c r="G119" s="660" t="str">
        <f>IF(E119="","",IF(F119="Direct-from-manufacturer",(E119*H119/1000*'Inventory Settings'!$J$21),(E119*I119/1000*'Inventory Settings'!$J$21)))</f>
        <v/>
      </c>
      <c r="H119" s="668">
        <v>0.15510864262999996</v>
      </c>
      <c r="I119" s="668">
        <v>0.2098186165</v>
      </c>
      <c r="J119" s="669">
        <v>0.26072025968200963</v>
      </c>
      <c r="K119" s="142" t="s">
        <v>871</v>
      </c>
      <c r="L119" s="1" t="s">
        <v>535</v>
      </c>
      <c r="M119" s="1" t="s">
        <v>869</v>
      </c>
      <c r="N119" s="152">
        <v>0.15510864262999996</v>
      </c>
      <c r="O119" s="152">
        <v>5.4703964179999988E-2</v>
      </c>
      <c r="P119" s="152">
        <v>0.2098186165</v>
      </c>
    </row>
    <row r="120" spans="3:16" ht="98">
      <c r="C120" s="665" t="s">
        <v>872</v>
      </c>
      <c r="D120" s="666"/>
      <c r="E120" s="666"/>
      <c r="F120" s="670"/>
      <c r="G120" s="660" t="str">
        <f>IF(E120="","",IF(F120="Direct-from-manufacturer",(E120*H120/1000*'Inventory Settings'!$J$21),(E120*I120/1000*'Inventory Settings'!$J$21)))</f>
        <v/>
      </c>
      <c r="H120" s="668">
        <v>0.19842155512000004</v>
      </c>
      <c r="I120" s="668">
        <v>0.24490581221999996</v>
      </c>
      <c r="J120" s="669">
        <v>0.18906358714102717</v>
      </c>
      <c r="K120" s="142" t="s">
        <v>873</v>
      </c>
      <c r="L120" s="1" t="s">
        <v>535</v>
      </c>
      <c r="M120" s="1" t="s">
        <v>869</v>
      </c>
      <c r="N120" s="152">
        <v>0.19842155512000004</v>
      </c>
      <c r="O120" s="152">
        <v>4.6302771370000002E-2</v>
      </c>
      <c r="P120" s="152">
        <v>0.24490581221999996</v>
      </c>
    </row>
    <row r="121" spans="3:16" ht="42">
      <c r="C121" s="665" t="s">
        <v>874</v>
      </c>
      <c r="D121" s="666"/>
      <c r="E121" s="666"/>
      <c r="F121" s="670"/>
      <c r="G121" s="660" t="str">
        <f>IF(E121="","",IF(F121="Direct-from-manufacturer",(E121*H121/1000*'Inventory Settings'!$J$21),(E121*I121/1000*'Inventory Settings'!$J$21)))</f>
        <v/>
      </c>
      <c r="H121" s="668">
        <v>0.33157682690000001</v>
      </c>
      <c r="I121" s="668">
        <v>0.37196380409999991</v>
      </c>
      <c r="J121" s="669">
        <v>0.1067354757435658</v>
      </c>
      <c r="K121" s="142" t="s">
        <v>875</v>
      </c>
      <c r="L121" s="1" t="s">
        <v>535</v>
      </c>
      <c r="M121" s="1" t="s">
        <v>876</v>
      </c>
      <c r="N121" s="152">
        <v>0.33157682690000001</v>
      </c>
      <c r="O121" s="152">
        <v>3.9701733590000003E-2</v>
      </c>
      <c r="P121" s="152">
        <v>0.37196380409999991</v>
      </c>
    </row>
    <row r="122" spans="3:16" ht="42">
      <c r="C122" s="665" t="s">
        <v>877</v>
      </c>
      <c r="D122" s="666"/>
      <c r="E122" s="666"/>
      <c r="F122" s="670"/>
      <c r="G122" s="660" t="str">
        <f>IF(E122="","",IF(F122="Direct-from-manufacturer",(E122*H122/1000*'Inventory Settings'!$J$21),(E122*I122/1000*'Inventory Settings'!$J$21)))</f>
        <v/>
      </c>
      <c r="H122" s="668">
        <v>0.22917497852000002</v>
      </c>
      <c r="I122" s="668">
        <v>0.26621131079999999</v>
      </c>
      <c r="J122" s="669">
        <v>0.14063522131156569</v>
      </c>
      <c r="K122" s="142" t="s">
        <v>878</v>
      </c>
      <c r="L122" s="1" t="s">
        <v>535</v>
      </c>
      <c r="M122" s="1" t="s">
        <v>876</v>
      </c>
      <c r="N122" s="152">
        <v>0.22917497852000002</v>
      </c>
      <c r="O122" s="152">
        <v>3.7438686610000001E-2</v>
      </c>
      <c r="P122" s="152">
        <v>0.26621131079999999</v>
      </c>
    </row>
    <row r="123" spans="3:16" ht="84">
      <c r="C123" s="665" t="s">
        <v>879</v>
      </c>
      <c r="D123" s="666"/>
      <c r="E123" s="666"/>
      <c r="F123" s="670"/>
      <c r="G123" s="660" t="str">
        <f>IF(E123="","",IF(F123="Direct-from-manufacturer",(E123*H123/1000*'Inventory Settings'!$J$21),(E123*I123/1000*'Inventory Settings'!$J$21)))</f>
        <v/>
      </c>
      <c r="H123" s="668">
        <v>0.23351778940000006</v>
      </c>
      <c r="I123" s="668">
        <v>0.26828005030000002</v>
      </c>
      <c r="J123" s="669">
        <v>0.13210977081734954</v>
      </c>
      <c r="K123" s="142" t="s">
        <v>881</v>
      </c>
      <c r="L123" s="1" t="s">
        <v>535</v>
      </c>
      <c r="M123" s="1" t="s">
        <v>876</v>
      </c>
      <c r="N123" s="152">
        <v>0.23351778940000006</v>
      </c>
      <c r="O123" s="152">
        <v>3.5442415960000008E-2</v>
      </c>
      <c r="P123" s="152">
        <v>0.26828005030000002</v>
      </c>
    </row>
    <row r="124" spans="3:16" ht="56">
      <c r="C124" s="665" t="s">
        <v>882</v>
      </c>
      <c r="D124" s="666"/>
      <c r="E124" s="666"/>
      <c r="F124" s="670"/>
      <c r="G124" s="660" t="str">
        <f>IF(E124="","",IF(F124="Direct-from-manufacturer",(E124*H124/1000*'Inventory Settings'!$J$21),(E124*I124/1000*'Inventory Settings'!$J$21)))</f>
        <v/>
      </c>
      <c r="H124" s="668">
        <v>0.22972760178999996</v>
      </c>
      <c r="I124" s="668">
        <v>0.26559464176999997</v>
      </c>
      <c r="J124" s="669">
        <v>0.13729695402356157</v>
      </c>
      <c r="K124" s="142" t="s">
        <v>883</v>
      </c>
      <c r="L124" s="1" t="s">
        <v>535</v>
      </c>
      <c r="M124" s="1" t="s">
        <v>876</v>
      </c>
      <c r="N124" s="152">
        <v>0.22972760178999996</v>
      </c>
      <c r="O124" s="152">
        <v>3.6465335319999993E-2</v>
      </c>
      <c r="P124" s="152">
        <v>0.26559464176999997</v>
      </c>
    </row>
    <row r="125" spans="3:16" ht="70">
      <c r="C125" s="665" t="s">
        <v>884</v>
      </c>
      <c r="D125" s="666"/>
      <c r="E125" s="666"/>
      <c r="F125" s="670"/>
      <c r="G125" s="660" t="str">
        <f>IF(E125="","",IF(F125="Direct-from-manufacturer",(E125*H125/1000*'Inventory Settings'!$J$21),(E125*I125/1000*'Inventory Settings'!$J$21)))</f>
        <v/>
      </c>
      <c r="H125" s="668">
        <v>0.22800887990000002</v>
      </c>
      <c r="I125" s="668">
        <v>0.26607604350000003</v>
      </c>
      <c r="J125" s="669">
        <v>0.14196851829691312</v>
      </c>
      <c r="K125" s="142" t="s">
        <v>885</v>
      </c>
      <c r="L125" s="1" t="s">
        <v>535</v>
      </c>
      <c r="M125" s="1" t="s">
        <v>886</v>
      </c>
      <c r="N125" s="152">
        <v>0.22800887990000002</v>
      </c>
      <c r="O125" s="152">
        <v>3.7774421650000008E-2</v>
      </c>
      <c r="P125" s="152">
        <v>0.26607604350000003</v>
      </c>
    </row>
    <row r="126" spans="3:16" ht="70">
      <c r="C126" s="665" t="s">
        <v>887</v>
      </c>
      <c r="D126" s="666"/>
      <c r="E126" s="666"/>
      <c r="F126" s="670"/>
      <c r="G126" s="660" t="str">
        <f>IF(E126="","",IF(F126="Direct-from-manufacturer",(E126*H126/1000*'Inventory Settings'!$J$21),(E126*I126/1000*'Inventory Settings'!$J$21)))</f>
        <v/>
      </c>
      <c r="H126" s="668">
        <v>0.20083315440000005</v>
      </c>
      <c r="I126" s="668">
        <v>0.23540678240000004</v>
      </c>
      <c r="J126" s="669">
        <v>0.14727203550614434</v>
      </c>
      <c r="K126" s="142" t="s">
        <v>888</v>
      </c>
      <c r="L126" s="1" t="s">
        <v>535</v>
      </c>
      <c r="M126" s="1" t="s">
        <v>886</v>
      </c>
      <c r="N126" s="152">
        <v>0.20083315440000005</v>
      </c>
      <c r="O126" s="152">
        <v>3.4668836016000001E-2</v>
      </c>
      <c r="P126" s="152">
        <v>0.23540678240000004</v>
      </c>
    </row>
    <row r="127" spans="3:16" ht="70">
      <c r="C127" s="665" t="s">
        <v>889</v>
      </c>
      <c r="D127" s="666"/>
      <c r="E127" s="666"/>
      <c r="F127" s="670"/>
      <c r="G127" s="660" t="str">
        <f>IF(E127="","",IF(F127="Direct-from-manufacturer",(E127*H127/1000*'Inventory Settings'!$J$21),(E127*I127/1000*'Inventory Settings'!$J$21)))</f>
        <v/>
      </c>
      <c r="H127" s="668">
        <v>0.21899795879000003</v>
      </c>
      <c r="I127" s="668">
        <v>0.25377672670000001</v>
      </c>
      <c r="J127" s="669">
        <v>0.13978886634445664</v>
      </c>
      <c r="K127" s="142" t="s">
        <v>890</v>
      </c>
      <c r="L127" s="1" t="s">
        <v>535</v>
      </c>
      <c r="M127" s="1" t="s">
        <v>886</v>
      </c>
      <c r="N127" s="152">
        <v>0.21899795879000003</v>
      </c>
      <c r="O127" s="152">
        <v>3.5475160929999999E-2</v>
      </c>
      <c r="P127" s="152">
        <v>0.25377672670000001</v>
      </c>
    </row>
    <row r="128" spans="3:16" ht="70">
      <c r="C128" s="665" t="s">
        <v>891</v>
      </c>
      <c r="D128" s="666"/>
      <c r="E128" s="666"/>
      <c r="F128" s="670"/>
      <c r="G128" s="660" t="str">
        <f>IF(E128="","",IF(F128="Direct-from-manufacturer",(E128*H128/1000*'Inventory Settings'!$J$21),(E128*I128/1000*'Inventory Settings'!$J$21)))</f>
        <v/>
      </c>
      <c r="H128" s="668">
        <v>0.27902209180000015</v>
      </c>
      <c r="I128" s="668">
        <v>0.32174625360000003</v>
      </c>
      <c r="J128" s="669">
        <v>0.1306325744269676</v>
      </c>
      <c r="K128" s="142" t="s">
        <v>892</v>
      </c>
      <c r="L128" s="1" t="s">
        <v>535</v>
      </c>
      <c r="M128" s="1" t="s">
        <v>886</v>
      </c>
      <c r="N128" s="152">
        <v>0.27902209180000015</v>
      </c>
      <c r="O128" s="152">
        <v>4.2030541419999998E-2</v>
      </c>
      <c r="P128" s="152">
        <v>0.32174625360000003</v>
      </c>
    </row>
    <row r="129" spans="3:16" ht="56">
      <c r="C129" s="665" t="s">
        <v>893</v>
      </c>
      <c r="D129" s="666"/>
      <c r="E129" s="666"/>
      <c r="F129" s="670"/>
      <c r="G129" s="660" t="str">
        <f>IF(E129="","",IF(F129="Direct-from-manufacturer",(E129*H129/1000*'Inventory Settings'!$J$21),(E129*I129/1000*'Inventory Settings'!$J$21)))</f>
        <v/>
      </c>
      <c r="H129" s="668">
        <v>0.18831895690000003</v>
      </c>
      <c r="I129" s="668">
        <v>0.22058807750000001</v>
      </c>
      <c r="J129" s="669">
        <v>0.14709883130469734</v>
      </c>
      <c r="K129" s="142" t="s">
        <v>894</v>
      </c>
      <c r="L129" s="1" t="s">
        <v>535</v>
      </c>
      <c r="M129" s="1" t="s">
        <v>895</v>
      </c>
      <c r="N129" s="152">
        <v>0.18831895690000003</v>
      </c>
      <c r="O129" s="152">
        <v>3.2448248400000004E-2</v>
      </c>
      <c r="P129" s="152">
        <v>0.22058807750000001</v>
      </c>
    </row>
    <row r="130" spans="3:16" ht="84">
      <c r="C130" s="665" t="s">
        <v>896</v>
      </c>
      <c r="D130" s="666"/>
      <c r="E130" s="666"/>
      <c r="F130" s="670"/>
      <c r="G130" s="660" t="str">
        <f>IF(E130="","",IF(F130="Direct-from-manufacturer",(E130*H130/1000*'Inventory Settings'!$J$21),(E130*I130/1000*'Inventory Settings'!$J$21)))</f>
        <v/>
      </c>
      <c r="H130" s="668">
        <v>0.17280384979999999</v>
      </c>
      <c r="I130" s="668">
        <v>0.20496338040000001</v>
      </c>
      <c r="J130" s="669">
        <v>0.1553748427736216</v>
      </c>
      <c r="K130" s="142" t="s">
        <v>898</v>
      </c>
      <c r="L130" s="1" t="s">
        <v>535</v>
      </c>
      <c r="M130" s="1" t="s">
        <v>895</v>
      </c>
      <c r="N130" s="152">
        <v>0.17280384979999999</v>
      </c>
      <c r="O130" s="152">
        <v>3.1846153003999997E-2</v>
      </c>
      <c r="P130" s="152">
        <v>0.20496338040000001</v>
      </c>
    </row>
    <row r="131" spans="3:16" ht="56">
      <c r="C131" s="665" t="s">
        <v>899</v>
      </c>
      <c r="D131" s="666"/>
      <c r="E131" s="666"/>
      <c r="F131" s="670"/>
      <c r="G131" s="660" t="str">
        <f>IF(E131="","",IF(F131="Direct-from-manufacturer",(E131*H131/1000*'Inventory Settings'!$J$21),(E131*I131/1000*'Inventory Settings'!$J$21)))</f>
        <v/>
      </c>
      <c r="H131" s="668">
        <v>0.26776018149999997</v>
      </c>
      <c r="I131" s="668">
        <v>0.29993060099999996</v>
      </c>
      <c r="J131" s="669">
        <v>0.1062361958491858</v>
      </c>
      <c r="K131" s="142" t="s">
        <v>900</v>
      </c>
      <c r="L131" s="1" t="s">
        <v>535</v>
      </c>
      <c r="M131" s="1" t="s">
        <v>895</v>
      </c>
      <c r="N131" s="152">
        <v>0.26776018149999997</v>
      </c>
      <c r="O131" s="152">
        <v>3.1863486068999997E-2</v>
      </c>
      <c r="P131" s="152">
        <v>0.29993060099999996</v>
      </c>
    </row>
    <row r="132" spans="3:16" ht="42">
      <c r="C132" s="665" t="s">
        <v>901</v>
      </c>
      <c r="D132" s="666"/>
      <c r="E132" s="666"/>
      <c r="F132" s="670"/>
      <c r="G132" s="660" t="str">
        <f>IF(E132="","",IF(F132="Direct-from-manufacturer",(E132*H132/1000*'Inventory Settings'!$J$21),(E132*I132/1000*'Inventory Settings'!$J$21)))</f>
        <v/>
      </c>
      <c r="H132" s="668">
        <v>9.4983271730000027E-2</v>
      </c>
      <c r="I132" s="668">
        <v>0.16683123996000004</v>
      </c>
      <c r="J132" s="669">
        <v>0.4288723122069637</v>
      </c>
      <c r="K132" s="142" t="s">
        <v>902</v>
      </c>
      <c r="L132" s="1" t="s">
        <v>535</v>
      </c>
      <c r="M132" s="1" t="s">
        <v>895</v>
      </c>
      <c r="N132" s="152">
        <v>9.4983271730000027E-2</v>
      </c>
      <c r="O132" s="152">
        <v>7.1549299630000021E-2</v>
      </c>
      <c r="P132" s="152">
        <v>0.16683123996000004</v>
      </c>
    </row>
    <row r="133" spans="3:16" ht="140">
      <c r="C133" s="665" t="s">
        <v>903</v>
      </c>
      <c r="D133" s="666"/>
      <c r="E133" s="666"/>
      <c r="F133" s="670"/>
      <c r="G133" s="660" t="str">
        <f>IF(E133="","",IF(F133="Direct-from-manufacturer",(E133*H133/1000*'Inventory Settings'!$J$21),(E133*I133/1000*'Inventory Settings'!$J$21)))</f>
        <v/>
      </c>
      <c r="H133" s="668">
        <v>0.22813793278000005</v>
      </c>
      <c r="I133" s="668">
        <v>0.26282507230000002</v>
      </c>
      <c r="J133" s="669">
        <v>0.13499447223779948</v>
      </c>
      <c r="K133" s="142" t="s">
        <v>905</v>
      </c>
      <c r="L133" s="1" t="s">
        <v>535</v>
      </c>
      <c r="M133" s="1" t="s">
        <v>895</v>
      </c>
      <c r="N133" s="152">
        <v>0.22813793278000005</v>
      </c>
      <c r="O133" s="152">
        <v>3.5479931925999991E-2</v>
      </c>
      <c r="P133" s="152">
        <v>0.26282507230000002</v>
      </c>
    </row>
    <row r="134" spans="3:16" ht="42">
      <c r="C134" s="665" t="s">
        <v>906</v>
      </c>
      <c r="D134" s="666"/>
      <c r="E134" s="666"/>
      <c r="F134" s="670"/>
      <c r="G134" s="660" t="str">
        <f>IF(E134="","",IF(F134="Direct-from-manufacturer",(E134*H134/1000*'Inventory Settings'!$J$21),(E134*I134/1000*'Inventory Settings'!$J$21)))</f>
        <v/>
      </c>
      <c r="H134" s="668">
        <v>0.15418728553</v>
      </c>
      <c r="I134" s="668">
        <v>0.18859913750000001</v>
      </c>
      <c r="J134" s="669">
        <v>0.17761890607267489</v>
      </c>
      <c r="K134" s="142" t="s">
        <v>907</v>
      </c>
      <c r="L134" s="1" t="s">
        <v>535</v>
      </c>
      <c r="M134" s="1" t="s">
        <v>895</v>
      </c>
      <c r="N134" s="152">
        <v>0.15418728553</v>
      </c>
      <c r="O134" s="152">
        <v>3.3498772488999996E-2</v>
      </c>
      <c r="P134" s="152">
        <v>0.18859913750000001</v>
      </c>
    </row>
    <row r="135" spans="3:16" ht="56">
      <c r="C135" s="665" t="s">
        <v>908</v>
      </c>
      <c r="D135" s="666"/>
      <c r="E135" s="666"/>
      <c r="F135" s="670"/>
      <c r="G135" s="660" t="str">
        <f>IF(E135="","",IF(F135="Direct-from-manufacturer",(E135*H135/1000*'Inventory Settings'!$J$21),(E135*I135/1000*'Inventory Settings'!$J$21)))</f>
        <v/>
      </c>
      <c r="H135" s="668">
        <v>0.19547811122999997</v>
      </c>
      <c r="I135" s="668">
        <v>0.22887814157000005</v>
      </c>
      <c r="J135" s="669">
        <v>0.14652649205360285</v>
      </c>
      <c r="K135" s="142" t="s">
        <v>909</v>
      </c>
      <c r="L135" s="1" t="s">
        <v>535</v>
      </c>
      <c r="M135" s="1" t="s">
        <v>895</v>
      </c>
      <c r="N135" s="152">
        <v>0.19547811122999997</v>
      </c>
      <c r="O135" s="152">
        <v>3.3536711192000003E-2</v>
      </c>
      <c r="P135" s="152">
        <v>0.22887814157000005</v>
      </c>
    </row>
    <row r="136" spans="3:16" ht="42">
      <c r="C136" s="665" t="s">
        <v>910</v>
      </c>
      <c r="D136" s="666"/>
      <c r="E136" s="666"/>
      <c r="F136" s="670"/>
      <c r="G136" s="660" t="str">
        <f>IF(E136="","",IF(F136="Direct-from-manufacturer",(E136*H136/1000*'Inventory Settings'!$J$21),(E136*I136/1000*'Inventory Settings'!$J$21)))</f>
        <v/>
      </c>
      <c r="H136" s="668">
        <v>0.2431984559</v>
      </c>
      <c r="I136" s="668">
        <v>0.27778065689999998</v>
      </c>
      <c r="J136" s="669">
        <v>0.12445661336471553</v>
      </c>
      <c r="K136" s="142" t="s">
        <v>912</v>
      </c>
      <c r="L136" s="1" t="s">
        <v>535</v>
      </c>
      <c r="M136" s="1" t="s">
        <v>895</v>
      </c>
      <c r="N136" s="152">
        <v>0.2431984559</v>
      </c>
      <c r="O136" s="152">
        <v>3.4571639815999998E-2</v>
      </c>
      <c r="P136" s="152">
        <v>0.27778065689999998</v>
      </c>
    </row>
    <row r="137" spans="3:16" ht="154">
      <c r="C137" s="665" t="s">
        <v>913</v>
      </c>
      <c r="D137" s="666"/>
      <c r="E137" s="666"/>
      <c r="F137" s="670"/>
      <c r="G137" s="660" t="str">
        <f>IF(E137="","",IF(F137="Direct-from-manufacturer",(E137*H137/1000*'Inventory Settings'!$J$21),(E137*I137/1000*'Inventory Settings'!$J$21)))</f>
        <v/>
      </c>
      <c r="H137" s="668">
        <v>4.0675218939999987E-2</v>
      </c>
      <c r="I137" s="668">
        <v>0.11397451819999999</v>
      </c>
      <c r="J137" s="669">
        <v>0.64295299982237597</v>
      </c>
      <c r="K137" s="142" t="s">
        <v>914</v>
      </c>
      <c r="L137" s="1" t="s">
        <v>535</v>
      </c>
      <c r="M137" s="1" t="s">
        <v>915</v>
      </c>
      <c r="N137" s="152">
        <v>4.0675218939999987E-2</v>
      </c>
      <c r="O137" s="152">
        <v>7.3280258379999977E-2</v>
      </c>
      <c r="P137" s="152">
        <v>0.11397451819999999</v>
      </c>
    </row>
    <row r="138" spans="3:16" ht="70">
      <c r="C138" s="665" t="s">
        <v>916</v>
      </c>
      <c r="D138" s="666"/>
      <c r="E138" s="666"/>
      <c r="F138" s="670"/>
      <c r="G138" s="660" t="str">
        <f>IF(E138="","",IF(F138="Direct-from-manufacturer",(E138*H138/1000*'Inventory Settings'!$J$21),(E138*I138/1000*'Inventory Settings'!$J$21)))</f>
        <v/>
      </c>
      <c r="H138" s="668">
        <v>7.5117007230000005E-2</v>
      </c>
      <c r="I138" s="668">
        <v>0.13685128860000001</v>
      </c>
      <c r="J138" s="669">
        <v>0.45472970416735986</v>
      </c>
      <c r="K138" s="142" t="s">
        <v>917</v>
      </c>
      <c r="L138" s="1" t="s">
        <v>535</v>
      </c>
      <c r="M138" s="1" t="s">
        <v>915</v>
      </c>
      <c r="N138" s="152">
        <v>7.5117007230000005E-2</v>
      </c>
      <c r="O138" s="152">
        <v>6.223034597999999E-2</v>
      </c>
      <c r="P138" s="152">
        <v>0.13685128860000001</v>
      </c>
    </row>
    <row r="139" spans="3:16" ht="42">
      <c r="C139" s="665" t="s">
        <v>918</v>
      </c>
      <c r="D139" s="666"/>
      <c r="E139" s="666"/>
      <c r="F139" s="670"/>
      <c r="G139" s="660" t="str">
        <f>IF(E139="","",IF(F139="Direct-from-manufacturer",(E139*H139/1000*'Inventory Settings'!$J$21),(E139*I139/1000*'Inventory Settings'!$J$21)))</f>
        <v/>
      </c>
      <c r="H139" s="668">
        <v>0.12840287938</v>
      </c>
      <c r="I139" s="668">
        <v>0.18477940569999998</v>
      </c>
      <c r="J139" s="669">
        <v>0.30349339114689011</v>
      </c>
      <c r="K139" s="142" t="s">
        <v>919</v>
      </c>
      <c r="L139" s="1" t="s">
        <v>535</v>
      </c>
      <c r="M139" s="1" t="s">
        <v>915</v>
      </c>
      <c r="N139" s="152">
        <v>0.12840287938</v>
      </c>
      <c r="O139" s="152">
        <v>5.6079328449999993E-2</v>
      </c>
      <c r="P139" s="152">
        <v>0.18477940569999998</v>
      </c>
    </row>
    <row r="140" spans="3:16" ht="84">
      <c r="C140" s="665" t="s">
        <v>920</v>
      </c>
      <c r="D140" s="666"/>
      <c r="E140" s="666"/>
      <c r="F140" s="670"/>
      <c r="G140" s="660" t="str">
        <f>IF(E140="","",IF(F140="Direct-from-manufacturer",(E140*H140/1000*'Inventory Settings'!$J$21),(E140*I140/1000*'Inventory Settings'!$J$21)))</f>
        <v/>
      </c>
      <c r="H140" s="668">
        <v>7.6537263149999993E-2</v>
      </c>
      <c r="I140" s="668">
        <v>0.20396714720000009</v>
      </c>
      <c r="J140" s="669">
        <v>0.62410106385995445</v>
      </c>
      <c r="K140" s="142" t="s">
        <v>921</v>
      </c>
      <c r="L140" s="1" t="s">
        <v>535</v>
      </c>
      <c r="M140" s="1" t="s">
        <v>922</v>
      </c>
      <c r="N140" s="152">
        <v>7.6537263149999993E-2</v>
      </c>
      <c r="O140" s="152">
        <v>0.12729611355999998</v>
      </c>
      <c r="P140" s="152">
        <v>0.20396714720000009</v>
      </c>
    </row>
    <row r="141" spans="3:16" ht="70">
      <c r="C141" s="665" t="s">
        <v>923</v>
      </c>
      <c r="D141" s="666"/>
      <c r="E141" s="666"/>
      <c r="F141" s="670"/>
      <c r="G141" s="660" t="str">
        <f>IF(E141="","",IF(F141="Direct-from-manufacturer",(E141*H141/1000*'Inventory Settings'!$J$21),(E141*I141/1000*'Inventory Settings'!$J$21)))</f>
        <v/>
      </c>
      <c r="H141" s="668">
        <v>9.6743450559999986E-2</v>
      </c>
      <c r="I141" s="668">
        <v>0.21854666419999993</v>
      </c>
      <c r="J141" s="669">
        <v>0.55372042182833758</v>
      </c>
      <c r="K141" s="142" t="s">
        <v>924</v>
      </c>
      <c r="L141" s="1" t="s">
        <v>535</v>
      </c>
      <c r="M141" s="1" t="s">
        <v>922</v>
      </c>
      <c r="N141" s="152">
        <v>9.6743450559999986E-2</v>
      </c>
      <c r="O141" s="152">
        <v>0.12101375109</v>
      </c>
      <c r="P141" s="152">
        <v>0.21854666419999993</v>
      </c>
    </row>
    <row r="142" spans="3:16" ht="56">
      <c r="C142" s="665" t="s">
        <v>925</v>
      </c>
      <c r="D142" s="666"/>
      <c r="E142" s="666"/>
      <c r="F142" s="670"/>
      <c r="G142" s="660" t="str">
        <f>IF(E142="","",IF(F142="Direct-from-manufacturer",(E142*H142/1000*'Inventory Settings'!$J$21),(E142*I142/1000*'Inventory Settings'!$J$21)))</f>
        <v/>
      </c>
      <c r="H142" s="668">
        <v>5.929049975999999E-2</v>
      </c>
      <c r="I142" s="668">
        <v>0.11596916400000001</v>
      </c>
      <c r="J142" s="669">
        <v>0.48874744669194986</v>
      </c>
      <c r="K142" s="142" t="s">
        <v>926</v>
      </c>
      <c r="L142" s="1" t="s">
        <v>535</v>
      </c>
      <c r="M142" s="1" t="s">
        <v>922</v>
      </c>
      <c r="N142" s="152">
        <v>5.929049975999999E-2</v>
      </c>
      <c r="O142" s="152">
        <v>5.6679632799999997E-2</v>
      </c>
      <c r="P142" s="152">
        <v>0.11596916400000001</v>
      </c>
    </row>
    <row r="143" spans="3:16" ht="70">
      <c r="C143" s="665" t="s">
        <v>927</v>
      </c>
      <c r="D143" s="666"/>
      <c r="E143" s="666"/>
      <c r="F143" s="670"/>
      <c r="G143" s="660" t="str">
        <f>IF(E143="","",IF(F143="Direct-from-manufacturer",(E143*H143/1000*'Inventory Settings'!$J$21),(E143*I143/1000*'Inventory Settings'!$J$21)))</f>
        <v/>
      </c>
      <c r="H143" s="668">
        <v>5.7649638720000007E-2</v>
      </c>
      <c r="I143" s="668">
        <v>0.12561845882000003</v>
      </c>
      <c r="J143" s="669">
        <v>0.54346568148733476</v>
      </c>
      <c r="K143" s="142" t="s">
        <v>928</v>
      </c>
      <c r="L143" s="1" t="s">
        <v>535</v>
      </c>
      <c r="M143" s="1" t="s">
        <v>929</v>
      </c>
      <c r="N143" s="152">
        <v>5.7649638720000007E-2</v>
      </c>
      <c r="O143" s="152">
        <v>6.8269321330000007E-2</v>
      </c>
      <c r="P143" s="152">
        <v>0.12561845882000003</v>
      </c>
    </row>
    <row r="144" spans="3:16" ht="77.5">
      <c r="C144" s="665" t="s">
        <v>930</v>
      </c>
      <c r="D144" s="666"/>
      <c r="E144" s="666"/>
      <c r="F144" s="670"/>
      <c r="G144" s="660" t="str">
        <f>IF(E144="","",IF(F144="Direct-from-manufacturer",(E144*H144/1000*'Inventory Settings'!$J$21),(E144*I144/1000*'Inventory Settings'!$J$21)))</f>
        <v/>
      </c>
      <c r="H144" s="668">
        <v>0.13861999660999996</v>
      </c>
      <c r="I144" s="668">
        <v>0.16843903220000001</v>
      </c>
      <c r="J144" s="669">
        <v>0.17882444053843241</v>
      </c>
      <c r="K144" s="142" t="s">
        <v>932</v>
      </c>
      <c r="L144" s="1" t="s">
        <v>535</v>
      </c>
      <c r="M144" s="1" t="s">
        <v>933</v>
      </c>
      <c r="N144" s="152">
        <v>0.13861999660999996</v>
      </c>
      <c r="O144" s="152">
        <v>3.0121015698000003E-2</v>
      </c>
      <c r="P144" s="152">
        <v>0.16843903220000001</v>
      </c>
    </row>
    <row r="145" spans="3:16" ht="56">
      <c r="C145" s="665" t="s">
        <v>934</v>
      </c>
      <c r="D145" s="666"/>
      <c r="E145" s="666"/>
      <c r="F145" s="670"/>
      <c r="G145" s="660" t="str">
        <f>IF(E145="","",IF(F145="Direct-from-manufacturer",(E145*H145/1000*'Inventory Settings'!$J$21),(E145*I145/1000*'Inventory Settings'!$J$21)))</f>
        <v/>
      </c>
      <c r="H145" s="668">
        <v>0.223536507</v>
      </c>
      <c r="I145" s="668">
        <v>0.27222130189999999</v>
      </c>
      <c r="J145" s="669">
        <v>0.18092480429063737</v>
      </c>
      <c r="K145" s="142" t="s">
        <v>935</v>
      </c>
      <c r="L145" s="1" t="s">
        <v>535</v>
      </c>
      <c r="M145" s="1" t="s">
        <v>933</v>
      </c>
      <c r="N145" s="152">
        <v>0.223536507</v>
      </c>
      <c r="O145" s="152">
        <v>4.9251585770000009E-2</v>
      </c>
      <c r="P145" s="152">
        <v>0.27222130189999999</v>
      </c>
    </row>
    <row r="146" spans="3:16" ht="84">
      <c r="C146" s="665" t="s">
        <v>936</v>
      </c>
      <c r="D146" s="666"/>
      <c r="E146" s="666"/>
      <c r="F146" s="670"/>
      <c r="G146" s="660" t="str">
        <f>IF(E146="","",IF(F146="Direct-from-manufacturer",(E146*H146/1000*'Inventory Settings'!$J$21),(E146*I146/1000*'Inventory Settings'!$J$21)))</f>
        <v/>
      </c>
      <c r="H146" s="668">
        <v>0.12226019532</v>
      </c>
      <c r="I146" s="668">
        <v>0.16019759640000003</v>
      </c>
      <c r="J146" s="669">
        <v>0.23548494268169923</v>
      </c>
      <c r="K146" s="142" t="s">
        <v>937</v>
      </c>
      <c r="L146" s="1" t="s">
        <v>535</v>
      </c>
      <c r="M146" s="1" t="s">
        <v>933</v>
      </c>
      <c r="N146" s="152">
        <v>0.12226019532</v>
      </c>
      <c r="O146" s="152">
        <v>3.7724121805999995E-2</v>
      </c>
      <c r="P146" s="152">
        <v>0.16019759640000003</v>
      </c>
    </row>
    <row r="147" spans="3:16" ht="70">
      <c r="C147" s="665" t="s">
        <v>938</v>
      </c>
      <c r="D147" s="666"/>
      <c r="E147" s="666"/>
      <c r="F147" s="670"/>
      <c r="G147" s="660" t="str">
        <f>IF(E147="","",IF(F147="Direct-from-manufacturer",(E147*H147/1000*'Inventory Settings'!$J$21),(E147*I147/1000*'Inventory Settings'!$J$21)))</f>
        <v/>
      </c>
      <c r="H147" s="668">
        <v>7.0841853390000015E-2</v>
      </c>
      <c r="I147" s="668">
        <v>0.14405764259999995</v>
      </c>
      <c r="J147" s="669">
        <v>0.50953304021372348</v>
      </c>
      <c r="K147" s="142" t="s">
        <v>939</v>
      </c>
      <c r="L147" s="1" t="s">
        <v>535</v>
      </c>
      <c r="M147" s="1" t="s">
        <v>940</v>
      </c>
      <c r="N147" s="152">
        <v>7.0841853390000015E-2</v>
      </c>
      <c r="O147" s="152">
        <v>7.3402128599999977E-2</v>
      </c>
      <c r="P147" s="152">
        <v>0.14405764259999995</v>
      </c>
    </row>
    <row r="148" spans="3:16" ht="70">
      <c r="C148" s="665" t="s">
        <v>941</v>
      </c>
      <c r="D148" s="666"/>
      <c r="E148" s="666"/>
      <c r="F148" s="670"/>
      <c r="G148" s="660" t="str">
        <f>IF(E148="","",IF(F148="Direct-from-manufacturer",(E148*H148/1000*'Inventory Settings'!$J$21),(E148*I148/1000*'Inventory Settings'!$J$21)))</f>
        <v/>
      </c>
      <c r="H148" s="668">
        <v>3.9525808790000005E-2</v>
      </c>
      <c r="I148" s="668">
        <v>6.042176794999999E-2</v>
      </c>
      <c r="J148" s="669">
        <v>0.34568313145494439</v>
      </c>
      <c r="K148" s="142" t="s">
        <v>942</v>
      </c>
      <c r="L148" s="1" t="s">
        <v>535</v>
      </c>
      <c r="M148" s="1" t="s">
        <v>940</v>
      </c>
      <c r="N148" s="152">
        <v>3.9525808790000005E-2</v>
      </c>
      <c r="O148" s="152">
        <v>2.0886785952999993E-2</v>
      </c>
      <c r="P148" s="152">
        <v>6.042176794999999E-2</v>
      </c>
    </row>
    <row r="149" spans="3:16" ht="70">
      <c r="C149" s="665" t="s">
        <v>943</v>
      </c>
      <c r="D149" s="666"/>
      <c r="E149" s="666"/>
      <c r="F149" s="670"/>
      <c r="G149" s="660" t="str">
        <f>IF(E149="","",IF(F149="Direct-from-manufacturer",(E149*H149/1000*'Inventory Settings'!$J$21),(E149*I149/1000*'Inventory Settings'!$J$21)))</f>
        <v/>
      </c>
      <c r="H149" s="668">
        <v>0.10673281740000001</v>
      </c>
      <c r="I149" s="668">
        <v>0.1387652402</v>
      </c>
      <c r="J149" s="669">
        <v>0.23343553871497572</v>
      </c>
      <c r="K149" s="142" t="s">
        <v>944</v>
      </c>
      <c r="L149" s="1" t="s">
        <v>535</v>
      </c>
      <c r="M149" s="1" t="s">
        <v>940</v>
      </c>
      <c r="N149" s="152">
        <v>0.10673281740000001</v>
      </c>
      <c r="O149" s="152">
        <v>3.2392738601000004E-2</v>
      </c>
      <c r="P149" s="152">
        <v>0.1387652402</v>
      </c>
    </row>
    <row r="150" spans="3:16" ht="70">
      <c r="C150" s="665" t="s">
        <v>945</v>
      </c>
      <c r="D150" s="666"/>
      <c r="E150" s="666"/>
      <c r="F150" s="670"/>
      <c r="G150" s="660" t="str">
        <f>IF(E150="","",IF(F150="Direct-from-manufacturer",(E150*H150/1000*'Inventory Settings'!$J$21),(E150*I150/1000*'Inventory Settings'!$J$21)))</f>
        <v/>
      </c>
      <c r="H150" s="668">
        <v>9.3945595810000004E-2</v>
      </c>
      <c r="I150" s="668">
        <v>0.11615807548000001</v>
      </c>
      <c r="J150" s="669">
        <v>0.19148732781673661</v>
      </c>
      <c r="K150" s="142" t="s">
        <v>946</v>
      </c>
      <c r="L150" s="1" t="s">
        <v>535</v>
      </c>
      <c r="M150" s="1" t="s">
        <v>940</v>
      </c>
      <c r="N150" s="152">
        <v>9.3945595810000004E-2</v>
      </c>
      <c r="O150" s="152">
        <v>2.2242799477999998E-2</v>
      </c>
      <c r="P150" s="152">
        <v>0.11615807548000001</v>
      </c>
    </row>
    <row r="151" spans="3:16" ht="70">
      <c r="C151" s="665" t="s">
        <v>947</v>
      </c>
      <c r="D151" s="666"/>
      <c r="E151" s="666"/>
      <c r="F151" s="670"/>
      <c r="G151" s="660" t="str">
        <f>IF(E151="","",IF(F151="Direct-from-manufacturer",(E151*H151/1000*'Inventory Settings'!$J$21),(E151*I151/1000*'Inventory Settings'!$J$21)))</f>
        <v/>
      </c>
      <c r="H151" s="668">
        <v>4.2113306919999989E-2</v>
      </c>
      <c r="I151" s="668">
        <v>7.2605013600000004E-2</v>
      </c>
      <c r="J151" s="669">
        <v>0.4199164948162753</v>
      </c>
      <c r="K151" s="142" t="s">
        <v>948</v>
      </c>
      <c r="L151" s="1" t="s">
        <v>535</v>
      </c>
      <c r="M151" s="1" t="s">
        <v>940</v>
      </c>
      <c r="N151" s="152">
        <v>4.2113306919999989E-2</v>
      </c>
      <c r="O151" s="152">
        <v>3.0488042816999999E-2</v>
      </c>
      <c r="P151" s="152">
        <v>7.2605013600000004E-2</v>
      </c>
    </row>
    <row r="152" spans="3:16" ht="70">
      <c r="C152" s="665" t="s">
        <v>949</v>
      </c>
      <c r="D152" s="666"/>
      <c r="E152" s="666"/>
      <c r="F152" s="670"/>
      <c r="G152" s="660" t="str">
        <f>IF(E152="","",IF(F152="Direct-from-manufacturer",(E152*H152/1000*'Inventory Settings'!$J$21),(E152*I152/1000*'Inventory Settings'!$J$21)))</f>
        <v/>
      </c>
      <c r="H152" s="668">
        <v>8.0551753759999983E-2</v>
      </c>
      <c r="I152" s="668">
        <v>0.11760229370000001</v>
      </c>
      <c r="J152" s="669">
        <v>0.31867965710434093</v>
      </c>
      <c r="K152" s="142" t="s">
        <v>950</v>
      </c>
      <c r="L152" s="1" t="s">
        <v>535</v>
      </c>
      <c r="M152" s="1" t="s">
        <v>940</v>
      </c>
      <c r="N152" s="152">
        <v>8.0551753759999983E-2</v>
      </c>
      <c r="O152" s="152">
        <v>3.7477458631E-2</v>
      </c>
      <c r="P152" s="152">
        <v>0.11760229370000001</v>
      </c>
    </row>
    <row r="153" spans="3:16" ht="70">
      <c r="C153" s="665" t="s">
        <v>951</v>
      </c>
      <c r="D153" s="666"/>
      <c r="E153" s="666"/>
      <c r="F153" s="670"/>
      <c r="G153" s="660" t="str">
        <f>IF(E153="","",IF(F153="Direct-from-manufacturer",(E153*H153/1000*'Inventory Settings'!$J$21),(E153*I153/1000*'Inventory Settings'!$J$21)))</f>
        <v/>
      </c>
      <c r="H153" s="668">
        <v>6.1536682959999998E-2</v>
      </c>
      <c r="I153" s="668">
        <v>9.4028540960000004E-2</v>
      </c>
      <c r="J153" s="669">
        <v>0.34448985322211473</v>
      </c>
      <c r="K153" s="142" t="s">
        <v>952</v>
      </c>
      <c r="L153" s="1" t="s">
        <v>535</v>
      </c>
      <c r="M153" s="1" t="s">
        <v>940</v>
      </c>
      <c r="N153" s="152">
        <v>6.1536682959999998E-2</v>
      </c>
      <c r="O153" s="152">
        <v>3.2391878274000002E-2</v>
      </c>
      <c r="P153" s="152">
        <v>9.4028540960000004E-2</v>
      </c>
    </row>
    <row r="154" spans="3:16" ht="70">
      <c r="C154" s="665" t="s">
        <v>953</v>
      </c>
      <c r="D154" s="666"/>
      <c r="E154" s="666"/>
      <c r="F154" s="670"/>
      <c r="G154" s="660" t="str">
        <f>IF(E154="","",IF(F154="Direct-from-manufacturer",(E154*H154/1000*'Inventory Settings'!$J$21),(E154*I154/1000*'Inventory Settings'!$J$21)))</f>
        <v/>
      </c>
      <c r="H154" s="668">
        <v>0.13982197147000003</v>
      </c>
      <c r="I154" s="668">
        <v>0.19962496979999997</v>
      </c>
      <c r="J154" s="669">
        <v>0.30104618430354302</v>
      </c>
      <c r="K154" s="142" t="s">
        <v>954</v>
      </c>
      <c r="L154" s="1" t="s">
        <v>535</v>
      </c>
      <c r="M154" s="1" t="s">
        <v>940</v>
      </c>
      <c r="N154" s="152">
        <v>0.13982197147000003</v>
      </c>
      <c r="O154" s="152">
        <v>6.0096335449999996E-2</v>
      </c>
      <c r="P154" s="152">
        <v>0.19962496979999997</v>
      </c>
    </row>
    <row r="155" spans="3:16" ht="70">
      <c r="C155" s="665" t="s">
        <v>955</v>
      </c>
      <c r="D155" s="666"/>
      <c r="E155" s="666"/>
      <c r="F155" s="670"/>
      <c r="G155" s="660" t="str">
        <f>IF(E155="","",IF(F155="Direct-from-manufacturer",(E155*H155/1000*'Inventory Settings'!$J$21),(E155*I155/1000*'Inventory Settings'!$J$21)))</f>
        <v/>
      </c>
      <c r="H155" s="668">
        <v>3.28514315E-2</v>
      </c>
      <c r="I155" s="668">
        <v>0.10082463246999999</v>
      </c>
      <c r="J155" s="669">
        <v>0.67414014874018213</v>
      </c>
      <c r="K155" s="142" t="s">
        <v>957</v>
      </c>
      <c r="L155" s="1" t="s">
        <v>535</v>
      </c>
      <c r="M155" s="1" t="s">
        <v>940</v>
      </c>
      <c r="N155" s="152">
        <v>3.28514315E-2</v>
      </c>
      <c r="O155" s="152">
        <v>6.7969932729999988E-2</v>
      </c>
      <c r="P155" s="152">
        <v>0.10082463246999999</v>
      </c>
    </row>
    <row r="156" spans="3:16" ht="56">
      <c r="C156" s="665" t="s">
        <v>958</v>
      </c>
      <c r="D156" s="666"/>
      <c r="E156" s="666"/>
      <c r="F156" s="670"/>
      <c r="G156" s="660" t="str">
        <f>IF(E156="","",IF(F156="Direct-from-manufacturer",(E156*H156/1000*'Inventory Settings'!$J$21),(E156*I156/1000*'Inventory Settings'!$J$21)))</f>
        <v/>
      </c>
      <c r="H156" s="668">
        <v>0.10717898642000002</v>
      </c>
      <c r="I156" s="668">
        <v>0.13522511372000001</v>
      </c>
      <c r="J156" s="669">
        <v>0.20949971476940235</v>
      </c>
      <c r="K156" s="142" t="s">
        <v>959</v>
      </c>
      <c r="L156" s="1" t="s">
        <v>535</v>
      </c>
      <c r="M156" s="1" t="s">
        <v>960</v>
      </c>
      <c r="N156" s="152">
        <v>0.10717898642000002</v>
      </c>
      <c r="O156" s="152">
        <v>2.8329622754E-2</v>
      </c>
      <c r="P156" s="152">
        <v>0.13522511372000001</v>
      </c>
    </row>
    <row r="157" spans="3:16" ht="42">
      <c r="C157" s="665" t="s">
        <v>961</v>
      </c>
      <c r="D157" s="666"/>
      <c r="E157" s="666"/>
      <c r="F157" s="670"/>
      <c r="G157" s="660" t="str">
        <f>IF(E157="","",IF(F157="Direct-from-manufacturer",(E157*H157/1000*'Inventory Settings'!$J$21),(E157*I157/1000*'Inventory Settings'!$J$21)))</f>
        <v/>
      </c>
      <c r="H157" s="668">
        <v>0.31484213999999999</v>
      </c>
      <c r="I157" s="668">
        <v>0.43939730809999988</v>
      </c>
      <c r="J157" s="669">
        <v>0.28346337051672083</v>
      </c>
      <c r="K157" s="142" t="s">
        <v>962</v>
      </c>
      <c r="L157" s="1" t="s">
        <v>535</v>
      </c>
      <c r="M157" s="1" t="s">
        <v>963</v>
      </c>
      <c r="N157" s="152">
        <v>0.31484213999999999</v>
      </c>
      <c r="O157" s="152">
        <v>0.12455304195000001</v>
      </c>
      <c r="P157" s="152">
        <v>0.43939730809999988</v>
      </c>
    </row>
    <row r="158" spans="3:16" ht="42">
      <c r="C158" s="665" t="s">
        <v>964</v>
      </c>
      <c r="D158" s="666"/>
      <c r="E158" s="666"/>
      <c r="F158" s="670"/>
      <c r="G158" s="660" t="str">
        <f>IF(E158="","",IF(F158="Direct-from-manufacturer",(E158*H158/1000*'Inventory Settings'!$J$21),(E158*I158/1000*'Inventory Settings'!$J$21)))</f>
        <v/>
      </c>
      <c r="H158" s="668">
        <v>0.15752672730000003</v>
      </c>
      <c r="I158" s="668">
        <v>0.25436860679999995</v>
      </c>
      <c r="J158" s="669">
        <v>0.37960659161026628</v>
      </c>
      <c r="K158" s="142" t="s">
        <v>965</v>
      </c>
      <c r="L158" s="1" t="s">
        <v>535</v>
      </c>
      <c r="M158" s="1" t="s">
        <v>963</v>
      </c>
      <c r="N158" s="152">
        <v>0.15752672730000003</v>
      </c>
      <c r="O158" s="152">
        <v>9.655999983999998E-2</v>
      </c>
      <c r="P158" s="152">
        <v>0.25436860679999995</v>
      </c>
    </row>
    <row r="159" spans="3:16" ht="42">
      <c r="C159" s="665" t="s">
        <v>966</v>
      </c>
      <c r="D159" s="666"/>
      <c r="E159" s="666"/>
      <c r="F159" s="670"/>
      <c r="G159" s="660" t="str">
        <f>IF(E159="","",IF(F159="Direct-from-manufacturer",(E159*H159/1000*'Inventory Settings'!$J$21),(E159*I159/1000*'Inventory Settings'!$J$21)))</f>
        <v/>
      </c>
      <c r="H159" s="668">
        <v>0.17038414450999997</v>
      </c>
      <c r="I159" s="668">
        <v>0.30345203579999996</v>
      </c>
      <c r="J159" s="669">
        <v>0.43851889442489617</v>
      </c>
      <c r="K159" s="142" t="s">
        <v>967</v>
      </c>
      <c r="L159" s="1" t="s">
        <v>535</v>
      </c>
      <c r="M159" s="1" t="s">
        <v>968</v>
      </c>
      <c r="N159" s="152">
        <v>0.17038414450999997</v>
      </c>
      <c r="O159" s="152">
        <v>0.13306945125</v>
      </c>
      <c r="P159" s="152">
        <v>0.30345203579999996</v>
      </c>
    </row>
    <row r="160" spans="3:16" ht="56">
      <c r="C160" s="665" t="s">
        <v>969</v>
      </c>
      <c r="D160" s="666"/>
      <c r="E160" s="666"/>
      <c r="F160" s="670"/>
      <c r="G160" s="660" t="str">
        <f>IF(E160="","",IF(F160="Direct-from-manufacturer",(E160*H160/1000*'Inventory Settings'!$J$21),(E160*I160/1000*'Inventory Settings'!$J$21)))</f>
        <v/>
      </c>
      <c r="H160" s="668">
        <v>0.16727877199999996</v>
      </c>
      <c r="I160" s="668">
        <v>0.2302215098</v>
      </c>
      <c r="J160" s="669">
        <v>0.27684657682668018</v>
      </c>
      <c r="K160" s="142" t="s">
        <v>971</v>
      </c>
      <c r="L160" s="1" t="s">
        <v>535</v>
      </c>
      <c r="M160" s="1" t="s">
        <v>968</v>
      </c>
      <c r="N160" s="152">
        <v>0.16727877199999996</v>
      </c>
      <c r="O160" s="152">
        <v>6.3736036900000001E-2</v>
      </c>
      <c r="P160" s="152">
        <v>0.2302215098</v>
      </c>
    </row>
    <row r="161" spans="3:16" ht="56">
      <c r="C161" s="665" t="s">
        <v>972</v>
      </c>
      <c r="D161" s="666"/>
      <c r="E161" s="666"/>
      <c r="F161" s="670"/>
      <c r="G161" s="660" t="str">
        <f>IF(E161="","",IF(F161="Direct-from-manufacturer",(E161*H161/1000*'Inventory Settings'!$J$21),(E161*I161/1000*'Inventory Settings'!$J$21)))</f>
        <v/>
      </c>
      <c r="H161" s="668">
        <v>0.25051569717000005</v>
      </c>
      <c r="I161" s="668">
        <v>0.28339509349999986</v>
      </c>
      <c r="J161" s="669">
        <v>0.11558523715231514</v>
      </c>
      <c r="K161" s="142" t="s">
        <v>973</v>
      </c>
      <c r="L161" s="1" t="s">
        <v>535</v>
      </c>
      <c r="M161" s="1" t="s">
        <v>974</v>
      </c>
      <c r="N161" s="152">
        <v>0.25051569717000005</v>
      </c>
      <c r="O161" s="152">
        <v>3.2756289090000008E-2</v>
      </c>
      <c r="P161" s="152">
        <v>0.28339509349999986</v>
      </c>
    </row>
    <row r="162" spans="3:16" ht="56">
      <c r="C162" s="665" t="s">
        <v>975</v>
      </c>
      <c r="D162" s="666"/>
      <c r="E162" s="666"/>
      <c r="F162" s="670"/>
      <c r="G162" s="660" t="str">
        <f>IF(E162="","",IF(F162="Direct-from-manufacturer",(E162*H162/1000*'Inventory Settings'!$J$21),(E162*I162/1000*'Inventory Settings'!$J$21)))</f>
        <v/>
      </c>
      <c r="H162" s="668">
        <v>0.19410094170000003</v>
      </c>
      <c r="I162" s="668">
        <v>0.23168101170000002</v>
      </c>
      <c r="J162" s="669">
        <v>0.16139884777618144</v>
      </c>
      <c r="K162" s="142" t="s">
        <v>976</v>
      </c>
      <c r="L162" s="1" t="s">
        <v>535</v>
      </c>
      <c r="M162" s="1" t="s">
        <v>974</v>
      </c>
      <c r="N162" s="152">
        <v>0.19410094170000003</v>
      </c>
      <c r="O162" s="152">
        <v>3.7393048340000012E-2</v>
      </c>
      <c r="P162" s="152">
        <v>0.23168101170000002</v>
      </c>
    </row>
    <row r="163" spans="3:16" ht="42">
      <c r="C163" s="665" t="s">
        <v>977</v>
      </c>
      <c r="D163" s="666"/>
      <c r="E163" s="666"/>
      <c r="F163" s="670"/>
      <c r="G163" s="660" t="str">
        <f>IF(E163="","",IF(F163="Direct-from-manufacturer",(E163*H163/1000*'Inventory Settings'!$J$21),(E163*I163/1000*'Inventory Settings'!$J$21)))</f>
        <v/>
      </c>
      <c r="H163" s="668">
        <v>0.20773267827999997</v>
      </c>
      <c r="I163" s="668">
        <v>0.24303479261999997</v>
      </c>
      <c r="J163" s="669">
        <v>0.28346337051672083</v>
      </c>
      <c r="K163" s="142" t="s">
        <v>962</v>
      </c>
      <c r="L163" s="1" t="s">
        <v>535</v>
      </c>
      <c r="M163" s="1" t="s">
        <v>963</v>
      </c>
      <c r="N163" s="152">
        <v>0.20773267827999997</v>
      </c>
      <c r="O163" s="152">
        <v>3.5607100409999988E-2</v>
      </c>
      <c r="P163" s="152">
        <v>0.24303479261999997</v>
      </c>
    </row>
    <row r="164" spans="3:16" ht="42">
      <c r="C164" s="665" t="s">
        <v>978</v>
      </c>
      <c r="D164" s="666"/>
      <c r="E164" s="666"/>
      <c r="F164" s="670"/>
      <c r="G164" s="660" t="str">
        <f>IF(E164="","",IF(F164="Direct-from-manufacturer",(E164*H164/1000*'Inventory Settings'!$J$21),(E164*I164/1000*'Inventory Settings'!$J$21)))</f>
        <v/>
      </c>
      <c r="H164" s="668">
        <v>0.12171504505</v>
      </c>
      <c r="I164" s="668">
        <v>0.15470729800000002</v>
      </c>
      <c r="J164" s="669">
        <v>0.21253548827412136</v>
      </c>
      <c r="K164" s="142" t="s">
        <v>979</v>
      </c>
      <c r="L164" s="1" t="s">
        <v>535</v>
      </c>
      <c r="M164" s="1" t="s">
        <v>974</v>
      </c>
      <c r="N164" s="152">
        <v>0.12171504505</v>
      </c>
      <c r="O164" s="152">
        <v>3.2880791120000002E-2</v>
      </c>
      <c r="P164" s="152">
        <v>0.15470729800000002</v>
      </c>
    </row>
    <row r="165" spans="3:16" ht="56">
      <c r="C165" s="665" t="s">
        <v>980</v>
      </c>
      <c r="D165" s="666"/>
      <c r="E165" s="666"/>
      <c r="F165" s="670"/>
      <c r="G165" s="660" t="str">
        <f>IF(E165="","",IF(F165="Direct-from-manufacturer",(E165*H165/1000*'Inventory Settings'!$J$21),(E165*I165/1000*'Inventory Settings'!$J$21)))</f>
        <v/>
      </c>
      <c r="H165" s="668">
        <v>0.26646126768</v>
      </c>
      <c r="I165" s="668">
        <v>0.31734119391000004</v>
      </c>
      <c r="J165" s="669">
        <v>0.159661831688859</v>
      </c>
      <c r="K165" s="142" t="s">
        <v>981</v>
      </c>
      <c r="L165" s="1" t="s">
        <v>535</v>
      </c>
      <c r="M165" s="1" t="s">
        <v>982</v>
      </c>
      <c r="N165" s="152">
        <v>0.26646126768</v>
      </c>
      <c r="O165" s="152">
        <v>5.0667276289999993E-2</v>
      </c>
      <c r="P165" s="152">
        <v>0.31734119391000004</v>
      </c>
    </row>
    <row r="166" spans="3:16" ht="56">
      <c r="C166" s="665" t="s">
        <v>983</v>
      </c>
      <c r="D166" s="666"/>
      <c r="E166" s="666"/>
      <c r="F166" s="670"/>
      <c r="G166" s="660" t="str">
        <f>IF(E166="","",IF(F166="Direct-from-manufacturer",(E166*H166/1000*'Inventory Settings'!$J$21),(E166*I166/1000*'Inventory Settings'!$J$21)))</f>
        <v/>
      </c>
      <c r="H166" s="668">
        <v>0.14658146151000001</v>
      </c>
      <c r="I166" s="668">
        <v>0.23016800749999997</v>
      </c>
      <c r="J166" s="669">
        <v>0.35973728390554027</v>
      </c>
      <c r="K166" s="142" t="s">
        <v>984</v>
      </c>
      <c r="L166" s="1" t="s">
        <v>535</v>
      </c>
      <c r="M166" s="1" t="s">
        <v>982</v>
      </c>
      <c r="N166" s="152">
        <v>0.14658146151000001</v>
      </c>
      <c r="O166" s="152">
        <v>8.2800013860000007E-2</v>
      </c>
      <c r="P166" s="152">
        <v>0.23016800749999997</v>
      </c>
    </row>
    <row r="167" spans="3:16" ht="56">
      <c r="C167" s="665" t="s">
        <v>985</v>
      </c>
      <c r="D167" s="666"/>
      <c r="E167" s="666"/>
      <c r="F167" s="670"/>
      <c r="G167" s="660" t="str">
        <f>IF(E167="","",IF(F167="Direct-from-manufacturer",(E167*H167/1000*'Inventory Settings'!$J$21),(E167*I167/1000*'Inventory Settings'!$J$21)))</f>
        <v/>
      </c>
      <c r="H167" s="668">
        <v>0.33063300169999993</v>
      </c>
      <c r="I167" s="668">
        <v>0.36225796370000002</v>
      </c>
      <c r="J167" s="669">
        <v>8.7034608260842458E-2</v>
      </c>
      <c r="K167" s="142" t="s">
        <v>986</v>
      </c>
      <c r="L167" s="1" t="s">
        <v>535</v>
      </c>
      <c r="M167" s="1" t="s">
        <v>982</v>
      </c>
      <c r="N167" s="152">
        <v>0.33063300169999993</v>
      </c>
      <c r="O167" s="152">
        <v>3.1528979959999988E-2</v>
      </c>
      <c r="P167" s="152">
        <v>0.36225796370000002</v>
      </c>
    </row>
    <row r="168" spans="3:16" ht="56">
      <c r="C168" s="665" t="s">
        <v>987</v>
      </c>
      <c r="D168" s="666"/>
      <c r="E168" s="666"/>
      <c r="F168" s="670"/>
      <c r="G168" s="660" t="str">
        <f>IF(E168="","",IF(F168="Direct-from-manufacturer",(E168*H168/1000*'Inventory Settings'!$J$21),(E168*I168/1000*'Inventory Settings'!$J$21)))</f>
        <v/>
      </c>
      <c r="H168" s="668">
        <v>0.21681874598000003</v>
      </c>
      <c r="I168" s="668">
        <v>0.26399813039999998</v>
      </c>
      <c r="J168" s="669">
        <v>0.17811043653512176</v>
      </c>
      <c r="K168" s="142" t="s">
        <v>988</v>
      </c>
      <c r="L168" s="1" t="s">
        <v>535</v>
      </c>
      <c r="M168" s="1" t="s">
        <v>982</v>
      </c>
      <c r="N168" s="152">
        <v>0.21681874598000003</v>
      </c>
      <c r="O168" s="152">
        <v>4.7020822249999997E-2</v>
      </c>
      <c r="P168" s="152">
        <v>0.26399813039999998</v>
      </c>
    </row>
    <row r="169" spans="3:16" ht="56">
      <c r="C169" s="665" t="s">
        <v>989</v>
      </c>
      <c r="D169" s="666"/>
      <c r="E169" s="666"/>
      <c r="F169" s="670"/>
      <c r="G169" s="660" t="str">
        <f>IF(E169="","",IF(F169="Direct-from-manufacturer",(E169*H169/1000*'Inventory Settings'!$J$21),(E169*I169/1000*'Inventory Settings'!$J$21)))</f>
        <v/>
      </c>
      <c r="H169" s="668">
        <v>0.47969309259999993</v>
      </c>
      <c r="I169" s="668">
        <v>0.50298519080000004</v>
      </c>
      <c r="J169" s="669">
        <v>4.7340292284008934E-2</v>
      </c>
      <c r="K169" s="142" t="s">
        <v>990</v>
      </c>
      <c r="L169" s="1" t="s">
        <v>535</v>
      </c>
      <c r="M169" s="1" t="s">
        <v>982</v>
      </c>
      <c r="N169" s="152">
        <v>0.47969309259999993</v>
      </c>
      <c r="O169" s="152">
        <v>2.3811465947000003E-2</v>
      </c>
      <c r="P169" s="152">
        <v>0.50298519080000004</v>
      </c>
    </row>
    <row r="170" spans="3:16" ht="98">
      <c r="C170" s="665" t="s">
        <v>991</v>
      </c>
      <c r="D170" s="666"/>
      <c r="E170" s="666"/>
      <c r="F170" s="670"/>
      <c r="G170" s="660" t="str">
        <f>IF(E170="","",IF(F170="Direct-from-manufacturer",(E170*H170/1000*'Inventory Settings'!$J$21),(E170*I170/1000*'Inventory Settings'!$J$21)))</f>
        <v/>
      </c>
      <c r="H170" s="668">
        <v>0.14512609486000003</v>
      </c>
      <c r="I170" s="668">
        <v>0.17787915920000008</v>
      </c>
      <c r="J170" s="669">
        <v>0.18345905150871647</v>
      </c>
      <c r="K170" s="142" t="s">
        <v>992</v>
      </c>
      <c r="L170" s="1" t="s">
        <v>535</v>
      </c>
      <c r="M170" s="1" t="s">
        <v>982</v>
      </c>
      <c r="N170" s="152">
        <v>0.14512609486000003</v>
      </c>
      <c r="O170" s="152">
        <v>3.2633541829999994E-2</v>
      </c>
      <c r="P170" s="152">
        <v>0.17787915920000008</v>
      </c>
    </row>
    <row r="171" spans="3:16" ht="42">
      <c r="C171" s="665" t="s">
        <v>993</v>
      </c>
      <c r="D171" s="666"/>
      <c r="E171" s="666"/>
      <c r="F171" s="670"/>
      <c r="G171" s="660" t="str">
        <f>IF(E171="","",IF(F171="Direct-from-manufacturer",(E171*H171/1000*'Inventory Settings'!$J$21),(E171*I171/1000*'Inventory Settings'!$J$21)))</f>
        <v/>
      </c>
      <c r="H171" s="668">
        <v>0.21479591549999999</v>
      </c>
      <c r="I171" s="668">
        <v>0.28220621540000013</v>
      </c>
      <c r="J171" s="669">
        <v>0.23804202708570105</v>
      </c>
      <c r="K171" s="142" t="s">
        <v>994</v>
      </c>
      <c r="L171" s="1" t="s">
        <v>535</v>
      </c>
      <c r="M171" s="1" t="s">
        <v>995</v>
      </c>
      <c r="N171" s="152">
        <v>0.21479591549999999</v>
      </c>
      <c r="O171" s="152">
        <v>6.717693957000001E-2</v>
      </c>
      <c r="P171" s="152">
        <v>0.28220621540000013</v>
      </c>
    </row>
    <row r="172" spans="3:16" ht="56">
      <c r="C172" s="665" t="s">
        <v>996</v>
      </c>
      <c r="D172" s="666"/>
      <c r="E172" s="666"/>
      <c r="F172" s="670"/>
      <c r="G172" s="660" t="str">
        <f>IF(E172="","",IF(F172="Direct-from-manufacturer",(E172*H172/1000*'Inventory Settings'!$J$21),(E172*I172/1000*'Inventory Settings'!$J$21)))</f>
        <v/>
      </c>
      <c r="H172" s="668">
        <v>0.29632861869999999</v>
      </c>
      <c r="I172" s="668">
        <v>0.32543827089999999</v>
      </c>
      <c r="J172" s="669">
        <v>9.1003665672438269E-2</v>
      </c>
      <c r="K172" s="142" t="s">
        <v>997</v>
      </c>
      <c r="L172" s="1" t="s">
        <v>535</v>
      </c>
      <c r="M172" s="1" t="s">
        <v>995</v>
      </c>
      <c r="N172" s="152">
        <v>0.29632861869999999</v>
      </c>
      <c r="O172" s="152">
        <v>2.9616075601999997E-2</v>
      </c>
      <c r="P172" s="152">
        <v>0.32543827089999999</v>
      </c>
    </row>
    <row r="173" spans="3:16" ht="56">
      <c r="C173" s="665" t="s">
        <v>998</v>
      </c>
      <c r="D173" s="666"/>
      <c r="E173" s="666"/>
      <c r="F173" s="670"/>
      <c r="G173" s="660" t="str">
        <f>IF(E173="","",IF(F173="Direct-from-manufacturer",(E173*H173/1000*'Inventory Settings'!$J$21),(E173*I173/1000*'Inventory Settings'!$J$21)))</f>
        <v/>
      </c>
      <c r="H173" s="668">
        <v>0.2957146779</v>
      </c>
      <c r="I173" s="668">
        <v>0.31198498280000003</v>
      </c>
      <c r="J173" s="669">
        <v>5.0982650992520778E-2</v>
      </c>
      <c r="K173" s="142" t="s">
        <v>999</v>
      </c>
      <c r="L173" s="1" t="s">
        <v>535</v>
      </c>
      <c r="M173" s="1" t="s">
        <v>995</v>
      </c>
      <c r="N173" s="152">
        <v>0.2957146779</v>
      </c>
      <c r="O173" s="152">
        <v>1.5905821492999999E-2</v>
      </c>
      <c r="P173" s="152">
        <v>0.31198498280000003</v>
      </c>
    </row>
    <row r="174" spans="3:16" ht="42">
      <c r="C174" s="665" t="s">
        <v>1000</v>
      </c>
      <c r="D174" s="666"/>
      <c r="E174" s="666"/>
      <c r="F174" s="670"/>
      <c r="G174" s="660" t="str">
        <f>IF(E174="","",IF(F174="Direct-from-manufacturer",(E174*H174/1000*'Inventory Settings'!$J$21),(E174*I174/1000*'Inventory Settings'!$J$21)))</f>
        <v/>
      </c>
      <c r="H174" s="668">
        <v>0.2044805515</v>
      </c>
      <c r="I174" s="668">
        <v>0.24934444109999998</v>
      </c>
      <c r="J174" s="669">
        <v>0.17987029071970759</v>
      </c>
      <c r="K174" s="142" t="s">
        <v>1001</v>
      </c>
      <c r="L174" s="1" t="s">
        <v>535</v>
      </c>
      <c r="M174" s="1" t="s">
        <v>1002</v>
      </c>
      <c r="N174" s="152">
        <v>0.2044805515</v>
      </c>
      <c r="O174" s="152">
        <v>4.4849657110000003E-2</v>
      </c>
      <c r="P174" s="152">
        <v>0.24934444109999998</v>
      </c>
    </row>
    <row r="175" spans="3:16" ht="42">
      <c r="C175" s="665" t="s">
        <v>1003</v>
      </c>
      <c r="D175" s="666"/>
      <c r="E175" s="666"/>
      <c r="F175" s="670"/>
      <c r="G175" s="660" t="str">
        <f>IF(E175="","",IF(F175="Direct-from-manufacturer",(E175*H175/1000*'Inventory Settings'!$J$21),(E175*I175/1000*'Inventory Settings'!$J$21)))</f>
        <v/>
      </c>
      <c r="H175" s="668">
        <v>0.23159289438000003</v>
      </c>
      <c r="I175" s="668">
        <v>0.26576276560000001</v>
      </c>
      <c r="J175" s="669">
        <v>0.1273412016299397</v>
      </c>
      <c r="K175" s="142" t="s">
        <v>1004</v>
      </c>
      <c r="L175" s="1" t="s">
        <v>535</v>
      </c>
      <c r="M175" s="1" t="s">
        <v>1002</v>
      </c>
      <c r="N175" s="152">
        <v>0.23159289438000003</v>
      </c>
      <c r="O175" s="152">
        <v>3.3842549919999999E-2</v>
      </c>
      <c r="P175" s="152">
        <v>0.26576276560000001</v>
      </c>
    </row>
    <row r="176" spans="3:16" ht="56">
      <c r="C176" s="665" t="s">
        <v>1005</v>
      </c>
      <c r="D176" s="666"/>
      <c r="E176" s="666"/>
      <c r="F176" s="670"/>
      <c r="G176" s="660" t="str">
        <f>IF(E176="","",IF(F176="Direct-from-manufacturer",(E176*H176/1000*'Inventory Settings'!$J$21),(E176*I176/1000*'Inventory Settings'!$J$21)))</f>
        <v/>
      </c>
      <c r="H176" s="668">
        <v>0.14524987467</v>
      </c>
      <c r="I176" s="668">
        <v>0.20478427553999998</v>
      </c>
      <c r="J176" s="669">
        <v>0.29038342276619117</v>
      </c>
      <c r="K176" s="142" t="s">
        <v>1006</v>
      </c>
      <c r="L176" s="1" t="s">
        <v>535</v>
      </c>
      <c r="M176" s="1" t="s">
        <v>1002</v>
      </c>
      <c r="N176" s="152">
        <v>0.14524987467</v>
      </c>
      <c r="O176" s="152">
        <v>5.9465958859999994E-2</v>
      </c>
      <c r="P176" s="152">
        <v>0.20478427553999998</v>
      </c>
    </row>
    <row r="177" spans="3:16" ht="70">
      <c r="C177" s="665" t="s">
        <v>1007</v>
      </c>
      <c r="D177" s="666"/>
      <c r="E177" s="666"/>
      <c r="F177" s="670"/>
      <c r="G177" s="660" t="str">
        <f>IF(E177="","",IF(F177="Direct-from-manufacturer",(E177*H177/1000*'Inventory Settings'!$J$21),(E177*I177/1000*'Inventory Settings'!$J$21)))</f>
        <v/>
      </c>
      <c r="H177" s="668">
        <v>0.22185439751000002</v>
      </c>
      <c r="I177" s="668">
        <v>0.26048026139999997</v>
      </c>
      <c r="J177" s="669">
        <v>0.14865790798841702</v>
      </c>
      <c r="K177" s="142" t="s">
        <v>1008</v>
      </c>
      <c r="L177" s="1" t="s">
        <v>535</v>
      </c>
      <c r="M177" s="1" t="s">
        <v>1002</v>
      </c>
      <c r="N177" s="152">
        <v>0.22185439751000002</v>
      </c>
      <c r="O177" s="152">
        <v>3.8722450732000008E-2</v>
      </c>
      <c r="P177" s="152">
        <v>0.26048026139999997</v>
      </c>
    </row>
    <row r="178" spans="3:16" ht="42">
      <c r="C178" s="665" t="s">
        <v>1009</v>
      </c>
      <c r="D178" s="666"/>
      <c r="E178" s="666"/>
      <c r="F178" s="670"/>
      <c r="G178" s="660" t="str">
        <f>IF(E178="","",IF(F178="Direct-from-manufacturer",(E178*H178/1000*'Inventory Settings'!$J$21),(E178*I178/1000*'Inventory Settings'!$J$21)))</f>
        <v/>
      </c>
      <c r="H178" s="668">
        <v>0.31206516330000011</v>
      </c>
      <c r="I178" s="668">
        <v>0.35016313350000006</v>
      </c>
      <c r="J178" s="669">
        <v>0.10872500434144075</v>
      </c>
      <c r="K178" s="142" t="s">
        <v>1010</v>
      </c>
      <c r="L178" s="1" t="s">
        <v>535</v>
      </c>
      <c r="M178" s="1" t="s">
        <v>1011</v>
      </c>
      <c r="N178" s="152">
        <v>0.31206516330000011</v>
      </c>
      <c r="O178" s="152">
        <v>3.8071488210000004E-2</v>
      </c>
      <c r="P178" s="152">
        <v>0.35016313350000006</v>
      </c>
    </row>
    <row r="179" spans="3:16" ht="56">
      <c r="C179" s="665" t="s">
        <v>1012</v>
      </c>
      <c r="D179" s="666"/>
      <c r="E179" s="666"/>
      <c r="F179" s="670"/>
      <c r="G179" s="660" t="str">
        <f>IF(E179="","",IF(F179="Direct-from-manufacturer",(E179*H179/1000*'Inventory Settings'!$J$21),(E179*I179/1000*'Inventory Settings'!$J$21)))</f>
        <v/>
      </c>
      <c r="H179" s="668">
        <v>0.24289438529999996</v>
      </c>
      <c r="I179" s="668">
        <v>0.28799607739999994</v>
      </c>
      <c r="J179" s="669">
        <v>0.15840420078582648</v>
      </c>
      <c r="K179" s="142" t="s">
        <v>1013</v>
      </c>
      <c r="L179" s="1" t="s">
        <v>535</v>
      </c>
      <c r="M179" s="1" t="s">
        <v>1011</v>
      </c>
      <c r="N179" s="152">
        <v>0.24289438529999996</v>
      </c>
      <c r="O179" s="152">
        <v>4.5619788470000013E-2</v>
      </c>
      <c r="P179" s="152">
        <v>0.28799607739999994</v>
      </c>
    </row>
    <row r="180" spans="3:16" ht="112">
      <c r="C180" s="665" t="s">
        <v>1014</v>
      </c>
      <c r="D180" s="666"/>
      <c r="E180" s="666"/>
      <c r="F180" s="670"/>
      <c r="G180" s="660" t="str">
        <f>IF(E180="","",IF(F180="Direct-from-manufacturer",(E180*H180/1000*'Inventory Settings'!$J$21),(E180*I180/1000*'Inventory Settings'!$J$21)))</f>
        <v/>
      </c>
      <c r="H180" s="668">
        <v>0.35294745770000002</v>
      </c>
      <c r="I180" s="668">
        <v>0.39684174719999998</v>
      </c>
      <c r="J180" s="669">
        <v>0.11029001023408458</v>
      </c>
      <c r="K180" s="142" t="s">
        <v>1016</v>
      </c>
      <c r="L180" s="1" t="s">
        <v>535</v>
      </c>
      <c r="M180" s="1" t="s">
        <v>1011</v>
      </c>
      <c r="N180" s="152">
        <v>0.35294745770000002</v>
      </c>
      <c r="O180" s="152">
        <v>4.3767680360000005E-2</v>
      </c>
      <c r="P180" s="152">
        <v>0.39684174719999998</v>
      </c>
    </row>
    <row r="181" spans="3:16" ht="31">
      <c r="C181" s="665" t="s">
        <v>1017</v>
      </c>
      <c r="D181" s="666"/>
      <c r="E181" s="666"/>
      <c r="F181" s="670"/>
      <c r="G181" s="660" t="str">
        <f>IF(E181="","",IF(F181="Direct-from-manufacturer",(E181*H181/1000*'Inventory Settings'!$J$21),(E181*I181/1000*'Inventory Settings'!$J$21)))</f>
        <v/>
      </c>
      <c r="H181" s="668">
        <v>0.35936141659999998</v>
      </c>
      <c r="I181" s="668">
        <v>0.39521223599999999</v>
      </c>
      <c r="J181" s="669">
        <v>9.1988961546220979E-2</v>
      </c>
      <c r="K181" s="142" t="s">
        <v>1018</v>
      </c>
      <c r="L181" s="1" t="s">
        <v>535</v>
      </c>
      <c r="M181" s="1" t="s">
        <v>1011</v>
      </c>
      <c r="N181" s="152">
        <v>0.35936141659999998</v>
      </c>
      <c r="O181" s="152">
        <v>3.6355163180000011E-2</v>
      </c>
      <c r="P181" s="152">
        <v>0.39521223599999999</v>
      </c>
    </row>
    <row r="182" spans="3:16" ht="31">
      <c r="C182" s="665" t="s">
        <v>1019</v>
      </c>
      <c r="D182" s="666"/>
      <c r="E182" s="666"/>
      <c r="F182" s="670"/>
      <c r="G182" s="660" t="str">
        <f>IF(E182="","",IF(F182="Direct-from-manufacturer",(E182*H182/1000*'Inventory Settings'!$J$21),(E182*I182/1000*'Inventory Settings'!$J$21)))</f>
        <v/>
      </c>
      <c r="H182" s="668">
        <v>0.37500805030000001</v>
      </c>
      <c r="I182" s="668">
        <v>0.39923588950000005</v>
      </c>
      <c r="J182" s="669">
        <v>6.1212297112381721E-2</v>
      </c>
      <c r="K182" s="142" t="s">
        <v>1020</v>
      </c>
      <c r="L182" s="1" t="s">
        <v>535</v>
      </c>
      <c r="M182" s="1" t="s">
        <v>1011</v>
      </c>
      <c r="N182" s="152">
        <v>0.37500805030000001</v>
      </c>
      <c r="O182" s="152">
        <v>2.4438145886E-2</v>
      </c>
      <c r="P182" s="152">
        <v>0.39923588950000005</v>
      </c>
    </row>
    <row r="183" spans="3:16" ht="28">
      <c r="C183" s="665" t="s">
        <v>1021</v>
      </c>
      <c r="D183" s="666"/>
      <c r="E183" s="666"/>
      <c r="F183" s="670"/>
      <c r="G183" s="660" t="str">
        <f>IF(E183="","",IF(F183="Direct-from-manufacturer",(E183*H183/1000*'Inventory Settings'!$J$21),(E183*I183/1000*'Inventory Settings'!$J$21)))</f>
        <v/>
      </c>
      <c r="H183" s="668">
        <v>0.68886459629999997</v>
      </c>
      <c r="I183" s="668">
        <v>0.7166638139</v>
      </c>
      <c r="J183" s="669">
        <v>3.8690342268165687E-2</v>
      </c>
      <c r="K183" s="142" t="s">
        <v>1022</v>
      </c>
      <c r="L183" s="1" t="s">
        <v>535</v>
      </c>
      <c r="M183" s="1" t="s">
        <v>1011</v>
      </c>
      <c r="N183" s="152">
        <v>0.68886459629999997</v>
      </c>
      <c r="O183" s="152">
        <v>2.7727968250999997E-2</v>
      </c>
      <c r="P183" s="152">
        <v>0.7166638139</v>
      </c>
    </row>
    <row r="184" spans="3:16" ht="70">
      <c r="C184" s="665" t="s">
        <v>1023</v>
      </c>
      <c r="D184" s="666"/>
      <c r="E184" s="666"/>
      <c r="F184" s="670"/>
      <c r="G184" s="660" t="str">
        <f>IF(E184="","",IF(F184="Direct-from-manufacturer",(E184*H184/1000*'Inventory Settings'!$J$21),(E184*I184/1000*'Inventory Settings'!$J$21)))</f>
        <v/>
      </c>
      <c r="H184" s="668">
        <v>0.3557591906</v>
      </c>
      <c r="I184" s="668">
        <v>0.39958983280000004</v>
      </c>
      <c r="J184" s="669">
        <v>0.10813745271548858</v>
      </c>
      <c r="K184" s="142" t="s">
        <v>1024</v>
      </c>
      <c r="L184" s="1" t="s">
        <v>535</v>
      </c>
      <c r="M184" s="1" t="s">
        <v>1011</v>
      </c>
      <c r="N184" s="152">
        <v>0.3557591906</v>
      </c>
      <c r="O184" s="152">
        <v>4.3210626649999993E-2</v>
      </c>
      <c r="P184" s="152">
        <v>0.39958983280000004</v>
      </c>
    </row>
    <row r="185" spans="3:16" ht="56">
      <c r="C185" s="665" t="s">
        <v>1045</v>
      </c>
      <c r="D185" s="666"/>
      <c r="E185" s="666"/>
      <c r="F185" s="670"/>
      <c r="G185" s="660" t="str">
        <f>IF(E185="","",IF(F185="Direct-from-manufacturer",(E185*H185/1000*'Inventory Settings'!$J$21),(E185*I185/1000*'Inventory Settings'!$J$21)))</f>
        <v/>
      </c>
      <c r="H185" s="668">
        <v>0.16822563030999996</v>
      </c>
      <c r="I185" s="668">
        <v>0.23192723029999998</v>
      </c>
      <c r="J185" s="669">
        <v>0.27355456911175818</v>
      </c>
      <c r="K185" s="142" t="s">
        <v>1046</v>
      </c>
      <c r="L185" s="1" t="s">
        <v>535</v>
      </c>
      <c r="M185" s="1" t="s">
        <v>1047</v>
      </c>
      <c r="N185" s="152">
        <v>0.16822563030999996</v>
      </c>
      <c r="O185" s="152">
        <v>6.3444753549999997E-2</v>
      </c>
      <c r="P185" s="152">
        <v>0.23192723029999998</v>
      </c>
    </row>
    <row r="186" spans="3:16" ht="56">
      <c r="C186" s="665" t="s">
        <v>1048</v>
      </c>
      <c r="D186" s="666"/>
      <c r="E186" s="666"/>
      <c r="F186" s="670"/>
      <c r="G186" s="660" t="str">
        <f>IF(E186="","",IF(F186="Direct-from-manufacturer",(E186*H186/1000*'Inventory Settings'!$J$21),(E186*I186/1000*'Inventory Settings'!$J$21)))</f>
        <v/>
      </c>
      <c r="H186" s="668">
        <v>0.38330778100000001</v>
      </c>
      <c r="I186" s="668">
        <v>0.39976558779999993</v>
      </c>
      <c r="J186" s="669">
        <v>4.0586246826020585E-2</v>
      </c>
      <c r="K186" s="142" t="s">
        <v>1049</v>
      </c>
      <c r="L186" s="1" t="s">
        <v>535</v>
      </c>
      <c r="M186" s="1" t="s">
        <v>1047</v>
      </c>
      <c r="N186" s="152">
        <v>0.38330778100000001</v>
      </c>
      <c r="O186" s="152">
        <v>1.6224984819000001E-2</v>
      </c>
      <c r="P186" s="152">
        <v>0.39976558779999993</v>
      </c>
    </row>
    <row r="187" spans="3:16" ht="56">
      <c r="C187" s="665" t="s">
        <v>1050</v>
      </c>
      <c r="D187" s="666"/>
      <c r="E187" s="666"/>
      <c r="F187" s="670"/>
      <c r="G187" s="660" t="str">
        <f>IF(E187="","",IF(F187="Direct-from-manufacturer",(E187*H187/1000*'Inventory Settings'!$J$21),(E187*I187/1000*'Inventory Settings'!$J$21)))</f>
        <v/>
      </c>
      <c r="H187" s="668">
        <v>0.23977891439999996</v>
      </c>
      <c r="I187" s="668">
        <v>0.29360962730000006</v>
      </c>
      <c r="J187" s="669">
        <v>0.18261034576096136</v>
      </c>
      <c r="K187" s="142" t="s">
        <v>1051</v>
      </c>
      <c r="L187" s="1" t="s">
        <v>535</v>
      </c>
      <c r="M187" s="1" t="s">
        <v>1047</v>
      </c>
      <c r="N187" s="152">
        <v>0.23977891439999996</v>
      </c>
      <c r="O187" s="152">
        <v>5.361615556000001E-2</v>
      </c>
      <c r="P187" s="152">
        <v>0.29360962730000006</v>
      </c>
    </row>
    <row r="188" spans="3:16" ht="56">
      <c r="C188" s="665" t="s">
        <v>1052</v>
      </c>
      <c r="D188" s="666"/>
      <c r="E188" s="666"/>
      <c r="F188" s="670"/>
      <c r="G188" s="660" t="str">
        <f>IF(E188="","",IF(F188="Direct-from-manufacturer",(E188*H188/1000*'Inventory Settings'!$J$21),(E188*I188/1000*'Inventory Settings'!$J$21)))</f>
        <v/>
      </c>
      <c r="H188" s="668">
        <v>0.12331445921999998</v>
      </c>
      <c r="I188" s="668">
        <v>0.19928986029999998</v>
      </c>
      <c r="J188" s="669">
        <v>0.37908055290056319</v>
      </c>
      <c r="K188" s="142" t="s">
        <v>1053</v>
      </c>
      <c r="L188" s="1" t="s">
        <v>535</v>
      </c>
      <c r="M188" s="1" t="s">
        <v>1054</v>
      </c>
      <c r="N188" s="152">
        <v>0.12331445921999998</v>
      </c>
      <c r="O188" s="152">
        <v>7.5546910429999989E-2</v>
      </c>
      <c r="P188" s="152">
        <v>0.19928986029999998</v>
      </c>
    </row>
    <row r="189" spans="3:16" ht="56">
      <c r="C189" s="665" t="s">
        <v>1055</v>
      </c>
      <c r="D189" s="666"/>
      <c r="E189" s="666"/>
      <c r="F189" s="670"/>
      <c r="G189" s="660" t="str">
        <f>IF(E189="","",IF(F189="Direct-from-manufacturer",(E189*H189/1000*'Inventory Settings'!$J$21),(E189*I189/1000*'Inventory Settings'!$J$21)))</f>
        <v/>
      </c>
      <c r="H189" s="668">
        <v>0.15395887516000001</v>
      </c>
      <c r="I189" s="668">
        <v>0.25405318479000005</v>
      </c>
      <c r="J189" s="669">
        <v>0.39210367629259107</v>
      </c>
      <c r="K189" s="142" t="s">
        <v>1056</v>
      </c>
      <c r="L189" s="1" t="s">
        <v>535</v>
      </c>
      <c r="M189" s="1" t="s">
        <v>1054</v>
      </c>
      <c r="N189" s="152">
        <v>0.15395887516000001</v>
      </c>
      <c r="O189" s="152">
        <v>9.9615187729999999E-2</v>
      </c>
      <c r="P189" s="152">
        <v>0.25405318479000005</v>
      </c>
    </row>
    <row r="190" spans="3:16" ht="56">
      <c r="C190" s="665" t="s">
        <v>1057</v>
      </c>
      <c r="D190" s="666"/>
      <c r="E190" s="666"/>
      <c r="F190" s="670"/>
      <c r="G190" s="660" t="str">
        <f>IF(E190="","",IF(F190="Direct-from-manufacturer",(E190*H190/1000*'Inventory Settings'!$J$21),(E190*I190/1000*'Inventory Settings'!$J$21)))</f>
        <v/>
      </c>
      <c r="H190" s="668">
        <v>0.11454794624</v>
      </c>
      <c r="I190" s="668">
        <v>0.21655252471000003</v>
      </c>
      <c r="J190" s="669">
        <v>0.46921526223752136</v>
      </c>
      <c r="K190" s="142" t="s">
        <v>1058</v>
      </c>
      <c r="L190" s="1" t="s">
        <v>535</v>
      </c>
      <c r="M190" s="1" t="s">
        <v>1054</v>
      </c>
      <c r="N190" s="152">
        <v>0.11454794624</v>
      </c>
      <c r="O190" s="152">
        <v>0.10160974966999999</v>
      </c>
      <c r="P190" s="152">
        <v>0.21655252471000003</v>
      </c>
    </row>
    <row r="191" spans="3:16" ht="70">
      <c r="C191" s="665" t="s">
        <v>1059</v>
      </c>
      <c r="D191" s="666"/>
      <c r="E191" s="666"/>
      <c r="F191" s="670"/>
      <c r="G191" s="660" t="str">
        <f>IF(E191="","",IF(F191="Direct-from-manufacturer",(E191*H191/1000*'Inventory Settings'!$J$21),(E191*I191/1000*'Inventory Settings'!$J$21)))</f>
        <v/>
      </c>
      <c r="H191" s="668">
        <v>0.18610794246000001</v>
      </c>
      <c r="I191" s="668">
        <v>0.29808955510000001</v>
      </c>
      <c r="J191" s="669">
        <v>0.37793598525183608</v>
      </c>
      <c r="K191" s="142" t="s">
        <v>1061</v>
      </c>
      <c r="L191" s="1" t="s">
        <v>535</v>
      </c>
      <c r="M191" s="1" t="s">
        <v>1054</v>
      </c>
      <c r="N191" s="152">
        <v>0.18610794246000001</v>
      </c>
      <c r="O191" s="152">
        <v>0.11265876969999998</v>
      </c>
      <c r="P191" s="152">
        <v>0.29808955510000001</v>
      </c>
    </row>
    <row r="192" spans="3:16" ht="70">
      <c r="C192" s="665" t="s">
        <v>1062</v>
      </c>
      <c r="D192" s="666"/>
      <c r="E192" s="666"/>
      <c r="F192" s="670"/>
      <c r="G192" s="660" t="str">
        <f>IF(E192="","",IF(F192="Direct-from-manufacturer",(E192*H192/1000*'Inventory Settings'!$J$21),(E192*I192/1000*'Inventory Settings'!$J$21)))</f>
        <v/>
      </c>
      <c r="H192" s="668">
        <v>0.21575822520000007</v>
      </c>
      <c r="I192" s="668">
        <v>0.30303938479999998</v>
      </c>
      <c r="J192" s="669">
        <v>0.28831369373872889</v>
      </c>
      <c r="K192" s="142" t="s">
        <v>1063</v>
      </c>
      <c r="L192" s="1" t="s">
        <v>535</v>
      </c>
      <c r="M192" s="1" t="s">
        <v>1054</v>
      </c>
      <c r="N192" s="152">
        <v>0.21575822520000007</v>
      </c>
      <c r="O192" s="152">
        <v>8.7370404380000002E-2</v>
      </c>
      <c r="P192" s="152">
        <v>0.30303938479999998</v>
      </c>
    </row>
    <row r="193" spans="3:16" ht="56">
      <c r="C193" s="665" t="s">
        <v>1064</v>
      </c>
      <c r="D193" s="666"/>
      <c r="E193" s="666"/>
      <c r="F193" s="670"/>
      <c r="G193" s="660" t="str">
        <f>IF(E193="","",IF(F193="Direct-from-manufacturer",(E193*H193/1000*'Inventory Settings'!$J$21),(E193*I193/1000*'Inventory Settings'!$J$21)))</f>
        <v/>
      </c>
      <c r="H193" s="668">
        <v>0.21907498089999999</v>
      </c>
      <c r="I193" s="668">
        <v>0.30982727810000005</v>
      </c>
      <c r="J193" s="669">
        <v>0.29294262205248983</v>
      </c>
      <c r="K193" s="142" t="s">
        <v>1066</v>
      </c>
      <c r="L193" s="1" t="s">
        <v>535</v>
      </c>
      <c r="M193" s="1" t="s">
        <v>1067</v>
      </c>
      <c r="N193" s="152">
        <v>0.21907498089999999</v>
      </c>
      <c r="O193" s="152">
        <v>9.0761615229999981E-2</v>
      </c>
      <c r="P193" s="152">
        <v>0.30982727810000005</v>
      </c>
    </row>
    <row r="194" spans="3:16" ht="42">
      <c r="C194" s="665" t="s">
        <v>1068</v>
      </c>
      <c r="D194" s="666"/>
      <c r="E194" s="666"/>
      <c r="F194" s="670"/>
      <c r="G194" s="660" t="str">
        <f>IF(E194="","",IF(F194="Direct-from-manufacturer",(E194*H194/1000*'Inventory Settings'!$J$21),(E194*I194/1000*'Inventory Settings'!$J$21)))</f>
        <v/>
      </c>
      <c r="H194" s="668">
        <v>0.25619963430000003</v>
      </c>
      <c r="I194" s="668">
        <v>0.34339310989999999</v>
      </c>
      <c r="J194" s="669">
        <v>0.25408103443137831</v>
      </c>
      <c r="K194" s="142" t="s">
        <v>1069</v>
      </c>
      <c r="L194" s="1" t="s">
        <v>535</v>
      </c>
      <c r="M194" s="1" t="s">
        <v>1067</v>
      </c>
      <c r="N194" s="152">
        <v>0.25619963430000003</v>
      </c>
      <c r="O194" s="152">
        <v>8.7249676579999977E-2</v>
      </c>
      <c r="P194" s="152">
        <v>0.34339310989999999</v>
      </c>
    </row>
    <row r="195" spans="3:16" ht="42">
      <c r="C195" s="665" t="s">
        <v>1070</v>
      </c>
      <c r="D195" s="666"/>
      <c r="E195" s="666"/>
      <c r="F195" s="670"/>
      <c r="G195" s="660" t="str">
        <f>IF(E195="","",IF(F195="Direct-from-manufacturer",(E195*H195/1000*'Inventory Settings'!$J$21),(E195*I195/1000*'Inventory Settings'!$J$21)))</f>
        <v/>
      </c>
      <c r="H195" s="668">
        <v>0.12572030264</v>
      </c>
      <c r="I195" s="668">
        <v>0.22980566264999999</v>
      </c>
      <c r="J195" s="669">
        <v>0.45400212469481543</v>
      </c>
      <c r="K195" s="142" t="s">
        <v>1071</v>
      </c>
      <c r="L195" s="1" t="s">
        <v>535</v>
      </c>
      <c r="M195" s="1" t="s">
        <v>1072</v>
      </c>
      <c r="N195" s="152">
        <v>0.12572030264</v>
      </c>
      <c r="O195" s="152">
        <v>0.10433225910999999</v>
      </c>
      <c r="P195" s="152">
        <v>0.22980566264999999</v>
      </c>
    </row>
    <row r="196" spans="3:16" ht="70">
      <c r="C196" s="665" t="s">
        <v>1073</v>
      </c>
      <c r="D196" s="666"/>
      <c r="E196" s="666"/>
      <c r="F196" s="670"/>
      <c r="G196" s="660" t="str">
        <f>IF(E196="","",IF(F196="Direct-from-manufacturer",(E196*H196/1000*'Inventory Settings'!$J$21),(E196*I196/1000*'Inventory Settings'!$J$21)))</f>
        <v/>
      </c>
      <c r="H196" s="668">
        <v>0.14773234738999999</v>
      </c>
      <c r="I196" s="668">
        <v>0.19278994187999998</v>
      </c>
      <c r="J196" s="669">
        <v>0.23220592715290467</v>
      </c>
      <c r="K196" s="142" t="s">
        <v>1074</v>
      </c>
      <c r="L196" s="1" t="s">
        <v>535</v>
      </c>
      <c r="M196" s="1" t="s">
        <v>1075</v>
      </c>
      <c r="N196" s="152">
        <v>0.14773234738999999</v>
      </c>
      <c r="O196" s="152">
        <v>4.47669672E-2</v>
      </c>
      <c r="P196" s="152">
        <v>0.19278994187999998</v>
      </c>
    </row>
    <row r="197" spans="3:16" ht="70">
      <c r="C197" s="665" t="s">
        <v>1076</v>
      </c>
      <c r="D197" s="666"/>
      <c r="E197" s="666"/>
      <c r="F197" s="670"/>
      <c r="G197" s="660" t="str">
        <f>IF(E197="","",IF(F197="Direct-from-manufacturer",(E197*H197/1000*'Inventory Settings'!$J$21),(E197*I197/1000*'Inventory Settings'!$J$21)))</f>
        <v/>
      </c>
      <c r="H197" s="668">
        <v>0.11152145585000002</v>
      </c>
      <c r="I197" s="668">
        <v>0.17152076716000003</v>
      </c>
      <c r="J197" s="669">
        <v>0.35160471602685422</v>
      </c>
      <c r="K197" s="142" t="s">
        <v>1077</v>
      </c>
      <c r="L197" s="1" t="s">
        <v>535</v>
      </c>
      <c r="M197" s="1" t="s">
        <v>1075</v>
      </c>
      <c r="N197" s="152">
        <v>0.11152145585000002</v>
      </c>
      <c r="O197" s="152">
        <v>6.0307510629999998E-2</v>
      </c>
      <c r="P197" s="152">
        <v>0.17152076716000003</v>
      </c>
    </row>
    <row r="198" spans="3:16" ht="56">
      <c r="C198" s="665" t="s">
        <v>1078</v>
      </c>
      <c r="D198" s="666"/>
      <c r="E198" s="666"/>
      <c r="F198" s="670"/>
      <c r="G198" s="660" t="str">
        <f>IF(E198="","",IF(F198="Direct-from-manufacturer",(E198*H198/1000*'Inventory Settings'!$J$21),(E198*I198/1000*'Inventory Settings'!$J$21)))</f>
        <v/>
      </c>
      <c r="H198" s="668">
        <v>0.14049331997999995</v>
      </c>
      <c r="I198" s="668">
        <v>0.17225781189999997</v>
      </c>
      <c r="J198" s="669">
        <v>0.18364651484348732</v>
      </c>
      <c r="K198" s="142" t="s">
        <v>1079</v>
      </c>
      <c r="L198" s="1" t="s">
        <v>535</v>
      </c>
      <c r="M198" s="1" t="s">
        <v>1075</v>
      </c>
      <c r="N198" s="152">
        <v>0.14049331997999995</v>
      </c>
      <c r="O198" s="152">
        <v>3.163454680999999E-2</v>
      </c>
      <c r="P198" s="152">
        <v>0.17225781189999997</v>
      </c>
    </row>
    <row r="199" spans="3:16" ht="56">
      <c r="C199" s="665" t="s">
        <v>1080</v>
      </c>
      <c r="D199" s="666"/>
      <c r="E199" s="666"/>
      <c r="F199" s="670"/>
      <c r="G199" s="660" t="str">
        <f>IF(E199="","",IF(F199="Direct-from-manufacturer",(E199*H199/1000*'Inventory Settings'!$J$21),(E199*I199/1000*'Inventory Settings'!$J$21)))</f>
        <v/>
      </c>
      <c r="H199" s="668">
        <v>5.6762627810000001E-2</v>
      </c>
      <c r="I199" s="668">
        <v>0.14001880463999997</v>
      </c>
      <c r="J199" s="669">
        <v>0.59241152338979153</v>
      </c>
      <c r="K199" s="142" t="s">
        <v>1081</v>
      </c>
      <c r="L199" s="1" t="s">
        <v>535</v>
      </c>
      <c r="M199" s="1" t="s">
        <v>1075</v>
      </c>
      <c r="N199" s="152">
        <v>5.6762627810000001E-2</v>
      </c>
      <c r="O199" s="152">
        <v>8.2948753359999988E-2</v>
      </c>
      <c r="P199" s="152">
        <v>0.14001880463999997</v>
      </c>
    </row>
    <row r="200" spans="3:16" ht="56">
      <c r="C200" s="665" t="s">
        <v>1082</v>
      </c>
      <c r="D200" s="666"/>
      <c r="E200" s="666"/>
      <c r="F200" s="670"/>
      <c r="G200" s="660" t="str">
        <f>IF(E200="","",IF(F200="Direct-from-manufacturer",(E200*H200/1000*'Inventory Settings'!$J$21),(E200*I200/1000*'Inventory Settings'!$J$21)))</f>
        <v/>
      </c>
      <c r="H200" s="668">
        <v>7.6168806490000004E-2</v>
      </c>
      <c r="I200" s="668">
        <v>0.10489651663999995</v>
      </c>
      <c r="J200" s="669">
        <v>0.27281862531445839</v>
      </c>
      <c r="K200" s="142" t="s">
        <v>1083</v>
      </c>
      <c r="L200" s="1" t="s">
        <v>535</v>
      </c>
      <c r="M200" s="1" t="s">
        <v>1075</v>
      </c>
      <c r="N200" s="152">
        <v>7.6168806490000004E-2</v>
      </c>
      <c r="O200" s="152">
        <v>2.8617723469999998E-2</v>
      </c>
      <c r="P200" s="152">
        <v>0.10489651663999995</v>
      </c>
    </row>
    <row r="201" spans="3:16" ht="140">
      <c r="C201" s="665" t="s">
        <v>1084</v>
      </c>
      <c r="D201" s="666"/>
      <c r="E201" s="666"/>
      <c r="F201" s="670"/>
      <c r="G201" s="660" t="str">
        <f>IF(E201="","",IF(F201="Direct-from-manufacturer",(E201*H201/1000*'Inventory Settings'!$J$21),(E201*I201/1000*'Inventory Settings'!$J$21)))</f>
        <v/>
      </c>
      <c r="H201" s="668">
        <v>7.3755188949999981E-2</v>
      </c>
      <c r="I201" s="668">
        <v>0.15803185306000003</v>
      </c>
      <c r="J201" s="669">
        <v>0.5326390548495411</v>
      </c>
      <c r="K201" s="142" t="s">
        <v>1085</v>
      </c>
      <c r="L201" s="1" t="s">
        <v>535</v>
      </c>
      <c r="M201" s="1" t="s">
        <v>1086</v>
      </c>
      <c r="N201" s="152">
        <v>7.3755188949999981E-2</v>
      </c>
      <c r="O201" s="152">
        <v>8.4173936849999978E-2</v>
      </c>
      <c r="P201" s="152">
        <v>0.15803185306000003</v>
      </c>
    </row>
    <row r="202" spans="3:16" ht="42">
      <c r="C202" s="665" t="s">
        <v>1087</v>
      </c>
      <c r="D202" s="666"/>
      <c r="E202" s="666"/>
      <c r="F202" s="670"/>
      <c r="G202" s="660" t="str">
        <f>IF(E202="","",IF(F202="Direct-from-manufacturer",(E202*H202/1000*'Inventory Settings'!$J$21),(E202*I202/1000*'Inventory Settings'!$J$21)))</f>
        <v/>
      </c>
      <c r="H202" s="668">
        <v>0.12007998269999998</v>
      </c>
      <c r="I202" s="668">
        <v>0.23137969706000003</v>
      </c>
      <c r="J202" s="669">
        <v>0.48277504690065126</v>
      </c>
      <c r="K202" s="142" t="s">
        <v>1088</v>
      </c>
      <c r="L202" s="1" t="s">
        <v>535</v>
      </c>
      <c r="M202" s="1" t="s">
        <v>1086</v>
      </c>
      <c r="N202" s="152">
        <v>0.12007998269999998</v>
      </c>
      <c r="O202" s="152">
        <v>0.11170434409999999</v>
      </c>
      <c r="P202" s="152">
        <v>0.23137969706000003</v>
      </c>
    </row>
    <row r="203" spans="3:16" ht="42">
      <c r="C203" s="665" t="s">
        <v>1089</v>
      </c>
      <c r="D203" s="666"/>
      <c r="E203" s="666"/>
      <c r="F203" s="670"/>
      <c r="G203" s="660" t="str">
        <f>IF(E203="","",IF(F203="Direct-from-manufacturer",(E203*H203/1000*'Inventory Settings'!$J$21),(E203*I203/1000*'Inventory Settings'!$J$21)))</f>
        <v/>
      </c>
      <c r="H203" s="668">
        <v>7.8438295069999983E-2</v>
      </c>
      <c r="I203" s="668">
        <v>0.18942113122999998</v>
      </c>
      <c r="J203" s="669">
        <v>0.58590417536490169</v>
      </c>
      <c r="K203" s="142" t="s">
        <v>1090</v>
      </c>
      <c r="L203" s="1" t="s">
        <v>535</v>
      </c>
      <c r="M203" s="1" t="s">
        <v>1086</v>
      </c>
      <c r="N203" s="152">
        <v>7.8438295069999983E-2</v>
      </c>
      <c r="O203" s="152">
        <v>0.11098263168999997</v>
      </c>
      <c r="P203" s="152">
        <v>0.18942113122999998</v>
      </c>
    </row>
    <row r="204" spans="3:16" ht="56">
      <c r="C204" s="665" t="s">
        <v>1091</v>
      </c>
      <c r="D204" s="666"/>
      <c r="E204" s="666"/>
      <c r="F204" s="670"/>
      <c r="G204" s="660" t="str">
        <f>IF(E204="","",IF(F204="Direct-from-manufacturer",(E204*H204/1000*'Inventory Settings'!$J$21),(E204*I204/1000*'Inventory Settings'!$J$21)))</f>
        <v/>
      </c>
      <c r="H204" s="668">
        <v>0.19156117749999996</v>
      </c>
      <c r="I204" s="668">
        <v>0.29582026540000012</v>
      </c>
      <c r="J204" s="669">
        <v>0.35186515599008705</v>
      </c>
      <c r="K204" s="142" t="s">
        <v>1092</v>
      </c>
      <c r="L204" s="1" t="s">
        <v>535</v>
      </c>
      <c r="M204" s="1" t="s">
        <v>1086</v>
      </c>
      <c r="N204" s="152">
        <v>0.19156117749999996</v>
      </c>
      <c r="O204" s="152">
        <v>0.10408884383</v>
      </c>
      <c r="P204" s="152">
        <v>0.29582026540000012</v>
      </c>
    </row>
    <row r="205" spans="3:16" ht="42">
      <c r="C205" s="665" t="s">
        <v>1093</v>
      </c>
      <c r="D205" s="666"/>
      <c r="E205" s="666"/>
      <c r="F205" s="670"/>
      <c r="G205" s="660" t="str">
        <f>IF(E205="","",IF(F205="Direct-from-manufacturer",(E205*H205/1000*'Inventory Settings'!$J$21),(E205*I205/1000*'Inventory Settings'!$J$21)))</f>
        <v/>
      </c>
      <c r="H205" s="668">
        <v>0.22379281440000001</v>
      </c>
      <c r="I205" s="668">
        <v>0.32321137970000002</v>
      </c>
      <c r="J205" s="669">
        <v>0.30859746996711312</v>
      </c>
      <c r="K205" s="142" t="s">
        <v>1094</v>
      </c>
      <c r="L205" s="1" t="s">
        <v>535</v>
      </c>
      <c r="M205" s="1" t="s">
        <v>1086</v>
      </c>
      <c r="N205" s="152">
        <v>0.22379281440000001</v>
      </c>
      <c r="O205" s="152">
        <v>9.9742214039999957E-2</v>
      </c>
      <c r="P205" s="152">
        <v>0.32321137970000002</v>
      </c>
    </row>
    <row r="206" spans="3:16" ht="62">
      <c r="C206" s="665" t="s">
        <v>1095</v>
      </c>
      <c r="D206" s="666"/>
      <c r="E206" s="666"/>
      <c r="F206" s="670"/>
      <c r="G206" s="660" t="str">
        <f>IF(E206="","",IF(F206="Direct-from-manufacturer",(E206*H206/1000*'Inventory Settings'!$J$21),(E206*I206/1000*'Inventory Settings'!$J$21)))</f>
        <v/>
      </c>
      <c r="H206" s="668">
        <v>0.12451893318</v>
      </c>
      <c r="I206" s="668">
        <v>0.22782967507999996</v>
      </c>
      <c r="J206" s="669">
        <v>0.45334251771079681</v>
      </c>
      <c r="K206" s="142" t="s">
        <v>1096</v>
      </c>
      <c r="L206" s="1" t="s">
        <v>535</v>
      </c>
      <c r="M206" s="1" t="s">
        <v>1086</v>
      </c>
      <c r="N206" s="152">
        <v>0.12451893318</v>
      </c>
      <c r="O206" s="152">
        <v>0.10328487850999997</v>
      </c>
      <c r="P206" s="152">
        <v>0.22782967507999996</v>
      </c>
    </row>
    <row r="207" spans="3:16">
      <c r="G207"/>
    </row>
    <row r="208" spans="3:16">
      <c r="G208"/>
    </row>
  </sheetData>
  <sheetProtection algorithmName="SHA-512" hashValue="QDONCweC1icAMPXjzNwHfAllorfDYHXgnKEq9npeiXhuIrvSQwLlEL7lw+/JJdewC6Qz6ChAYgfog6wJ2LGP6Q==" saltValue="DY2O9BiwZL64WA765Pu8gw==" spinCount="100000" sheet="1" autoFilter="0"/>
  <mergeCells count="2">
    <mergeCell ref="A7:L8"/>
    <mergeCell ref="A17:B17"/>
  </mergeCells>
  <dataValidations count="1">
    <dataValidation type="list" allowBlank="1" showInputMessage="1" showErrorMessage="1" sqref="F31:F206" xr:uid="{66C7EA66-B770-40E7-8D2C-2714AB06D85A}">
      <formula1>"Wholesaler / Retailer / Distributer, Direct-from-manufacturer"</formula1>
    </dataValidation>
  </dataValidations>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58AC0-6746-4086-8D92-8C39AA5E9AC4}">
  <sheetPr>
    <tabColor theme="3" tint="-0.249977111117893"/>
  </sheetPr>
  <dimension ref="A1:AB135"/>
  <sheetViews>
    <sheetView showGridLines="0" topLeftCell="H1" zoomScale="85" zoomScaleNormal="85" workbookViewId="0">
      <selection activeCell="K25" sqref="K25:M26"/>
    </sheetView>
  </sheetViews>
  <sheetFormatPr defaultColWidth="8.9140625" defaultRowHeight="14"/>
  <cols>
    <col min="2" max="2" width="10" customWidth="1"/>
    <col min="3" max="3" width="25.1640625" customWidth="1"/>
    <col min="4" max="4" width="20.1640625" customWidth="1"/>
    <col min="5" max="5" width="19.9140625" customWidth="1"/>
    <col min="6" max="6" width="19.5" style="264" customWidth="1"/>
    <col min="7" max="7" width="12" customWidth="1"/>
    <col min="8" max="8" width="8.5" customWidth="1"/>
    <col min="9" max="9" width="11.6640625" customWidth="1"/>
    <col min="10" max="10" width="31.4140625" customWidth="1"/>
    <col min="11" max="11" width="31.1640625" customWidth="1"/>
    <col min="12" max="12" width="20.9140625" customWidth="1"/>
    <col min="13" max="13" width="17.6640625" customWidth="1"/>
    <col min="14" max="14" width="12.08203125" customWidth="1"/>
  </cols>
  <sheetData>
    <row r="1" spans="1:28" ht="27.65" customHeight="1">
      <c r="A1" s="154" t="s">
        <v>1585</v>
      </c>
      <c r="B1" s="258"/>
      <c r="C1" s="258"/>
      <c r="D1" s="258"/>
      <c r="E1" s="258"/>
      <c r="F1" s="259"/>
      <c r="G1" s="259"/>
      <c r="H1" s="259"/>
      <c r="I1" s="259"/>
      <c r="J1" s="259"/>
      <c r="K1" s="259"/>
      <c r="L1" s="259"/>
      <c r="M1" s="259"/>
      <c r="N1" s="259"/>
    </row>
    <row r="2" spans="1:28">
      <c r="A2" s="260" t="s">
        <v>345</v>
      </c>
      <c r="B2" s="261"/>
      <c r="C2" s="261"/>
      <c r="D2" s="261"/>
      <c r="E2" s="261"/>
      <c r="F2" s="262"/>
      <c r="G2" s="262"/>
      <c r="H2" s="262"/>
      <c r="I2" s="262"/>
      <c r="J2" s="262"/>
      <c r="K2" s="262"/>
      <c r="L2" s="262"/>
      <c r="M2" s="262"/>
      <c r="N2" s="262"/>
    </row>
    <row r="3" spans="1:28" ht="16.399999999999999" customHeight="1">
      <c r="A3" s="263" t="s">
        <v>1586</v>
      </c>
      <c r="B3" s="261"/>
      <c r="C3" s="261"/>
      <c r="D3" s="261"/>
      <c r="E3" s="261"/>
      <c r="F3" s="262"/>
      <c r="G3" s="262"/>
      <c r="H3" s="262"/>
      <c r="I3" s="262"/>
      <c r="J3" s="262"/>
      <c r="K3" s="262"/>
      <c r="L3" s="262"/>
      <c r="M3" s="262"/>
      <c r="N3" s="262"/>
    </row>
    <row r="4" spans="1:28">
      <c r="A4" s="263" t="s">
        <v>347</v>
      </c>
      <c r="B4" s="261"/>
      <c r="C4" s="261"/>
      <c r="D4" s="261"/>
      <c r="E4" s="261"/>
      <c r="F4" s="262"/>
      <c r="G4" s="262"/>
      <c r="H4" s="262"/>
      <c r="I4" s="262"/>
      <c r="J4" s="262"/>
      <c r="K4" s="262"/>
      <c r="L4" s="262"/>
      <c r="M4" s="262"/>
      <c r="N4" s="262"/>
    </row>
    <row r="5" spans="1:28">
      <c r="A5" s="263" t="s">
        <v>1587</v>
      </c>
      <c r="B5" s="261"/>
      <c r="C5" s="261"/>
      <c r="D5" s="261"/>
      <c r="E5" s="261"/>
      <c r="F5" s="262"/>
      <c r="G5" s="262"/>
      <c r="H5" s="262"/>
      <c r="I5" s="262"/>
      <c r="J5" s="262"/>
      <c r="K5" s="262"/>
      <c r="L5" s="262"/>
      <c r="M5" s="262"/>
      <c r="N5" s="262"/>
    </row>
    <row r="6" spans="1:28">
      <c r="A6" s="263" t="s">
        <v>348</v>
      </c>
      <c r="B6" s="261"/>
      <c r="C6" s="261"/>
      <c r="D6" s="261"/>
      <c r="E6" s="261"/>
      <c r="F6" s="262"/>
      <c r="G6" s="262"/>
      <c r="H6" s="262"/>
      <c r="I6" s="262"/>
      <c r="J6" s="262"/>
      <c r="K6" s="262"/>
      <c r="L6" s="262"/>
      <c r="M6" s="262"/>
      <c r="N6" s="262"/>
    </row>
    <row r="10" spans="1:28">
      <c r="H10" s="4"/>
      <c r="K10" s="265"/>
      <c r="L10" s="265"/>
      <c r="M10" s="4"/>
      <c r="N10" s="4"/>
      <c r="O10" s="4"/>
      <c r="P10" s="4"/>
      <c r="Q10" s="4"/>
      <c r="R10" s="4"/>
      <c r="S10" s="4"/>
      <c r="T10" s="4"/>
      <c r="U10" s="4"/>
      <c r="V10" s="4"/>
      <c r="W10" s="4"/>
      <c r="X10" s="4"/>
      <c r="Y10" s="4"/>
      <c r="Z10" s="4"/>
      <c r="AA10" s="4"/>
      <c r="AB10" s="4"/>
    </row>
    <row r="11" spans="1:28">
      <c r="H11" s="4"/>
      <c r="K11" s="265"/>
      <c r="L11" s="265"/>
      <c r="M11" s="4"/>
      <c r="N11" s="4"/>
      <c r="O11" s="4"/>
      <c r="P11" s="4"/>
      <c r="Q11" s="4"/>
      <c r="R11" s="4"/>
      <c r="S11" s="4"/>
      <c r="T11" s="4"/>
      <c r="U11" s="4"/>
      <c r="V11" s="4"/>
      <c r="W11" s="4"/>
      <c r="X11" s="4"/>
      <c r="Y11" s="4"/>
      <c r="Z11" s="4"/>
      <c r="AA11" s="4"/>
      <c r="AB11" s="4"/>
    </row>
    <row r="12" spans="1:28" ht="18.75" customHeight="1">
      <c r="F12" s="266"/>
    </row>
    <row r="13" spans="1:28">
      <c r="E13" s="4"/>
      <c r="F13" s="267"/>
      <c r="G13" s="4"/>
      <c r="H13" s="4"/>
      <c r="I13" s="4"/>
      <c r="J13" s="4"/>
      <c r="K13" s="265"/>
      <c r="L13" s="265"/>
      <c r="M13" s="4"/>
      <c r="N13" s="4"/>
      <c r="O13" s="4"/>
      <c r="P13" s="4"/>
      <c r="Q13" s="4"/>
      <c r="R13" s="4"/>
      <c r="S13" s="4"/>
      <c r="T13" s="4"/>
      <c r="U13" s="4"/>
      <c r="V13" s="4"/>
      <c r="W13" s="4"/>
      <c r="X13" s="4"/>
      <c r="Y13" s="4"/>
      <c r="Z13" s="4"/>
      <c r="AA13" s="4"/>
      <c r="AB13" s="4"/>
    </row>
    <row r="14" spans="1:28">
      <c r="E14" s="4"/>
      <c r="F14" s="267"/>
      <c r="G14" s="4"/>
      <c r="H14" s="4"/>
      <c r="I14" s="4"/>
      <c r="J14" s="4"/>
      <c r="K14" s="265"/>
      <c r="L14" s="265"/>
      <c r="M14" s="4"/>
      <c r="N14" s="4"/>
      <c r="O14" s="4"/>
      <c r="P14" s="4"/>
      <c r="Q14" s="4"/>
      <c r="R14" s="4"/>
      <c r="S14" s="4"/>
      <c r="T14" s="4"/>
      <c r="U14" s="4"/>
      <c r="V14" s="4"/>
      <c r="W14" s="4"/>
      <c r="X14" s="4"/>
      <c r="Y14" s="4"/>
      <c r="Z14" s="4"/>
      <c r="AA14" s="4"/>
      <c r="AB14" s="4"/>
    </row>
    <row r="16" spans="1:28">
      <c r="A16" s="268"/>
      <c r="B16" s="268"/>
      <c r="C16" s="268"/>
      <c r="D16" s="268"/>
      <c r="E16" s="268"/>
      <c r="F16" s="269"/>
      <c r="G16" s="268"/>
      <c r="H16" s="268"/>
      <c r="I16" s="268"/>
      <c r="J16" s="268"/>
      <c r="K16" s="268"/>
      <c r="L16" s="268"/>
      <c r="M16" s="268"/>
      <c r="N16" s="268"/>
    </row>
    <row r="17" spans="1:14" ht="17.5">
      <c r="A17" s="268"/>
      <c r="B17" s="270" t="s">
        <v>1588</v>
      </c>
      <c r="C17" s="268"/>
      <c r="D17" s="268"/>
      <c r="E17" s="268"/>
      <c r="F17" s="269"/>
      <c r="G17" s="268"/>
      <c r="H17" s="268"/>
      <c r="I17" s="270" t="s">
        <v>1589</v>
      </c>
      <c r="J17" s="268"/>
      <c r="K17" s="268"/>
      <c r="L17" s="268"/>
      <c r="M17" s="269"/>
      <c r="N17" s="268"/>
    </row>
    <row r="18" spans="1:14">
      <c r="A18" s="268"/>
      <c r="B18" s="268"/>
      <c r="C18" s="268"/>
      <c r="D18" s="268"/>
      <c r="E18" s="268"/>
      <c r="F18" s="271"/>
      <c r="G18" s="268"/>
      <c r="H18" s="268"/>
      <c r="I18" s="268"/>
      <c r="J18" s="268"/>
      <c r="K18" s="268"/>
      <c r="L18" s="268"/>
      <c r="M18" s="271"/>
      <c r="N18" s="268"/>
    </row>
    <row r="19" spans="1:14" ht="17.5">
      <c r="A19" s="272"/>
      <c r="B19" s="270" t="s">
        <v>1590</v>
      </c>
      <c r="C19" s="268"/>
      <c r="D19" s="268"/>
      <c r="E19" s="268"/>
      <c r="F19" s="269"/>
      <c r="G19" s="268"/>
      <c r="H19" s="268"/>
      <c r="I19" s="270" t="s">
        <v>1591</v>
      </c>
      <c r="J19" s="268"/>
      <c r="K19" s="268"/>
      <c r="L19" s="268"/>
      <c r="M19" s="269"/>
      <c r="N19" s="268"/>
    </row>
    <row r="20" spans="1:14">
      <c r="A20" s="268"/>
      <c r="B20" s="272" t="s">
        <v>1592</v>
      </c>
      <c r="C20" s="268"/>
      <c r="D20" s="268"/>
      <c r="E20" s="268"/>
      <c r="F20" s="268"/>
      <c r="G20" s="268"/>
      <c r="H20" s="268"/>
      <c r="I20" s="272" t="s">
        <v>1592</v>
      </c>
      <c r="J20" s="268"/>
      <c r="K20" s="268"/>
      <c r="L20" s="268"/>
      <c r="M20" s="268"/>
      <c r="N20" s="268"/>
    </row>
    <row r="21" spans="1:14" ht="14.5">
      <c r="A21" s="268"/>
      <c r="B21" s="268"/>
      <c r="C21" s="273" t="s">
        <v>353</v>
      </c>
      <c r="D21" s="268" t="s">
        <v>353</v>
      </c>
      <c r="E21" s="273" t="s">
        <v>353</v>
      </c>
      <c r="F21" s="273" t="s">
        <v>353</v>
      </c>
      <c r="G21" s="268"/>
      <c r="H21" s="268"/>
      <c r="I21" s="268"/>
      <c r="J21" s="273" t="s">
        <v>353</v>
      </c>
      <c r="K21" s="268" t="s">
        <v>353</v>
      </c>
      <c r="L21" s="273" t="s">
        <v>353</v>
      </c>
      <c r="M21" s="273" t="s">
        <v>353</v>
      </c>
      <c r="N21" s="268"/>
    </row>
    <row r="22" spans="1:14" ht="28">
      <c r="A22" s="268"/>
      <c r="B22" s="274" t="s">
        <v>1593</v>
      </c>
      <c r="C22" s="275" t="s">
        <v>360</v>
      </c>
      <c r="D22" s="276" t="s">
        <v>1594</v>
      </c>
      <c r="E22" s="276" t="s">
        <v>1595</v>
      </c>
      <c r="F22" s="276" t="s">
        <v>1596</v>
      </c>
      <c r="G22" s="277" t="s">
        <v>363</v>
      </c>
      <c r="H22" s="268"/>
      <c r="I22" s="274" t="s">
        <v>1593</v>
      </c>
      <c r="J22" s="275" t="s">
        <v>360</v>
      </c>
      <c r="K22" s="276" t="s">
        <v>1594</v>
      </c>
      <c r="L22" s="276" t="s">
        <v>1595</v>
      </c>
      <c r="M22" s="276" t="s">
        <v>1596</v>
      </c>
      <c r="N22" s="277" t="s">
        <v>363</v>
      </c>
    </row>
    <row r="23" spans="1:14" ht="58">
      <c r="A23" s="268"/>
      <c r="B23" s="278">
        <v>1</v>
      </c>
      <c r="C23" s="279" t="s">
        <v>1597</v>
      </c>
      <c r="D23" s="280" t="s">
        <v>1598</v>
      </c>
      <c r="E23" s="281">
        <v>10000000</v>
      </c>
      <c r="F23" s="282" t="s">
        <v>1599</v>
      </c>
      <c r="G23" s="283" t="str">
        <f>IFERROR(E23*F23,"")</f>
        <v/>
      </c>
      <c r="H23" s="268"/>
      <c r="I23" s="278">
        <v>1</v>
      </c>
      <c r="J23" s="279" t="s">
        <v>1597</v>
      </c>
      <c r="K23" s="280" t="s">
        <v>1598</v>
      </c>
      <c r="L23" s="281">
        <v>10000000</v>
      </c>
      <c r="M23" s="282" t="s">
        <v>1599</v>
      </c>
      <c r="N23" s="283" t="str">
        <f>IFERROR(L23*M23,"")</f>
        <v/>
      </c>
    </row>
    <row r="24" spans="1:14">
      <c r="A24" s="268"/>
      <c r="B24" s="278">
        <v>2</v>
      </c>
      <c r="C24" s="284"/>
      <c r="D24" s="285"/>
      <c r="E24" s="286"/>
      <c r="F24" s="692"/>
      <c r="G24" s="288">
        <f t="shared" ref="G24:G42" si="0">IFERROR(E24*F24,"")</f>
        <v>0</v>
      </c>
      <c r="H24" s="268"/>
      <c r="I24" s="278">
        <v>2</v>
      </c>
      <c r="J24" s="284"/>
      <c r="K24" s="285"/>
      <c r="L24" s="286"/>
      <c r="M24" s="287"/>
      <c r="N24" s="288">
        <f t="shared" ref="N24" si="1">IFERROR(L24*M24,"")</f>
        <v>0</v>
      </c>
    </row>
    <row r="25" spans="1:14">
      <c r="A25" s="268"/>
      <c r="B25" s="278">
        <v>3</v>
      </c>
      <c r="C25" s="284"/>
      <c r="D25" s="285"/>
      <c r="E25" s="286"/>
      <c r="F25" s="692"/>
      <c r="G25" s="288">
        <f>IFERROR(E25*F25,"")</f>
        <v>0</v>
      </c>
      <c r="H25" s="268"/>
      <c r="I25" s="278">
        <v>3</v>
      </c>
      <c r="J25" s="284"/>
      <c r="K25" s="285"/>
      <c r="L25" s="286"/>
      <c r="M25" s="692"/>
      <c r="N25" s="288">
        <f>IFERROR(L25*M25,"")</f>
        <v>0</v>
      </c>
    </row>
    <row r="26" spans="1:14">
      <c r="A26" s="268"/>
      <c r="B26" s="278">
        <v>4</v>
      </c>
      <c r="C26" s="284"/>
      <c r="D26" s="285"/>
      <c r="E26" s="286"/>
      <c r="F26" s="692"/>
      <c r="G26" s="288">
        <f t="shared" si="0"/>
        <v>0</v>
      </c>
      <c r="H26" s="268"/>
      <c r="I26" s="278">
        <v>4</v>
      </c>
      <c r="J26" s="284"/>
      <c r="K26" s="285"/>
      <c r="L26" s="286"/>
      <c r="M26" s="692"/>
      <c r="N26" s="288">
        <f t="shared" ref="N26:N42" si="2">IFERROR(L26*M26,"")</f>
        <v>0</v>
      </c>
    </row>
    <row r="27" spans="1:14">
      <c r="A27" s="268"/>
      <c r="B27" s="278">
        <v>5</v>
      </c>
      <c r="C27" s="284"/>
      <c r="D27" s="285"/>
      <c r="E27" s="286"/>
      <c r="F27" s="692"/>
      <c r="G27" s="288">
        <f t="shared" si="0"/>
        <v>0</v>
      </c>
      <c r="H27" s="268"/>
      <c r="I27" s="278">
        <v>5</v>
      </c>
      <c r="J27" s="284"/>
      <c r="K27" s="285"/>
      <c r="L27" s="286"/>
      <c r="M27" s="692"/>
      <c r="N27" s="288">
        <f t="shared" si="2"/>
        <v>0</v>
      </c>
    </row>
    <row r="28" spans="1:14">
      <c r="A28" s="268"/>
      <c r="B28" s="278">
        <v>6</v>
      </c>
      <c r="C28" s="284"/>
      <c r="D28" s="285"/>
      <c r="E28" s="286"/>
      <c r="F28" s="692"/>
      <c r="G28" s="288">
        <f t="shared" si="0"/>
        <v>0</v>
      </c>
      <c r="H28" s="268"/>
      <c r="I28" s="278">
        <v>6</v>
      </c>
      <c r="J28" s="284"/>
      <c r="K28" s="285"/>
      <c r="L28" s="286"/>
      <c r="M28" s="692"/>
      <c r="N28" s="288">
        <f t="shared" si="2"/>
        <v>0</v>
      </c>
    </row>
    <row r="29" spans="1:14">
      <c r="A29" s="268"/>
      <c r="B29" s="278">
        <v>7</v>
      </c>
      <c r="C29" s="284"/>
      <c r="D29" s="285"/>
      <c r="E29" s="286"/>
      <c r="F29" s="692"/>
      <c r="G29" s="288">
        <f t="shared" si="0"/>
        <v>0</v>
      </c>
      <c r="H29" s="268"/>
      <c r="I29" s="278">
        <v>7</v>
      </c>
      <c r="J29" s="284"/>
      <c r="K29" s="285"/>
      <c r="L29" s="286"/>
      <c r="M29" s="692"/>
      <c r="N29" s="288">
        <f t="shared" si="2"/>
        <v>0</v>
      </c>
    </row>
    <row r="30" spans="1:14">
      <c r="A30" s="268"/>
      <c r="B30" s="278">
        <v>8</v>
      </c>
      <c r="C30" s="284"/>
      <c r="D30" s="285"/>
      <c r="E30" s="286"/>
      <c r="F30" s="692"/>
      <c r="G30" s="288">
        <f t="shared" si="0"/>
        <v>0</v>
      </c>
      <c r="H30" s="268"/>
      <c r="I30" s="278">
        <v>8</v>
      </c>
      <c r="J30" s="284"/>
      <c r="K30" s="285"/>
      <c r="L30" s="286"/>
      <c r="M30" s="692"/>
      <c r="N30" s="288">
        <f t="shared" si="2"/>
        <v>0</v>
      </c>
    </row>
    <row r="31" spans="1:14">
      <c r="A31" s="268"/>
      <c r="B31" s="278">
        <v>9</v>
      </c>
      <c r="C31" s="284"/>
      <c r="D31" s="285"/>
      <c r="E31" s="286"/>
      <c r="F31" s="692"/>
      <c r="G31" s="288">
        <f t="shared" si="0"/>
        <v>0</v>
      </c>
      <c r="H31" s="268"/>
      <c r="I31" s="278">
        <v>9</v>
      </c>
      <c r="J31" s="284"/>
      <c r="K31" s="285"/>
      <c r="L31" s="286"/>
      <c r="M31" s="692"/>
      <c r="N31" s="288">
        <f t="shared" si="2"/>
        <v>0</v>
      </c>
    </row>
    <row r="32" spans="1:14">
      <c r="A32" s="268"/>
      <c r="B32" s="278">
        <v>10</v>
      </c>
      <c r="C32" s="284"/>
      <c r="D32" s="285"/>
      <c r="E32" s="286"/>
      <c r="F32" s="692"/>
      <c r="G32" s="288">
        <f t="shared" si="0"/>
        <v>0</v>
      </c>
      <c r="H32" s="268"/>
      <c r="I32" s="278">
        <v>10</v>
      </c>
      <c r="J32" s="284"/>
      <c r="K32" s="285"/>
      <c r="L32" s="286"/>
      <c r="M32" s="692"/>
      <c r="N32" s="288">
        <f t="shared" si="2"/>
        <v>0</v>
      </c>
    </row>
    <row r="33" spans="1:14">
      <c r="A33" s="268"/>
      <c r="B33" s="278">
        <v>11</v>
      </c>
      <c r="C33" s="284"/>
      <c r="D33" s="285"/>
      <c r="E33" s="286"/>
      <c r="F33" s="692"/>
      <c r="G33" s="288">
        <f t="shared" si="0"/>
        <v>0</v>
      </c>
      <c r="H33" s="268"/>
      <c r="I33" s="278">
        <v>11</v>
      </c>
      <c r="J33" s="284"/>
      <c r="K33" s="285"/>
      <c r="L33" s="286"/>
      <c r="M33" s="692"/>
      <c r="N33" s="288">
        <f t="shared" si="2"/>
        <v>0</v>
      </c>
    </row>
    <row r="34" spans="1:14">
      <c r="A34" s="268"/>
      <c r="B34" s="278">
        <v>12</v>
      </c>
      <c r="C34" s="284"/>
      <c r="D34" s="285"/>
      <c r="E34" s="286"/>
      <c r="F34" s="692"/>
      <c r="G34" s="288">
        <f t="shared" si="0"/>
        <v>0</v>
      </c>
      <c r="H34" s="268"/>
      <c r="I34" s="278">
        <v>12</v>
      </c>
      <c r="J34" s="284"/>
      <c r="K34" s="285"/>
      <c r="L34" s="286"/>
      <c r="M34" s="692"/>
      <c r="N34" s="288">
        <f t="shared" si="2"/>
        <v>0</v>
      </c>
    </row>
    <row r="35" spans="1:14">
      <c r="A35" s="268"/>
      <c r="B35" s="278">
        <v>13</v>
      </c>
      <c r="C35" s="284"/>
      <c r="D35" s="285"/>
      <c r="E35" s="286"/>
      <c r="F35" s="692"/>
      <c r="G35" s="288">
        <f t="shared" si="0"/>
        <v>0</v>
      </c>
      <c r="H35" s="268"/>
      <c r="I35" s="278">
        <v>13</v>
      </c>
      <c r="J35" s="284"/>
      <c r="K35" s="285"/>
      <c r="L35" s="286"/>
      <c r="M35" s="692"/>
      <c r="N35" s="288">
        <f t="shared" si="2"/>
        <v>0</v>
      </c>
    </row>
    <row r="36" spans="1:14">
      <c r="A36" s="268"/>
      <c r="B36" s="278">
        <v>14</v>
      </c>
      <c r="C36" s="284"/>
      <c r="D36" s="285"/>
      <c r="E36" s="286"/>
      <c r="F36" s="692"/>
      <c r="G36" s="288">
        <f t="shared" si="0"/>
        <v>0</v>
      </c>
      <c r="H36" s="268"/>
      <c r="I36" s="278">
        <v>14</v>
      </c>
      <c r="J36" s="284"/>
      <c r="K36" s="285"/>
      <c r="L36" s="286"/>
      <c r="M36" s="692"/>
      <c r="N36" s="288">
        <f t="shared" si="2"/>
        <v>0</v>
      </c>
    </row>
    <row r="37" spans="1:14">
      <c r="A37" s="268"/>
      <c r="B37" s="278">
        <v>15</v>
      </c>
      <c r="C37" s="284"/>
      <c r="D37" s="285"/>
      <c r="E37" s="286"/>
      <c r="F37" s="692"/>
      <c r="G37" s="288">
        <f t="shared" si="0"/>
        <v>0</v>
      </c>
      <c r="H37" s="268"/>
      <c r="I37" s="278">
        <v>15</v>
      </c>
      <c r="J37" s="284"/>
      <c r="K37" s="285"/>
      <c r="L37" s="286"/>
      <c r="M37" s="692"/>
      <c r="N37" s="288">
        <f t="shared" si="2"/>
        <v>0</v>
      </c>
    </row>
    <row r="38" spans="1:14">
      <c r="A38" s="268"/>
      <c r="B38" s="278">
        <v>16</v>
      </c>
      <c r="C38" s="284"/>
      <c r="D38" s="285"/>
      <c r="E38" s="286"/>
      <c r="F38" s="692"/>
      <c r="G38" s="288">
        <f t="shared" si="0"/>
        <v>0</v>
      </c>
      <c r="H38" s="268"/>
      <c r="I38" s="278">
        <v>16</v>
      </c>
      <c r="J38" s="284"/>
      <c r="K38" s="285"/>
      <c r="L38" s="286"/>
      <c r="M38" s="692"/>
      <c r="N38" s="288">
        <f t="shared" si="2"/>
        <v>0</v>
      </c>
    </row>
    <row r="39" spans="1:14">
      <c r="A39" s="268"/>
      <c r="B39" s="278">
        <v>17</v>
      </c>
      <c r="C39" s="284"/>
      <c r="D39" s="285"/>
      <c r="E39" s="286"/>
      <c r="F39" s="692"/>
      <c r="G39" s="288">
        <f t="shared" si="0"/>
        <v>0</v>
      </c>
      <c r="H39" s="268"/>
      <c r="I39" s="278">
        <v>17</v>
      </c>
      <c r="J39" s="284"/>
      <c r="K39" s="285"/>
      <c r="L39" s="286"/>
      <c r="M39" s="692"/>
      <c r="N39" s="288">
        <f t="shared" si="2"/>
        <v>0</v>
      </c>
    </row>
    <row r="40" spans="1:14">
      <c r="A40" s="268"/>
      <c r="B40" s="278">
        <v>18</v>
      </c>
      <c r="C40" s="284"/>
      <c r="D40" s="285"/>
      <c r="E40" s="286"/>
      <c r="F40" s="692"/>
      <c r="G40" s="288">
        <f t="shared" si="0"/>
        <v>0</v>
      </c>
      <c r="H40" s="268"/>
      <c r="I40" s="278">
        <v>18</v>
      </c>
      <c r="J40" s="284"/>
      <c r="K40" s="285"/>
      <c r="L40" s="286"/>
      <c r="M40" s="692"/>
      <c r="N40" s="288">
        <f t="shared" si="2"/>
        <v>0</v>
      </c>
    </row>
    <row r="41" spans="1:14">
      <c r="A41" s="268"/>
      <c r="B41" s="278">
        <v>19</v>
      </c>
      <c r="C41" s="284"/>
      <c r="D41" s="285"/>
      <c r="E41" s="286"/>
      <c r="F41" s="692"/>
      <c r="G41" s="288">
        <f t="shared" si="0"/>
        <v>0</v>
      </c>
      <c r="H41" s="268"/>
      <c r="I41" s="278">
        <v>19</v>
      </c>
      <c r="J41" s="284"/>
      <c r="K41" s="285"/>
      <c r="L41" s="286"/>
      <c r="M41" s="692"/>
      <c r="N41" s="288">
        <f t="shared" si="2"/>
        <v>0</v>
      </c>
    </row>
    <row r="42" spans="1:14">
      <c r="A42" s="268"/>
      <c r="B42" s="278">
        <v>20</v>
      </c>
      <c r="C42" s="284"/>
      <c r="D42" s="285"/>
      <c r="E42" s="286"/>
      <c r="F42" s="692"/>
      <c r="G42" s="288">
        <f t="shared" si="0"/>
        <v>0</v>
      </c>
      <c r="H42" s="268"/>
      <c r="I42" s="278">
        <v>20</v>
      </c>
      <c r="J42" s="284"/>
      <c r="K42" s="285"/>
      <c r="L42" s="286"/>
      <c r="M42" s="692"/>
      <c r="N42" s="288">
        <f t="shared" si="2"/>
        <v>0</v>
      </c>
    </row>
    <row r="43" spans="1:14" ht="14.5" thickBot="1">
      <c r="A43" s="268"/>
      <c r="B43" s="268"/>
      <c r="C43" s="268"/>
      <c r="D43" s="268"/>
      <c r="E43" s="268"/>
      <c r="F43" s="268"/>
      <c r="G43" s="268"/>
      <c r="H43" s="268"/>
      <c r="I43" s="268"/>
      <c r="J43" s="268"/>
      <c r="K43" s="268"/>
      <c r="L43" s="268"/>
      <c r="M43" s="268"/>
      <c r="N43" s="268"/>
    </row>
    <row r="44" spans="1:14" ht="14.5" thickBot="1">
      <c r="A44" s="268"/>
      <c r="B44" s="268"/>
      <c r="C44" s="268"/>
      <c r="D44" s="268"/>
      <c r="E44" s="289"/>
      <c r="F44" s="290" t="s">
        <v>1600</v>
      </c>
      <c r="G44" s="291">
        <f>SUM($G$24:$G$42)</f>
        <v>0</v>
      </c>
      <c r="H44" s="268"/>
      <c r="I44" s="268"/>
      <c r="J44" s="268"/>
      <c r="K44" s="268"/>
      <c r="L44" s="289"/>
      <c r="M44" s="290" t="s">
        <v>1601</v>
      </c>
      <c r="N44" s="291">
        <f>SUM($N$24:$N$42)</f>
        <v>0</v>
      </c>
    </row>
    <row r="45" spans="1:14">
      <c r="A45" s="268"/>
      <c r="B45" s="268"/>
      <c r="C45" s="268"/>
      <c r="D45" s="268"/>
      <c r="E45" s="268"/>
      <c r="F45" s="268"/>
      <c r="G45" s="268"/>
      <c r="H45" s="268"/>
      <c r="I45" s="268"/>
      <c r="J45" s="268"/>
      <c r="K45" s="268"/>
      <c r="L45" s="268"/>
      <c r="M45" s="268"/>
      <c r="N45" s="268"/>
    </row>
    <row r="46" spans="1:14" ht="17.5">
      <c r="A46" s="268"/>
      <c r="B46" s="270" t="s">
        <v>1602</v>
      </c>
      <c r="C46" s="268"/>
      <c r="D46" s="268"/>
      <c r="E46" s="268"/>
      <c r="F46" s="268"/>
      <c r="G46" s="268"/>
      <c r="H46" s="268"/>
      <c r="I46" s="270" t="s">
        <v>1603</v>
      </c>
      <c r="J46" s="268"/>
      <c r="K46" s="268"/>
      <c r="L46" s="268"/>
      <c r="M46" s="268"/>
      <c r="N46" s="268"/>
    </row>
    <row r="47" spans="1:14">
      <c r="A47" s="268"/>
      <c r="B47" s="271" t="s">
        <v>1604</v>
      </c>
      <c r="C47" s="268"/>
      <c r="D47" s="268"/>
      <c r="E47" s="268"/>
      <c r="F47" s="268"/>
      <c r="G47" s="268"/>
      <c r="H47" s="268"/>
      <c r="I47" s="271" t="s">
        <v>1604</v>
      </c>
      <c r="J47" s="268"/>
      <c r="K47" s="268"/>
      <c r="L47" s="268"/>
      <c r="M47" s="268"/>
      <c r="N47" s="268"/>
    </row>
    <row r="48" spans="1:14" ht="14.5">
      <c r="A48" s="268"/>
      <c r="B48" s="268"/>
      <c r="C48" s="273" t="s">
        <v>353</v>
      </c>
      <c r="D48" s="1329" t="s">
        <v>353</v>
      </c>
      <c r="E48" s="1329"/>
      <c r="F48" s="1329"/>
      <c r="G48" s="273" t="s">
        <v>353</v>
      </c>
      <c r="H48" s="268"/>
      <c r="I48" s="268"/>
      <c r="J48" s="273" t="s">
        <v>353</v>
      </c>
      <c r="K48" s="1329" t="s">
        <v>353</v>
      </c>
      <c r="L48" s="1329"/>
      <c r="M48" s="1329"/>
      <c r="N48" s="273" t="s">
        <v>353</v>
      </c>
    </row>
    <row r="49" spans="1:14" ht="28">
      <c r="A49" s="268"/>
      <c r="B49" s="274" t="s">
        <v>1593</v>
      </c>
      <c r="C49" s="292" t="s">
        <v>360</v>
      </c>
      <c r="D49" s="1330" t="s">
        <v>29</v>
      </c>
      <c r="E49" s="1330"/>
      <c r="F49" s="1330"/>
      <c r="G49" s="277" t="s">
        <v>363</v>
      </c>
      <c r="H49" s="268"/>
      <c r="I49" s="274" t="s">
        <v>1593</v>
      </c>
      <c r="J49" s="292" t="s">
        <v>360</v>
      </c>
      <c r="K49" s="1330" t="s">
        <v>29</v>
      </c>
      <c r="L49" s="1330"/>
      <c r="M49" s="1330"/>
      <c r="N49" s="277" t="s">
        <v>363</v>
      </c>
    </row>
    <row r="50" spans="1:14">
      <c r="A50" s="268"/>
      <c r="B50" s="278">
        <v>1</v>
      </c>
      <c r="C50" s="284"/>
      <c r="D50" s="1326"/>
      <c r="E50" s="1327"/>
      <c r="F50" s="1328"/>
      <c r="G50" s="293"/>
      <c r="H50" s="268"/>
      <c r="I50" s="278">
        <v>1</v>
      </c>
      <c r="J50" s="284"/>
      <c r="K50" s="1326"/>
      <c r="L50" s="1327"/>
      <c r="M50" s="1328"/>
      <c r="N50" s="293"/>
    </row>
    <row r="51" spans="1:14">
      <c r="A51" s="268"/>
      <c r="B51" s="278">
        <v>2</v>
      </c>
      <c r="C51" s="284"/>
      <c r="D51" s="1326"/>
      <c r="E51" s="1327"/>
      <c r="F51" s="1328"/>
      <c r="G51" s="293"/>
      <c r="H51" s="268"/>
      <c r="I51" s="278">
        <v>2</v>
      </c>
      <c r="J51" s="284"/>
      <c r="K51" s="1326"/>
      <c r="L51" s="1327"/>
      <c r="M51" s="1328"/>
      <c r="N51" s="293"/>
    </row>
    <row r="52" spans="1:14">
      <c r="A52" s="268"/>
      <c r="B52" s="278">
        <v>3</v>
      </c>
      <c r="C52" s="284"/>
      <c r="D52" s="1326"/>
      <c r="E52" s="1327"/>
      <c r="F52" s="1328"/>
      <c r="G52" s="293"/>
      <c r="H52" s="268"/>
      <c r="I52" s="278">
        <v>3</v>
      </c>
      <c r="J52" s="284"/>
      <c r="K52" s="1326"/>
      <c r="L52" s="1327"/>
      <c r="M52" s="1328"/>
      <c r="N52" s="293"/>
    </row>
    <row r="53" spans="1:14">
      <c r="A53" s="268"/>
      <c r="B53" s="278">
        <v>4</v>
      </c>
      <c r="C53" s="284"/>
      <c r="D53" s="1326"/>
      <c r="E53" s="1327"/>
      <c r="F53" s="1328"/>
      <c r="G53" s="293"/>
      <c r="H53" s="268"/>
      <c r="I53" s="278">
        <v>4</v>
      </c>
      <c r="J53" s="284"/>
      <c r="K53" s="1326"/>
      <c r="L53" s="1327"/>
      <c r="M53" s="1328"/>
      <c r="N53" s="293"/>
    </row>
    <row r="54" spans="1:14">
      <c r="A54" s="268"/>
      <c r="B54" s="278">
        <v>5</v>
      </c>
      <c r="C54" s="284"/>
      <c r="D54" s="1326"/>
      <c r="E54" s="1327"/>
      <c r="F54" s="1328"/>
      <c r="G54" s="293"/>
      <c r="H54" s="268"/>
      <c r="I54" s="278">
        <v>5</v>
      </c>
      <c r="J54" s="284"/>
      <c r="K54" s="1326"/>
      <c r="L54" s="1327"/>
      <c r="M54" s="1328"/>
      <c r="N54" s="293"/>
    </row>
    <row r="55" spans="1:14">
      <c r="A55" s="268"/>
      <c r="B55" s="278">
        <v>6</v>
      </c>
      <c r="C55" s="284"/>
      <c r="D55" s="1326"/>
      <c r="E55" s="1327"/>
      <c r="F55" s="1328"/>
      <c r="G55" s="293"/>
      <c r="H55" s="268"/>
      <c r="I55" s="278">
        <v>6</v>
      </c>
      <c r="J55" s="284"/>
      <c r="K55" s="1326"/>
      <c r="L55" s="1327"/>
      <c r="M55" s="1328"/>
      <c r="N55" s="293"/>
    </row>
    <row r="56" spans="1:14">
      <c r="A56" s="268"/>
      <c r="B56" s="278">
        <v>7</v>
      </c>
      <c r="C56" s="284"/>
      <c r="D56" s="1326"/>
      <c r="E56" s="1327"/>
      <c r="F56" s="1328"/>
      <c r="G56" s="293"/>
      <c r="H56" s="268"/>
      <c r="I56" s="278">
        <v>7</v>
      </c>
      <c r="J56" s="284"/>
      <c r="K56" s="1326"/>
      <c r="L56" s="1327"/>
      <c r="M56" s="1328"/>
      <c r="N56" s="293"/>
    </row>
    <row r="57" spans="1:14">
      <c r="A57" s="268"/>
      <c r="B57" s="278">
        <v>8</v>
      </c>
      <c r="C57" s="284"/>
      <c r="D57" s="1326"/>
      <c r="E57" s="1327"/>
      <c r="F57" s="1328"/>
      <c r="G57" s="293"/>
      <c r="H57" s="268"/>
      <c r="I57" s="278">
        <v>8</v>
      </c>
      <c r="J57" s="284"/>
      <c r="K57" s="1326"/>
      <c r="L57" s="1327"/>
      <c r="M57" s="1328"/>
      <c r="N57" s="293"/>
    </row>
    <row r="58" spans="1:14">
      <c r="A58" s="268"/>
      <c r="B58" s="278">
        <v>9</v>
      </c>
      <c r="C58" s="284"/>
      <c r="D58" s="1326"/>
      <c r="E58" s="1327"/>
      <c r="F58" s="1328"/>
      <c r="G58" s="293"/>
      <c r="H58" s="268"/>
      <c r="I58" s="278">
        <v>9</v>
      </c>
      <c r="J58" s="284"/>
      <c r="K58" s="1326"/>
      <c r="L58" s="1327"/>
      <c r="M58" s="1328"/>
      <c r="N58" s="293"/>
    </row>
    <row r="59" spans="1:14">
      <c r="A59" s="268"/>
      <c r="B59" s="278">
        <v>10</v>
      </c>
      <c r="C59" s="284"/>
      <c r="D59" s="1326"/>
      <c r="E59" s="1327"/>
      <c r="F59" s="1328"/>
      <c r="G59" s="293"/>
      <c r="H59" s="268"/>
      <c r="I59" s="278">
        <v>10</v>
      </c>
      <c r="J59" s="284"/>
      <c r="K59" s="1326"/>
      <c r="L59" s="1327"/>
      <c r="M59" s="1328"/>
      <c r="N59" s="293"/>
    </row>
    <row r="60" spans="1:14" ht="14.5" thickBot="1">
      <c r="A60" s="268"/>
      <c r="B60" s="268"/>
      <c r="C60" s="268"/>
      <c r="D60" s="268"/>
      <c r="E60" s="268"/>
      <c r="F60" s="268"/>
      <c r="G60" s="268"/>
      <c r="H60" s="268"/>
      <c r="I60" s="268"/>
      <c r="J60" s="268"/>
      <c r="K60" s="268"/>
      <c r="L60" s="268"/>
      <c r="M60" s="268"/>
      <c r="N60" s="268"/>
    </row>
    <row r="61" spans="1:14" ht="14.5" thickBot="1">
      <c r="A61" s="268"/>
      <c r="B61" s="268"/>
      <c r="C61" s="268"/>
      <c r="D61" s="268"/>
      <c r="E61" s="289"/>
      <c r="F61" s="290" t="s">
        <v>1600</v>
      </c>
      <c r="G61" s="291">
        <f>SUM($G$50:$G$59)</f>
        <v>0</v>
      </c>
      <c r="H61" s="268"/>
      <c r="I61" s="268"/>
      <c r="J61" s="268"/>
      <c r="K61" s="268"/>
      <c r="L61" s="289"/>
      <c r="M61" s="290" t="s">
        <v>1605</v>
      </c>
      <c r="N61" s="291">
        <f>SUM($N$50:$N$59)</f>
        <v>0</v>
      </c>
    </row>
    <row r="62" spans="1:14">
      <c r="F62"/>
    </row>
    <row r="63" spans="1:14">
      <c r="F63"/>
    </row>
    <row r="64" spans="1:14">
      <c r="F64"/>
    </row>
    <row r="65" spans="6:6">
      <c r="F65"/>
    </row>
    <row r="66" spans="6:6">
      <c r="F66"/>
    </row>
    <row r="67" spans="6:6">
      <c r="F67"/>
    </row>
    <row r="68" spans="6:6">
      <c r="F68"/>
    </row>
    <row r="69" spans="6:6">
      <c r="F69"/>
    </row>
    <row r="70" spans="6:6">
      <c r="F70"/>
    </row>
    <row r="71" spans="6:6">
      <c r="F71"/>
    </row>
    <row r="72" spans="6:6">
      <c r="F72"/>
    </row>
    <row r="73" spans="6:6">
      <c r="F73"/>
    </row>
    <row r="74" spans="6:6">
      <c r="F74"/>
    </row>
    <row r="75" spans="6:6">
      <c r="F75"/>
    </row>
    <row r="76" spans="6:6">
      <c r="F76"/>
    </row>
    <row r="77" spans="6:6">
      <c r="F77"/>
    </row>
    <row r="78" spans="6:6">
      <c r="F78"/>
    </row>
    <row r="79" spans="6:6">
      <c r="F79"/>
    </row>
    <row r="80" spans="6:6">
      <c r="F80"/>
    </row>
    <row r="81" spans="6:6">
      <c r="F81"/>
    </row>
    <row r="82" spans="6:6">
      <c r="F82"/>
    </row>
    <row r="83" spans="6:6">
      <c r="F83"/>
    </row>
    <row r="84" spans="6:6">
      <c r="F84"/>
    </row>
    <row r="85" spans="6:6">
      <c r="F85"/>
    </row>
    <row r="86" spans="6:6">
      <c r="F86"/>
    </row>
    <row r="87" spans="6:6">
      <c r="F87"/>
    </row>
    <row r="88" spans="6:6">
      <c r="F88"/>
    </row>
    <row r="89" spans="6:6">
      <c r="F89"/>
    </row>
    <row r="90" spans="6:6">
      <c r="F90"/>
    </row>
    <row r="91" spans="6:6">
      <c r="F91"/>
    </row>
    <row r="92" spans="6:6">
      <c r="F92"/>
    </row>
    <row r="93" spans="6:6">
      <c r="F93"/>
    </row>
    <row r="94" spans="6:6">
      <c r="F94"/>
    </row>
    <row r="95" spans="6:6">
      <c r="F95"/>
    </row>
    <row r="96" spans="6:6">
      <c r="F96"/>
    </row>
    <row r="97" spans="6:6">
      <c r="F97"/>
    </row>
    <row r="98" spans="6:6">
      <c r="F98"/>
    </row>
    <row r="99" spans="6:6">
      <c r="F99"/>
    </row>
    <row r="100" spans="6:6">
      <c r="F100"/>
    </row>
    <row r="101" spans="6:6">
      <c r="F101"/>
    </row>
    <row r="102" spans="6:6">
      <c r="F102"/>
    </row>
    <row r="103" spans="6:6">
      <c r="F103"/>
    </row>
    <row r="104" spans="6:6">
      <c r="F104"/>
    </row>
    <row r="105" spans="6:6">
      <c r="F105"/>
    </row>
    <row r="106" spans="6:6">
      <c r="F106"/>
    </row>
    <row r="107" spans="6:6">
      <c r="F107"/>
    </row>
    <row r="108" spans="6:6">
      <c r="F108"/>
    </row>
    <row r="109" spans="6:6">
      <c r="F109"/>
    </row>
    <row r="110" spans="6:6">
      <c r="F110"/>
    </row>
    <row r="111" spans="6:6">
      <c r="F111"/>
    </row>
    <row r="112" spans="6:6">
      <c r="F112"/>
    </row>
    <row r="113" spans="6:6">
      <c r="F113"/>
    </row>
    <row r="114" spans="6:6">
      <c r="F114"/>
    </row>
    <row r="115" spans="6:6">
      <c r="F115"/>
    </row>
    <row r="116" spans="6:6">
      <c r="F116"/>
    </row>
    <row r="117" spans="6:6">
      <c r="F117"/>
    </row>
    <row r="118" spans="6:6">
      <c r="F118"/>
    </row>
    <row r="119" spans="6:6">
      <c r="F119"/>
    </row>
    <row r="120" spans="6:6">
      <c r="F120"/>
    </row>
    <row r="121" spans="6:6">
      <c r="F121"/>
    </row>
    <row r="122" spans="6:6">
      <c r="F122"/>
    </row>
    <row r="123" spans="6:6">
      <c r="F123"/>
    </row>
    <row r="124" spans="6:6">
      <c r="F124"/>
    </row>
    <row r="125" spans="6:6">
      <c r="F125"/>
    </row>
    <row r="126" spans="6:6">
      <c r="F126"/>
    </row>
    <row r="127" spans="6:6">
      <c r="F127"/>
    </row>
    <row r="128" spans="6:6">
      <c r="F128"/>
    </row>
    <row r="129" spans="6:6">
      <c r="F129"/>
    </row>
    <row r="130" spans="6:6">
      <c r="F130"/>
    </row>
    <row r="131" spans="6:6">
      <c r="F131"/>
    </row>
    <row r="132" spans="6:6">
      <c r="F132"/>
    </row>
    <row r="133" spans="6:6">
      <c r="F133"/>
    </row>
    <row r="134" spans="6:6">
      <c r="F134"/>
    </row>
    <row r="135" spans="6:6">
      <c r="F135"/>
    </row>
  </sheetData>
  <sheetProtection algorithmName="SHA-512" hashValue="NLsc3kxC67BoDRdYJZ/1IgeeUNKr+0F3T6OuISq4cnK12euT12FfScocjdlIWoqdDjvmRTiNb8NYyTpqj1amfw==" saltValue="miIMHeFczMYBhJBOlIr3nQ==" spinCount="100000" sheet="1" objects="1" scenarios="1"/>
  <mergeCells count="24">
    <mergeCell ref="D48:F48"/>
    <mergeCell ref="K48:M48"/>
    <mergeCell ref="D49:F49"/>
    <mergeCell ref="K49:M49"/>
    <mergeCell ref="D50:F50"/>
    <mergeCell ref="K50:M50"/>
    <mergeCell ref="D51:F51"/>
    <mergeCell ref="K51:M51"/>
    <mergeCell ref="D52:F52"/>
    <mergeCell ref="K52:M52"/>
    <mergeCell ref="D53:F53"/>
    <mergeCell ref="K53:M53"/>
    <mergeCell ref="D54:F54"/>
    <mergeCell ref="K54:M54"/>
    <mergeCell ref="D55:F55"/>
    <mergeCell ref="K55:M55"/>
    <mergeCell ref="D56:F56"/>
    <mergeCell ref="K56:M56"/>
    <mergeCell ref="D57:F57"/>
    <mergeCell ref="K57:M57"/>
    <mergeCell ref="D58:F58"/>
    <mergeCell ref="K58:M58"/>
    <mergeCell ref="D59:F59"/>
    <mergeCell ref="K59:M59"/>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32D49-0989-452B-8C3F-A9A64CCA3C8E}">
  <sheetPr>
    <tabColor theme="3" tint="-0.249977111117893"/>
  </sheetPr>
  <dimension ref="A1:L115"/>
  <sheetViews>
    <sheetView showGridLines="0" zoomScale="85" zoomScaleNormal="85" workbookViewId="0">
      <selection activeCell="H42" sqref="H42"/>
    </sheetView>
  </sheetViews>
  <sheetFormatPr defaultRowHeight="14"/>
  <cols>
    <col min="2" max="2" width="28.1640625" bestFit="1" customWidth="1"/>
    <col min="3" max="3" width="34.1640625" customWidth="1"/>
    <col min="4" max="4" width="20.58203125" bestFit="1" customWidth="1"/>
    <col min="5" max="5" width="17.6640625" customWidth="1"/>
    <col min="6" max="6" width="12.1640625" customWidth="1"/>
    <col min="7" max="7" width="16.9140625" customWidth="1"/>
    <col min="8" max="8" width="18.5" customWidth="1"/>
    <col min="9" max="9" width="53.08203125" bestFit="1" customWidth="1"/>
    <col min="10" max="11" width="13.08203125" customWidth="1"/>
    <col min="12" max="12" width="49.6640625" customWidth="1"/>
  </cols>
  <sheetData>
    <row r="1" spans="1:9" ht="27.65" customHeight="1">
      <c r="A1" s="154" t="s">
        <v>1606</v>
      </c>
      <c r="B1" s="258"/>
      <c r="C1" s="258"/>
      <c r="D1" s="258"/>
      <c r="E1" s="258"/>
      <c r="F1" s="259"/>
      <c r="G1" s="259"/>
      <c r="H1" s="259"/>
      <c r="I1" s="259"/>
    </row>
    <row r="2" spans="1:9">
      <c r="A2" s="260" t="s">
        <v>345</v>
      </c>
      <c r="B2" s="261"/>
      <c r="C2" s="261"/>
      <c r="D2" s="261"/>
      <c r="E2" s="261"/>
      <c r="F2" s="262"/>
      <c r="G2" s="262"/>
      <c r="H2" s="262"/>
      <c r="I2" s="262"/>
    </row>
    <row r="3" spans="1:9" ht="16.399999999999999" customHeight="1">
      <c r="A3" s="1331" t="s">
        <v>1607</v>
      </c>
      <c r="B3" s="1331"/>
      <c r="C3" s="1331"/>
      <c r="D3" s="1331"/>
      <c r="E3" s="1331"/>
      <c r="F3" s="1331"/>
      <c r="G3" s="1331"/>
      <c r="H3" s="1331"/>
      <c r="I3" s="1331"/>
    </row>
    <row r="4" spans="1:9" ht="16.399999999999999" customHeight="1">
      <c r="A4" s="1331"/>
      <c r="B4" s="1331"/>
      <c r="C4" s="1331"/>
      <c r="D4" s="1331"/>
      <c r="E4" s="1331"/>
      <c r="F4" s="1331"/>
      <c r="G4" s="1331"/>
      <c r="H4" s="1331"/>
      <c r="I4" s="1331"/>
    </row>
    <row r="5" spans="1:9">
      <c r="A5" s="263" t="s">
        <v>1608</v>
      </c>
      <c r="B5" s="263"/>
      <c r="C5" s="263"/>
      <c r="D5" s="263"/>
      <c r="E5" s="263"/>
      <c r="F5" s="263"/>
      <c r="G5" s="263"/>
      <c r="H5" s="263"/>
      <c r="I5" s="263"/>
    </row>
    <row r="6" spans="1:9" ht="25.65" customHeight="1">
      <c r="A6" s="294" t="s">
        <v>1609</v>
      </c>
      <c r="B6" s="268"/>
      <c r="C6" s="268"/>
      <c r="D6" s="268"/>
      <c r="E6" s="295"/>
      <c r="F6" s="296"/>
      <c r="G6" s="268"/>
      <c r="H6" s="268"/>
      <c r="I6" s="268"/>
    </row>
    <row r="7" spans="1:9">
      <c r="A7" s="297" t="s">
        <v>1610</v>
      </c>
      <c r="B7" s="268"/>
      <c r="C7" s="268"/>
      <c r="D7" s="268"/>
      <c r="E7" s="295"/>
      <c r="F7" s="296"/>
      <c r="G7" s="268"/>
      <c r="H7" s="268"/>
      <c r="I7" s="268"/>
    </row>
    <row r="8" spans="1:9" ht="17.5">
      <c r="A8" s="270"/>
      <c r="B8" s="273" t="s">
        <v>353</v>
      </c>
      <c r="C8" s="273" t="s">
        <v>353</v>
      </c>
      <c r="D8" s="273" t="s">
        <v>353</v>
      </c>
      <c r="E8" s="273" t="s">
        <v>353</v>
      </c>
      <c r="F8" s="273" t="s">
        <v>353</v>
      </c>
      <c r="G8" s="273" t="s">
        <v>353</v>
      </c>
      <c r="H8" s="273"/>
      <c r="I8" s="273" t="s">
        <v>353</v>
      </c>
    </row>
    <row r="9" spans="1:9" ht="53.25" customHeight="1">
      <c r="A9" s="298" t="s">
        <v>1593</v>
      </c>
      <c r="B9" s="292" t="s">
        <v>360</v>
      </c>
      <c r="C9" s="292" t="s">
        <v>1611</v>
      </c>
      <c r="D9" s="299" t="s">
        <v>1612</v>
      </c>
      <c r="E9" s="299" t="s">
        <v>1613</v>
      </c>
      <c r="F9" s="299" t="s">
        <v>1614</v>
      </c>
      <c r="G9" s="299" t="s">
        <v>1615</v>
      </c>
      <c r="H9" s="299" t="s">
        <v>363</v>
      </c>
      <c r="I9" s="299" t="s">
        <v>1616</v>
      </c>
    </row>
    <row r="10" spans="1:9" ht="15.5">
      <c r="A10" s="688" t="s">
        <v>2179</v>
      </c>
      <c r="B10" s="683"/>
      <c r="C10" s="683"/>
      <c r="D10" s="684"/>
      <c r="E10" s="684"/>
      <c r="F10" s="684"/>
      <c r="G10" s="684"/>
      <c r="H10" s="684"/>
      <c r="I10" s="684"/>
    </row>
    <row r="11" spans="1:9" ht="14.5">
      <c r="A11" s="300">
        <v>1</v>
      </c>
      <c r="B11" s="301" t="s">
        <v>1597</v>
      </c>
      <c r="C11" s="301" t="s">
        <v>1617</v>
      </c>
      <c r="D11" s="301" t="s">
        <v>1618</v>
      </c>
      <c r="E11" s="681">
        <v>20000</v>
      </c>
      <c r="F11" s="303" t="s">
        <v>1619</v>
      </c>
      <c r="G11" s="303">
        <v>0.41010000000000002</v>
      </c>
      <c r="H11" s="693">
        <f>G11*E11</f>
        <v>8202</v>
      </c>
      <c r="I11" s="303" t="s">
        <v>1620</v>
      </c>
    </row>
    <row r="12" spans="1:9" ht="15.9" customHeight="1">
      <c r="A12" s="300">
        <v>2</v>
      </c>
      <c r="B12" s="304"/>
      <c r="C12" s="304"/>
      <c r="D12" s="304"/>
      <c r="E12" s="682"/>
      <c r="F12" s="305"/>
      <c r="G12" s="306"/>
      <c r="H12" s="694" t="str">
        <f>IF(ISBLANK(E12),"",G12*E12)</f>
        <v/>
      </c>
      <c r="I12" s="307"/>
    </row>
    <row r="13" spans="1:9" ht="15.9" customHeight="1">
      <c r="A13" s="300">
        <v>3</v>
      </c>
      <c r="B13" s="304"/>
      <c r="C13" s="304"/>
      <c r="D13" s="304"/>
      <c r="E13" s="682"/>
      <c r="F13" s="305"/>
      <c r="G13" s="306"/>
      <c r="H13" s="694" t="str">
        <f>IF(ISBLANK(E13),"",G13*E13)</f>
        <v/>
      </c>
      <c r="I13" s="307"/>
    </row>
    <row r="14" spans="1:9" ht="15.9" customHeight="1">
      <c r="A14" s="300">
        <v>4</v>
      </c>
      <c r="B14" s="304"/>
      <c r="C14" s="304"/>
      <c r="D14" s="308"/>
      <c r="E14" s="304"/>
      <c r="F14" s="308"/>
      <c r="G14" s="306"/>
      <c r="H14" s="694" t="str">
        <f t="shared" ref="H14:H18" si="0">IF(ISBLANK(E14),"",G14*E14)</f>
        <v/>
      </c>
      <c r="I14" s="307"/>
    </row>
    <row r="15" spans="1:9" ht="15.9" customHeight="1">
      <c r="A15" s="300">
        <v>5</v>
      </c>
      <c r="B15" s="304"/>
      <c r="C15" s="304"/>
      <c r="D15" s="308"/>
      <c r="E15" s="304"/>
      <c r="F15" s="308"/>
      <c r="G15" s="306"/>
      <c r="H15" s="694" t="str">
        <f t="shared" si="0"/>
        <v/>
      </c>
      <c r="I15" s="307"/>
    </row>
    <row r="16" spans="1:9" ht="15.9" customHeight="1">
      <c r="A16" s="300">
        <v>6</v>
      </c>
      <c r="B16" s="304"/>
      <c r="C16" s="304"/>
      <c r="D16" s="308"/>
      <c r="E16" s="304"/>
      <c r="F16" s="308"/>
      <c r="G16" s="306"/>
      <c r="H16" s="694" t="str">
        <f t="shared" si="0"/>
        <v/>
      </c>
      <c r="I16" s="307"/>
    </row>
    <row r="17" spans="1:9" ht="15.9" customHeight="1">
      <c r="A17" s="300">
        <v>7</v>
      </c>
      <c r="B17" s="304"/>
      <c r="C17" s="304"/>
      <c r="D17" s="308"/>
      <c r="E17" s="304"/>
      <c r="F17" s="308"/>
      <c r="G17" s="306"/>
      <c r="H17" s="694" t="str">
        <f t="shared" si="0"/>
        <v/>
      </c>
      <c r="I17" s="307"/>
    </row>
    <row r="18" spans="1:9" ht="15.9" customHeight="1">
      <c r="A18" s="300">
        <v>8</v>
      </c>
      <c r="B18" s="304"/>
      <c r="C18" s="304"/>
      <c r="D18" s="308"/>
      <c r="E18" s="304"/>
      <c r="F18" s="308"/>
      <c r="G18" s="306"/>
      <c r="H18" s="694" t="str">
        <f t="shared" si="0"/>
        <v/>
      </c>
      <c r="I18" s="307"/>
    </row>
    <row r="19" spans="1:9" ht="15.5">
      <c r="A19" s="688" t="s">
        <v>2204</v>
      </c>
      <c r="B19" s="683"/>
      <c r="C19" s="683"/>
      <c r="D19" s="696" t="s">
        <v>1622</v>
      </c>
      <c r="E19" s="696" t="s">
        <v>1622</v>
      </c>
      <c r="F19" s="696" t="s">
        <v>1622</v>
      </c>
      <c r="G19" s="696" t="s">
        <v>1622</v>
      </c>
      <c r="H19" s="695" t="s">
        <v>353</v>
      </c>
      <c r="I19" s="684"/>
    </row>
    <row r="20" spans="1:9" ht="15.9" customHeight="1">
      <c r="A20" s="368">
        <v>1</v>
      </c>
      <c r="B20" s="410" t="s">
        <v>1621</v>
      </c>
      <c r="C20" s="410" t="s">
        <v>2206</v>
      </c>
      <c r="D20" s="1210"/>
      <c r="E20" s="1211"/>
      <c r="F20" s="1210"/>
      <c r="G20" s="1212"/>
      <c r="H20" s="1213">
        <v>15000</v>
      </c>
      <c r="I20" s="1213" t="s">
        <v>1623</v>
      </c>
    </row>
    <row r="21" spans="1:9" ht="15.9" customHeight="1">
      <c r="A21" s="300">
        <v>2</v>
      </c>
      <c r="B21" s="301"/>
      <c r="C21" s="301"/>
      <c r="D21" s="685"/>
      <c r="E21" s="686"/>
      <c r="F21" s="685"/>
      <c r="G21" s="687"/>
      <c r="H21" s="697"/>
      <c r="I21" s="303"/>
    </row>
    <row r="22" spans="1:9" ht="15.9" customHeight="1">
      <c r="A22" s="300">
        <v>3</v>
      </c>
      <c r="B22" s="301"/>
      <c r="C22" s="301"/>
      <c r="D22" s="685"/>
      <c r="E22" s="686"/>
      <c r="F22" s="685"/>
      <c r="G22" s="687"/>
      <c r="H22" s="697"/>
      <c r="I22" s="303"/>
    </row>
    <row r="23" spans="1:9" ht="15.9" customHeight="1">
      <c r="A23" s="300">
        <v>4</v>
      </c>
      <c r="B23" s="301"/>
      <c r="C23" s="301"/>
      <c r="D23" s="685"/>
      <c r="E23" s="686"/>
      <c r="F23" s="685"/>
      <c r="G23" s="687"/>
      <c r="H23" s="697"/>
      <c r="I23" s="303"/>
    </row>
    <row r="24" spans="1:9" ht="15.9" customHeight="1">
      <c r="A24" s="300">
        <v>5</v>
      </c>
      <c r="B24" s="304"/>
      <c r="C24" s="304"/>
      <c r="D24" s="685"/>
      <c r="E24" s="686"/>
      <c r="F24" s="685"/>
      <c r="G24" s="687"/>
      <c r="H24" s="307"/>
      <c r="I24" s="307"/>
    </row>
    <row r="25" spans="1:9" ht="15.9" customHeight="1" thickBot="1">
      <c r="A25" s="300">
        <v>6</v>
      </c>
      <c r="B25" s="304"/>
      <c r="C25" s="304"/>
      <c r="D25" s="685"/>
      <c r="E25" s="686"/>
      <c r="F25" s="685"/>
      <c r="G25" s="687"/>
      <c r="H25" s="307"/>
      <c r="I25" s="307"/>
    </row>
    <row r="26" spans="1:9" ht="15.9" customHeight="1" thickBot="1">
      <c r="A26" s="268"/>
      <c r="B26" s="268"/>
      <c r="C26" s="268"/>
      <c r="D26" s="268"/>
      <c r="E26" s="268"/>
      <c r="F26" s="268"/>
      <c r="G26" s="309" t="s">
        <v>1624</v>
      </c>
      <c r="H26" s="310">
        <f>SUM(H12:H18,H21:H25)</f>
        <v>0</v>
      </c>
      <c r="I26" s="297"/>
    </row>
    <row r="27" spans="1:9" ht="15.9" customHeight="1">
      <c r="A27" s="268"/>
      <c r="B27" s="268"/>
      <c r="C27" s="268"/>
      <c r="D27" s="268"/>
      <c r="E27" s="268"/>
      <c r="F27" s="268"/>
      <c r="G27" s="268"/>
      <c r="H27" s="268"/>
      <c r="I27" s="268"/>
    </row>
    <row r="28" spans="1:9">
      <c r="A28" s="294" t="s">
        <v>1625</v>
      </c>
      <c r="B28" s="268"/>
      <c r="C28" s="268"/>
      <c r="D28" s="268"/>
      <c r="E28" s="268"/>
      <c r="F28" s="295"/>
      <c r="G28" s="296"/>
      <c r="H28" s="268"/>
      <c r="I28" s="268"/>
    </row>
    <row r="29" spans="1:9">
      <c r="A29" s="294" t="s">
        <v>1626</v>
      </c>
      <c r="B29" s="268"/>
      <c r="C29" s="268"/>
      <c r="D29" s="268"/>
      <c r="E29" s="268"/>
      <c r="F29" s="295"/>
      <c r="G29" s="296"/>
      <c r="H29" s="268"/>
      <c r="I29" s="268"/>
    </row>
    <row r="30" spans="1:9" ht="14.5">
      <c r="A30" s="268"/>
      <c r="B30" s="273" t="s">
        <v>353</v>
      </c>
      <c r="C30" s="273" t="s">
        <v>353</v>
      </c>
      <c r="D30" s="273" t="s">
        <v>353</v>
      </c>
      <c r="E30" s="273" t="s">
        <v>353</v>
      </c>
      <c r="F30" s="273" t="s">
        <v>353</v>
      </c>
      <c r="G30" s="311" t="s">
        <v>353</v>
      </c>
      <c r="H30" s="273"/>
      <c r="I30" s="273" t="s">
        <v>353</v>
      </c>
    </row>
    <row r="31" spans="1:9" ht="42">
      <c r="A31" s="298" t="s">
        <v>1593</v>
      </c>
      <c r="B31" s="292" t="s">
        <v>360</v>
      </c>
      <c r="C31" s="292" t="s">
        <v>1627</v>
      </c>
      <c r="D31" s="312" t="s">
        <v>1628</v>
      </c>
      <c r="E31" s="298" t="s">
        <v>1629</v>
      </c>
      <c r="F31" s="298" t="s">
        <v>1630</v>
      </c>
      <c r="G31" s="299" t="s">
        <v>1631</v>
      </c>
      <c r="H31" s="299" t="s">
        <v>363</v>
      </c>
      <c r="I31" s="299" t="s">
        <v>1616</v>
      </c>
    </row>
    <row r="32" spans="1:9" ht="15.5">
      <c r="A32" s="688" t="s">
        <v>2179</v>
      </c>
      <c r="B32" s="683"/>
      <c r="C32" s="683"/>
      <c r="D32" s="684"/>
      <c r="E32" s="684"/>
      <c r="F32" s="684"/>
      <c r="G32" s="684"/>
      <c r="H32" s="684"/>
      <c r="I32" s="684"/>
    </row>
    <row r="33" spans="1:9" ht="14.5">
      <c r="A33" s="368">
        <v>1</v>
      </c>
      <c r="B33" s="410" t="s">
        <v>1597</v>
      </c>
      <c r="C33" s="410" t="s">
        <v>30</v>
      </c>
      <c r="D33" s="410" t="s">
        <v>31</v>
      </c>
      <c r="E33" s="1215">
        <v>10</v>
      </c>
      <c r="F33" s="410" t="s">
        <v>1632</v>
      </c>
      <c r="G33" s="410">
        <v>0.82799999999999996</v>
      </c>
      <c r="H33" s="1215">
        <f>G33*E33</f>
        <v>8.2799999999999994</v>
      </c>
      <c r="I33" s="410" t="s">
        <v>1633</v>
      </c>
    </row>
    <row r="34" spans="1:9">
      <c r="A34" s="300">
        <v>2</v>
      </c>
      <c r="B34" s="313"/>
      <c r="C34" s="304"/>
      <c r="D34" s="304"/>
      <c r="E34" s="322"/>
      <c r="F34" s="314"/>
      <c r="G34" s="314"/>
      <c r="H34" s="694" t="str">
        <f>IF(ISBLANK(E34),"",G34*E34)</f>
        <v/>
      </c>
      <c r="I34" s="315"/>
    </row>
    <row r="35" spans="1:9">
      <c r="A35" s="300">
        <v>3</v>
      </c>
      <c r="B35" s="313"/>
      <c r="C35" s="304"/>
      <c r="D35" s="304"/>
      <c r="E35" s="322"/>
      <c r="F35" s="314"/>
      <c r="G35" s="314"/>
      <c r="H35" s="694" t="str">
        <f t="shared" ref="H35:H40" si="1">IF(ISBLANK(E35),"",G35*E35)</f>
        <v/>
      </c>
      <c r="I35" s="315"/>
    </row>
    <row r="36" spans="1:9">
      <c r="A36" s="300">
        <v>4</v>
      </c>
      <c r="B36" s="313"/>
      <c r="C36" s="304"/>
      <c r="D36" s="304"/>
      <c r="E36" s="322"/>
      <c r="F36" s="314"/>
      <c r="G36" s="314"/>
      <c r="H36" s="694" t="str">
        <f t="shared" si="1"/>
        <v/>
      </c>
      <c r="I36" s="315"/>
    </row>
    <row r="37" spans="1:9">
      <c r="A37" s="300">
        <v>5</v>
      </c>
      <c r="B37" s="313"/>
      <c r="C37" s="304"/>
      <c r="D37" s="304"/>
      <c r="E37" s="322"/>
      <c r="F37" s="314"/>
      <c r="G37" s="314"/>
      <c r="H37" s="694" t="str">
        <f t="shared" si="1"/>
        <v/>
      </c>
      <c r="I37" s="315"/>
    </row>
    <row r="38" spans="1:9">
      <c r="A38" s="300">
        <v>6</v>
      </c>
      <c r="B38" s="313"/>
      <c r="C38" s="304"/>
      <c r="D38" s="304"/>
      <c r="E38" s="322"/>
      <c r="F38" s="314"/>
      <c r="G38" s="314"/>
      <c r="H38" s="694" t="str">
        <f t="shared" si="1"/>
        <v/>
      </c>
      <c r="I38" s="315"/>
    </row>
    <row r="39" spans="1:9">
      <c r="A39" s="300">
        <v>7</v>
      </c>
      <c r="B39" s="313"/>
      <c r="C39" s="304"/>
      <c r="D39" s="304"/>
      <c r="E39" s="322"/>
      <c r="F39" s="314"/>
      <c r="G39" s="314"/>
      <c r="H39" s="694" t="str">
        <f t="shared" si="1"/>
        <v/>
      </c>
      <c r="I39" s="315"/>
    </row>
    <row r="40" spans="1:9">
      <c r="A40" s="300">
        <v>8</v>
      </c>
      <c r="B40" s="313"/>
      <c r="C40" s="304"/>
      <c r="D40" s="304"/>
      <c r="E40" s="322"/>
      <c r="F40" s="314"/>
      <c r="G40" s="314"/>
      <c r="H40" s="694" t="str">
        <f t="shared" si="1"/>
        <v/>
      </c>
      <c r="I40" s="315"/>
    </row>
    <row r="41" spans="1:9" ht="15.5">
      <c r="A41" s="688" t="s">
        <v>2204</v>
      </c>
      <c r="B41" s="683"/>
      <c r="C41" s="683"/>
      <c r="D41" s="696" t="s">
        <v>1622</v>
      </c>
      <c r="E41" s="696" t="s">
        <v>1622</v>
      </c>
      <c r="F41" s="696" t="s">
        <v>1622</v>
      </c>
      <c r="G41" s="696" t="s">
        <v>1622</v>
      </c>
      <c r="H41" s="695" t="s">
        <v>353</v>
      </c>
      <c r="I41" s="684"/>
    </row>
    <row r="42" spans="1:9" ht="14.5">
      <c r="A42" s="368">
        <v>1</v>
      </c>
      <c r="B42" s="410" t="s">
        <v>1621</v>
      </c>
      <c r="C42" s="410" t="s">
        <v>2207</v>
      </c>
      <c r="D42" s="1210"/>
      <c r="E42" s="1211"/>
      <c r="F42" s="1210"/>
      <c r="G42" s="1212"/>
      <c r="H42" s="1213">
        <v>2500</v>
      </c>
      <c r="I42" s="1213" t="s">
        <v>2208</v>
      </c>
    </row>
    <row r="43" spans="1:9" ht="14.5">
      <c r="A43" s="300">
        <v>2</v>
      </c>
      <c r="B43" s="301"/>
      <c r="C43" s="301"/>
      <c r="D43" s="685"/>
      <c r="E43" s="686"/>
      <c r="F43" s="685"/>
      <c r="G43" s="687"/>
      <c r="H43" s="697"/>
      <c r="I43" s="303"/>
    </row>
    <row r="44" spans="1:9" ht="14.5">
      <c r="A44" s="300">
        <v>3</v>
      </c>
      <c r="B44" s="301"/>
      <c r="C44" s="301"/>
      <c r="D44" s="685"/>
      <c r="E44" s="686"/>
      <c r="F44" s="685"/>
      <c r="G44" s="687"/>
      <c r="H44" s="697"/>
      <c r="I44" s="303"/>
    </row>
    <row r="45" spans="1:9" ht="14.5">
      <c r="A45" s="300">
        <v>4</v>
      </c>
      <c r="B45" s="301"/>
      <c r="C45" s="301"/>
      <c r="D45" s="685"/>
      <c r="E45" s="686"/>
      <c r="F45" s="685"/>
      <c r="G45" s="687"/>
      <c r="H45" s="697"/>
      <c r="I45" s="303"/>
    </row>
    <row r="46" spans="1:9">
      <c r="A46" s="300">
        <v>5</v>
      </c>
      <c r="B46" s="304"/>
      <c r="C46" s="304"/>
      <c r="D46" s="685"/>
      <c r="E46" s="686"/>
      <c r="F46" s="685"/>
      <c r="G46" s="687"/>
      <c r="H46" s="697"/>
      <c r="I46" s="307"/>
    </row>
    <row r="47" spans="1:9" ht="14.5" thickBot="1">
      <c r="A47" s="300">
        <v>6</v>
      </c>
      <c r="B47" s="304"/>
      <c r="C47" s="304"/>
      <c r="D47" s="685"/>
      <c r="E47" s="686"/>
      <c r="F47" s="685"/>
      <c r="G47" s="687"/>
      <c r="H47" s="697"/>
      <c r="I47" s="307"/>
    </row>
    <row r="48" spans="1:9" ht="14.5" thickBot="1">
      <c r="A48" s="316"/>
      <c r="B48" s="268"/>
      <c r="C48" s="317"/>
      <c r="D48" s="317"/>
      <c r="E48" s="318"/>
      <c r="F48" s="318"/>
      <c r="G48" s="309" t="s">
        <v>1624</v>
      </c>
      <c r="H48" s="1214">
        <f>SUM(H34:H40,H43:H47)</f>
        <v>0</v>
      </c>
      <c r="I48" s="319"/>
    </row>
    <row r="49" spans="1:10">
      <c r="A49" s="316"/>
      <c r="B49" s="268"/>
      <c r="C49" s="317"/>
      <c r="D49" s="317"/>
      <c r="E49" s="318"/>
      <c r="F49" s="318"/>
      <c r="G49" s="318"/>
      <c r="H49" s="319"/>
      <c r="I49" s="319"/>
    </row>
    <row r="50" spans="1:10">
      <c r="A50" s="316"/>
      <c r="B50" s="268"/>
      <c r="C50" s="317"/>
      <c r="D50" s="317"/>
      <c r="E50" s="318"/>
      <c r="F50" s="318"/>
      <c r="G50" s="318"/>
      <c r="H50" s="319"/>
      <c r="I50" s="319"/>
    </row>
    <row r="51" spans="1:10" ht="18" customHeight="1">
      <c r="A51" s="294" t="s">
        <v>1634</v>
      </c>
      <c r="B51" s="268"/>
      <c r="C51" s="268"/>
      <c r="D51" s="268"/>
      <c r="E51" s="295"/>
      <c r="F51" s="296"/>
      <c r="G51" s="268"/>
      <c r="H51" s="268"/>
      <c r="I51" s="268"/>
    </row>
    <row r="52" spans="1:10">
      <c r="A52" s="297" t="s">
        <v>1610</v>
      </c>
      <c r="B52" s="268"/>
      <c r="C52" s="268"/>
      <c r="D52" s="268"/>
      <c r="E52" s="295"/>
      <c r="F52" s="296"/>
      <c r="G52" s="268"/>
      <c r="H52" s="268"/>
      <c r="I52" s="268"/>
    </row>
    <row r="53" spans="1:10" ht="14.5">
      <c r="A53" s="271"/>
      <c r="B53" s="273" t="s">
        <v>353</v>
      </c>
      <c r="C53" s="273" t="s">
        <v>353</v>
      </c>
      <c r="D53" s="273" t="s">
        <v>353</v>
      </c>
      <c r="E53" s="273" t="s">
        <v>353</v>
      </c>
      <c r="F53" s="273" t="s">
        <v>353</v>
      </c>
      <c r="G53" s="273" t="s">
        <v>353</v>
      </c>
      <c r="H53" s="273"/>
      <c r="I53" s="273" t="s">
        <v>353</v>
      </c>
    </row>
    <row r="54" spans="1:10" ht="42">
      <c r="A54" s="298" t="s">
        <v>1593</v>
      </c>
      <c r="B54" s="292" t="s">
        <v>360</v>
      </c>
      <c r="C54" s="292" t="s">
        <v>1635</v>
      </c>
      <c r="D54" s="299" t="s">
        <v>1612</v>
      </c>
      <c r="E54" s="299" t="s">
        <v>1613</v>
      </c>
      <c r="F54" s="299" t="s">
        <v>1614</v>
      </c>
      <c r="G54" s="299" t="s">
        <v>1615</v>
      </c>
      <c r="H54" s="299" t="s">
        <v>363</v>
      </c>
      <c r="I54" s="299" t="s">
        <v>1616</v>
      </c>
      <c r="J54" s="320" t="s">
        <v>1636</v>
      </c>
    </row>
    <row r="55" spans="1:10" ht="15.5">
      <c r="A55" s="688" t="s">
        <v>2179</v>
      </c>
      <c r="B55" s="683"/>
      <c r="C55" s="683"/>
      <c r="D55" s="684"/>
      <c r="E55" s="684"/>
      <c r="F55" s="684"/>
      <c r="G55" s="684"/>
      <c r="H55" s="684"/>
      <c r="I55" s="684"/>
    </row>
    <row r="56" spans="1:10" ht="14.5">
      <c r="A56" s="368">
        <v>1</v>
      </c>
      <c r="B56" s="410" t="s">
        <v>1637</v>
      </c>
      <c r="C56" s="410" t="s">
        <v>21</v>
      </c>
      <c r="D56" s="410" t="s">
        <v>1622</v>
      </c>
      <c r="E56" s="1215">
        <v>2300</v>
      </c>
      <c r="F56" s="410" t="s">
        <v>1622</v>
      </c>
      <c r="G56" s="410">
        <v>0.6</v>
      </c>
      <c r="H56" s="1215">
        <f>G56*E56</f>
        <v>1380</v>
      </c>
      <c r="I56" s="410" t="s">
        <v>2210</v>
      </c>
      <c r="J56" s="2" t="s">
        <v>1638</v>
      </c>
    </row>
    <row r="57" spans="1:10">
      <c r="A57" s="300">
        <v>2</v>
      </c>
      <c r="B57" s="304"/>
      <c r="C57" s="304"/>
      <c r="D57" s="321"/>
      <c r="E57" s="304"/>
      <c r="F57" s="321"/>
      <c r="G57" s="322"/>
      <c r="H57" s="694" t="str">
        <f>IF(ISBLANK(E57),"",G57*E57)</f>
        <v/>
      </c>
      <c r="I57" s="323"/>
      <c r="J57" t="s">
        <v>1639</v>
      </c>
    </row>
    <row r="58" spans="1:10">
      <c r="A58" s="300">
        <v>3</v>
      </c>
      <c r="B58" s="304"/>
      <c r="C58" s="304"/>
      <c r="D58" s="321"/>
      <c r="E58" s="304"/>
      <c r="F58" s="321"/>
      <c r="G58" s="322"/>
      <c r="H58" s="694" t="str">
        <f t="shared" ref="H58:H64" si="2">IF(ISBLANK(E58),"",G58*E58)</f>
        <v/>
      </c>
      <c r="I58" s="323"/>
    </row>
    <row r="59" spans="1:10">
      <c r="A59" s="300">
        <v>4</v>
      </c>
      <c r="B59" s="304"/>
      <c r="C59" s="304"/>
      <c r="D59" s="321"/>
      <c r="E59" s="304"/>
      <c r="F59" s="321"/>
      <c r="G59" s="322"/>
      <c r="H59" s="694" t="str">
        <f t="shared" si="2"/>
        <v/>
      </c>
      <c r="I59" s="323"/>
    </row>
    <row r="60" spans="1:10">
      <c r="A60" s="300">
        <v>5</v>
      </c>
      <c r="B60" s="304"/>
      <c r="C60" s="304"/>
      <c r="D60" s="321"/>
      <c r="E60" s="304"/>
      <c r="F60" s="321"/>
      <c r="G60" s="322"/>
      <c r="H60" s="694" t="str">
        <f t="shared" si="2"/>
        <v/>
      </c>
      <c r="I60" s="323"/>
    </row>
    <row r="61" spans="1:10">
      <c r="A61" s="300">
        <v>6</v>
      </c>
      <c r="B61" s="304"/>
      <c r="C61" s="304"/>
      <c r="D61" s="321"/>
      <c r="E61" s="304"/>
      <c r="F61" s="321"/>
      <c r="G61" s="322"/>
      <c r="H61" s="694" t="str">
        <f t="shared" si="2"/>
        <v/>
      </c>
      <c r="I61" s="323"/>
    </row>
    <row r="62" spans="1:10">
      <c r="A62" s="300">
        <v>7</v>
      </c>
      <c r="B62" s="304"/>
      <c r="C62" s="304"/>
      <c r="D62" s="321"/>
      <c r="E62" s="304"/>
      <c r="F62" s="321"/>
      <c r="G62" s="322"/>
      <c r="H62" s="694" t="str">
        <f t="shared" si="2"/>
        <v/>
      </c>
      <c r="I62" s="323"/>
    </row>
    <row r="63" spans="1:10">
      <c r="A63" s="300">
        <v>8</v>
      </c>
      <c r="B63" s="304"/>
      <c r="C63" s="304"/>
      <c r="D63" s="321"/>
      <c r="E63" s="304"/>
      <c r="F63" s="321"/>
      <c r="G63" s="322"/>
      <c r="H63" s="694" t="str">
        <f t="shared" si="2"/>
        <v/>
      </c>
      <c r="I63" s="323"/>
    </row>
    <row r="64" spans="1:10">
      <c r="A64" s="300"/>
      <c r="B64" s="304"/>
      <c r="C64" s="304"/>
      <c r="D64" s="321"/>
      <c r="E64" s="304"/>
      <c r="F64" s="321"/>
      <c r="G64" s="322"/>
      <c r="H64" s="694" t="str">
        <f t="shared" si="2"/>
        <v/>
      </c>
      <c r="I64" s="323"/>
    </row>
    <row r="65" spans="1:9" ht="15.5">
      <c r="A65" s="688" t="s">
        <v>2204</v>
      </c>
      <c r="B65" s="683"/>
      <c r="C65" s="683"/>
      <c r="D65" s="696" t="s">
        <v>1622</v>
      </c>
      <c r="E65" s="696" t="s">
        <v>1622</v>
      </c>
      <c r="F65" s="696" t="s">
        <v>1622</v>
      </c>
      <c r="G65" s="696" t="s">
        <v>1622</v>
      </c>
      <c r="H65" s="695" t="s">
        <v>353</v>
      </c>
      <c r="I65" s="684"/>
    </row>
    <row r="66" spans="1:9" ht="14.5">
      <c r="A66" s="368">
        <v>1</v>
      </c>
      <c r="B66" s="410" t="s">
        <v>1621</v>
      </c>
      <c r="C66" s="410" t="s">
        <v>2207</v>
      </c>
      <c r="D66" s="1210"/>
      <c r="E66" s="1211"/>
      <c r="F66" s="1210"/>
      <c r="G66" s="1212"/>
      <c r="H66" s="1213">
        <v>2500</v>
      </c>
      <c r="I66" s="1213" t="s">
        <v>2209</v>
      </c>
    </row>
    <row r="67" spans="1:9" ht="14.5">
      <c r="A67" s="300">
        <v>2</v>
      </c>
      <c r="B67" s="301"/>
      <c r="C67" s="301"/>
      <c r="D67" s="685"/>
      <c r="E67" s="686"/>
      <c r="F67" s="685"/>
      <c r="G67" s="687"/>
      <c r="H67" s="697"/>
      <c r="I67" s="303"/>
    </row>
    <row r="68" spans="1:9" ht="14.5">
      <c r="A68" s="300">
        <v>3</v>
      </c>
      <c r="B68" s="301"/>
      <c r="C68" s="301"/>
      <c r="D68" s="685"/>
      <c r="E68" s="686"/>
      <c r="F68" s="685"/>
      <c r="G68" s="687"/>
      <c r="H68" s="697"/>
      <c r="I68" s="303"/>
    </row>
    <row r="69" spans="1:9" ht="14.5">
      <c r="A69" s="300">
        <v>4</v>
      </c>
      <c r="B69" s="301"/>
      <c r="C69" s="301"/>
      <c r="D69" s="685"/>
      <c r="E69" s="686"/>
      <c r="F69" s="685"/>
      <c r="G69" s="687"/>
      <c r="H69" s="697"/>
      <c r="I69" s="303"/>
    </row>
    <row r="70" spans="1:9">
      <c r="A70" s="300">
        <v>5</v>
      </c>
      <c r="B70" s="304"/>
      <c r="C70" s="304"/>
      <c r="D70" s="685"/>
      <c r="E70" s="686"/>
      <c r="F70" s="685"/>
      <c r="G70" s="687"/>
      <c r="H70" s="307"/>
      <c r="I70" s="307"/>
    </row>
    <row r="71" spans="1:9" ht="14.5" thickBot="1">
      <c r="A71" s="300">
        <v>6</v>
      </c>
      <c r="B71" s="304"/>
      <c r="C71" s="304"/>
      <c r="D71" s="685"/>
      <c r="E71" s="686"/>
      <c r="F71" s="685"/>
      <c r="G71" s="687"/>
      <c r="H71" s="307"/>
      <c r="I71" s="307"/>
    </row>
    <row r="72" spans="1:9" ht="14.5" thickBot="1">
      <c r="A72" s="268"/>
      <c r="B72" s="268"/>
      <c r="C72" s="268"/>
      <c r="D72" s="268"/>
      <c r="E72" s="268"/>
      <c r="F72" s="268"/>
      <c r="G72" s="309" t="s">
        <v>1624</v>
      </c>
      <c r="H72" s="1214">
        <f>SUM(H57:H64,H67:H71)</f>
        <v>0</v>
      </c>
      <c r="I72" s="297"/>
    </row>
    <row r="73" spans="1:9">
      <c r="A73" s="268"/>
      <c r="B73" s="268"/>
      <c r="C73" s="268"/>
      <c r="D73" s="268"/>
      <c r="E73" s="268"/>
      <c r="F73" s="268"/>
      <c r="G73" s="324"/>
      <c r="H73" s="319"/>
      <c r="I73" s="297"/>
    </row>
    <row r="74" spans="1:9">
      <c r="A74" s="268"/>
      <c r="B74" s="268"/>
      <c r="C74" s="268"/>
      <c r="D74" s="268"/>
      <c r="E74" s="268"/>
      <c r="F74" s="268"/>
      <c r="G74" s="268"/>
      <c r="H74" s="268"/>
      <c r="I74" s="268"/>
    </row>
    <row r="75" spans="1:9" ht="18" customHeight="1">
      <c r="A75" s="294" t="s">
        <v>1640</v>
      </c>
      <c r="B75" s="268"/>
      <c r="C75" s="268"/>
      <c r="D75" s="268"/>
      <c r="E75" s="295"/>
      <c r="F75" s="296"/>
      <c r="G75" s="268"/>
      <c r="H75" s="268"/>
      <c r="I75" s="268"/>
    </row>
    <row r="76" spans="1:9">
      <c r="A76" s="272" t="s">
        <v>1592</v>
      </c>
      <c r="B76" s="268"/>
      <c r="C76" s="268"/>
      <c r="D76" s="268"/>
      <c r="E76" s="295"/>
      <c r="F76" s="296"/>
      <c r="G76" s="268"/>
      <c r="H76" s="268"/>
      <c r="I76" s="268"/>
    </row>
    <row r="77" spans="1:9" ht="15.5">
      <c r="A77" s="325"/>
      <c r="B77" s="326" t="s">
        <v>353</v>
      </c>
      <c r="C77" s="326" t="s">
        <v>353</v>
      </c>
      <c r="D77" s="326" t="s">
        <v>353</v>
      </c>
      <c r="E77" s="326" t="s">
        <v>353</v>
      </c>
      <c r="F77" s="326" t="s">
        <v>353</v>
      </c>
      <c r="G77" s="268"/>
      <c r="H77" s="268"/>
      <c r="I77" s="268"/>
    </row>
    <row r="78" spans="1:9" ht="55.5" customHeight="1">
      <c r="A78" s="298" t="s">
        <v>1593</v>
      </c>
      <c r="B78" s="292" t="s">
        <v>360</v>
      </c>
      <c r="C78" s="292" t="s">
        <v>287</v>
      </c>
      <c r="D78" s="292" t="s">
        <v>33</v>
      </c>
      <c r="E78" s="312" t="s">
        <v>1641</v>
      </c>
      <c r="F78" s="312" t="s">
        <v>1642</v>
      </c>
      <c r="G78" s="312" t="s">
        <v>1643</v>
      </c>
      <c r="H78" s="312" t="s">
        <v>363</v>
      </c>
      <c r="I78" s="268"/>
    </row>
    <row r="79" spans="1:9" ht="14.5">
      <c r="A79" s="300">
        <v>1</v>
      </c>
      <c r="B79" s="301" t="s">
        <v>1597</v>
      </c>
      <c r="C79" s="301" t="s">
        <v>295</v>
      </c>
      <c r="D79" s="301" t="s">
        <v>311</v>
      </c>
      <c r="E79" s="301" t="s">
        <v>302</v>
      </c>
      <c r="F79" s="681">
        <v>50000</v>
      </c>
      <c r="G79" s="327">
        <f>IFERROR(VLOOKUP(_xlfn.CONCAT(C79,D79,E79),EF!$U$57:$AB$115,8,FALSE),"")</f>
        <v>0.36035324295302018</v>
      </c>
      <c r="H79" s="328">
        <f>IFERROR(G79*F79/1000,"")</f>
        <v>18.017662147651009</v>
      </c>
      <c r="I79" s="268"/>
    </row>
    <row r="80" spans="1:9" ht="15" thickBot="1">
      <c r="A80" s="300">
        <v>2</v>
      </c>
      <c r="B80" s="304"/>
      <c r="C80" s="304"/>
      <c r="D80" s="304"/>
      <c r="E80" s="304"/>
      <c r="F80" s="682"/>
      <c r="G80" s="327" t="str">
        <f>IFERROR(VLOOKUP(_xlfn.CONCAT(C80,D80,E80),EF!$U$57:$AB$115,8,FALSE),"")</f>
        <v/>
      </c>
      <c r="H80" s="329" t="str">
        <f t="shared" ref="H80:H98" si="3">IFERROR(G80*F80/1000,"")</f>
        <v/>
      </c>
      <c r="I80" s="268"/>
    </row>
    <row r="81" spans="1:12" ht="14.5">
      <c r="A81" s="300">
        <v>3</v>
      </c>
      <c r="B81" s="304"/>
      <c r="C81" s="304"/>
      <c r="D81" s="304"/>
      <c r="E81" s="304"/>
      <c r="F81" s="682"/>
      <c r="G81" s="327" t="str">
        <f>IFERROR(VLOOKUP(_xlfn.CONCAT(C81,D81,E81),EF!$U$57:$AB$115,8,FALSE),"")</f>
        <v/>
      </c>
      <c r="H81" s="329" t="str">
        <f t="shared" si="3"/>
        <v/>
      </c>
      <c r="I81" s="268"/>
      <c r="J81" s="1332" t="s">
        <v>1644</v>
      </c>
      <c r="K81" s="1333"/>
      <c r="L81" s="1334"/>
    </row>
    <row r="82" spans="1:12" ht="56.5">
      <c r="A82" s="300">
        <v>4</v>
      </c>
      <c r="B82" s="304"/>
      <c r="C82" s="304"/>
      <c r="D82" s="304"/>
      <c r="E82" s="304"/>
      <c r="F82" s="682"/>
      <c r="G82" s="327" t="str">
        <f>IFERROR(VLOOKUP(_xlfn.CONCAT(C82,D82,E82),EF!$U$57:$AB$115,8,FALSE),"")</f>
        <v/>
      </c>
      <c r="H82" s="329" t="str">
        <f t="shared" si="3"/>
        <v/>
      </c>
      <c r="I82" s="268"/>
      <c r="J82" s="330" t="s">
        <v>1645</v>
      </c>
      <c r="K82" s="331" t="s">
        <v>1646</v>
      </c>
      <c r="L82" s="332" t="s">
        <v>1647</v>
      </c>
    </row>
    <row r="83" spans="1:12" ht="14.5">
      <c r="A83" s="300">
        <v>5</v>
      </c>
      <c r="B83" s="304"/>
      <c r="C83" s="304"/>
      <c r="D83" s="304"/>
      <c r="E83" s="304"/>
      <c r="F83" s="682"/>
      <c r="G83" s="327" t="str">
        <f>IFERROR(VLOOKUP(_xlfn.CONCAT(C83,D83,E83),EF!$U$57:$AB$115,8,FALSE),"")</f>
        <v/>
      </c>
      <c r="H83" s="329" t="str">
        <f t="shared" si="3"/>
        <v/>
      </c>
      <c r="I83" s="268"/>
      <c r="J83" s="655" t="s">
        <v>308</v>
      </c>
      <c r="K83" s="11">
        <v>1</v>
      </c>
      <c r="L83" s="334" t="s">
        <v>1648</v>
      </c>
    </row>
    <row r="84" spans="1:12" ht="42.5">
      <c r="A84" s="300">
        <v>6</v>
      </c>
      <c r="B84" s="304"/>
      <c r="C84" s="304"/>
      <c r="D84" s="304"/>
      <c r="E84" s="304"/>
      <c r="F84" s="682"/>
      <c r="G84" s="327" t="str">
        <f>IFERROR(VLOOKUP(_xlfn.CONCAT(C84,D84,E84),EF!$U$57:$AB$115,8,FALSE),"")</f>
        <v/>
      </c>
      <c r="H84" s="329" t="str">
        <f t="shared" si="3"/>
        <v/>
      </c>
      <c r="I84" s="268"/>
      <c r="J84" s="655" t="s">
        <v>310</v>
      </c>
      <c r="K84" s="11">
        <v>2</v>
      </c>
      <c r="L84" s="334" t="s">
        <v>1649</v>
      </c>
    </row>
    <row r="85" spans="1:12" ht="28.5">
      <c r="A85" s="300">
        <v>7</v>
      </c>
      <c r="B85" s="304"/>
      <c r="C85" s="304"/>
      <c r="D85" s="304"/>
      <c r="E85" s="304"/>
      <c r="F85" s="682"/>
      <c r="G85" s="327" t="str">
        <f>IFERROR(VLOOKUP(_xlfn.CONCAT(C85,D85,E85),EF!$U$57:$AB$115,8,FALSE),"")</f>
        <v/>
      </c>
      <c r="H85" s="329" t="str">
        <f t="shared" si="3"/>
        <v/>
      </c>
      <c r="I85" s="268"/>
      <c r="J85" s="655" t="s">
        <v>299</v>
      </c>
      <c r="K85" s="11">
        <v>3</v>
      </c>
      <c r="L85" s="334" t="s">
        <v>1650</v>
      </c>
    </row>
    <row r="86" spans="1:12" ht="28.5">
      <c r="A86" s="300">
        <v>8</v>
      </c>
      <c r="B86" s="304"/>
      <c r="C86" s="304"/>
      <c r="D86" s="304"/>
      <c r="E86" s="304"/>
      <c r="F86" s="682"/>
      <c r="G86" s="327" t="str">
        <f>IFERROR(VLOOKUP(_xlfn.CONCAT(C86,D86,E86),EF!$U$57:$AB$115,8,FALSE),"")</f>
        <v/>
      </c>
      <c r="H86" s="329" t="str">
        <f t="shared" si="3"/>
        <v/>
      </c>
      <c r="I86" s="268"/>
      <c r="J86" s="655" t="s">
        <v>311</v>
      </c>
      <c r="K86" s="11">
        <v>4</v>
      </c>
      <c r="L86" s="334" t="s">
        <v>1651</v>
      </c>
    </row>
    <row r="87" spans="1:12" ht="14.5">
      <c r="A87" s="300">
        <v>9</v>
      </c>
      <c r="B87" s="304"/>
      <c r="C87" s="304"/>
      <c r="D87" s="304"/>
      <c r="E87" s="304"/>
      <c r="F87" s="682"/>
      <c r="G87" s="327" t="str">
        <f>IFERROR(VLOOKUP(_xlfn.CONCAT(C87,D87,E87),EF!$U$57:$AB$115,8,FALSE),"")</f>
        <v/>
      </c>
      <c r="H87" s="329" t="str">
        <f t="shared" si="3"/>
        <v/>
      </c>
      <c r="I87" s="268"/>
      <c r="J87" s="655" t="s">
        <v>305</v>
      </c>
      <c r="K87" s="11">
        <v>5</v>
      </c>
      <c r="L87" s="334" t="s">
        <v>1652</v>
      </c>
    </row>
    <row r="88" spans="1:12" ht="14.5">
      <c r="A88" s="300">
        <v>10</v>
      </c>
      <c r="B88" s="304"/>
      <c r="C88" s="304"/>
      <c r="D88" s="304"/>
      <c r="E88" s="304"/>
      <c r="F88" s="682"/>
      <c r="G88" s="327" t="str">
        <f>IFERROR(VLOOKUP(_xlfn.CONCAT(C88,D88,E88),EF!$U$57:$AB$115,8,FALSE),"")</f>
        <v/>
      </c>
      <c r="H88" s="329" t="str">
        <f t="shared" si="3"/>
        <v/>
      </c>
      <c r="I88" s="268"/>
      <c r="J88" s="655" t="s">
        <v>312</v>
      </c>
      <c r="K88" s="11">
        <v>6</v>
      </c>
      <c r="L88" s="334" t="s">
        <v>1653</v>
      </c>
    </row>
    <row r="89" spans="1:12" ht="14.5">
      <c r="A89" s="300">
        <v>11</v>
      </c>
      <c r="B89" s="304"/>
      <c r="C89" s="304"/>
      <c r="D89" s="304"/>
      <c r="E89" s="304"/>
      <c r="F89" s="682"/>
      <c r="G89" s="327" t="str">
        <f>IFERROR(VLOOKUP(_xlfn.CONCAT(C89,D89,E89),EF!$U$57:$AB$115,8,FALSE),"")</f>
        <v/>
      </c>
      <c r="H89" s="329" t="str">
        <f t="shared" si="3"/>
        <v/>
      </c>
      <c r="I89" s="268"/>
      <c r="J89" s="655" t="s">
        <v>307</v>
      </c>
      <c r="K89" s="11">
        <v>7</v>
      </c>
      <c r="L89" s="334" t="s">
        <v>1654</v>
      </c>
    </row>
    <row r="90" spans="1:12" ht="28.5">
      <c r="A90" s="300">
        <v>12</v>
      </c>
      <c r="B90" s="304"/>
      <c r="C90" s="304"/>
      <c r="D90" s="304"/>
      <c r="E90" s="304"/>
      <c r="F90" s="682"/>
      <c r="G90" s="327" t="str">
        <f>IFERROR(VLOOKUP(_xlfn.CONCAT(C90,D90,E90),EF!$U$57:$AB$115,8,FALSE),"")</f>
        <v/>
      </c>
      <c r="H90" s="329" t="str">
        <f t="shared" si="3"/>
        <v/>
      </c>
      <c r="I90" s="268"/>
      <c r="J90" s="655" t="s">
        <v>313</v>
      </c>
      <c r="K90" s="11">
        <v>8</v>
      </c>
      <c r="L90" s="334" t="s">
        <v>1655</v>
      </c>
    </row>
    <row r="91" spans="1:12" ht="29" thickBot="1">
      <c r="A91" s="300">
        <v>13</v>
      </c>
      <c r="B91" s="304"/>
      <c r="C91" s="304"/>
      <c r="D91" s="304"/>
      <c r="E91" s="304"/>
      <c r="F91" s="682"/>
      <c r="G91" s="327" t="str">
        <f>IFERROR(VLOOKUP(_xlfn.CONCAT(C91,D91,E91),EF!$U$57:$AB$115,8,FALSE),"")</f>
        <v/>
      </c>
      <c r="H91" s="329" t="str">
        <f t="shared" si="3"/>
        <v/>
      </c>
      <c r="I91" s="268"/>
      <c r="J91" s="656" t="s">
        <v>314</v>
      </c>
      <c r="K91" s="336">
        <v>9</v>
      </c>
      <c r="L91" s="337" t="s">
        <v>1656</v>
      </c>
    </row>
    <row r="92" spans="1:12" ht="14.5">
      <c r="A92" s="300">
        <v>14</v>
      </c>
      <c r="B92" s="304"/>
      <c r="C92" s="304"/>
      <c r="D92" s="304"/>
      <c r="E92" s="304"/>
      <c r="F92" s="682"/>
      <c r="G92" s="327" t="str">
        <f>IFERROR(VLOOKUP(_xlfn.CONCAT(C92,D92,E92),EF!$U$57:$AB$115,8,FALSE),"")</f>
        <v/>
      </c>
      <c r="H92" s="329" t="str">
        <f t="shared" si="3"/>
        <v/>
      </c>
      <c r="I92" s="268"/>
    </row>
    <row r="93" spans="1:12" ht="14.5">
      <c r="A93" s="300">
        <v>15</v>
      </c>
      <c r="B93" s="304"/>
      <c r="C93" s="304"/>
      <c r="D93" s="304"/>
      <c r="E93" s="304"/>
      <c r="F93" s="682"/>
      <c r="G93" s="327" t="str">
        <f>IFERROR(VLOOKUP(_xlfn.CONCAT(C93,D93,E93),EF!$U$57:$AB$115,8,FALSE),"")</f>
        <v/>
      </c>
      <c r="H93" s="329" t="str">
        <f t="shared" si="3"/>
        <v/>
      </c>
      <c r="I93" s="268"/>
    </row>
    <row r="94" spans="1:12" ht="14.5">
      <c r="A94" s="300">
        <v>16</v>
      </c>
      <c r="B94" s="304"/>
      <c r="C94" s="304"/>
      <c r="D94" s="304"/>
      <c r="E94" s="304"/>
      <c r="F94" s="682"/>
      <c r="G94" s="327" t="str">
        <f>IFERROR(VLOOKUP(_xlfn.CONCAT(C94,D94,E94),EF!$U$57:$AB$115,8,FALSE),"")</f>
        <v/>
      </c>
      <c r="H94" s="329" t="str">
        <f t="shared" si="3"/>
        <v/>
      </c>
      <c r="I94" s="268"/>
    </row>
    <row r="95" spans="1:12" ht="14.5">
      <c r="A95" s="300">
        <v>17</v>
      </c>
      <c r="B95" s="304"/>
      <c r="C95" s="304"/>
      <c r="D95" s="304"/>
      <c r="E95" s="304"/>
      <c r="F95" s="682"/>
      <c r="G95" s="327" t="str">
        <f>IFERROR(VLOOKUP(_xlfn.CONCAT(C95,D95,E95),EF!$U$57:$AB$115,8,FALSE),"")</f>
        <v/>
      </c>
      <c r="H95" s="329" t="str">
        <f t="shared" si="3"/>
        <v/>
      </c>
      <c r="I95" s="268"/>
    </row>
    <row r="96" spans="1:12" ht="14.5">
      <c r="A96" s="300">
        <v>18</v>
      </c>
      <c r="B96" s="304"/>
      <c r="C96" s="304"/>
      <c r="D96" s="304"/>
      <c r="E96" s="304"/>
      <c r="F96" s="682"/>
      <c r="G96" s="327" t="str">
        <f>IFERROR(VLOOKUP(_xlfn.CONCAT(C96,D96,E96),EF!$U$57:$AB$115,8,FALSE),"")</f>
        <v/>
      </c>
      <c r="H96" s="329" t="str">
        <f t="shared" si="3"/>
        <v/>
      </c>
      <c r="I96" s="268"/>
    </row>
    <row r="97" spans="1:9" ht="14.5">
      <c r="A97" s="300">
        <v>19</v>
      </c>
      <c r="B97" s="304"/>
      <c r="C97" s="304"/>
      <c r="D97" s="304"/>
      <c r="E97" s="304"/>
      <c r="F97" s="682"/>
      <c r="G97" s="327" t="str">
        <f>IFERROR(VLOOKUP(_xlfn.CONCAT(C97,D97,E97),EF!$U$57:$AB$115,8,FALSE),"")</f>
        <v/>
      </c>
      <c r="H97" s="329" t="str">
        <f t="shared" si="3"/>
        <v/>
      </c>
      <c r="I97" s="268"/>
    </row>
    <row r="98" spans="1:9" ht="15" thickBot="1">
      <c r="A98" s="300">
        <v>20</v>
      </c>
      <c r="B98" s="304"/>
      <c r="C98" s="304"/>
      <c r="D98" s="304"/>
      <c r="E98" s="304"/>
      <c r="F98" s="682"/>
      <c r="G98" s="327" t="str">
        <f>IFERROR(VLOOKUP(_xlfn.CONCAT(C98,D98,E98),EF!$U$57:$AB$115,8,FALSE),"")</f>
        <v/>
      </c>
      <c r="H98" s="329" t="str">
        <f t="shared" si="3"/>
        <v/>
      </c>
      <c r="I98" s="268"/>
    </row>
    <row r="99" spans="1:9" ht="14.5" thickBot="1">
      <c r="A99" s="268"/>
      <c r="B99" s="268"/>
      <c r="C99" s="268"/>
      <c r="D99" s="268"/>
      <c r="E99" s="268"/>
      <c r="F99" s="268"/>
      <c r="G99" s="338" t="s">
        <v>1624</v>
      </c>
      <c r="H99" s="339">
        <f>SUM(H80:H98)</f>
        <v>0</v>
      </c>
      <c r="I99" s="268"/>
    </row>
    <row r="100" spans="1:9">
      <c r="A100" s="268"/>
      <c r="B100" s="268"/>
      <c r="C100" s="268"/>
      <c r="D100" s="268"/>
      <c r="E100" s="268"/>
      <c r="F100" s="268"/>
      <c r="G100" s="268"/>
      <c r="H100" s="268"/>
      <c r="I100" s="268"/>
    </row>
    <row r="101" spans="1:9">
      <c r="A101" s="268"/>
      <c r="B101" s="268"/>
      <c r="C101" s="268"/>
      <c r="D101" s="268"/>
      <c r="E101" s="268"/>
      <c r="F101" s="268"/>
      <c r="G101" s="268"/>
      <c r="H101" s="268"/>
      <c r="I101" s="268"/>
    </row>
    <row r="102" spans="1:9">
      <c r="A102" s="294" t="s">
        <v>1657</v>
      </c>
      <c r="B102" s="268"/>
      <c r="C102" s="268"/>
      <c r="D102" s="268"/>
      <c r="E102" s="268"/>
      <c r="F102" s="268"/>
      <c r="G102" s="268"/>
      <c r="H102" s="268"/>
      <c r="I102" s="268"/>
    </row>
    <row r="103" spans="1:9">
      <c r="A103" s="297" t="s">
        <v>1658</v>
      </c>
      <c r="B103" s="268"/>
      <c r="C103" s="268"/>
      <c r="D103" s="268"/>
      <c r="E103" s="268"/>
      <c r="F103" s="268"/>
      <c r="G103" s="268"/>
      <c r="H103" s="268"/>
      <c r="I103" s="268"/>
    </row>
    <row r="104" spans="1:9">
      <c r="A104" s="298" t="s">
        <v>1593</v>
      </c>
      <c r="B104" s="299" t="s">
        <v>1659</v>
      </c>
      <c r="C104" s="299" t="s">
        <v>29</v>
      </c>
      <c r="D104" s="299" t="s">
        <v>363</v>
      </c>
      <c r="E104" s="268"/>
      <c r="F104" s="268"/>
      <c r="G104" s="268"/>
      <c r="H104" s="268"/>
      <c r="I104" s="268"/>
    </row>
    <row r="105" spans="1:9" ht="43.5">
      <c r="A105" s="300">
        <v>1</v>
      </c>
      <c r="B105" s="410" t="s">
        <v>1660</v>
      </c>
      <c r="C105" s="1216" t="s">
        <v>1661</v>
      </c>
      <c r="D105" s="1217">
        <v>112020</v>
      </c>
      <c r="E105" s="268"/>
      <c r="F105" s="268"/>
      <c r="G105" s="268"/>
      <c r="H105" s="268"/>
      <c r="I105" s="268"/>
    </row>
    <row r="106" spans="1:9">
      <c r="A106" s="300">
        <v>2</v>
      </c>
      <c r="B106" s="304"/>
      <c r="C106" s="304"/>
      <c r="D106" s="314"/>
      <c r="E106" s="268"/>
      <c r="F106" s="268"/>
      <c r="G106" s="268"/>
      <c r="H106" s="268"/>
      <c r="I106" s="268"/>
    </row>
    <row r="107" spans="1:9">
      <c r="A107" s="300">
        <v>3</v>
      </c>
      <c r="B107" s="304"/>
      <c r="C107" s="304"/>
      <c r="D107" s="314"/>
      <c r="E107" s="268"/>
      <c r="F107" s="268"/>
      <c r="G107" s="268"/>
      <c r="H107" s="268"/>
      <c r="I107" s="268"/>
    </row>
    <row r="108" spans="1:9">
      <c r="A108" s="300">
        <v>4</v>
      </c>
      <c r="B108" s="304"/>
      <c r="C108" s="304"/>
      <c r="D108" s="314"/>
      <c r="E108" s="268"/>
      <c r="F108" s="268"/>
      <c r="G108" s="268"/>
      <c r="H108" s="268"/>
      <c r="I108" s="268"/>
    </row>
    <row r="109" spans="1:9">
      <c r="A109" s="300">
        <v>5</v>
      </c>
      <c r="B109" s="304"/>
      <c r="C109" s="304"/>
      <c r="D109" s="314"/>
      <c r="E109" s="268"/>
      <c r="F109" s="268"/>
      <c r="G109" s="268"/>
      <c r="H109" s="268"/>
      <c r="I109" s="268"/>
    </row>
    <row r="110" spans="1:9">
      <c r="A110" s="300">
        <v>6</v>
      </c>
      <c r="B110" s="304"/>
      <c r="C110" s="304"/>
      <c r="D110" s="314"/>
      <c r="E110" s="268"/>
      <c r="F110" s="268"/>
      <c r="G110" s="268"/>
      <c r="H110" s="268"/>
      <c r="I110" s="268"/>
    </row>
    <row r="111" spans="1:9">
      <c r="A111" s="300">
        <v>7</v>
      </c>
      <c r="B111" s="304"/>
      <c r="C111" s="304"/>
      <c r="D111" s="314"/>
      <c r="E111" s="268"/>
      <c r="F111" s="268"/>
      <c r="G111" s="268"/>
      <c r="H111" s="268"/>
      <c r="I111" s="268"/>
    </row>
    <row r="112" spans="1:9">
      <c r="A112" s="300">
        <v>8</v>
      </c>
      <c r="B112" s="304"/>
      <c r="C112" s="304"/>
      <c r="D112" s="314"/>
      <c r="E112" s="268"/>
      <c r="F112" s="268"/>
      <c r="G112" s="268"/>
      <c r="H112" s="268"/>
      <c r="I112" s="268"/>
    </row>
    <row r="113" spans="1:9">
      <c r="A113" s="300">
        <v>9</v>
      </c>
      <c r="B113" s="304"/>
      <c r="C113" s="304"/>
      <c r="D113" s="314"/>
      <c r="E113" s="268"/>
      <c r="F113" s="268"/>
      <c r="G113" s="268"/>
      <c r="H113" s="268"/>
      <c r="I113" s="268"/>
    </row>
    <row r="114" spans="1:9" ht="14.5" thickBot="1">
      <c r="A114" s="300">
        <v>10</v>
      </c>
      <c r="B114" s="304"/>
      <c r="C114" s="304"/>
      <c r="D114" s="314"/>
      <c r="E114" s="268"/>
      <c r="F114" s="268"/>
      <c r="G114" s="268"/>
      <c r="H114" s="268"/>
      <c r="I114" s="268"/>
    </row>
    <row r="115" spans="1:9" ht="14.5" thickBot="1">
      <c r="A115" s="268"/>
      <c r="B115" s="268"/>
      <c r="C115" s="340" t="s">
        <v>8</v>
      </c>
      <c r="D115" s="341">
        <f>SUM(D106:D114)</f>
        <v>0</v>
      </c>
      <c r="E115" s="268"/>
      <c r="F115" s="268"/>
      <c r="G115" s="268"/>
      <c r="H115" s="268"/>
      <c r="I115" s="268"/>
    </row>
  </sheetData>
  <sheetProtection algorithmName="SHA-512" hashValue="TKLIewkXXqmY8tida4oBMHXEmvvRabYlI7u56LUocvhVcZ050qIgd/BrLcy9DMEnGpcwl6Db3DQYIQflJZu3RQ==" saltValue="vVHS6zhnzU7JxKa8C9OEKw==" spinCount="100000" sheet="1" objects="1" scenarios="1"/>
  <mergeCells count="2">
    <mergeCell ref="A3:I4"/>
    <mergeCell ref="J81:L81"/>
  </mergeCells>
  <dataValidations count="1">
    <dataValidation type="list" allowBlank="1" showInputMessage="1" showErrorMessage="1" sqref="D79:D98" xr:uid="{5BE2110D-CF9B-49E1-94EB-8D70C3238A81}">
      <formula1>INDIRECT(C79)</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3A5CEFB8-590F-4416-AA1D-69DB0A8DF7CF}">
          <x14:formula1>
            <xm:f>IF($C80=EF!$AE$58,EF!$AG$72:$AG$76,"")</xm:f>
          </x14:formula1>
          <xm:sqref>E80</xm:sqref>
        </x14:dataValidation>
        <x14:dataValidation type="list" allowBlank="1" showInputMessage="1" showErrorMessage="1" xr:uid="{B8E47688-3962-441F-A548-D5EA94CA06C1}">
          <x14:formula1>
            <xm:f>EF!$AE$57:$AE$61</xm:f>
          </x14:formula1>
          <xm:sqref>C80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74DD8-D32D-47AA-B126-76AF9DBE1152}">
  <sheetPr>
    <tabColor theme="7"/>
  </sheetPr>
  <dimension ref="B2:L86"/>
  <sheetViews>
    <sheetView showGridLines="0" workbookViewId="0">
      <selection activeCell="E26" sqref="E26"/>
    </sheetView>
  </sheetViews>
  <sheetFormatPr defaultColWidth="9" defaultRowHeight="15.5"/>
  <cols>
    <col min="1" max="16384" width="9" style="343"/>
  </cols>
  <sheetData>
    <row r="2" spans="2:2">
      <c r="B2" s="342" t="s">
        <v>1662</v>
      </c>
    </row>
    <row r="4" spans="2:2">
      <c r="B4" s="344" t="s">
        <v>1663</v>
      </c>
    </row>
    <row r="5" spans="2:2">
      <c r="B5" s="343" t="s">
        <v>1664</v>
      </c>
    </row>
    <row r="19" spans="2:2">
      <c r="B19" s="344" t="s">
        <v>1665</v>
      </c>
    </row>
    <row r="20" spans="2:2">
      <c r="B20" s="345" t="s">
        <v>1666</v>
      </c>
    </row>
    <row r="34" spans="2:12">
      <c r="B34" s="346" t="s">
        <v>1667</v>
      </c>
    </row>
    <row r="35" spans="2:12">
      <c r="B35" s="347" t="s">
        <v>1668</v>
      </c>
    </row>
    <row r="36" spans="2:12">
      <c r="B36" s="348" t="s">
        <v>1669</v>
      </c>
    </row>
    <row r="37" spans="2:12" ht="8.25" customHeight="1">
      <c r="B37" s="349"/>
    </row>
    <row r="38" spans="2:12">
      <c r="B38" s="348" t="s">
        <v>1670</v>
      </c>
    </row>
    <row r="39" spans="2:12">
      <c r="B39" s="348" t="s">
        <v>1671</v>
      </c>
    </row>
    <row r="40" spans="2:12">
      <c r="B40" s="348" t="s">
        <v>1672</v>
      </c>
    </row>
    <row r="43" spans="2:12">
      <c r="K43" s="350" t="s">
        <v>1673</v>
      </c>
    </row>
    <row r="47" spans="2:12">
      <c r="L47" s="350" t="s">
        <v>1674</v>
      </c>
    </row>
    <row r="56" spans="2:2">
      <c r="B56" s="351" t="s">
        <v>1675</v>
      </c>
    </row>
    <row r="57" spans="2:2">
      <c r="B57" s="352"/>
    </row>
    <row r="58" spans="2:2">
      <c r="B58" s="353" t="s">
        <v>1676</v>
      </c>
    </row>
    <row r="59" spans="2:2">
      <c r="B59" s="343" t="s">
        <v>1677</v>
      </c>
    </row>
    <row r="60" spans="2:2">
      <c r="B60" s="343" t="s">
        <v>1678</v>
      </c>
    </row>
    <row r="75" spans="2:2">
      <c r="B75" s="354" t="s">
        <v>1679</v>
      </c>
    </row>
    <row r="76" spans="2:2" ht="6" customHeight="1">
      <c r="B76" s="355"/>
    </row>
    <row r="77" spans="2:2">
      <c r="B77" s="354" t="s">
        <v>1680</v>
      </c>
    </row>
    <row r="78" spans="2:2">
      <c r="B78" s="355" t="s">
        <v>1681</v>
      </c>
    </row>
    <row r="79" spans="2:2">
      <c r="B79" s="356" t="s">
        <v>1682</v>
      </c>
    </row>
    <row r="82" spans="2:2">
      <c r="B82" s="357"/>
    </row>
    <row r="83" spans="2:2">
      <c r="B83" s="358"/>
    </row>
    <row r="84" spans="2:2">
      <c r="B84" s="358"/>
    </row>
    <row r="85" spans="2:2">
      <c r="B85" s="358"/>
    </row>
    <row r="86" spans="2:2">
      <c r="B86" s="358"/>
    </row>
  </sheetData>
  <sheetProtection algorithmName="SHA-512" hashValue="d6oSg8t8wbq4Z2spvQmrvvWyxuR+7GNXwiP5AeS8azrQ4nQwW+WHhJ1lvwmotBuwsE4P7rpVNK3DTClHCxi3Sw==" saltValue="+5tm2Wp2p90lvf79NIhuRw=="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183BC-5694-48F7-AAFB-75866A432D24}">
  <sheetPr>
    <tabColor rgb="FF94E494"/>
  </sheetPr>
  <dimension ref="A1:K29"/>
  <sheetViews>
    <sheetView showGridLines="0" zoomScale="80" zoomScaleNormal="80" workbookViewId="0">
      <pane ySplit="2" topLeftCell="A3" activePane="bottomLeft" state="frozen"/>
      <selection activeCell="C8" sqref="C8"/>
      <selection pane="bottomLeft" activeCell="C5" sqref="C5"/>
    </sheetView>
  </sheetViews>
  <sheetFormatPr defaultColWidth="10.5" defaultRowHeight="14"/>
  <cols>
    <col min="1" max="1" width="8.08203125" style="4" customWidth="1"/>
    <col min="2" max="2" width="64.4140625" style="4" customWidth="1"/>
    <col min="3" max="3" width="45.9140625" style="4" customWidth="1"/>
    <col min="4" max="4" width="5.08203125" style="4" customWidth="1"/>
    <col min="5" max="16384" width="10.5" style="4"/>
  </cols>
  <sheetData>
    <row r="1" spans="1:11" ht="90" customHeight="1">
      <c r="A1" s="721"/>
    </row>
    <row r="2" spans="1:11" s="724" customFormat="1" ht="29.25" customHeight="1">
      <c r="A2" s="722"/>
      <c r="B2" s="723" t="s">
        <v>2240</v>
      </c>
      <c r="C2" s="722"/>
      <c r="D2" s="722"/>
    </row>
    <row r="3" spans="1:11" ht="57" customHeight="1">
      <c r="A3" s="721"/>
      <c r="B3" s="1220" t="s">
        <v>2241</v>
      </c>
      <c r="C3" s="1221"/>
      <c r="D3" s="726"/>
    </row>
    <row r="4" spans="1:11" ht="50.25" customHeight="1">
      <c r="A4" s="721"/>
      <c r="B4" s="1220" t="s">
        <v>2215</v>
      </c>
      <c r="C4" s="1220"/>
    </row>
    <row r="5" spans="1:11" ht="18" customHeight="1">
      <c r="A5" s="727"/>
      <c r="B5" s="6" t="s">
        <v>2242</v>
      </c>
      <c r="C5" s="728"/>
      <c r="E5" s="729" t="s">
        <v>2244</v>
      </c>
      <c r="J5" s="698"/>
      <c r="K5" s="698"/>
    </row>
    <row r="6" spans="1:11" ht="24.9" customHeight="1">
      <c r="A6" s="727"/>
      <c r="B6" s="730" t="s">
        <v>2245</v>
      </c>
      <c r="C6" s="728"/>
      <c r="D6"/>
      <c r="E6" s="731" t="s">
        <v>2246</v>
      </c>
      <c r="J6" s="698"/>
      <c r="K6" s="698"/>
    </row>
    <row r="7" spans="1:11" ht="18" customHeight="1">
      <c r="A7" s="727"/>
      <c r="B7" s="6" t="s">
        <v>2247</v>
      </c>
      <c r="C7" s="15"/>
      <c r="E7" s="732" t="s">
        <v>2248</v>
      </c>
      <c r="J7" s="698"/>
      <c r="K7" s="698"/>
    </row>
    <row r="8" spans="1:11" ht="14.25" customHeight="1">
      <c r="A8" s="733" t="s">
        <v>2249</v>
      </c>
      <c r="B8" s="1222"/>
      <c r="C8" s="1222"/>
      <c r="E8" s="732" t="s">
        <v>2250</v>
      </c>
      <c r="F8" s="698"/>
      <c r="G8" s="698"/>
      <c r="H8" s="698"/>
      <c r="I8" s="698"/>
      <c r="J8" s="698"/>
      <c r="K8" s="698"/>
    </row>
    <row r="9" spans="1:11">
      <c r="A9" s="733" t="s">
        <v>2251</v>
      </c>
      <c r="B9" s="1222"/>
      <c r="C9" s="1222"/>
      <c r="E9" s="698"/>
      <c r="F9" s="698"/>
      <c r="G9" s="698"/>
      <c r="H9" s="698"/>
      <c r="I9" s="698"/>
      <c r="J9" s="698"/>
      <c r="K9" s="698"/>
    </row>
    <row r="10" spans="1:11">
      <c r="A10" s="733" t="s">
        <v>2252</v>
      </c>
      <c r="B10" s="1223"/>
      <c r="C10" s="1222"/>
      <c r="F10" s="698"/>
      <c r="G10" s="698"/>
      <c r="H10" s="698"/>
      <c r="I10" s="698"/>
      <c r="J10" s="698"/>
      <c r="K10" s="698"/>
    </row>
    <row r="11" spans="1:11" ht="24.9" customHeight="1">
      <c r="B11" s="1220" t="s">
        <v>2253</v>
      </c>
      <c r="C11" s="1220"/>
      <c r="F11" s="698"/>
      <c r="G11" s="698"/>
      <c r="H11" s="698"/>
      <c r="I11" s="698"/>
      <c r="J11" s="735"/>
      <c r="K11" s="735"/>
    </row>
    <row r="12" spans="1:11" customFormat="1" ht="14.25" customHeight="1">
      <c r="B12" s="1218" t="s">
        <v>2254</v>
      </c>
      <c r="C12" s="1218"/>
      <c r="E12" s="4"/>
      <c r="F12" s="698"/>
      <c r="G12" s="698"/>
      <c r="H12" s="698"/>
      <c r="I12" s="698"/>
    </row>
    <row r="13" spans="1:11" customFormat="1" ht="14.25" customHeight="1">
      <c r="B13" s="1218" t="s">
        <v>2255</v>
      </c>
      <c r="C13" s="1218"/>
      <c r="E13" s="4"/>
    </row>
    <row r="14" spans="1:11" customFormat="1" ht="27.65" customHeight="1">
      <c r="B14" s="1218" t="s">
        <v>2256</v>
      </c>
      <c r="C14" s="1218"/>
    </row>
    <row r="15" spans="1:11" ht="14.25" customHeight="1">
      <c r="B15" s="725"/>
      <c r="C15" s="725"/>
    </row>
    <row r="16" spans="1:11" ht="15.5">
      <c r="B16" s="1219" t="s">
        <v>2257</v>
      </c>
      <c r="C16" s="1219"/>
    </row>
    <row r="17" spans="2:3">
      <c r="B17" s="737" t="s">
        <v>2258</v>
      </c>
      <c r="C17" s="738"/>
    </row>
    <row r="18" spans="2:3">
      <c r="B18" s="737" t="s">
        <v>2259</v>
      </c>
      <c r="C18" s="739"/>
    </row>
    <row r="19" spans="2:3" ht="20.149999999999999" customHeight="1">
      <c r="B19" s="740" t="s">
        <v>2260</v>
      </c>
      <c r="C19" s="741" t="s">
        <v>2261</v>
      </c>
    </row>
    <row r="20" spans="2:3" ht="20.149999999999999" customHeight="1">
      <c r="B20" s="740" t="s">
        <v>2262</v>
      </c>
      <c r="C20" s="742" t="s">
        <v>2263</v>
      </c>
    </row>
    <row r="22" spans="2:3" ht="139.5">
      <c r="B22" s="743" t="s">
        <v>2264</v>
      </c>
    </row>
    <row r="24" spans="2:3" ht="31">
      <c r="B24" s="743" t="s">
        <v>2265</v>
      </c>
    </row>
    <row r="25" spans="2:3" ht="15.5">
      <c r="B25" s="744" t="s">
        <v>2266</v>
      </c>
    </row>
    <row r="26" spans="2:3" ht="15.5">
      <c r="B26" s="744" t="s">
        <v>2267</v>
      </c>
    </row>
    <row r="28" spans="2:3" ht="46.5">
      <c r="B28" s="743" t="s">
        <v>2268</v>
      </c>
    </row>
    <row r="29" spans="2:3" ht="15.5">
      <c r="B29" s="745" t="s">
        <v>2269</v>
      </c>
    </row>
  </sheetData>
  <sheetProtection algorithmName="SHA-512" hashValue="P9YuNyTd/ucigwbxfewUcq9VfmSMaLh0CiiZSwv157yZFjXX7tFfa7LX93S4KDpvqnjtUgFm1HMDHJhpFZqy8A==" saltValue="42tLS/SYqsg5M9NDLmfegg==" spinCount="100000" sheet="1" objects="1" scenarios="1"/>
  <mergeCells count="10">
    <mergeCell ref="B12:C12"/>
    <mergeCell ref="B13:C13"/>
    <mergeCell ref="B14:C14"/>
    <mergeCell ref="B16:C16"/>
    <mergeCell ref="B3:C3"/>
    <mergeCell ref="B4:C4"/>
    <mergeCell ref="B8:C8"/>
    <mergeCell ref="B9:C9"/>
    <mergeCell ref="B10:C10"/>
    <mergeCell ref="B11:C11"/>
  </mergeCells>
  <hyperlinks>
    <hyperlink ref="B25" r:id="rId1" xr:uid="{B7F6686C-C4E9-43C6-AD9B-4401B6EBBD0A}"/>
    <hyperlink ref="B26" r:id="rId2" xr:uid="{485BF78F-C5A3-42F4-897C-B15ABC54BC95}"/>
    <hyperlink ref="B29" r:id="rId3" xr:uid="{EA9E98A4-6CA3-4736-9AA6-ECA04701B571}"/>
    <hyperlink ref="E6" r:id="rId4" location="/%22,%22https://www.epa.gov/egrid/power-profiler" xr:uid="{0795053E-DB97-4C44-B8E7-D47248752A50}"/>
  </hyperlinks>
  <pageMargins left="0.25" right="0.25" top="0.75" bottom="0.75" header="0.3" footer="0.3"/>
  <pageSetup paperSize="9" orientation="landscape" horizontalDpi="1200" verticalDpi="1200" r:id="rId5"/>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C7FD7B47-F56C-48FD-805F-C7664A6E4B1F}">
          <x14:formula1>
            <xm:f>'S1&amp;2 Lists'!$AW$16:$AW$41</xm:f>
          </x14:formula1>
          <xm:sqref>C5</xm:sqref>
        </x14:dataValidation>
        <x14:dataValidation type="list" allowBlank="1" showInputMessage="1" showErrorMessage="1" xr:uid="{2D36D7FD-089D-418C-B99E-E6B67B170421}">
          <x14:formula1>
            <xm:f>'S1&amp;2 Lists'!$A$3:$A$13</xm:f>
          </x14:formula1>
          <xm:sqref>C6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83BD-1B9E-4582-BF77-DD683E213AAC}">
  <sheetPr>
    <tabColor theme="3" tint="0.59999389629810485"/>
  </sheetPr>
  <dimension ref="A1:AD87"/>
  <sheetViews>
    <sheetView showGridLines="0" zoomScale="85" zoomScaleNormal="85" workbookViewId="0">
      <selection activeCell="C68" sqref="C68"/>
    </sheetView>
  </sheetViews>
  <sheetFormatPr defaultColWidth="8.9140625" defaultRowHeight="14"/>
  <cols>
    <col min="2" max="2" width="31.58203125" customWidth="1"/>
    <col min="3" max="3" width="19" customWidth="1"/>
    <col min="4" max="4" width="20" customWidth="1"/>
    <col min="5" max="5" width="20.5" customWidth="1"/>
    <col min="6" max="6" width="25.9140625" customWidth="1"/>
    <col min="7" max="7" width="19.58203125" customWidth="1"/>
    <col min="8" max="8" width="24.58203125" customWidth="1"/>
    <col min="9" max="9" width="22.58203125" customWidth="1"/>
    <col min="10" max="10" width="19.58203125" customWidth="1"/>
    <col min="11" max="11" width="19.5" customWidth="1"/>
  </cols>
  <sheetData>
    <row r="1" spans="1:30" ht="26.25" customHeight="1">
      <c r="A1" s="154" t="s">
        <v>1683</v>
      </c>
      <c r="B1" s="258"/>
      <c r="C1" s="258"/>
      <c r="D1" s="258"/>
      <c r="E1" s="258"/>
      <c r="F1" s="258"/>
      <c r="G1" s="258"/>
      <c r="H1" s="258"/>
      <c r="I1" s="258"/>
    </row>
    <row r="2" spans="1:30" ht="18.75" customHeight="1">
      <c r="A2" s="359" t="s">
        <v>345</v>
      </c>
      <c r="B2" s="261"/>
      <c r="C2" s="261"/>
      <c r="D2" s="261"/>
      <c r="E2" s="261"/>
      <c r="F2" s="261"/>
      <c r="G2" s="261"/>
      <c r="H2" s="261"/>
      <c r="I2" s="261"/>
    </row>
    <row r="3" spans="1:30" ht="18.75" customHeight="1">
      <c r="A3" s="263" t="s">
        <v>1684</v>
      </c>
      <c r="B3" s="261"/>
      <c r="C3" s="261"/>
      <c r="D3" s="261"/>
      <c r="E3" s="261"/>
      <c r="F3" s="261"/>
      <c r="G3" s="261"/>
      <c r="H3" s="261"/>
      <c r="I3" s="261"/>
    </row>
    <row r="4" spans="1:30" ht="18.75" customHeight="1">
      <c r="A4" s="263" t="s">
        <v>1685</v>
      </c>
      <c r="B4" s="261"/>
      <c r="C4" s="261"/>
      <c r="D4" s="261"/>
      <c r="E4" s="261"/>
      <c r="F4" s="261"/>
      <c r="G4" s="261"/>
      <c r="H4" s="261"/>
      <c r="I4" s="261"/>
    </row>
    <row r="5" spans="1:30" ht="18.75" customHeight="1">
      <c r="A5" s="360" t="s">
        <v>1686</v>
      </c>
      <c r="B5" s="261"/>
      <c r="C5" s="261"/>
      <c r="D5" s="261"/>
      <c r="E5" s="261"/>
      <c r="F5" s="261"/>
      <c r="G5" s="261"/>
      <c r="H5" s="261"/>
      <c r="I5" s="261"/>
    </row>
    <row r="6" spans="1:30" ht="18.75" customHeight="1">
      <c r="A6" s="360" t="s">
        <v>1687</v>
      </c>
      <c r="B6" s="261"/>
      <c r="C6" s="261"/>
      <c r="D6" s="261"/>
      <c r="E6" s="261"/>
      <c r="F6" s="261"/>
      <c r="G6" s="261"/>
      <c r="H6" s="261"/>
      <c r="I6" s="261"/>
    </row>
    <row r="7" spans="1:30" ht="18.75" customHeight="1"/>
    <row r="8" spans="1:30">
      <c r="A8" s="361"/>
      <c r="B8" s="4"/>
      <c r="C8" s="4"/>
      <c r="D8" s="4"/>
      <c r="E8" s="4"/>
      <c r="F8" s="4"/>
      <c r="G8" s="4"/>
      <c r="H8" s="4"/>
      <c r="I8" s="4"/>
      <c r="J8" s="4"/>
      <c r="K8" s="4"/>
      <c r="L8" s="4"/>
      <c r="M8" s="265"/>
      <c r="N8" s="265"/>
      <c r="O8" s="4"/>
      <c r="P8" s="4"/>
      <c r="Q8" s="4"/>
      <c r="R8" s="4"/>
      <c r="S8" s="4"/>
      <c r="T8" s="4"/>
      <c r="U8" s="4"/>
      <c r="V8" s="4"/>
      <c r="W8" s="4"/>
      <c r="X8" s="4"/>
      <c r="Y8" s="4"/>
      <c r="Z8" s="4"/>
      <c r="AA8" s="4"/>
      <c r="AB8" s="4"/>
      <c r="AC8" s="4"/>
      <c r="AD8" s="4"/>
    </row>
    <row r="9" spans="1:30">
      <c r="A9" s="362"/>
      <c r="B9" s="4"/>
      <c r="C9" s="4"/>
      <c r="D9" s="4"/>
      <c r="E9" s="4"/>
      <c r="F9" s="4"/>
      <c r="G9" s="4"/>
      <c r="H9" s="4"/>
      <c r="I9" s="4"/>
      <c r="J9" s="4"/>
      <c r="K9" s="4"/>
      <c r="L9" s="4"/>
      <c r="M9" s="265"/>
      <c r="N9" s="265"/>
      <c r="O9" s="4"/>
      <c r="P9" s="4"/>
      <c r="Q9" s="4"/>
      <c r="R9" s="4"/>
      <c r="S9" s="4"/>
      <c r="T9" s="4"/>
      <c r="U9" s="4"/>
      <c r="V9" s="4"/>
      <c r="W9" s="4"/>
      <c r="X9" s="4"/>
      <c r="Y9" s="4"/>
      <c r="Z9" s="4"/>
      <c r="AA9" s="4"/>
      <c r="AB9" s="4"/>
      <c r="AC9" s="4"/>
      <c r="AD9" s="4"/>
    </row>
    <row r="10" spans="1:30">
      <c r="A10" s="362"/>
      <c r="B10" s="4"/>
      <c r="C10" s="4"/>
      <c r="D10" s="4"/>
      <c r="E10" s="4"/>
      <c r="F10" s="4"/>
      <c r="G10" s="4"/>
      <c r="H10" s="4"/>
      <c r="I10" s="4"/>
      <c r="J10" s="4"/>
      <c r="K10" s="4"/>
      <c r="L10" s="4"/>
      <c r="M10" s="265"/>
      <c r="N10" s="265"/>
      <c r="O10" s="4"/>
      <c r="P10" s="4"/>
      <c r="Q10" s="4"/>
      <c r="R10" s="4"/>
      <c r="S10" s="4"/>
      <c r="T10" s="4"/>
      <c r="U10" s="4"/>
      <c r="V10" s="4"/>
      <c r="W10" s="4"/>
      <c r="X10" s="4"/>
      <c r="Y10" s="4"/>
      <c r="Z10" s="4"/>
      <c r="AA10" s="4"/>
      <c r="AB10" s="4"/>
      <c r="AC10" s="4"/>
      <c r="AD10" s="4"/>
    </row>
    <row r="11" spans="1:30">
      <c r="A11" s="363"/>
      <c r="B11" s="4"/>
      <c r="C11" s="4"/>
      <c r="D11" s="4"/>
      <c r="E11" s="4"/>
      <c r="F11" s="4"/>
      <c r="G11" s="4"/>
      <c r="H11" s="4"/>
      <c r="I11" s="4"/>
      <c r="J11" s="4"/>
      <c r="K11" s="4"/>
      <c r="L11" s="4"/>
      <c r="M11" s="265"/>
      <c r="N11" s="265"/>
      <c r="O11" s="4"/>
      <c r="P11" s="4"/>
      <c r="Q11" s="4"/>
      <c r="R11" s="4"/>
      <c r="S11" s="4"/>
      <c r="T11" s="4"/>
      <c r="U11" s="4"/>
      <c r="V11" s="4"/>
      <c r="W11" s="4"/>
      <c r="X11" s="4"/>
      <c r="Y11" s="4"/>
      <c r="Z11" s="4"/>
      <c r="AA11" s="4"/>
      <c r="AB11" s="4"/>
      <c r="AC11" s="4"/>
      <c r="AD11" s="4"/>
    </row>
    <row r="13" spans="1:30" ht="18.75" customHeight="1">
      <c r="A13" s="364" t="s">
        <v>1688</v>
      </c>
    </row>
    <row r="14" spans="1:30">
      <c r="A14" s="365" t="s">
        <v>1592</v>
      </c>
    </row>
    <row r="15" spans="1:30" ht="17.5">
      <c r="A15" s="364"/>
      <c r="B15" s="2" t="s">
        <v>353</v>
      </c>
      <c r="C15" s="2" t="s">
        <v>353</v>
      </c>
      <c r="D15" s="2" t="s">
        <v>353</v>
      </c>
      <c r="E15" s="2"/>
    </row>
    <row r="16" spans="1:30" ht="21.75" customHeight="1">
      <c r="A16" s="366" t="s">
        <v>1593</v>
      </c>
      <c r="B16" s="367" t="s">
        <v>360</v>
      </c>
      <c r="C16" s="367" t="s">
        <v>239</v>
      </c>
      <c r="D16" s="367" t="s">
        <v>1689</v>
      </c>
      <c r="E16" s="367" t="s">
        <v>1690</v>
      </c>
      <c r="F16" s="366" t="s">
        <v>3</v>
      </c>
      <c r="G16" s="367" t="s">
        <v>1691</v>
      </c>
      <c r="H16" s="367" t="s">
        <v>363</v>
      </c>
    </row>
    <row r="17" spans="1:8" ht="14.5">
      <c r="A17" s="368">
        <v>1</v>
      </c>
      <c r="B17" s="301" t="s">
        <v>1597</v>
      </c>
      <c r="C17" s="301" t="s">
        <v>10</v>
      </c>
      <c r="D17" s="369">
        <v>2500000</v>
      </c>
      <c r="E17" s="370" t="str">
        <f>IF(ISBLANK($C17),"",VLOOKUP($C17,EF!$G$12:$J$20,2,FALSE))</f>
        <v>therms</v>
      </c>
      <c r="F17" s="371">
        <f>IF(ISBLANK($C17),"",VLOOKUP($C17,EF!$G$12:$J$20,3,FALSE))</f>
        <v>0.88536774279662023</v>
      </c>
      <c r="G17" s="371" t="str">
        <f>IF(ISBLANK($C17),"",VLOOKUP($C17,EF!$G$12:$J$20,4,FALSE))</f>
        <v>kg CO2e/therms</v>
      </c>
      <c r="H17" s="372">
        <f>IFERROR(D17*F17/1000,"")</f>
        <v>2213.4193569915506</v>
      </c>
    </row>
    <row r="18" spans="1:8">
      <c r="A18" s="368">
        <v>2</v>
      </c>
      <c r="B18" s="304"/>
      <c r="C18" s="304"/>
      <c r="D18" s="373"/>
      <c r="E18" s="374" t="str">
        <f>IF(ISBLANK($C18),"",VLOOKUP($C18,EF!$G$12:$J$20,2,FALSE))</f>
        <v/>
      </c>
      <c r="F18" s="375" t="str">
        <f>IF(ISBLANK($C18),"",VLOOKUP($C18,EF!$G$12:$J$20,3,FALSE))</f>
        <v/>
      </c>
      <c r="G18" s="375" t="str">
        <f>IF(ISBLANK($C18),"",VLOOKUP($C18,EF!$G$12:$J$20,4,FALSE))</f>
        <v/>
      </c>
      <c r="H18" s="376" t="str">
        <f t="shared" ref="H18:H31" si="0">IFERROR(D18*F18/1000,"")</f>
        <v/>
      </c>
    </row>
    <row r="19" spans="1:8">
      <c r="A19" s="368">
        <v>3</v>
      </c>
      <c r="B19" s="304"/>
      <c r="C19" s="304"/>
      <c r="D19" s="373"/>
      <c r="E19" s="374" t="str">
        <f>IF(ISBLANK($C19),"",VLOOKUP($C19,EF!$G$12:$J$20,2,FALSE))</f>
        <v/>
      </c>
      <c r="F19" s="375" t="str">
        <f>IF(ISBLANK($C19),"",VLOOKUP($C19,EF!$G$12:$J$20,3,FALSE))</f>
        <v/>
      </c>
      <c r="G19" s="375" t="str">
        <f>IF(ISBLANK($C19),"",VLOOKUP($C19,EF!$G$12:$J$20,4,FALSE))</f>
        <v/>
      </c>
      <c r="H19" s="376" t="str">
        <f t="shared" si="0"/>
        <v/>
      </c>
    </row>
    <row r="20" spans="1:8">
      <c r="A20" s="368">
        <v>4</v>
      </c>
      <c r="B20" s="304"/>
      <c r="C20" s="304"/>
      <c r="D20" s="373"/>
      <c r="E20" s="374" t="str">
        <f>IF(ISBLANK($C20),"",VLOOKUP($C20,EF!$G$12:$J$20,2,FALSE))</f>
        <v/>
      </c>
      <c r="F20" s="375" t="str">
        <f>IF(ISBLANK($C20),"",VLOOKUP($C20,EF!$G$12:$J$20,3,FALSE))</f>
        <v/>
      </c>
      <c r="G20" s="375" t="str">
        <f>IF(ISBLANK($C20),"",VLOOKUP($C20,EF!$G$12:$J$20,4,FALSE))</f>
        <v/>
      </c>
      <c r="H20" s="376" t="str">
        <f t="shared" si="0"/>
        <v/>
      </c>
    </row>
    <row r="21" spans="1:8">
      <c r="A21" s="368">
        <v>5</v>
      </c>
      <c r="B21" s="304"/>
      <c r="C21" s="304"/>
      <c r="D21" s="373"/>
      <c r="E21" s="374" t="str">
        <f>IF(ISBLANK($C21),"",VLOOKUP($C21,EF!$G$12:$J$20,2,FALSE))</f>
        <v/>
      </c>
      <c r="F21" s="375" t="str">
        <f>IF(ISBLANK($C21),"",VLOOKUP($C21,EF!$G$12:$J$20,3,FALSE))</f>
        <v/>
      </c>
      <c r="G21" s="375" t="str">
        <f>IF(ISBLANK($C21),"",VLOOKUP($C21,EF!$G$12:$J$20,4,FALSE))</f>
        <v/>
      </c>
      <c r="H21" s="376" t="str">
        <f t="shared" si="0"/>
        <v/>
      </c>
    </row>
    <row r="22" spans="1:8">
      <c r="A22" s="368">
        <v>6</v>
      </c>
      <c r="B22" s="304"/>
      <c r="C22" s="304"/>
      <c r="D22" s="373"/>
      <c r="E22" s="374" t="str">
        <f>IF(ISBLANK($C22),"",VLOOKUP($C22,EF!$G$12:$J$20,2,FALSE))</f>
        <v/>
      </c>
      <c r="F22" s="375" t="str">
        <f>IF(ISBLANK($C22),"",VLOOKUP($C22,EF!$G$12:$J$20,3,FALSE))</f>
        <v/>
      </c>
      <c r="G22" s="375" t="str">
        <f>IF(ISBLANK($C22),"",VLOOKUP($C22,EF!$G$12:$J$20,4,FALSE))</f>
        <v/>
      </c>
      <c r="H22" s="376" t="str">
        <f t="shared" si="0"/>
        <v/>
      </c>
    </row>
    <row r="23" spans="1:8">
      <c r="A23" s="368">
        <v>7</v>
      </c>
      <c r="B23" s="304"/>
      <c r="C23" s="304"/>
      <c r="D23" s="373"/>
      <c r="E23" s="374" t="str">
        <f>IF(ISBLANK($C23),"",VLOOKUP($C23,EF!$G$12:$J$20,2,FALSE))</f>
        <v/>
      </c>
      <c r="F23" s="375" t="str">
        <f>IF(ISBLANK($C23),"",VLOOKUP($C23,EF!$G$12:$J$20,3,FALSE))</f>
        <v/>
      </c>
      <c r="G23" s="375" t="str">
        <f>IF(ISBLANK($C23),"",VLOOKUP($C23,EF!$G$12:$J$20,4,FALSE))</f>
        <v/>
      </c>
      <c r="H23" s="376" t="str">
        <f t="shared" si="0"/>
        <v/>
      </c>
    </row>
    <row r="24" spans="1:8">
      <c r="A24" s="368">
        <v>8</v>
      </c>
      <c r="B24" s="304"/>
      <c r="C24" s="304"/>
      <c r="D24" s="373"/>
      <c r="E24" s="374" t="str">
        <f>IF(ISBLANK($C24),"",VLOOKUP($C24,EF!$G$12:$J$20,2,FALSE))</f>
        <v/>
      </c>
      <c r="F24" s="375" t="str">
        <f>IF(ISBLANK($C24),"",VLOOKUP($C24,EF!$G$12:$J$20,3,FALSE))</f>
        <v/>
      </c>
      <c r="G24" s="375" t="str">
        <f>IF(ISBLANK($C24),"",VLOOKUP($C24,EF!$G$12:$J$20,4,FALSE))</f>
        <v/>
      </c>
      <c r="H24" s="376" t="str">
        <f t="shared" si="0"/>
        <v/>
      </c>
    </row>
    <row r="25" spans="1:8">
      <c r="A25" s="368">
        <v>9</v>
      </c>
      <c r="B25" s="304"/>
      <c r="C25" s="304"/>
      <c r="D25" s="373"/>
      <c r="E25" s="374" t="str">
        <f>IF(ISBLANK($C25),"",VLOOKUP($C25,EF!$G$12:$J$20,2,FALSE))</f>
        <v/>
      </c>
      <c r="F25" s="375" t="str">
        <f>IF(ISBLANK($C25),"",VLOOKUP($C25,EF!$G$12:$J$20,3,FALSE))</f>
        <v/>
      </c>
      <c r="G25" s="375" t="str">
        <f>IF(ISBLANK($C25),"",VLOOKUP($C25,EF!$G$12:$J$20,4,FALSE))</f>
        <v/>
      </c>
      <c r="H25" s="376" t="str">
        <f t="shared" si="0"/>
        <v/>
      </c>
    </row>
    <row r="26" spans="1:8">
      <c r="A26" s="368">
        <v>10</v>
      </c>
      <c r="B26" s="304"/>
      <c r="C26" s="304"/>
      <c r="D26" s="373"/>
      <c r="E26" s="374" t="str">
        <f>IF(ISBLANK($C26),"",VLOOKUP($C26,EF!$G$12:$J$20,2,FALSE))</f>
        <v/>
      </c>
      <c r="F26" s="375" t="str">
        <f>IF(ISBLANK($C26),"",VLOOKUP($C26,EF!$G$12:$J$20,3,FALSE))</f>
        <v/>
      </c>
      <c r="G26" s="375" t="str">
        <f>IF(ISBLANK($C26),"",VLOOKUP($C26,EF!$G$12:$J$20,4,FALSE))</f>
        <v/>
      </c>
      <c r="H26" s="376" t="str">
        <f t="shared" si="0"/>
        <v/>
      </c>
    </row>
    <row r="27" spans="1:8">
      <c r="A27" s="368">
        <v>11</v>
      </c>
      <c r="B27" s="304"/>
      <c r="C27" s="304"/>
      <c r="D27" s="373"/>
      <c r="E27" s="374" t="str">
        <f>IF(ISBLANK($C27),"",VLOOKUP($C27,EF!$G$12:$J$20,2,FALSE))</f>
        <v/>
      </c>
      <c r="F27" s="375" t="str">
        <f>IF(ISBLANK($C27),"",VLOOKUP($C27,EF!$G$12:$J$20,3,FALSE))</f>
        <v/>
      </c>
      <c r="G27" s="375" t="str">
        <f>IF(ISBLANK($C27),"",VLOOKUP($C27,EF!$G$12:$J$20,4,FALSE))</f>
        <v/>
      </c>
      <c r="H27" s="376" t="str">
        <f t="shared" si="0"/>
        <v/>
      </c>
    </row>
    <row r="28" spans="1:8">
      <c r="A28" s="368">
        <v>12</v>
      </c>
      <c r="B28" s="304"/>
      <c r="C28" s="304"/>
      <c r="D28" s="373"/>
      <c r="E28" s="374" t="str">
        <f>IF(ISBLANK($C28),"",VLOOKUP($C28,EF!$G$12:$J$20,2,FALSE))</f>
        <v/>
      </c>
      <c r="F28" s="375" t="str">
        <f>IF(ISBLANK($C28),"",VLOOKUP($C28,EF!$G$12:$J$20,3,FALSE))</f>
        <v/>
      </c>
      <c r="G28" s="375" t="str">
        <f>IF(ISBLANK($C28),"",VLOOKUP($C28,EF!$G$12:$J$20,4,FALSE))</f>
        <v/>
      </c>
      <c r="H28" s="376" t="str">
        <f t="shared" si="0"/>
        <v/>
      </c>
    </row>
    <row r="29" spans="1:8">
      <c r="A29" s="368">
        <v>13</v>
      </c>
      <c r="B29" s="304"/>
      <c r="C29" s="304"/>
      <c r="D29" s="373"/>
      <c r="E29" s="374" t="str">
        <f>IF(ISBLANK($C29),"",VLOOKUP($C29,EF!$G$12:$J$20,2,FALSE))</f>
        <v/>
      </c>
      <c r="F29" s="375" t="str">
        <f>IF(ISBLANK($C29),"",VLOOKUP($C29,EF!$G$12:$J$20,3,FALSE))</f>
        <v/>
      </c>
      <c r="G29" s="375" t="str">
        <f>IF(ISBLANK($C29),"",VLOOKUP($C29,EF!$G$12:$J$20,4,FALSE))</f>
        <v/>
      </c>
      <c r="H29" s="376" t="str">
        <f t="shared" si="0"/>
        <v/>
      </c>
    </row>
    <row r="30" spans="1:8">
      <c r="A30" s="368">
        <v>14</v>
      </c>
      <c r="B30" s="304"/>
      <c r="C30" s="304"/>
      <c r="D30" s="373"/>
      <c r="E30" s="374" t="str">
        <f>IF(ISBLANK($C30),"",VLOOKUP($C30,EF!$G$12:$J$20,2,FALSE))</f>
        <v/>
      </c>
      <c r="F30" s="375" t="str">
        <f>IF(ISBLANK($C30),"",VLOOKUP($C30,EF!$G$12:$J$20,3,FALSE))</f>
        <v/>
      </c>
      <c r="G30" s="375" t="str">
        <f>IF(ISBLANK($C30),"",VLOOKUP($C30,EF!$G$12:$J$20,4,FALSE))</f>
        <v/>
      </c>
      <c r="H30" s="376" t="str">
        <f t="shared" si="0"/>
        <v/>
      </c>
    </row>
    <row r="31" spans="1:8">
      <c r="A31" s="368">
        <v>15</v>
      </c>
      <c r="B31" s="304"/>
      <c r="C31" s="304"/>
      <c r="D31" s="373"/>
      <c r="E31" s="374" t="str">
        <f>IF(ISBLANK($C31),"",VLOOKUP($C31,EF!$G$12:$J$20,2,FALSE))</f>
        <v/>
      </c>
      <c r="F31" s="375" t="str">
        <f>IF(ISBLANK($C31),"",VLOOKUP($C31,EF!$G$12:$J$20,3,FALSE))</f>
        <v/>
      </c>
      <c r="G31" s="375" t="str">
        <f>IF(ISBLANK($C31),"",VLOOKUP($C31,EF!$G$12:$J$20,4,FALSE))</f>
        <v/>
      </c>
      <c r="H31" s="376" t="str">
        <f t="shared" si="0"/>
        <v/>
      </c>
    </row>
    <row r="32" spans="1:8">
      <c r="A32" s="368">
        <v>16</v>
      </c>
      <c r="B32" s="304"/>
      <c r="C32" s="304"/>
      <c r="D32" s="373"/>
      <c r="E32" s="374" t="str">
        <f>IF(ISBLANK($C32),"",VLOOKUP($C32,EF!$G$12:$J$20,2,FALSE))</f>
        <v/>
      </c>
      <c r="F32" s="375" t="str">
        <f>IF(ISBLANK($C32),"",VLOOKUP($C32,EF!$G$12:$J$20,3,FALSE))</f>
        <v/>
      </c>
      <c r="G32" s="375" t="str">
        <f>IF(ISBLANK($C32),"",VLOOKUP($C32,EF!$G$12:$J$20,4,FALSE))</f>
        <v/>
      </c>
      <c r="H32" s="376" t="str">
        <f>IFERROR(D32*F32/1000,"")</f>
        <v/>
      </c>
    </row>
    <row r="33" spans="1:8">
      <c r="A33" s="368">
        <v>17</v>
      </c>
      <c r="B33" s="304"/>
      <c r="C33" s="304"/>
      <c r="D33" s="373"/>
      <c r="E33" s="374" t="str">
        <f>IF(ISBLANK($C33),"",VLOOKUP($C33,EF!$G$12:$J$20,2,FALSE))</f>
        <v/>
      </c>
      <c r="F33" s="375" t="str">
        <f>IF(ISBLANK($C33),"",VLOOKUP($C33,EF!$G$12:$J$20,3,FALSE))</f>
        <v/>
      </c>
      <c r="G33" s="375" t="str">
        <f>IF(ISBLANK($C33),"",VLOOKUP($C33,EF!$G$12:$J$20,4,FALSE))</f>
        <v/>
      </c>
      <c r="H33" s="376" t="str">
        <f>IFERROR(D33*F33/1000,"")</f>
        <v/>
      </c>
    </row>
    <row r="34" spans="1:8">
      <c r="A34" s="368">
        <v>18</v>
      </c>
      <c r="B34" s="304"/>
      <c r="C34" s="304"/>
      <c r="D34" s="373"/>
      <c r="E34" s="374" t="str">
        <f>IF(ISBLANK($C34),"",VLOOKUP($C34,EF!$G$12:$J$20,2,FALSE))</f>
        <v/>
      </c>
      <c r="F34" s="375" t="str">
        <f>IF(ISBLANK($C34),"",VLOOKUP($C34,EF!$G$12:$J$20,3,FALSE))</f>
        <v/>
      </c>
      <c r="G34" s="375" t="str">
        <f>IF(ISBLANK($C34),"",VLOOKUP($C34,EF!$G$12:$J$20,4,FALSE))</f>
        <v/>
      </c>
      <c r="H34" s="376" t="str">
        <f>IFERROR(D34*F34/1000,"")</f>
        <v/>
      </c>
    </row>
    <row r="35" spans="1:8">
      <c r="A35" s="368">
        <v>19</v>
      </c>
      <c r="B35" s="304"/>
      <c r="C35" s="304"/>
      <c r="D35" s="373"/>
      <c r="E35" s="374" t="str">
        <f>IF(ISBLANK($C35),"",VLOOKUP($C35,EF!$G$12:$J$20,2,FALSE))</f>
        <v/>
      </c>
      <c r="F35" s="375" t="str">
        <f>IF(ISBLANK($C35),"",VLOOKUP($C35,EF!$G$12:$J$20,3,FALSE))</f>
        <v/>
      </c>
      <c r="G35" s="375" t="str">
        <f>IF(ISBLANK($C35),"",VLOOKUP($C35,EF!$G$12:$J$20,4,FALSE))</f>
        <v/>
      </c>
      <c r="H35" s="376" t="str">
        <f>IFERROR(D35*F35/1000,"")</f>
        <v/>
      </c>
    </row>
    <row r="36" spans="1:8" ht="14.5" thickBot="1">
      <c r="A36" s="368">
        <v>20</v>
      </c>
      <c r="B36" s="304"/>
      <c r="C36" s="304"/>
      <c r="D36" s="373"/>
      <c r="E36" s="374" t="str">
        <f>IF(ISBLANK($C36),"",VLOOKUP($C36,EF!$G$12:$J$20,2,FALSE))</f>
        <v/>
      </c>
      <c r="F36" s="375" t="str">
        <f>IF(ISBLANK($C36),"",VLOOKUP($C36,EF!$G$12:$J$20,3,FALSE))</f>
        <v/>
      </c>
      <c r="G36" s="375" t="str">
        <f>IF(ISBLANK($C36),"",VLOOKUP($C36,EF!$G$12:$J$20,4,FALSE))</f>
        <v/>
      </c>
      <c r="H36" s="376" t="str">
        <f>IFERROR(D36*F36/1000,"")</f>
        <v/>
      </c>
    </row>
    <row r="37" spans="1:8" ht="14.5" thickBot="1">
      <c r="G37" s="377" t="s">
        <v>1624</v>
      </c>
      <c r="H37" s="339">
        <f>SUM(H18:H36)</f>
        <v>0</v>
      </c>
    </row>
    <row r="38" spans="1:8" ht="17.5">
      <c r="A38" s="364" t="s">
        <v>1692</v>
      </c>
    </row>
    <row r="39" spans="1:8">
      <c r="A39" s="365" t="s">
        <v>1592</v>
      </c>
    </row>
    <row r="40" spans="1:8" ht="17.5">
      <c r="A40" s="364"/>
      <c r="B40" t="s">
        <v>353</v>
      </c>
      <c r="C40" t="s">
        <v>353</v>
      </c>
    </row>
    <row r="41" spans="1:8" ht="28">
      <c r="A41" s="366" t="s">
        <v>1593</v>
      </c>
      <c r="B41" s="367" t="s">
        <v>360</v>
      </c>
      <c r="C41" s="367" t="s">
        <v>1693</v>
      </c>
      <c r="D41" s="378" t="s">
        <v>1694</v>
      </c>
      <c r="E41" s="379" t="s">
        <v>1695</v>
      </c>
      <c r="F41" s="366" t="s">
        <v>363</v>
      </c>
    </row>
    <row r="42" spans="1:8" ht="14.5">
      <c r="A42" s="368">
        <v>1</v>
      </c>
      <c r="B42" s="301" t="s">
        <v>1597</v>
      </c>
      <c r="C42" s="369">
        <v>500000000</v>
      </c>
      <c r="D42" s="380">
        <f>IF(ISBLANK(C42),"",C42/(1-EF!$E$30))</f>
        <v>530735930.73593074</v>
      </c>
      <c r="E42" s="371">
        <f>IF(ISBLANK(C42),"",EF!$E$24)</f>
        <v>6.2399999999999997E-2</v>
      </c>
      <c r="F42" s="381">
        <f>IFERROR(D42*E42/1000,"")</f>
        <v>33117.922077922078</v>
      </c>
    </row>
    <row r="43" spans="1:8">
      <c r="A43" s="368">
        <v>2</v>
      </c>
      <c r="B43" s="304"/>
      <c r="C43" s="373"/>
      <c r="D43" s="380" t="str">
        <f>IF(ISBLANK(C43),"",C43/(1-EF!$E$30))</f>
        <v/>
      </c>
      <c r="E43" s="375" t="str">
        <f>IF(ISBLANK(C43),"",EF!$E$24)</f>
        <v/>
      </c>
      <c r="F43" s="382" t="str">
        <f>IFERROR(D43*E43/1000,"")</f>
        <v/>
      </c>
    </row>
    <row r="44" spans="1:8">
      <c r="A44" s="368">
        <v>3</v>
      </c>
      <c r="B44" s="304"/>
      <c r="C44" s="373"/>
      <c r="D44" s="380" t="str">
        <f>IF(ISBLANK(C44),"",C44/(1-EF!$E$30))</f>
        <v/>
      </c>
      <c r="E44" s="375" t="str">
        <f>IF(ISBLANK(C44),"",EF!$E$24)</f>
        <v/>
      </c>
      <c r="F44" s="382" t="str">
        <f t="shared" ref="F44:F61" si="1">IFERROR(D44*E44/1000,"")</f>
        <v/>
      </c>
    </row>
    <row r="45" spans="1:8">
      <c r="A45" s="368">
        <v>4</v>
      </c>
      <c r="B45" s="304"/>
      <c r="C45" s="373"/>
      <c r="D45" s="380" t="str">
        <f>IF(ISBLANK(C45),"",C45/(1-EF!$E$30))</f>
        <v/>
      </c>
      <c r="E45" s="375" t="str">
        <f>IF(ISBLANK(C45),"",EF!$E$24)</f>
        <v/>
      </c>
      <c r="F45" s="382" t="str">
        <f t="shared" si="1"/>
        <v/>
      </c>
    </row>
    <row r="46" spans="1:8">
      <c r="A46" s="368">
        <v>5</v>
      </c>
      <c r="B46" s="304"/>
      <c r="C46" s="373"/>
      <c r="D46" s="380" t="str">
        <f>IF(ISBLANK(C46),"",C46/(1-EF!$E$30))</f>
        <v/>
      </c>
      <c r="E46" s="375" t="str">
        <f>IF(ISBLANK(C46),"",EF!$E$24)</f>
        <v/>
      </c>
      <c r="F46" s="382" t="str">
        <f t="shared" si="1"/>
        <v/>
      </c>
    </row>
    <row r="47" spans="1:8">
      <c r="A47" s="368">
        <v>6</v>
      </c>
      <c r="B47" s="304"/>
      <c r="C47" s="304"/>
      <c r="D47" s="380" t="str">
        <f>IF(ISBLANK(C47),"",C47/(1-EF!$E$30))</f>
        <v/>
      </c>
      <c r="E47" s="375" t="str">
        <f>IF(ISBLANK(C47),"",EF!$E$24)</f>
        <v/>
      </c>
      <c r="F47" s="382" t="str">
        <f t="shared" si="1"/>
        <v/>
      </c>
    </row>
    <row r="48" spans="1:8">
      <c r="A48" s="368">
        <v>7</v>
      </c>
      <c r="B48" s="304"/>
      <c r="C48" s="304"/>
      <c r="D48" s="380" t="str">
        <f>IF(ISBLANK(C48),"",C48/(1-EF!$E$30))</f>
        <v/>
      </c>
      <c r="E48" s="375" t="str">
        <f>IF(ISBLANK(C48),"",EF!$E$24)</f>
        <v/>
      </c>
      <c r="F48" s="382" t="str">
        <f t="shared" si="1"/>
        <v/>
      </c>
    </row>
    <row r="49" spans="1:6">
      <c r="A49" s="368">
        <v>8</v>
      </c>
      <c r="B49" s="304"/>
      <c r="C49" s="304"/>
      <c r="D49" s="380" t="str">
        <f>IF(ISBLANK(C49),"",C49/(1-EF!$E$30))</f>
        <v/>
      </c>
      <c r="E49" s="375" t="str">
        <f>IF(ISBLANK(C49),"",EF!$E$24)</f>
        <v/>
      </c>
      <c r="F49" s="382" t="str">
        <f t="shared" si="1"/>
        <v/>
      </c>
    </row>
    <row r="50" spans="1:6">
      <c r="A50" s="368">
        <v>9</v>
      </c>
      <c r="B50" s="304"/>
      <c r="C50" s="304"/>
      <c r="D50" s="380" t="str">
        <f>IF(ISBLANK(C50),"",C50/(1-EF!$E$30))</f>
        <v/>
      </c>
      <c r="E50" s="375" t="str">
        <f>IF(ISBLANK(C50),"",EF!$E$24)</f>
        <v/>
      </c>
      <c r="F50" s="382" t="str">
        <f t="shared" si="1"/>
        <v/>
      </c>
    </row>
    <row r="51" spans="1:6">
      <c r="A51" s="368">
        <v>10</v>
      </c>
      <c r="B51" s="304"/>
      <c r="C51" s="304"/>
      <c r="D51" s="380" t="str">
        <f>IF(ISBLANK(C51),"",C51/(1-EF!$E$30))</f>
        <v/>
      </c>
      <c r="E51" s="375" t="str">
        <f>IF(ISBLANK(C51),"",EF!$E$24)</f>
        <v/>
      </c>
      <c r="F51" s="382" t="str">
        <f t="shared" si="1"/>
        <v/>
      </c>
    </row>
    <row r="52" spans="1:6">
      <c r="A52" s="368">
        <v>11</v>
      </c>
      <c r="B52" s="304"/>
      <c r="C52" s="304"/>
      <c r="D52" s="380" t="str">
        <f>IF(ISBLANK(C52),"",C52/(1-EF!$E$30))</f>
        <v/>
      </c>
      <c r="E52" s="375" t="str">
        <f>IF(ISBLANK(C52),"",EF!$E$24)</f>
        <v/>
      </c>
      <c r="F52" s="382" t="str">
        <f t="shared" si="1"/>
        <v/>
      </c>
    </row>
    <row r="53" spans="1:6">
      <c r="A53" s="368">
        <v>12</v>
      </c>
      <c r="B53" s="304"/>
      <c r="C53" s="304"/>
      <c r="D53" s="380" t="str">
        <f>IF(ISBLANK(C53),"",C53/(1-EF!$E$30))</f>
        <v/>
      </c>
      <c r="E53" s="375" t="str">
        <f>IF(ISBLANK(C53),"",EF!$E$24)</f>
        <v/>
      </c>
      <c r="F53" s="382" t="str">
        <f t="shared" si="1"/>
        <v/>
      </c>
    </row>
    <row r="54" spans="1:6">
      <c r="A54" s="368">
        <v>13</v>
      </c>
      <c r="B54" s="304"/>
      <c r="C54" s="304"/>
      <c r="D54" s="380" t="str">
        <f>IF(ISBLANK(C54),"",C54/(1-EF!$E$30))</f>
        <v/>
      </c>
      <c r="E54" s="375" t="str">
        <f>IF(ISBLANK(C54),"",EF!$E$24)</f>
        <v/>
      </c>
      <c r="F54" s="382" t="str">
        <f t="shared" si="1"/>
        <v/>
      </c>
    </row>
    <row r="55" spans="1:6">
      <c r="A55" s="368">
        <v>14</v>
      </c>
      <c r="B55" s="304"/>
      <c r="C55" s="304"/>
      <c r="D55" s="380" t="str">
        <f>IF(ISBLANK(C55),"",C55/(1-EF!$E$30))</f>
        <v/>
      </c>
      <c r="E55" s="375" t="str">
        <f>IF(ISBLANK(C55),"",EF!$E$24)</f>
        <v/>
      </c>
      <c r="F55" s="382" t="str">
        <f t="shared" si="1"/>
        <v/>
      </c>
    </row>
    <row r="56" spans="1:6">
      <c r="A56" s="368">
        <v>15</v>
      </c>
      <c r="B56" s="304"/>
      <c r="C56" s="304"/>
      <c r="D56" s="380" t="str">
        <f>IF(ISBLANK(C56),"",C56/(1-EF!$E$30))</f>
        <v/>
      </c>
      <c r="E56" s="375" t="str">
        <f>IF(ISBLANK(C56),"",EF!$E$24)</f>
        <v/>
      </c>
      <c r="F56" s="382" t="str">
        <f t="shared" si="1"/>
        <v/>
      </c>
    </row>
    <row r="57" spans="1:6">
      <c r="A57" s="368">
        <v>16</v>
      </c>
      <c r="B57" s="304"/>
      <c r="C57" s="304"/>
      <c r="D57" s="380" t="str">
        <f>IF(ISBLANK(C57),"",C57/(1-EF!$E$30))</f>
        <v/>
      </c>
      <c r="E57" s="375" t="str">
        <f>IF(ISBLANK(C57),"",EF!$E$24)</f>
        <v/>
      </c>
      <c r="F57" s="382" t="str">
        <f t="shared" si="1"/>
        <v/>
      </c>
    </row>
    <row r="58" spans="1:6">
      <c r="A58" s="368">
        <v>17</v>
      </c>
      <c r="B58" s="304"/>
      <c r="C58" s="304"/>
      <c r="D58" s="380" t="str">
        <f>IF(ISBLANK(C58),"",C58/(1-EF!$E$30))</f>
        <v/>
      </c>
      <c r="E58" s="375" t="str">
        <f>IF(ISBLANK(C58),"",EF!$E$24)</f>
        <v/>
      </c>
      <c r="F58" s="382" t="str">
        <f t="shared" si="1"/>
        <v/>
      </c>
    </row>
    <row r="59" spans="1:6">
      <c r="A59" s="368">
        <v>18</v>
      </c>
      <c r="B59" s="304"/>
      <c r="C59" s="304"/>
      <c r="D59" s="380" t="str">
        <f>IF(ISBLANK(C59),"",C59/(1-EF!$E$30))</f>
        <v/>
      </c>
      <c r="E59" s="375" t="str">
        <f>IF(ISBLANK(C59),"",EF!$E$24)</f>
        <v/>
      </c>
      <c r="F59" s="382" t="str">
        <f t="shared" si="1"/>
        <v/>
      </c>
    </row>
    <row r="60" spans="1:6">
      <c r="A60" s="368">
        <v>19</v>
      </c>
      <c r="B60" s="304"/>
      <c r="C60" s="304"/>
      <c r="D60" s="380" t="str">
        <f>IF(ISBLANK(C60),"",C60/(1-EF!$E$30))</f>
        <v/>
      </c>
      <c r="E60" s="375" t="str">
        <f>IF(ISBLANK(C60),"",EF!$E$24)</f>
        <v/>
      </c>
      <c r="F60" s="382" t="str">
        <f t="shared" si="1"/>
        <v/>
      </c>
    </row>
    <row r="61" spans="1:6" ht="14.5" thickBot="1">
      <c r="A61" s="368">
        <v>20</v>
      </c>
      <c r="B61" s="304"/>
      <c r="C61" s="304"/>
      <c r="D61" s="380" t="str">
        <f>IF(ISBLANK(C61),"",C61/(1-EF!$E$30))</f>
        <v/>
      </c>
      <c r="E61" s="375" t="str">
        <f>IF(ISBLANK(C61),"",EF!$E$24)</f>
        <v/>
      </c>
      <c r="F61" s="382" t="str">
        <f t="shared" si="1"/>
        <v/>
      </c>
    </row>
    <row r="62" spans="1:6" ht="14.5" thickBot="1">
      <c r="E62" s="377" t="s">
        <v>1624</v>
      </c>
      <c r="F62" s="339">
        <f>SUM(F43:F61)</f>
        <v>0</v>
      </c>
    </row>
    <row r="63" spans="1:6" ht="17.5">
      <c r="A63" s="364" t="s">
        <v>1696</v>
      </c>
    </row>
    <row r="64" spans="1:6">
      <c r="A64" s="365" t="s">
        <v>1592</v>
      </c>
    </row>
    <row r="65" spans="1:5">
      <c r="B65" t="s">
        <v>353</v>
      </c>
      <c r="C65" t="s">
        <v>353</v>
      </c>
    </row>
    <row r="66" spans="1:5" ht="28">
      <c r="A66" s="367" t="s">
        <v>1593</v>
      </c>
      <c r="B66" s="367" t="s">
        <v>360</v>
      </c>
      <c r="C66" s="367" t="s">
        <v>1693</v>
      </c>
      <c r="D66" s="379" t="s">
        <v>1697</v>
      </c>
      <c r="E66" s="367" t="s">
        <v>363</v>
      </c>
    </row>
    <row r="67" spans="1:5" ht="14.5">
      <c r="A67" s="383">
        <v>1</v>
      </c>
      <c r="B67" s="301" t="s">
        <v>1597</v>
      </c>
      <c r="C67" s="369">
        <v>100000000</v>
      </c>
      <c r="D67" s="371">
        <f>IF(ISBLANK(C67),"",EF!H3)</f>
        <v>2.1299999999999999E-2</v>
      </c>
      <c r="E67" s="384">
        <f>IFERROR((C67*D67/1000),"")</f>
        <v>2130</v>
      </c>
    </row>
    <row r="68" spans="1:5">
      <c r="A68" s="383">
        <v>2</v>
      </c>
      <c r="B68" s="304"/>
      <c r="C68" s="373"/>
      <c r="D68" s="375" t="str">
        <f>IF(ISBLANK(C68),"",EF!$H$3)</f>
        <v/>
      </c>
      <c r="E68" s="385" t="str">
        <f t="shared" ref="E68:E86" si="2">IFERROR((C68*D68/1000),"")</f>
        <v/>
      </c>
    </row>
    <row r="69" spans="1:5">
      <c r="A69" s="383">
        <v>3</v>
      </c>
      <c r="B69" s="304"/>
      <c r="C69" s="373"/>
      <c r="D69" s="375" t="str">
        <f>IF(ISBLANK(C69),"",EF!$H$3)</f>
        <v/>
      </c>
      <c r="E69" s="385" t="str">
        <f t="shared" si="2"/>
        <v/>
      </c>
    </row>
    <row r="70" spans="1:5">
      <c r="A70" s="383">
        <v>4</v>
      </c>
      <c r="B70" s="304"/>
      <c r="C70" s="373"/>
      <c r="D70" s="375" t="str">
        <f>IF(ISBLANK(C70),"",EF!$H$3)</f>
        <v/>
      </c>
      <c r="E70" s="385" t="str">
        <f t="shared" si="2"/>
        <v/>
      </c>
    </row>
    <row r="71" spans="1:5">
      <c r="A71" s="383">
        <v>5</v>
      </c>
      <c r="B71" s="304"/>
      <c r="C71" s="373"/>
      <c r="D71" s="375" t="str">
        <f>IF(ISBLANK(C71),"",EF!$H$3)</f>
        <v/>
      </c>
      <c r="E71" s="385" t="str">
        <f t="shared" si="2"/>
        <v/>
      </c>
    </row>
    <row r="72" spans="1:5">
      <c r="A72" s="383">
        <v>6</v>
      </c>
      <c r="B72" s="304"/>
      <c r="C72" s="304"/>
      <c r="D72" s="375" t="str">
        <f>IF(ISBLANK(C72),"",EF!$H$3)</f>
        <v/>
      </c>
      <c r="E72" s="385" t="str">
        <f t="shared" si="2"/>
        <v/>
      </c>
    </row>
    <row r="73" spans="1:5">
      <c r="A73" s="383">
        <v>7</v>
      </c>
      <c r="B73" s="304"/>
      <c r="C73" s="304"/>
      <c r="D73" s="375" t="str">
        <f>IF(ISBLANK(C73),"",EF!$H$3)</f>
        <v/>
      </c>
      <c r="E73" s="385" t="str">
        <f t="shared" si="2"/>
        <v/>
      </c>
    </row>
    <row r="74" spans="1:5">
      <c r="A74" s="383">
        <v>8</v>
      </c>
      <c r="B74" s="304"/>
      <c r="C74" s="304"/>
      <c r="D74" s="375" t="str">
        <f>IF(ISBLANK(C74),"",EF!$H$3)</f>
        <v/>
      </c>
      <c r="E74" s="385" t="str">
        <f t="shared" si="2"/>
        <v/>
      </c>
    </row>
    <row r="75" spans="1:5">
      <c r="A75" s="383">
        <v>9</v>
      </c>
      <c r="B75" s="304"/>
      <c r="C75" s="304"/>
      <c r="D75" s="375" t="str">
        <f>IF(ISBLANK(C75),"",EF!$H$3)</f>
        <v/>
      </c>
      <c r="E75" s="385" t="str">
        <f t="shared" si="2"/>
        <v/>
      </c>
    </row>
    <row r="76" spans="1:5">
      <c r="A76" s="383">
        <v>10</v>
      </c>
      <c r="B76" s="304"/>
      <c r="C76" s="304"/>
      <c r="D76" s="375" t="str">
        <f>IF(ISBLANK(C76),"",EF!$H$3)</f>
        <v/>
      </c>
      <c r="E76" s="385" t="str">
        <f t="shared" si="2"/>
        <v/>
      </c>
    </row>
    <row r="77" spans="1:5">
      <c r="A77" s="383">
        <v>11</v>
      </c>
      <c r="B77" s="304"/>
      <c r="C77" s="304"/>
      <c r="D77" s="375" t="str">
        <f>IF(ISBLANK(C77),"",EF!$H$3)</f>
        <v/>
      </c>
      <c r="E77" s="385" t="str">
        <f t="shared" si="2"/>
        <v/>
      </c>
    </row>
    <row r="78" spans="1:5">
      <c r="A78" s="383">
        <v>12</v>
      </c>
      <c r="B78" s="304"/>
      <c r="C78" s="304"/>
      <c r="D78" s="375" t="str">
        <f>IF(ISBLANK(C78),"",EF!$H$3)</f>
        <v/>
      </c>
      <c r="E78" s="385" t="str">
        <f t="shared" si="2"/>
        <v/>
      </c>
    </row>
    <row r="79" spans="1:5">
      <c r="A79" s="383">
        <v>13</v>
      </c>
      <c r="B79" s="304"/>
      <c r="C79" s="304"/>
      <c r="D79" s="375" t="str">
        <f>IF(ISBLANK(C79),"",EF!$H$3)</f>
        <v/>
      </c>
      <c r="E79" s="385" t="str">
        <f t="shared" si="2"/>
        <v/>
      </c>
    </row>
    <row r="80" spans="1:5">
      <c r="A80" s="383">
        <v>14</v>
      </c>
      <c r="B80" s="304"/>
      <c r="C80" s="304"/>
      <c r="D80" s="375" t="str">
        <f>IF(ISBLANK(C80),"",EF!$H$3)</f>
        <v/>
      </c>
      <c r="E80" s="385" t="str">
        <f t="shared" si="2"/>
        <v/>
      </c>
    </row>
    <row r="81" spans="1:5">
      <c r="A81" s="383">
        <v>15</v>
      </c>
      <c r="B81" s="304"/>
      <c r="C81" s="304"/>
      <c r="D81" s="375" t="str">
        <f>IF(ISBLANK(C81),"",EF!$H$3)</f>
        <v/>
      </c>
      <c r="E81" s="385" t="str">
        <f t="shared" si="2"/>
        <v/>
      </c>
    </row>
    <row r="82" spans="1:5">
      <c r="A82" s="383">
        <v>16</v>
      </c>
      <c r="B82" s="304"/>
      <c r="C82" s="304"/>
      <c r="D82" s="375" t="str">
        <f>IF(ISBLANK(C82),"",EF!$H$3)</f>
        <v/>
      </c>
      <c r="E82" s="385" t="str">
        <f t="shared" si="2"/>
        <v/>
      </c>
    </row>
    <row r="83" spans="1:5">
      <c r="A83" s="383">
        <v>17</v>
      </c>
      <c r="B83" s="304"/>
      <c r="C83" s="304"/>
      <c r="D83" s="375" t="str">
        <f>IF(ISBLANK(C83),"",EF!$H$3)</f>
        <v/>
      </c>
      <c r="E83" s="385" t="str">
        <f t="shared" si="2"/>
        <v/>
      </c>
    </row>
    <row r="84" spans="1:5">
      <c r="A84" s="383">
        <v>18</v>
      </c>
      <c r="B84" s="304"/>
      <c r="C84" s="304"/>
      <c r="D84" s="375" t="str">
        <f>IF(ISBLANK(C84),"",EF!$H$3)</f>
        <v/>
      </c>
      <c r="E84" s="385" t="str">
        <f t="shared" si="2"/>
        <v/>
      </c>
    </row>
    <row r="85" spans="1:5">
      <c r="A85" s="383">
        <v>19</v>
      </c>
      <c r="B85" s="304"/>
      <c r="C85" s="304"/>
      <c r="D85" s="375" t="str">
        <f>IF(ISBLANK(C85),"",EF!$H$3)</f>
        <v/>
      </c>
      <c r="E85" s="385" t="str">
        <f t="shared" si="2"/>
        <v/>
      </c>
    </row>
    <row r="86" spans="1:5" ht="14.5" thickBot="1">
      <c r="A86" s="383">
        <v>20</v>
      </c>
      <c r="B86" s="304"/>
      <c r="C86" s="304"/>
      <c r="D86" s="375" t="str">
        <f>IF(ISBLANK(C86),"",EF!$H$3)</f>
        <v/>
      </c>
      <c r="E86" s="385" t="str">
        <f t="shared" si="2"/>
        <v/>
      </c>
    </row>
    <row r="87" spans="1:5" ht="14.5" thickBot="1">
      <c r="D87" s="386" t="s">
        <v>1624</v>
      </c>
      <c r="E87" s="339">
        <f>SUM(E68:E86)</f>
        <v>0</v>
      </c>
    </row>
  </sheetData>
  <sheetProtection algorithmName="SHA-512" hashValue="89wA/R3tfWIKoDN9E5K3G6iQdh/NRSskiIunwXFslU/AnbRy1f/rWmYYkh41a15mWaADtb8HPM9rQVUEdAxkpg==" saltValue="Wim3xK+gjuxadECHMjGLag==" spinCount="100000" sheet="1" objects="1" scenarios="1"/>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1156F98-0168-4ABC-9AE0-5BC3BF2C5467}">
          <x14:formula1>
            <xm:f>EF!$G$12:$G$20</xm:f>
          </x14:formula1>
          <xm:sqref>C17:C36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49847-71F4-4F13-A34E-8E31928C550E}">
  <sheetPr>
    <tabColor theme="3" tint="0.59999389629810485"/>
  </sheetPr>
  <dimension ref="A1:G22"/>
  <sheetViews>
    <sheetView zoomScale="85" zoomScaleNormal="85" workbookViewId="0">
      <selection activeCell="D14" sqref="D14:D20"/>
    </sheetView>
  </sheetViews>
  <sheetFormatPr defaultRowHeight="15.5"/>
  <cols>
    <col min="1" max="1" width="5.08203125" customWidth="1"/>
    <col min="2" max="2" width="21.6640625" style="390" customWidth="1"/>
    <col min="3" max="3" width="21.1640625" style="153" customWidth="1"/>
    <col min="4" max="4" width="18.4140625" style="22" customWidth="1"/>
    <col min="5" max="5" width="20.9140625" style="1" customWidth="1"/>
    <col min="6" max="6" width="33.4140625" style="7" customWidth="1"/>
    <col min="7" max="7" width="149.6640625" customWidth="1"/>
  </cols>
  <sheetData>
    <row r="1" spans="1:7" ht="20">
      <c r="A1" s="154" t="s">
        <v>1698</v>
      </c>
      <c r="B1" s="258"/>
      <c r="C1" s="154"/>
      <c r="D1" s="154"/>
      <c r="E1" s="258"/>
      <c r="F1" s="258"/>
      <c r="G1" s="258"/>
    </row>
    <row r="2" spans="1:7" ht="14">
      <c r="A2" s="359" t="s">
        <v>345</v>
      </c>
      <c r="B2" s="387"/>
      <c r="C2" s="261"/>
      <c r="D2" s="261"/>
      <c r="E2" s="261"/>
      <c r="F2" s="261"/>
      <c r="G2" s="261"/>
    </row>
    <row r="3" spans="1:7" ht="14">
      <c r="A3" s="263" t="s">
        <v>1699</v>
      </c>
      <c r="B3" s="261"/>
      <c r="C3" s="261"/>
      <c r="D3" s="261"/>
      <c r="E3" s="261"/>
      <c r="F3" s="261"/>
      <c r="G3" s="261"/>
    </row>
    <row r="4" spans="1:7" ht="14">
      <c r="A4" s="388" t="s">
        <v>347</v>
      </c>
      <c r="B4" s="389"/>
      <c r="C4" s="389"/>
      <c r="D4" s="389"/>
      <c r="E4" s="389"/>
      <c r="F4" s="389"/>
      <c r="G4" s="389"/>
    </row>
    <row r="5" spans="1:7" ht="14">
      <c r="A5" s="388" t="s">
        <v>348</v>
      </c>
      <c r="B5" s="389"/>
      <c r="C5" s="389"/>
      <c r="D5" s="389"/>
      <c r="E5" s="389"/>
      <c r="F5" s="389"/>
      <c r="G5" s="389"/>
    </row>
    <row r="6" spans="1:7" ht="14">
      <c r="B6"/>
      <c r="C6"/>
      <c r="D6"/>
      <c r="E6"/>
      <c r="F6"/>
    </row>
    <row r="7" spans="1:7" ht="22.5">
      <c r="A7" s="146"/>
      <c r="C7" s="391"/>
      <c r="D7" s="391"/>
    </row>
    <row r="8" spans="1:7" ht="22.5">
      <c r="A8" s="146"/>
      <c r="C8" s="391"/>
      <c r="D8" s="391"/>
    </row>
    <row r="9" spans="1:7" ht="22.5">
      <c r="A9" s="146"/>
      <c r="C9" s="391"/>
      <c r="D9" s="391"/>
    </row>
    <row r="10" spans="1:7" ht="22.5">
      <c r="A10" s="146"/>
      <c r="C10" s="391"/>
      <c r="D10" s="391"/>
    </row>
    <row r="11" spans="1:7" ht="22.5">
      <c r="A11" s="146"/>
      <c r="C11" s="391"/>
      <c r="D11" s="391"/>
    </row>
    <row r="12" spans="1:7" ht="22.5">
      <c r="A12" s="146"/>
      <c r="C12" s="392" t="s">
        <v>353</v>
      </c>
      <c r="D12" s="392" t="s">
        <v>353</v>
      </c>
      <c r="F12" s="393"/>
    </row>
    <row r="13" spans="1:7" ht="54">
      <c r="A13" s="146"/>
      <c r="B13" s="394" t="s">
        <v>359</v>
      </c>
      <c r="C13" s="395" t="s">
        <v>360</v>
      </c>
      <c r="D13" s="396" t="s">
        <v>361</v>
      </c>
      <c r="E13" s="396" t="s">
        <v>363</v>
      </c>
      <c r="F13" s="397" t="s">
        <v>364</v>
      </c>
      <c r="G13" s="398" t="s">
        <v>368</v>
      </c>
    </row>
    <row r="14" spans="1:7" ht="126">
      <c r="B14" s="662" t="s">
        <v>21</v>
      </c>
      <c r="C14" s="657"/>
      <c r="D14" s="657"/>
      <c r="E14" s="660" t="str">
        <f>IF(D14="","",(D14*F14/1000*'Inventory Settings'!$J$21))</f>
        <v/>
      </c>
      <c r="F14" s="661">
        <v>0.98798129474000018</v>
      </c>
      <c r="G14" s="399" t="s">
        <v>1700</v>
      </c>
    </row>
    <row r="15" spans="1:7" ht="84">
      <c r="B15" s="662" t="s">
        <v>1701</v>
      </c>
      <c r="C15" s="657"/>
      <c r="D15" s="657"/>
      <c r="E15" s="660" t="str">
        <f>IF(D15="","",(D15*F15/1000*'Inventory Settings'!$J$21))</f>
        <v/>
      </c>
      <c r="F15" s="661">
        <v>0.56479923960000011</v>
      </c>
      <c r="G15" s="399" t="s">
        <v>1702</v>
      </c>
    </row>
    <row r="16" spans="1:7" ht="70">
      <c r="B16" s="662" t="s">
        <v>1703</v>
      </c>
      <c r="C16" s="657"/>
      <c r="D16" s="657"/>
      <c r="E16" s="660" t="str">
        <f>IF(D16="","",(D16*F16/1000*'Inventory Settings'!$J$21))</f>
        <v/>
      </c>
      <c r="F16" s="661">
        <v>0.63220751212999993</v>
      </c>
      <c r="G16" s="399" t="s">
        <v>1704</v>
      </c>
    </row>
    <row r="17" spans="2:7" ht="126">
      <c r="B17" s="662" t="s">
        <v>1617</v>
      </c>
      <c r="C17" s="657"/>
      <c r="D17" s="657"/>
      <c r="E17" s="660" t="str">
        <f>IF(D17="","",(D17*F17/1000*'Inventory Settings'!$J$21))</f>
        <v/>
      </c>
      <c r="F17" s="661">
        <v>1.12616223759</v>
      </c>
      <c r="G17" s="399" t="s">
        <v>1705</v>
      </c>
    </row>
    <row r="18" spans="2:7" ht="112">
      <c r="B18" s="662" t="s">
        <v>1706</v>
      </c>
      <c r="C18" s="657"/>
      <c r="D18" s="657"/>
      <c r="E18" s="660" t="str">
        <f>IF(D18="","",(D18*F18/1000*'Inventory Settings'!$J$21))</f>
        <v/>
      </c>
      <c r="F18" s="661">
        <v>0.19330060506000005</v>
      </c>
      <c r="G18" s="399" t="s">
        <v>1707</v>
      </c>
    </row>
    <row r="19" spans="2:7" ht="98">
      <c r="B19" s="662" t="s">
        <v>1708</v>
      </c>
      <c r="C19" s="657"/>
      <c r="D19" s="657"/>
      <c r="E19" s="660" t="str">
        <f>IF(D19="","",(D19*F19/1000*'Inventory Settings'!$J$21))</f>
        <v/>
      </c>
      <c r="F19" s="661">
        <v>0.26233211909999998</v>
      </c>
      <c r="G19" s="399" t="s">
        <v>1709</v>
      </c>
    </row>
    <row r="20" spans="2:7" ht="98.5" thickBot="1">
      <c r="B20" s="662" t="s">
        <v>1710</v>
      </c>
      <c r="C20" s="659"/>
      <c r="D20" s="659"/>
      <c r="E20" s="660" t="str">
        <f>IF(D20="","",(D20*F20/1000*'Inventory Settings'!$J$21))</f>
        <v/>
      </c>
      <c r="F20" s="661">
        <v>0.57340754776000002</v>
      </c>
      <c r="G20" s="399" t="s">
        <v>1711</v>
      </c>
    </row>
    <row r="21" spans="2:7" ht="16" thickBot="1">
      <c r="D21" s="377" t="s">
        <v>1624</v>
      </c>
      <c r="E21" s="400">
        <f>SUM(E14:E20)</f>
        <v>0</v>
      </c>
    </row>
    <row r="22" spans="2:7">
      <c r="E22"/>
    </row>
  </sheetData>
  <sheetProtection algorithmName="SHA-512" hashValue="wB/tjxgz3864BUVTZ4g01tGVuRQO9yuuCBEvINYtNgkmrc3NgduopV1o73l7E2pbMqe80yXdVuF4PJPCew37yA==" saltValue="dMPrx3jBdH/lWIiqxworCQ=="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6DCEA-7B4B-47A5-80A7-29023B938DCD}">
  <sheetPr>
    <tabColor theme="3" tint="0.59999389629810485"/>
  </sheetPr>
  <dimension ref="A1:I68"/>
  <sheetViews>
    <sheetView showGridLines="0" zoomScale="85" zoomScaleNormal="85" workbookViewId="0">
      <selection activeCell="C49" sqref="C49"/>
    </sheetView>
  </sheetViews>
  <sheetFormatPr defaultColWidth="8.9140625" defaultRowHeight="14"/>
  <cols>
    <col min="1" max="5" width="31.58203125" customWidth="1"/>
    <col min="6" max="6" width="19.1640625" customWidth="1"/>
    <col min="7" max="7" width="17.1640625" customWidth="1"/>
    <col min="8" max="8" width="20.08203125" bestFit="1" customWidth="1"/>
    <col min="9" max="9" width="48.1640625" customWidth="1"/>
  </cols>
  <sheetData>
    <row r="1" spans="1:9" ht="24.65" customHeight="1">
      <c r="A1" s="154" t="s">
        <v>1504</v>
      </c>
      <c r="B1" s="401"/>
      <c r="C1" s="401"/>
      <c r="D1" s="401"/>
      <c r="E1" s="401"/>
      <c r="F1" s="401"/>
      <c r="G1" s="401"/>
    </row>
    <row r="2" spans="1:9" ht="18.75" customHeight="1">
      <c r="A2" s="359" t="s">
        <v>345</v>
      </c>
      <c r="B2" s="261"/>
      <c r="C2" s="261"/>
      <c r="D2" s="261"/>
      <c r="E2" s="261"/>
      <c r="F2" s="261"/>
      <c r="G2" s="261"/>
    </row>
    <row r="3" spans="1:9">
      <c r="A3" s="263" t="s">
        <v>1699</v>
      </c>
      <c r="B3" s="261"/>
      <c r="C3" s="261"/>
      <c r="D3" s="261"/>
      <c r="E3" s="261"/>
      <c r="F3" s="261"/>
      <c r="G3" s="261"/>
    </row>
    <row r="4" spans="1:9" ht="18.75" customHeight="1">
      <c r="A4" s="263" t="s">
        <v>1712</v>
      </c>
      <c r="B4" s="261"/>
      <c r="C4" s="261"/>
      <c r="D4" s="261"/>
      <c r="E4" s="261"/>
      <c r="F4" s="261"/>
    </row>
    <row r="5" spans="1:9">
      <c r="A5" s="263" t="s">
        <v>347</v>
      </c>
      <c r="B5" s="261"/>
      <c r="C5" s="261"/>
      <c r="D5" s="261"/>
      <c r="E5" s="261"/>
      <c r="F5" s="261"/>
      <c r="G5" s="402"/>
      <c r="H5" s="403"/>
    </row>
    <row r="6" spans="1:9">
      <c r="A6" s="404" t="s">
        <v>1713</v>
      </c>
      <c r="B6" s="261"/>
      <c r="C6" s="261"/>
      <c r="D6" s="261"/>
      <c r="E6" s="261"/>
      <c r="F6" s="261"/>
      <c r="G6" s="402"/>
      <c r="H6" s="403"/>
      <c r="I6" s="405"/>
    </row>
    <row r="7" spans="1:9">
      <c r="A7" s="263" t="s">
        <v>1714</v>
      </c>
      <c r="B7" s="261"/>
      <c r="C7" s="261"/>
      <c r="D7" s="261"/>
      <c r="E7" s="261"/>
      <c r="F7" s="261"/>
      <c r="G7" s="261"/>
    </row>
    <row r="8" spans="1:9">
      <c r="A8" s="406" t="s">
        <v>1715</v>
      </c>
      <c r="B8" s="261"/>
      <c r="C8" s="261"/>
      <c r="D8" s="261"/>
      <c r="E8" s="261"/>
      <c r="F8" s="261"/>
      <c r="G8" s="261"/>
    </row>
    <row r="9" spans="1:9">
      <c r="A9" s="263" t="s">
        <v>1716</v>
      </c>
      <c r="B9" s="261"/>
      <c r="C9" s="261"/>
      <c r="D9" s="261"/>
      <c r="E9" s="261"/>
      <c r="F9" s="261"/>
      <c r="G9" s="261"/>
    </row>
    <row r="10" spans="1:9">
      <c r="A10" s="404" t="s">
        <v>1717</v>
      </c>
      <c r="B10" s="261"/>
      <c r="C10" s="261"/>
      <c r="D10" s="261"/>
      <c r="E10" s="261"/>
      <c r="F10" s="261"/>
      <c r="G10" s="261"/>
    </row>
    <row r="11" spans="1:9" ht="18.75" customHeight="1"/>
    <row r="12" spans="1:9" ht="18.75" customHeight="1"/>
    <row r="13" spans="1:9" ht="18.75" customHeight="1"/>
    <row r="14" spans="1:9" ht="18.75" customHeight="1"/>
    <row r="15" spans="1:9" ht="18.75" customHeight="1">
      <c r="A15" s="407" t="s">
        <v>1718</v>
      </c>
    </row>
    <row r="16" spans="1:9" ht="18.75" customHeight="1">
      <c r="A16" s="408" t="s">
        <v>1719</v>
      </c>
    </row>
    <row r="17" spans="1:7" ht="39" customHeight="1">
      <c r="A17" s="1335" t="s">
        <v>1720</v>
      </c>
      <c r="B17" s="1335"/>
      <c r="C17" s="1335"/>
      <c r="D17" s="1335"/>
      <c r="E17" s="1335"/>
      <c r="F17" s="1335"/>
      <c r="G17" s="1335"/>
    </row>
    <row r="18" spans="1:7" ht="18.75" customHeight="1">
      <c r="A18" s="364" t="s">
        <v>1721</v>
      </c>
      <c r="B18" s="409"/>
      <c r="C18" s="409"/>
      <c r="D18" s="409"/>
      <c r="E18" s="409"/>
      <c r="F18" s="409"/>
      <c r="G18" s="409"/>
    </row>
    <row r="19" spans="1:7">
      <c r="A19" s="365" t="s">
        <v>1592</v>
      </c>
    </row>
    <row r="20" spans="1:7">
      <c r="A20" s="365" t="s">
        <v>1722</v>
      </c>
    </row>
    <row r="21" spans="1:7" ht="14.5">
      <c r="B21" s="2" t="s">
        <v>353</v>
      </c>
      <c r="C21" s="2" t="s">
        <v>353</v>
      </c>
      <c r="D21" s="2" t="s">
        <v>353</v>
      </c>
      <c r="E21" s="2" t="s">
        <v>353</v>
      </c>
    </row>
    <row r="22" spans="1:7" ht="28">
      <c r="A22" s="366" t="s">
        <v>1593</v>
      </c>
      <c r="B22" s="367" t="s">
        <v>360</v>
      </c>
      <c r="C22" s="367" t="s">
        <v>1627</v>
      </c>
      <c r="D22" s="378" t="s">
        <v>1628</v>
      </c>
      <c r="E22" s="366" t="s">
        <v>1723</v>
      </c>
      <c r="F22" s="379" t="s">
        <v>1724</v>
      </c>
      <c r="G22" s="379" t="s">
        <v>363</v>
      </c>
    </row>
    <row r="23" spans="1:7" ht="14.5">
      <c r="A23" s="368">
        <v>1</v>
      </c>
      <c r="B23" s="301" t="s">
        <v>1725</v>
      </c>
      <c r="C23" s="410" t="s">
        <v>226</v>
      </c>
      <c r="D23" s="410" t="s">
        <v>215</v>
      </c>
      <c r="E23" s="411">
        <v>20000</v>
      </c>
      <c r="F23" s="372">
        <f>IF(OR(C23="",D23=""),"",VLOOKUP(C23,EF!$N$6:$R$13,IF(D23="recycled",2,IF(D23="landfilled",3,IF(D23="combusted (incineration)",4,5))),FALSE))</f>
        <v>7.0000000000000007E-2</v>
      </c>
      <c r="G23" s="412">
        <f t="shared" ref="G23:G42" si="0">IFERROR(E23*F23,"")</f>
        <v>1400.0000000000002</v>
      </c>
    </row>
    <row r="24" spans="1:7">
      <c r="A24" s="368">
        <v>2</v>
      </c>
      <c r="B24" s="313"/>
      <c r="C24" s="304"/>
      <c r="D24" s="313"/>
      <c r="E24" s="413"/>
      <c r="F24" s="414" t="str">
        <f>IF(OR(C24="",D24=""),"",VLOOKUP(C24,EF!$N$6:$R$13,IF(D24="recycled",2,IF(D24="landfilled",3,IF(D24="combusted (incineration)",4,5))),FALSE))</f>
        <v/>
      </c>
      <c r="G24" s="415" t="str">
        <f t="shared" si="0"/>
        <v/>
      </c>
    </row>
    <row r="25" spans="1:7">
      <c r="A25" s="368">
        <v>3</v>
      </c>
      <c r="B25" s="313"/>
      <c r="C25" s="304"/>
      <c r="D25" s="313"/>
      <c r="E25" s="413"/>
      <c r="F25" s="414" t="str">
        <f>IF(OR(C25="",D25=""),"",VLOOKUP(C25,EF!$N$6:$R$13,IF(D25="recycled",2,IF(D25="landfilled",3,IF(D25="combusted (incineration)",4,5))),FALSE))</f>
        <v/>
      </c>
      <c r="G25" s="415" t="str">
        <f t="shared" si="0"/>
        <v/>
      </c>
    </row>
    <row r="26" spans="1:7">
      <c r="A26" s="368">
        <v>4</v>
      </c>
      <c r="B26" s="313"/>
      <c r="C26" s="304"/>
      <c r="D26" s="313"/>
      <c r="E26" s="413"/>
      <c r="F26" s="414" t="str">
        <f>IF(OR(C26="",D26=""),"",VLOOKUP(C26,EF!$N$6:$R$13,IF(D26="recycled",2,IF(D26="landfilled",3,IF(D26="combusted (incineration)",4,5))),FALSE))</f>
        <v/>
      </c>
      <c r="G26" s="415" t="str">
        <f t="shared" si="0"/>
        <v/>
      </c>
    </row>
    <row r="27" spans="1:7">
      <c r="A27" s="368">
        <v>5</v>
      </c>
      <c r="B27" s="313"/>
      <c r="C27" s="304"/>
      <c r="D27" s="313"/>
      <c r="E27" s="413"/>
      <c r="F27" s="414" t="str">
        <f>IF(OR(C27="",D27=""),"",VLOOKUP(C27,EF!$N$6:$R$13,IF(D27="recycled",2,IF(D27="landfilled",3,IF(D27="combusted (incineration)",4,5))),FALSE))</f>
        <v/>
      </c>
      <c r="G27" s="415" t="str">
        <f t="shared" si="0"/>
        <v/>
      </c>
    </row>
    <row r="28" spans="1:7">
      <c r="A28" s="368">
        <v>6</v>
      </c>
      <c r="B28" s="313"/>
      <c r="C28" s="304"/>
      <c r="D28" s="313"/>
      <c r="E28" s="413"/>
      <c r="F28" s="414" t="str">
        <f>IF(OR(C28="",D28=""),"",VLOOKUP(C28,EF!$N$6:$R$13,IF(D28="recycled",2,IF(D28="landfilled",3,IF(D28="combusted (incineration)",4,5))),FALSE))</f>
        <v/>
      </c>
      <c r="G28" s="415" t="str">
        <f t="shared" si="0"/>
        <v/>
      </c>
    </row>
    <row r="29" spans="1:7">
      <c r="A29" s="368">
        <v>7</v>
      </c>
      <c r="B29" s="313"/>
      <c r="C29" s="304"/>
      <c r="D29" s="313"/>
      <c r="E29" s="413"/>
      <c r="F29" s="414" t="str">
        <f>IF(OR(C29="",D29=""),"",VLOOKUP(C29,EF!$N$6:$R$13,IF(D29="recycled",2,IF(D29="landfilled",3,IF(D29="combusted (incineration)",4,5))),FALSE))</f>
        <v/>
      </c>
      <c r="G29" s="415" t="str">
        <f t="shared" si="0"/>
        <v/>
      </c>
    </row>
    <row r="30" spans="1:7">
      <c r="A30" s="368">
        <v>8</v>
      </c>
      <c r="B30" s="313"/>
      <c r="C30" s="304"/>
      <c r="D30" s="313"/>
      <c r="E30" s="413"/>
      <c r="F30" s="414" t="str">
        <f>IF(OR(C30="",D30=""),"",VLOOKUP(C30,EF!$N$6:$R$13,IF(D30="recycled",2,IF(D30="landfilled",3,IF(D30="combusted (incineration)",4,5))),FALSE))</f>
        <v/>
      </c>
      <c r="G30" s="415" t="str">
        <f t="shared" si="0"/>
        <v/>
      </c>
    </row>
    <row r="31" spans="1:7">
      <c r="A31" s="368">
        <v>9</v>
      </c>
      <c r="B31" s="313"/>
      <c r="C31" s="304"/>
      <c r="D31" s="313"/>
      <c r="E31" s="413"/>
      <c r="F31" s="414" t="str">
        <f>IF(OR(C31="",D31=""),"",VLOOKUP(C31,EF!$N$6:$R$13,IF(D31="recycled",2,IF(D31="landfilled",3,IF(D31="combusted (incineration)",4,5))),FALSE))</f>
        <v/>
      </c>
      <c r="G31" s="415" t="str">
        <f t="shared" si="0"/>
        <v/>
      </c>
    </row>
    <row r="32" spans="1:7">
      <c r="A32" s="368">
        <v>10</v>
      </c>
      <c r="B32" s="313"/>
      <c r="C32" s="304"/>
      <c r="D32" s="313"/>
      <c r="E32" s="413"/>
      <c r="F32" s="414" t="str">
        <f>IF(OR(C32="",D32=""),"",VLOOKUP(C32,EF!$N$6:$R$13,IF(D32="recycled",2,IF(D32="landfilled",3,IF(D32="combusted (incineration)",4,5))),FALSE))</f>
        <v/>
      </c>
      <c r="G32" s="415" t="str">
        <f t="shared" si="0"/>
        <v/>
      </c>
    </row>
    <row r="33" spans="1:7">
      <c r="A33" s="368">
        <v>11</v>
      </c>
      <c r="B33" s="313"/>
      <c r="C33" s="304"/>
      <c r="D33" s="313"/>
      <c r="E33" s="413"/>
      <c r="F33" s="414" t="str">
        <f>IF(OR(C33="",D33=""),"",VLOOKUP(C33,EF!$N$6:$R$13,IF(D33="recycled",2,IF(D33="landfilled",3,IF(D33="combusted (incineration)",4,5))),FALSE))</f>
        <v/>
      </c>
      <c r="G33" s="415" t="str">
        <f t="shared" si="0"/>
        <v/>
      </c>
    </row>
    <row r="34" spans="1:7">
      <c r="A34" s="368">
        <v>12</v>
      </c>
      <c r="B34" s="313"/>
      <c r="C34" s="304"/>
      <c r="D34" s="313"/>
      <c r="E34" s="413"/>
      <c r="F34" s="414" t="str">
        <f>IF(OR(C34="",D34=""),"",VLOOKUP(C34,EF!$N$6:$R$13,IF(D34="recycled",2,IF(D34="landfilled",3,IF(D34="combusted (incineration)",4,5))),FALSE))</f>
        <v/>
      </c>
      <c r="G34" s="415" t="str">
        <f t="shared" si="0"/>
        <v/>
      </c>
    </row>
    <row r="35" spans="1:7">
      <c r="A35" s="368">
        <v>13</v>
      </c>
      <c r="B35" s="313"/>
      <c r="C35" s="304"/>
      <c r="D35" s="313"/>
      <c r="E35" s="413"/>
      <c r="F35" s="414" t="str">
        <f>IF(OR(C35="",D35=""),"",VLOOKUP(C35,EF!$N$6:$R$13,IF(D35="recycled",2,IF(D35="landfilled",3,IF(D35="combusted (incineration)",4,5))),FALSE))</f>
        <v/>
      </c>
      <c r="G35" s="415" t="str">
        <f t="shared" si="0"/>
        <v/>
      </c>
    </row>
    <row r="36" spans="1:7">
      <c r="A36" s="368">
        <v>14</v>
      </c>
      <c r="B36" s="313"/>
      <c r="C36" s="304"/>
      <c r="D36" s="313"/>
      <c r="E36" s="413"/>
      <c r="F36" s="414" t="str">
        <f>IF(OR(C36="",D36=""),"",VLOOKUP(C36,EF!$N$6:$R$13,IF(D36="recycled",2,IF(D36="landfilled",3,IF(D36="combusted (incineration)",4,5))),FALSE))</f>
        <v/>
      </c>
      <c r="G36" s="415" t="str">
        <f t="shared" si="0"/>
        <v/>
      </c>
    </row>
    <row r="37" spans="1:7">
      <c r="A37" s="368">
        <v>15</v>
      </c>
      <c r="B37" s="313"/>
      <c r="C37" s="304"/>
      <c r="D37" s="313"/>
      <c r="E37" s="413"/>
      <c r="F37" s="414" t="str">
        <f>IF(OR(C37="",D37=""),"",VLOOKUP(C37,EF!$N$6:$R$13,IF(D37="recycled",2,IF(D37="landfilled",3,IF(D37="combusted (incineration)",4,5))),FALSE))</f>
        <v/>
      </c>
      <c r="G37" s="415" t="str">
        <f t="shared" si="0"/>
        <v/>
      </c>
    </row>
    <row r="38" spans="1:7">
      <c r="A38" s="368">
        <v>16</v>
      </c>
      <c r="B38" s="313"/>
      <c r="C38" s="304"/>
      <c r="D38" s="313"/>
      <c r="E38" s="413"/>
      <c r="F38" s="414" t="str">
        <f>IF(OR(C38="",D38=""),"",VLOOKUP(C38,EF!$N$6:$R$13,IF(D38="recycled",2,IF(D38="landfilled",3,IF(D38="combusted (incineration)",4,5))),FALSE))</f>
        <v/>
      </c>
      <c r="G38" s="415" t="str">
        <f t="shared" si="0"/>
        <v/>
      </c>
    </row>
    <row r="39" spans="1:7">
      <c r="A39" s="368">
        <v>17</v>
      </c>
      <c r="B39" s="313"/>
      <c r="C39" s="304"/>
      <c r="D39" s="313"/>
      <c r="E39" s="413"/>
      <c r="F39" s="414" t="str">
        <f>IF(OR(C39="",D39=""),"",VLOOKUP(C39,EF!$N$6:$R$13,IF(D39="recycled",2,IF(D39="landfilled",3,IF(D39="combusted (incineration)",4,5))),FALSE))</f>
        <v/>
      </c>
      <c r="G39" s="415" t="str">
        <f t="shared" si="0"/>
        <v/>
      </c>
    </row>
    <row r="40" spans="1:7">
      <c r="A40" s="368">
        <v>18</v>
      </c>
      <c r="B40" s="313"/>
      <c r="C40" s="304"/>
      <c r="D40" s="313"/>
      <c r="E40" s="413"/>
      <c r="F40" s="414" t="str">
        <f>IF(OR(C40="",D40=""),"",VLOOKUP(C40,EF!$N$6:$R$13,IF(D40="recycled",2,IF(D40="landfilled",3,IF(D40="combusted (incineration)",4,5))),FALSE))</f>
        <v/>
      </c>
      <c r="G40" s="415" t="str">
        <f t="shared" si="0"/>
        <v/>
      </c>
    </row>
    <row r="41" spans="1:7">
      <c r="A41" s="368">
        <v>19</v>
      </c>
      <c r="B41" s="313"/>
      <c r="C41" s="304"/>
      <c r="D41" s="313"/>
      <c r="E41" s="413"/>
      <c r="F41" s="414" t="str">
        <f>IF(OR(C41="",D41=""),"",VLOOKUP(C41,EF!$N$6:$R$13,IF(D41="recycled",2,IF(D41="landfilled",3,IF(D41="combusted (incineration)",4,5))),FALSE))</f>
        <v/>
      </c>
      <c r="G41" s="415" t="str">
        <f t="shared" si="0"/>
        <v/>
      </c>
    </row>
    <row r="42" spans="1:7" ht="14.5" thickBot="1">
      <c r="A42" s="368">
        <v>20</v>
      </c>
      <c r="B42" s="313"/>
      <c r="C42" s="304"/>
      <c r="D42" s="313"/>
      <c r="E42" s="413"/>
      <c r="F42" s="414" t="str">
        <f>IF(OR(C42="",D42=""),"",VLOOKUP(C42,EF!$N$6:$R$13,IF(D42="recycled",2,IF(D42="landfilled",3,IF(D42="combusted (incineration)",4,5))),FALSE))</f>
        <v/>
      </c>
      <c r="G42" s="415" t="str">
        <f t="shared" si="0"/>
        <v/>
      </c>
    </row>
    <row r="43" spans="1:7" ht="14.5" thickBot="1">
      <c r="F43" s="386" t="s">
        <v>1624</v>
      </c>
      <c r="G43" s="339">
        <f>SUM(G24:G42)</f>
        <v>0</v>
      </c>
    </row>
    <row r="44" spans="1:7" ht="17.5">
      <c r="A44" s="364" t="s">
        <v>1726</v>
      </c>
    </row>
    <row r="45" spans="1:7">
      <c r="A45" s="365" t="s">
        <v>1592</v>
      </c>
    </row>
    <row r="46" spans="1:7" ht="14.5">
      <c r="B46" s="2" t="s">
        <v>353</v>
      </c>
      <c r="C46" s="2" t="s">
        <v>353</v>
      </c>
    </row>
    <row r="47" spans="1:7">
      <c r="A47" s="366" t="s">
        <v>1593</v>
      </c>
      <c r="B47" s="367" t="s">
        <v>360</v>
      </c>
      <c r="C47" s="367" t="s">
        <v>1727</v>
      </c>
      <c r="D47" s="379" t="s">
        <v>363</v>
      </c>
    </row>
    <row r="48" spans="1:7" ht="14.5">
      <c r="A48" s="368">
        <v>1</v>
      </c>
      <c r="B48" s="301" t="s">
        <v>1728</v>
      </c>
      <c r="C48" s="369">
        <v>1000000</v>
      </c>
      <c r="D48" s="416">
        <f>IF(C48="","",C48*Conversions!$B$16*EF!$S$23/1000000/1000)</f>
        <v>0.76207263769419831</v>
      </c>
    </row>
    <row r="49" spans="1:7" ht="14.5">
      <c r="A49" s="368">
        <v>2</v>
      </c>
      <c r="B49" s="313"/>
      <c r="C49" s="373"/>
      <c r="D49" s="416" t="str">
        <f>IF(C49="","",C49*Conversions!$B$16*EF!$S$23/1000000/1000)</f>
        <v/>
      </c>
    </row>
    <row r="50" spans="1:7" ht="14.5">
      <c r="A50" s="368">
        <v>3</v>
      </c>
      <c r="B50" s="313"/>
      <c r="C50" s="373"/>
      <c r="D50" s="416" t="str">
        <f>IF(C50="","",C50*Conversions!$B$16*EF!$S$23/1000000/1000)</f>
        <v/>
      </c>
    </row>
    <row r="51" spans="1:7" ht="14.5">
      <c r="A51" s="368">
        <v>4</v>
      </c>
      <c r="B51" s="313"/>
      <c r="C51" s="373"/>
      <c r="D51" s="416" t="str">
        <f>IF(C51="","",C51*Conversions!$B$16*EF!$S$23/1000000/1000)</f>
        <v/>
      </c>
    </row>
    <row r="52" spans="1:7" ht="14.5">
      <c r="A52" s="368">
        <v>5</v>
      </c>
      <c r="B52" s="313"/>
      <c r="C52" s="373"/>
      <c r="D52" s="416" t="str">
        <f>IF(C52="","",C52*Conversions!$B$16*EF!$S$23/1000000/1000)</f>
        <v/>
      </c>
    </row>
    <row r="53" spans="1:7" ht="14.5">
      <c r="A53" s="368">
        <v>6</v>
      </c>
      <c r="B53" s="313"/>
      <c r="C53" s="373"/>
      <c r="D53" s="416" t="str">
        <f>IF(C53="","",C53*Conversions!$B$16*EF!$S$23/1000000/1000)</f>
        <v/>
      </c>
    </row>
    <row r="54" spans="1:7" ht="14.5">
      <c r="A54" s="368">
        <v>7</v>
      </c>
      <c r="B54" s="313"/>
      <c r="C54" s="373"/>
      <c r="D54" s="416" t="str">
        <f>IF(C54="","",C54*Conversions!$B$16*EF!$S$23/1000000/1000)</f>
        <v/>
      </c>
    </row>
    <row r="55" spans="1:7" ht="14.5">
      <c r="A55" s="368">
        <v>8</v>
      </c>
      <c r="B55" s="313"/>
      <c r="C55" s="373"/>
      <c r="D55" s="416" t="str">
        <f>IF(C55="","",C55*Conversions!$B$16*EF!$S$23/1000000/1000)</f>
        <v/>
      </c>
    </row>
    <row r="56" spans="1:7" ht="14.5">
      <c r="A56" s="368">
        <v>9</v>
      </c>
      <c r="B56" s="313"/>
      <c r="C56" s="373"/>
      <c r="D56" s="416" t="str">
        <f>IF(C56="","",C56*Conversions!$B$16*EF!$S$23/1000000/1000)</f>
        <v/>
      </c>
    </row>
    <row r="57" spans="1:7" ht="14.5">
      <c r="A57" s="368">
        <v>10</v>
      </c>
      <c r="B57" s="313"/>
      <c r="C57" s="373"/>
      <c r="D57" s="416" t="str">
        <f>IF(C57="","",C57*Conversions!$B$16*EF!$S$23/1000000/1000)</f>
        <v/>
      </c>
    </row>
    <row r="58" spans="1:7" ht="14.5">
      <c r="A58" s="368">
        <v>11</v>
      </c>
      <c r="B58" s="313"/>
      <c r="C58" s="373"/>
      <c r="D58" s="416" t="str">
        <f>IF(C58="","",C58*Conversions!$B$16*EF!$S$23/1000000/1000)</f>
        <v/>
      </c>
      <c r="G58" s="407"/>
    </row>
    <row r="59" spans="1:7" ht="14.5">
      <c r="A59" s="368">
        <v>12</v>
      </c>
      <c r="B59" s="313"/>
      <c r="C59" s="373"/>
      <c r="D59" s="416" t="str">
        <f>IF(C59="","",C59*Conversions!$B$16*EF!$S$23/1000000/1000)</f>
        <v/>
      </c>
    </row>
    <row r="60" spans="1:7" ht="14.5">
      <c r="A60" s="368">
        <v>13</v>
      </c>
      <c r="B60" s="313"/>
      <c r="C60" s="373"/>
      <c r="D60" s="416" t="str">
        <f>IF(C60="","",C60*Conversions!$B$16*EF!$S$23/1000000/1000)</f>
        <v/>
      </c>
    </row>
    <row r="61" spans="1:7" ht="14.5">
      <c r="A61" s="368">
        <v>14</v>
      </c>
      <c r="B61" s="313"/>
      <c r="C61" s="373"/>
      <c r="D61" s="416" t="str">
        <f>IF(C61="","",C61*Conversions!$B$16*EF!$S$23/1000000/1000)</f>
        <v/>
      </c>
    </row>
    <row r="62" spans="1:7" ht="14.5">
      <c r="A62" s="368">
        <v>15</v>
      </c>
      <c r="B62" s="313"/>
      <c r="C62" s="373"/>
      <c r="D62" s="416" t="str">
        <f>IF(C62="","",C62*Conversions!$B$16*EF!$S$23/1000000/1000)</f>
        <v/>
      </c>
    </row>
    <row r="63" spans="1:7" ht="14.5">
      <c r="A63" s="368">
        <v>16</v>
      </c>
      <c r="B63" s="313"/>
      <c r="C63" s="373"/>
      <c r="D63" s="416" t="str">
        <f>IF(C63="","",C63*Conversions!$B$16*EF!$S$23/1000000/1000)</f>
        <v/>
      </c>
    </row>
    <row r="64" spans="1:7" ht="14.5">
      <c r="A64" s="368">
        <v>17</v>
      </c>
      <c r="B64" s="313"/>
      <c r="C64" s="373"/>
      <c r="D64" s="416" t="str">
        <f>IF(C64="","",C64*Conversions!$B$16*EF!$S$23/1000000/1000)</f>
        <v/>
      </c>
    </row>
    <row r="65" spans="1:4" ht="14.5">
      <c r="A65" s="368">
        <v>18</v>
      </c>
      <c r="B65" s="313"/>
      <c r="C65" s="373"/>
      <c r="D65" s="416" t="str">
        <f>IF(C65="","",C65*Conversions!$B$16*EF!$S$23/1000000/1000)</f>
        <v/>
      </c>
    </row>
    <row r="66" spans="1:4" ht="14.5">
      <c r="A66" s="368">
        <v>19</v>
      </c>
      <c r="B66" s="313"/>
      <c r="C66" s="373"/>
      <c r="D66" s="416" t="str">
        <f>IF(C66="","",C66*Conversions!$B$16*EF!$S$23/1000000/1000)</f>
        <v/>
      </c>
    </row>
    <row r="67" spans="1:4" ht="15" thickBot="1">
      <c r="A67" s="368">
        <v>20</v>
      </c>
      <c r="B67" s="313"/>
      <c r="C67" s="373"/>
      <c r="D67" s="416" t="str">
        <f>IF(C67="","",C67*Conversions!$B$16*EF!$S$23/1000000/1000)</f>
        <v/>
      </c>
    </row>
    <row r="68" spans="1:4" ht="14.5" thickBot="1">
      <c r="C68" s="386" t="s">
        <v>1624</v>
      </c>
      <c r="D68" s="417">
        <f>SUM(D49:D67)</f>
        <v>0</v>
      </c>
    </row>
  </sheetData>
  <sheetProtection algorithmName="SHA-512" hashValue="1EYy6mn7xdnHgLBxoIv8HwUiIENoeUTMLwdcEGcnQ7AZjPcxwAZ04ftwCcu71fiGYtvPPCcLz/nbQBMsJwdqNQ==" saltValue="/6KC1HG2cUI7a9tA78HUAQ==" spinCount="100000" sheet="1" objects="1" scenarios="1"/>
  <mergeCells count="1">
    <mergeCell ref="A17:G17"/>
  </mergeCells>
  <dataValidations count="1">
    <dataValidation type="list" allowBlank="1" showInputMessage="1" showErrorMessage="1" sqref="D24:D42 D23" xr:uid="{5AAE5ECA-7F11-470B-93D8-A0680D41DC3C}">
      <formula1>INDIRECT(C23)</formula1>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2EAA198-D745-49CE-BBF4-E582457A2156}">
          <x14:formula1>
            <xm:f>EF!$N$6:$N$13</xm:f>
          </x14:formula1>
          <xm:sqref>C23:C42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48906-B105-45EE-B6B2-495C36A4FE09}">
  <dimension ref="B1:AG269"/>
  <sheetViews>
    <sheetView topLeftCell="R1" zoomScale="70" zoomScaleNormal="70" workbookViewId="0">
      <pane ySplit="2" topLeftCell="A3" activePane="bottomLeft" state="frozen"/>
      <selection activeCell="N26" sqref="N26"/>
      <selection pane="bottomLeft" activeCell="AE198" sqref="AE198"/>
    </sheetView>
  </sheetViews>
  <sheetFormatPr defaultColWidth="56" defaultRowHeight="14"/>
  <cols>
    <col min="1" max="1" width="8.9140625" customWidth="1"/>
    <col min="2" max="2" width="7.58203125" customWidth="1"/>
    <col min="3" max="3" width="12.6640625" bestFit="1" customWidth="1"/>
    <col min="4" max="4" width="21.4140625" customWidth="1"/>
    <col min="5" max="5" width="16.9140625" bestFit="1" customWidth="1"/>
    <col min="6" max="6" width="12.1640625" bestFit="1" customWidth="1"/>
    <col min="7" max="7" width="14" bestFit="1" customWidth="1"/>
    <col min="8" max="8" width="8.6640625" customWidth="1"/>
    <col min="9" max="9" width="28.9140625" bestFit="1" customWidth="1"/>
    <col min="10" max="10" width="56.58203125" bestFit="1" customWidth="1"/>
    <col min="11" max="11" width="10.9140625" customWidth="1"/>
    <col min="12" max="12" width="12.9140625" customWidth="1"/>
    <col min="13" max="13" width="15.1640625" bestFit="1" customWidth="1"/>
    <col min="14" max="14" width="23.5" customWidth="1"/>
    <col min="15" max="15" width="8.08203125" bestFit="1" customWidth="1"/>
    <col min="16" max="16" width="8.9140625" bestFit="1" customWidth="1"/>
    <col min="17" max="17" width="22" bestFit="1" customWidth="1"/>
    <col min="18" max="18" width="10.1640625" bestFit="1" customWidth="1"/>
    <col min="19" max="19" width="16" bestFit="1" customWidth="1"/>
    <col min="20" max="20" width="10.5" bestFit="1" customWidth="1"/>
    <col min="21" max="21" width="37.5" customWidth="1"/>
    <col min="22" max="22" width="33.6640625" bestFit="1" customWidth="1"/>
    <col min="23" max="23" width="21.1640625" bestFit="1" customWidth="1"/>
    <col min="24" max="24" width="26.9140625" customWidth="1"/>
    <col min="25" max="25" width="23.9140625" bestFit="1" customWidth="1"/>
    <col min="26" max="26" width="15.5" bestFit="1" customWidth="1"/>
    <col min="27" max="27" width="13.08203125" bestFit="1" customWidth="1"/>
    <col min="28" max="28" width="14.58203125" bestFit="1" customWidth="1"/>
    <col min="29" max="29" width="21.08203125" bestFit="1" customWidth="1"/>
    <col min="32" max="32" width="56" style="1"/>
  </cols>
  <sheetData>
    <row r="1" spans="2:25" ht="27.65" customHeight="1">
      <c r="B1" s="1339" t="s">
        <v>193</v>
      </c>
      <c r="C1" t="s">
        <v>194</v>
      </c>
    </row>
    <row r="2" spans="2:25">
      <c r="B2" s="1339"/>
      <c r="C2" s="24" t="s">
        <v>195</v>
      </c>
      <c r="D2" s="25" t="s">
        <v>196</v>
      </c>
      <c r="E2" s="25" t="s">
        <v>197</v>
      </c>
      <c r="F2" s="25" t="s">
        <v>198</v>
      </c>
      <c r="G2" s="25" t="s">
        <v>199</v>
      </c>
      <c r="H2" s="25" t="s">
        <v>28</v>
      </c>
      <c r="I2" s="26" t="s">
        <v>195</v>
      </c>
      <c r="J2" s="26" t="s">
        <v>200</v>
      </c>
      <c r="M2" s="27"/>
      <c r="N2" s="28" t="s">
        <v>201</v>
      </c>
      <c r="V2" s="28" t="s">
        <v>202</v>
      </c>
    </row>
    <row r="3" spans="2:25" ht="28.25" customHeight="1">
      <c r="B3" s="1339"/>
      <c r="C3" s="29" t="s">
        <v>203</v>
      </c>
      <c r="D3" s="29" t="s">
        <v>4</v>
      </c>
      <c r="E3" s="29" t="s">
        <v>204</v>
      </c>
      <c r="F3" s="30" t="s">
        <v>205</v>
      </c>
      <c r="G3" s="30" t="s">
        <v>206</v>
      </c>
      <c r="H3" s="31">
        <v>2.1299999999999999E-2</v>
      </c>
      <c r="I3" s="32" t="s">
        <v>207</v>
      </c>
      <c r="J3" s="33" t="s">
        <v>208</v>
      </c>
      <c r="N3" s="9" t="s">
        <v>209</v>
      </c>
      <c r="V3" s="34" t="s">
        <v>210</v>
      </c>
    </row>
    <row r="4" spans="2:25" ht="15">
      <c r="B4" s="1339"/>
      <c r="N4" s="35"/>
      <c r="O4" s="1340" t="s">
        <v>211</v>
      </c>
      <c r="P4" s="1340"/>
      <c r="Q4" s="1340"/>
      <c r="R4" s="1340"/>
      <c r="V4" s="24" t="s">
        <v>4</v>
      </c>
      <c r="W4" s="25" t="s">
        <v>212</v>
      </c>
      <c r="X4" s="25" t="s">
        <v>213</v>
      </c>
      <c r="Y4" s="26" t="s">
        <v>195</v>
      </c>
    </row>
    <row r="5" spans="2:25">
      <c r="B5" s="1339"/>
      <c r="N5" s="36" t="s">
        <v>214</v>
      </c>
      <c r="O5" s="36" t="s">
        <v>215</v>
      </c>
      <c r="P5" s="36" t="s">
        <v>216</v>
      </c>
      <c r="Q5" s="36" t="s">
        <v>217</v>
      </c>
      <c r="R5" s="36" t="s">
        <v>218</v>
      </c>
      <c r="V5" s="5" t="s">
        <v>2198</v>
      </c>
      <c r="W5" s="43">
        <f>MEDIAN(W6:W44)</f>
        <v>32.1</v>
      </c>
      <c r="X5" s="5" t="s">
        <v>220</v>
      </c>
      <c r="Y5" s="5" t="s">
        <v>221</v>
      </c>
    </row>
    <row r="6" spans="2:25">
      <c r="B6" s="1339"/>
      <c r="N6" s="39" t="s">
        <v>222</v>
      </c>
      <c r="O6" s="40">
        <v>0.05</v>
      </c>
      <c r="P6" s="40">
        <v>0.02</v>
      </c>
      <c r="Q6" s="40">
        <v>0.01</v>
      </c>
      <c r="R6" s="41" t="s">
        <v>223</v>
      </c>
      <c r="S6" s="42" t="s">
        <v>224</v>
      </c>
      <c r="V6" s="5" t="s">
        <v>204</v>
      </c>
      <c r="W6" s="43">
        <v>16.100000000000001</v>
      </c>
      <c r="X6" s="5" t="s">
        <v>220</v>
      </c>
      <c r="Y6" s="5" t="s">
        <v>221</v>
      </c>
    </row>
    <row r="7" spans="2:25">
      <c r="B7" s="1339"/>
      <c r="N7" s="39" t="s">
        <v>226</v>
      </c>
      <c r="O7" s="40">
        <v>7.0000000000000007E-2</v>
      </c>
      <c r="P7" s="44">
        <v>0.89</v>
      </c>
      <c r="Q7" s="40">
        <v>0.05</v>
      </c>
      <c r="R7" s="41" t="s">
        <v>223</v>
      </c>
      <c r="S7" s="42" t="s">
        <v>224</v>
      </c>
      <c r="V7" s="37" t="s">
        <v>227</v>
      </c>
      <c r="W7" s="38">
        <v>35</v>
      </c>
      <c r="X7" s="37" t="s">
        <v>220</v>
      </c>
      <c r="Y7" s="37" t="s">
        <v>221</v>
      </c>
    </row>
    <row r="8" spans="2:25" ht="14.5">
      <c r="B8" s="1339"/>
      <c r="C8" s="45" t="s">
        <v>228</v>
      </c>
      <c r="D8" s="46" t="s">
        <v>229</v>
      </c>
      <c r="E8" s="47"/>
      <c r="N8" s="39" t="s">
        <v>230</v>
      </c>
      <c r="O8" s="40">
        <v>0.23</v>
      </c>
      <c r="P8" s="40">
        <v>0.02</v>
      </c>
      <c r="Q8" s="40">
        <v>0.01</v>
      </c>
      <c r="R8" s="41" t="s">
        <v>223</v>
      </c>
      <c r="S8" s="42" t="s">
        <v>224</v>
      </c>
      <c r="V8" s="5" t="s">
        <v>231</v>
      </c>
      <c r="W8" s="43">
        <v>12.2</v>
      </c>
      <c r="X8" s="5" t="s">
        <v>220</v>
      </c>
      <c r="Y8" s="5" t="s">
        <v>221</v>
      </c>
    </row>
    <row r="9" spans="2:25">
      <c r="B9" s="1339"/>
      <c r="C9" s="48" t="s">
        <v>232</v>
      </c>
      <c r="N9" s="39" t="s">
        <v>233</v>
      </c>
      <c r="O9" s="40">
        <v>0.22</v>
      </c>
      <c r="P9" s="40">
        <v>0.02</v>
      </c>
      <c r="Q9" s="40">
        <v>2.34</v>
      </c>
      <c r="R9" s="41" t="s">
        <v>223</v>
      </c>
      <c r="S9" s="42" t="s">
        <v>224</v>
      </c>
      <c r="V9" s="37" t="s">
        <v>234</v>
      </c>
      <c r="W9" s="38">
        <v>8.6999999999999993</v>
      </c>
      <c r="X9" s="37" t="s">
        <v>220</v>
      </c>
      <c r="Y9" s="37" t="s">
        <v>221</v>
      </c>
    </row>
    <row r="10" spans="2:25">
      <c r="B10" s="1339"/>
      <c r="E10" s="1341" t="s">
        <v>235</v>
      </c>
      <c r="F10" s="1342"/>
      <c r="G10" s="1343" t="s">
        <v>236</v>
      </c>
      <c r="H10" s="1343"/>
      <c r="I10" s="1343"/>
      <c r="N10" s="39" t="s">
        <v>237</v>
      </c>
      <c r="O10" s="40">
        <v>0.09</v>
      </c>
      <c r="P10" s="44">
        <v>0.75</v>
      </c>
      <c r="Q10" s="40">
        <v>0.11</v>
      </c>
      <c r="R10" s="41" t="s">
        <v>223</v>
      </c>
      <c r="S10" s="42" t="s">
        <v>224</v>
      </c>
      <c r="V10" s="5" t="s">
        <v>238</v>
      </c>
      <c r="W10" s="43">
        <v>7.4</v>
      </c>
      <c r="X10" s="5" t="s">
        <v>220</v>
      </c>
      <c r="Y10" s="5" t="s">
        <v>221</v>
      </c>
    </row>
    <row r="11" spans="2:25">
      <c r="B11" s="1339"/>
      <c r="C11" s="24" t="s">
        <v>239</v>
      </c>
      <c r="D11" s="25" t="s">
        <v>240</v>
      </c>
      <c r="E11" s="25" t="s">
        <v>241</v>
      </c>
      <c r="F11" s="25" t="s">
        <v>242</v>
      </c>
      <c r="G11" s="25" t="s">
        <v>243</v>
      </c>
      <c r="H11" s="25" t="s">
        <v>244</v>
      </c>
      <c r="I11" s="25" t="s">
        <v>245</v>
      </c>
      <c r="J11" s="25" t="s">
        <v>213</v>
      </c>
      <c r="K11" s="26" t="s">
        <v>195</v>
      </c>
      <c r="N11" s="39" t="s">
        <v>246</v>
      </c>
      <c r="O11" s="40" t="s">
        <v>223</v>
      </c>
      <c r="P11" s="44">
        <v>0.54</v>
      </c>
      <c r="Q11" s="40">
        <v>0.05</v>
      </c>
      <c r="R11" s="49">
        <v>0.13</v>
      </c>
      <c r="S11" s="42" t="s">
        <v>224</v>
      </c>
      <c r="V11" s="37" t="s">
        <v>42</v>
      </c>
      <c r="W11" s="38">
        <v>27.6</v>
      </c>
      <c r="X11" s="37" t="s">
        <v>220</v>
      </c>
      <c r="Y11" s="37" t="s">
        <v>221</v>
      </c>
    </row>
    <row r="12" spans="2:25">
      <c r="B12" s="1339"/>
      <c r="C12" s="50" t="s">
        <v>247</v>
      </c>
      <c r="D12" s="51" t="s">
        <v>10</v>
      </c>
      <c r="E12" s="51" t="s">
        <v>248</v>
      </c>
      <c r="F12" s="51">
        <v>3.0210000000000001E-2</v>
      </c>
      <c r="G12" s="51" t="s">
        <v>10</v>
      </c>
      <c r="H12" s="51" t="s">
        <v>11</v>
      </c>
      <c r="I12" s="51">
        <v>0.88536774279662023</v>
      </c>
      <c r="J12" s="51" t="s">
        <v>249</v>
      </c>
      <c r="K12" s="52" t="s">
        <v>221</v>
      </c>
      <c r="N12" s="39" t="s">
        <v>250</v>
      </c>
      <c r="O12" s="40" t="s">
        <v>223</v>
      </c>
      <c r="P12" s="44">
        <v>0.57999999999999996</v>
      </c>
      <c r="Q12" s="40">
        <v>0.43</v>
      </c>
      <c r="R12" s="41" t="s">
        <v>223</v>
      </c>
      <c r="S12" s="42" t="s">
        <v>224</v>
      </c>
      <c r="V12" s="5" t="s">
        <v>43</v>
      </c>
      <c r="W12" s="43">
        <v>53.5</v>
      </c>
      <c r="X12" s="5" t="s">
        <v>220</v>
      </c>
      <c r="Y12" s="5" t="s">
        <v>221</v>
      </c>
    </row>
    <row r="13" spans="2:25">
      <c r="B13" s="1339"/>
      <c r="C13" s="53" t="s">
        <v>251</v>
      </c>
      <c r="D13" s="54" t="s">
        <v>252</v>
      </c>
      <c r="E13" s="54" t="s">
        <v>253</v>
      </c>
      <c r="F13" s="54">
        <v>0.61424999999999996</v>
      </c>
      <c r="G13" s="54" t="s">
        <v>254</v>
      </c>
      <c r="H13" s="54" t="s">
        <v>255</v>
      </c>
      <c r="I13" s="54">
        <v>2.3251892002761485</v>
      </c>
      <c r="J13" s="54" t="s">
        <v>256</v>
      </c>
      <c r="K13" s="52" t="s">
        <v>221</v>
      </c>
      <c r="N13" s="39" t="s">
        <v>2203</v>
      </c>
      <c r="O13" s="49">
        <v>0.02</v>
      </c>
      <c r="P13" s="40">
        <v>0.02</v>
      </c>
      <c r="Q13" s="44">
        <v>0.96</v>
      </c>
      <c r="R13" s="55" t="s">
        <v>223</v>
      </c>
      <c r="S13" s="42" t="s">
        <v>224</v>
      </c>
      <c r="V13" s="37" t="s">
        <v>44</v>
      </c>
      <c r="W13" s="38">
        <v>14.7</v>
      </c>
      <c r="X13" s="37" t="s">
        <v>220</v>
      </c>
      <c r="Y13" s="37" t="s">
        <v>221</v>
      </c>
    </row>
    <row r="14" spans="2:25">
      <c r="B14" s="1339"/>
      <c r="C14" s="50" t="s">
        <v>251</v>
      </c>
      <c r="D14" s="51" t="s">
        <v>257</v>
      </c>
      <c r="E14" s="51" t="s">
        <v>253</v>
      </c>
      <c r="F14" s="51">
        <v>0.52817000000000003</v>
      </c>
      <c r="G14" s="51" t="s">
        <v>258</v>
      </c>
      <c r="H14" s="51" t="s">
        <v>255</v>
      </c>
      <c r="I14" s="51">
        <v>1.9993409522341936</v>
      </c>
      <c r="J14" s="51" t="s">
        <v>256</v>
      </c>
      <c r="K14" s="52" t="s">
        <v>221</v>
      </c>
      <c r="N14" s="56" t="s">
        <v>226</v>
      </c>
      <c r="V14" s="5" t="s">
        <v>45</v>
      </c>
      <c r="W14" s="43">
        <v>4.7</v>
      </c>
      <c r="X14" s="5" t="s">
        <v>220</v>
      </c>
      <c r="Y14" s="5" t="s">
        <v>221</v>
      </c>
    </row>
    <row r="15" spans="2:25">
      <c r="B15" s="1339"/>
      <c r="C15" s="53" t="s">
        <v>251</v>
      </c>
      <c r="D15" s="54" t="s">
        <v>259</v>
      </c>
      <c r="E15" s="54" t="s">
        <v>253</v>
      </c>
      <c r="F15" s="54">
        <v>0.62409000000000003</v>
      </c>
      <c r="G15" s="54" t="s">
        <v>16</v>
      </c>
      <c r="H15" s="54" t="s">
        <v>255</v>
      </c>
      <c r="I15" s="54">
        <v>2.3624376524222086</v>
      </c>
      <c r="J15" s="54" t="s">
        <v>256</v>
      </c>
      <c r="K15" s="52" t="s">
        <v>221</v>
      </c>
      <c r="N15" s="57" t="s">
        <v>215</v>
      </c>
      <c r="V15" s="37" t="s">
        <v>46</v>
      </c>
      <c r="W15" s="38">
        <v>44.2</v>
      </c>
      <c r="X15" s="37" t="s">
        <v>220</v>
      </c>
      <c r="Y15" s="37" t="s">
        <v>221</v>
      </c>
    </row>
    <row r="16" spans="2:25">
      <c r="B16" s="1339"/>
      <c r="C16" s="50" t="s">
        <v>251</v>
      </c>
      <c r="D16" s="51" t="s">
        <v>260</v>
      </c>
      <c r="E16" s="51" t="s">
        <v>253</v>
      </c>
      <c r="F16" s="51">
        <v>0.60663999999999996</v>
      </c>
      <c r="G16" s="51" t="s">
        <v>17</v>
      </c>
      <c r="H16" s="51" t="s">
        <v>255</v>
      </c>
      <c r="I16" s="51">
        <v>2.2963822164518075</v>
      </c>
      <c r="J16" s="51" t="s">
        <v>256</v>
      </c>
      <c r="K16" s="52" t="s">
        <v>221</v>
      </c>
      <c r="N16" s="58" t="s">
        <v>216</v>
      </c>
      <c r="Q16" s="3" t="s">
        <v>261</v>
      </c>
      <c r="V16" s="5" t="s">
        <v>47</v>
      </c>
      <c r="W16" s="43">
        <v>6.7</v>
      </c>
      <c r="X16" s="5" t="s">
        <v>220</v>
      </c>
      <c r="Y16" s="5" t="s">
        <v>221</v>
      </c>
    </row>
    <row r="17" spans="2:25">
      <c r="B17" s="1339"/>
      <c r="C17" s="53" t="s">
        <v>251</v>
      </c>
      <c r="D17" s="54" t="s">
        <v>262</v>
      </c>
      <c r="E17" s="54" t="s">
        <v>253</v>
      </c>
      <c r="F17" s="54">
        <v>0.69538999999999995</v>
      </c>
      <c r="G17" s="54" t="s">
        <v>262</v>
      </c>
      <c r="H17" s="54" t="s">
        <v>255</v>
      </c>
      <c r="I17" s="54">
        <v>2.6323375140090044</v>
      </c>
      <c r="J17" s="54" t="s">
        <v>256</v>
      </c>
      <c r="K17" s="52" t="s">
        <v>221</v>
      </c>
      <c r="N17" s="59" t="s">
        <v>217</v>
      </c>
      <c r="V17" s="37" t="s">
        <v>48</v>
      </c>
      <c r="W17" s="38">
        <v>13.2</v>
      </c>
      <c r="X17" s="37" t="s">
        <v>220</v>
      </c>
      <c r="Y17" s="37" t="s">
        <v>221</v>
      </c>
    </row>
    <row r="18" spans="2:25" ht="16.5">
      <c r="B18" s="1339"/>
      <c r="C18" s="50" t="s">
        <v>247</v>
      </c>
      <c r="D18" s="51" t="s">
        <v>263</v>
      </c>
      <c r="E18" s="51" t="s">
        <v>253</v>
      </c>
      <c r="F18" s="51">
        <v>0.18551000000000001</v>
      </c>
      <c r="G18" s="51" t="s">
        <v>263</v>
      </c>
      <c r="H18" s="51" t="s">
        <v>255</v>
      </c>
      <c r="I18" s="51">
        <v>0.70223174366011942</v>
      </c>
      <c r="J18" s="51" t="s">
        <v>256</v>
      </c>
      <c r="K18" s="52" t="s">
        <v>221</v>
      </c>
      <c r="P18" s="60" t="s">
        <v>264</v>
      </c>
      <c r="Q18" s="60" t="s">
        <v>33</v>
      </c>
      <c r="R18" s="60" t="s">
        <v>0</v>
      </c>
      <c r="S18" s="61" t="s">
        <v>265</v>
      </c>
      <c r="V18" s="5" t="s">
        <v>266</v>
      </c>
      <c r="W18" s="43">
        <v>51.5</v>
      </c>
      <c r="X18" s="5" t="s">
        <v>220</v>
      </c>
      <c r="Y18" s="5" t="s">
        <v>221</v>
      </c>
    </row>
    <row r="19" spans="2:25" ht="28">
      <c r="B19" s="1339"/>
      <c r="C19" s="53" t="s">
        <v>251</v>
      </c>
      <c r="D19" s="54" t="s">
        <v>267</v>
      </c>
      <c r="E19" s="54" t="s">
        <v>253</v>
      </c>
      <c r="F19" s="54">
        <v>0.61101000000000005</v>
      </c>
      <c r="G19" s="54" t="s">
        <v>18</v>
      </c>
      <c r="H19" s="54" t="s">
        <v>255</v>
      </c>
      <c r="I19" s="54">
        <v>2.3129244660329338</v>
      </c>
      <c r="J19" s="54" t="s">
        <v>256</v>
      </c>
      <c r="K19" s="52" t="s">
        <v>221</v>
      </c>
      <c r="N19" s="56" t="s">
        <v>230</v>
      </c>
      <c r="P19" s="1344" t="s">
        <v>268</v>
      </c>
      <c r="Q19" s="1344" t="s">
        <v>269</v>
      </c>
      <c r="R19" s="61" t="s">
        <v>270</v>
      </c>
      <c r="S19" s="62">
        <v>0.1766845465790137</v>
      </c>
      <c r="V19" s="37" t="s">
        <v>49</v>
      </c>
      <c r="W19" s="38">
        <v>58.9</v>
      </c>
      <c r="X19" s="37" t="s">
        <v>220</v>
      </c>
      <c r="Y19" s="37" t="s">
        <v>221</v>
      </c>
    </row>
    <row r="20" spans="2:25">
      <c r="B20" s="1339"/>
      <c r="C20" s="63" t="s">
        <v>247</v>
      </c>
      <c r="D20" s="64" t="s">
        <v>271</v>
      </c>
      <c r="E20" s="64" t="s">
        <v>253</v>
      </c>
      <c r="F20" s="64">
        <v>9.289E-2</v>
      </c>
      <c r="G20" s="64" t="s">
        <v>271</v>
      </c>
      <c r="H20" s="64" t="s">
        <v>255</v>
      </c>
      <c r="I20" s="64">
        <v>0.35162690242352695</v>
      </c>
      <c r="J20" s="64" t="s">
        <v>256</v>
      </c>
      <c r="K20" s="52" t="s">
        <v>221</v>
      </c>
      <c r="N20" s="57" t="s">
        <v>215</v>
      </c>
      <c r="P20" s="1344"/>
      <c r="Q20" s="1344"/>
      <c r="R20" s="61" t="s">
        <v>272</v>
      </c>
      <c r="S20" s="65">
        <v>176.6845465790137</v>
      </c>
      <c r="V20" s="5" t="s">
        <v>50</v>
      </c>
      <c r="W20" s="43">
        <v>62.7</v>
      </c>
      <c r="X20" s="5" t="s">
        <v>220</v>
      </c>
      <c r="Y20" s="5" t="s">
        <v>221</v>
      </c>
    </row>
    <row r="21" spans="2:25" ht="16.5">
      <c r="B21" s="1339"/>
      <c r="N21" s="58" t="s">
        <v>216</v>
      </c>
      <c r="P21" s="60" t="s">
        <v>264</v>
      </c>
      <c r="Q21" s="60" t="s">
        <v>33</v>
      </c>
      <c r="R21" s="60" t="s">
        <v>0</v>
      </c>
      <c r="S21" s="61" t="s">
        <v>265</v>
      </c>
      <c r="V21" s="37" t="s">
        <v>51</v>
      </c>
      <c r="W21" s="38">
        <v>14.3</v>
      </c>
      <c r="X21" s="37" t="s">
        <v>220</v>
      </c>
      <c r="Y21" s="37" t="s">
        <v>221</v>
      </c>
    </row>
    <row r="22" spans="2:25" ht="28">
      <c r="B22" s="1339"/>
      <c r="C22" t="s">
        <v>273</v>
      </c>
      <c r="N22" s="59" t="s">
        <v>217</v>
      </c>
      <c r="P22" s="1344" t="s">
        <v>274</v>
      </c>
      <c r="Q22" s="1344" t="s">
        <v>275</v>
      </c>
      <c r="R22" s="61" t="s">
        <v>270</v>
      </c>
      <c r="S22" s="62">
        <v>0.20131829171065632</v>
      </c>
      <c r="V22" s="5" t="s">
        <v>52</v>
      </c>
      <c r="W22" s="43">
        <v>39</v>
      </c>
      <c r="X22" s="5" t="s">
        <v>220</v>
      </c>
      <c r="Y22" s="5" t="s">
        <v>221</v>
      </c>
    </row>
    <row r="23" spans="2:25">
      <c r="B23" s="1339"/>
      <c r="C23" s="24" t="s">
        <v>4</v>
      </c>
      <c r="D23" s="25" t="s">
        <v>276</v>
      </c>
      <c r="E23" s="25" t="s">
        <v>277</v>
      </c>
      <c r="F23" s="25" t="s">
        <v>213</v>
      </c>
      <c r="G23" s="25" t="s">
        <v>1</v>
      </c>
      <c r="H23" s="26" t="s">
        <v>195</v>
      </c>
      <c r="P23" s="1344"/>
      <c r="Q23" s="1344"/>
      <c r="R23" s="61" t="s">
        <v>272</v>
      </c>
      <c r="S23" s="65">
        <v>201.3182917106563</v>
      </c>
      <c r="V23" s="37" t="s">
        <v>53</v>
      </c>
      <c r="W23" s="38">
        <v>68.900000000000006</v>
      </c>
      <c r="X23" s="37" t="s">
        <v>220</v>
      </c>
      <c r="Y23" s="37" t="s">
        <v>221</v>
      </c>
    </row>
    <row r="24" spans="2:25">
      <c r="B24" s="1339"/>
      <c r="C24" s="53" t="s">
        <v>204</v>
      </c>
      <c r="D24" s="54"/>
      <c r="E24" s="66">
        <v>6.2399999999999997E-2</v>
      </c>
      <c r="F24" s="54" t="s">
        <v>278</v>
      </c>
      <c r="G24" s="54">
        <v>2023</v>
      </c>
      <c r="H24" s="67" t="s">
        <v>279</v>
      </c>
      <c r="N24" s="56" t="s">
        <v>233</v>
      </c>
      <c r="V24" s="5" t="s">
        <v>280</v>
      </c>
      <c r="W24" s="43">
        <v>55.8</v>
      </c>
      <c r="X24" s="5" t="s">
        <v>220</v>
      </c>
      <c r="Y24" s="5" t="s">
        <v>221</v>
      </c>
    </row>
    <row r="25" spans="2:25">
      <c r="B25" s="1339"/>
      <c r="N25" s="57" t="s">
        <v>215</v>
      </c>
      <c r="V25" s="37" t="s">
        <v>54</v>
      </c>
      <c r="W25" s="38">
        <v>61.5</v>
      </c>
      <c r="X25" s="37" t="s">
        <v>220</v>
      </c>
      <c r="Y25" s="37" t="s">
        <v>221</v>
      </c>
    </row>
    <row r="26" spans="2:25">
      <c r="B26" s="1339"/>
      <c r="C26" t="s">
        <v>281</v>
      </c>
      <c r="N26" s="58" t="s">
        <v>216</v>
      </c>
      <c r="V26" s="5" t="s">
        <v>55</v>
      </c>
      <c r="W26" s="43">
        <v>152.19999999999999</v>
      </c>
      <c r="X26" s="5" t="s">
        <v>220</v>
      </c>
      <c r="Y26" s="5" t="s">
        <v>221</v>
      </c>
    </row>
    <row r="27" spans="2:25">
      <c r="B27" s="1339"/>
      <c r="C27" s="24" t="s">
        <v>4</v>
      </c>
      <c r="D27" s="25" t="s">
        <v>276</v>
      </c>
      <c r="E27" s="25" t="s">
        <v>212</v>
      </c>
      <c r="F27" s="25" t="s">
        <v>213</v>
      </c>
      <c r="G27" s="25" t="s">
        <v>1</v>
      </c>
      <c r="H27" s="26" t="s">
        <v>195</v>
      </c>
      <c r="N27" s="59" t="s">
        <v>217</v>
      </c>
      <c r="V27" s="37" t="s">
        <v>56</v>
      </c>
      <c r="W27" s="38">
        <v>19.3</v>
      </c>
      <c r="X27" s="37" t="s">
        <v>220</v>
      </c>
      <c r="Y27" s="37" t="s">
        <v>221</v>
      </c>
    </row>
    <row r="28" spans="2:25">
      <c r="B28" s="1339"/>
      <c r="C28" s="53" t="s">
        <v>204</v>
      </c>
      <c r="D28" s="54" t="s">
        <v>282</v>
      </c>
      <c r="E28" s="66">
        <v>0.36780000000000002</v>
      </c>
      <c r="F28" s="54" t="s">
        <v>278</v>
      </c>
      <c r="G28" s="54">
        <v>2023</v>
      </c>
      <c r="H28" s="67" t="s">
        <v>279</v>
      </c>
      <c r="V28" s="5" t="s">
        <v>57</v>
      </c>
      <c r="W28" s="43">
        <v>14.8</v>
      </c>
      <c r="X28" s="5" t="s">
        <v>220</v>
      </c>
      <c r="Y28" s="5" t="s">
        <v>221</v>
      </c>
    </row>
    <row r="29" spans="2:25">
      <c r="B29" s="1339"/>
      <c r="C29" t="s">
        <v>204</v>
      </c>
      <c r="D29" t="s">
        <v>283</v>
      </c>
      <c r="E29" s="68">
        <f>H3</f>
        <v>2.1299999999999999E-2</v>
      </c>
      <c r="F29" s="54" t="s">
        <v>278</v>
      </c>
      <c r="G29" s="54">
        <v>2023</v>
      </c>
      <c r="H29" s="67" t="s">
        <v>279</v>
      </c>
      <c r="N29" s="56" t="s">
        <v>237</v>
      </c>
      <c r="V29" s="37" t="s">
        <v>58</v>
      </c>
      <c r="W29" s="38">
        <v>90.3</v>
      </c>
      <c r="X29" s="37" t="s">
        <v>220</v>
      </c>
      <c r="Y29" s="37" t="s">
        <v>221</v>
      </c>
    </row>
    <row r="30" spans="2:25" ht="27.65" customHeight="1">
      <c r="B30" s="1339"/>
      <c r="C30" t="s">
        <v>204</v>
      </c>
      <c r="D30" t="s">
        <v>284</v>
      </c>
      <c r="E30" s="69">
        <f>E29/E28</f>
        <v>5.7911908646003256E-2</v>
      </c>
      <c r="F30" s="54"/>
      <c r="G30" s="54"/>
      <c r="H30" s="67"/>
      <c r="N30" s="57" t="s">
        <v>215</v>
      </c>
      <c r="V30" s="5" t="s">
        <v>59</v>
      </c>
      <c r="W30" s="43">
        <v>54.3</v>
      </c>
      <c r="X30" s="5" t="s">
        <v>220</v>
      </c>
      <c r="Y30" s="5" t="s">
        <v>221</v>
      </c>
    </row>
    <row r="31" spans="2:25">
      <c r="N31" s="58" t="s">
        <v>216</v>
      </c>
      <c r="V31" s="37" t="s">
        <v>60</v>
      </c>
      <c r="W31" s="38">
        <v>19</v>
      </c>
      <c r="X31" s="37" t="s">
        <v>220</v>
      </c>
      <c r="Y31" s="37" t="s">
        <v>221</v>
      </c>
    </row>
    <row r="32" spans="2:25">
      <c r="N32" s="59" t="s">
        <v>217</v>
      </c>
      <c r="V32" s="5" t="s">
        <v>61</v>
      </c>
      <c r="W32" s="43">
        <v>86.2</v>
      </c>
      <c r="X32" s="5" t="s">
        <v>220</v>
      </c>
      <c r="Y32" s="5" t="s">
        <v>221</v>
      </c>
    </row>
    <row r="33" spans="14:25">
      <c r="V33" s="37" t="s">
        <v>62</v>
      </c>
      <c r="W33" s="38">
        <v>24.2</v>
      </c>
      <c r="X33" s="37" t="s">
        <v>220</v>
      </c>
      <c r="Y33" s="37" t="s">
        <v>221</v>
      </c>
    </row>
    <row r="34" spans="14:25">
      <c r="N34" s="56" t="s">
        <v>246</v>
      </c>
      <c r="V34" s="5" t="s">
        <v>63</v>
      </c>
      <c r="W34" s="43">
        <v>106.4</v>
      </c>
      <c r="X34" s="5" t="s">
        <v>220</v>
      </c>
      <c r="Y34" s="5" t="s">
        <v>221</v>
      </c>
    </row>
    <row r="35" spans="14:25">
      <c r="N35" s="57" t="s">
        <v>216</v>
      </c>
      <c r="V35" s="37" t="s">
        <v>64</v>
      </c>
      <c r="W35" s="38">
        <v>24.5</v>
      </c>
      <c r="X35" s="37" t="s">
        <v>220</v>
      </c>
      <c r="Y35" s="37" t="s">
        <v>221</v>
      </c>
    </row>
    <row r="36" spans="14:25">
      <c r="N36" s="58" t="s">
        <v>217</v>
      </c>
      <c r="V36" s="5" t="s">
        <v>65</v>
      </c>
      <c r="W36" s="43">
        <v>51.4</v>
      </c>
      <c r="X36" s="5" t="s">
        <v>220</v>
      </c>
      <c r="Y36" s="5" t="s">
        <v>221</v>
      </c>
    </row>
    <row r="37" spans="14:25">
      <c r="N37" s="59" t="s">
        <v>218</v>
      </c>
      <c r="V37" s="37" t="s">
        <v>66</v>
      </c>
      <c r="W37" s="38">
        <v>7</v>
      </c>
      <c r="X37" s="37" t="s">
        <v>220</v>
      </c>
      <c r="Y37" s="37" t="s">
        <v>221</v>
      </c>
    </row>
    <row r="38" spans="14:25">
      <c r="V38" s="5" t="s">
        <v>67</v>
      </c>
      <c r="W38" s="43">
        <v>6.6</v>
      </c>
      <c r="X38" s="5" t="s">
        <v>220</v>
      </c>
      <c r="Y38" s="5" t="s">
        <v>221</v>
      </c>
    </row>
    <row r="39" spans="14:25">
      <c r="N39" s="56" t="s">
        <v>250</v>
      </c>
      <c r="V39" s="37" t="s">
        <v>68</v>
      </c>
      <c r="W39" s="38">
        <v>43.4</v>
      </c>
      <c r="X39" s="37" t="s">
        <v>220</v>
      </c>
      <c r="Y39" s="37" t="s">
        <v>221</v>
      </c>
    </row>
    <row r="40" spans="14:25">
      <c r="N40" s="57" t="s">
        <v>216</v>
      </c>
      <c r="V40" s="5" t="s">
        <v>69</v>
      </c>
      <c r="W40" s="43">
        <v>32.1</v>
      </c>
      <c r="X40" s="5" t="s">
        <v>220</v>
      </c>
      <c r="Y40" s="5" t="s">
        <v>221</v>
      </c>
    </row>
    <row r="41" spans="14:25">
      <c r="N41" s="58" t="s">
        <v>217</v>
      </c>
      <c r="V41" s="37" t="s">
        <v>219</v>
      </c>
      <c r="W41" s="38">
        <v>10.4</v>
      </c>
      <c r="X41" s="37" t="s">
        <v>220</v>
      </c>
      <c r="Y41" s="37" t="s">
        <v>221</v>
      </c>
    </row>
    <row r="42" spans="14:25">
      <c r="V42" s="5" t="s">
        <v>225</v>
      </c>
      <c r="W42" s="43">
        <v>11.5</v>
      </c>
      <c r="X42" s="5" t="s">
        <v>220</v>
      </c>
      <c r="Y42" s="5" t="s">
        <v>221</v>
      </c>
    </row>
    <row r="43" spans="14:25">
      <c r="N43" s="56" t="s">
        <v>2203</v>
      </c>
      <c r="V43" s="37" t="s">
        <v>70</v>
      </c>
      <c r="W43" s="38">
        <v>63.8</v>
      </c>
      <c r="X43" s="37" t="s">
        <v>220</v>
      </c>
      <c r="Y43" s="37" t="s">
        <v>221</v>
      </c>
    </row>
    <row r="44" spans="14:25">
      <c r="N44" t="s">
        <v>215</v>
      </c>
      <c r="V44" s="37" t="s">
        <v>71</v>
      </c>
      <c r="W44" s="38">
        <v>38.5</v>
      </c>
      <c r="X44" s="37" t="s">
        <v>220</v>
      </c>
      <c r="Y44" s="37" t="s">
        <v>221</v>
      </c>
    </row>
    <row r="45" spans="14:25">
      <c r="N45" s="57" t="s">
        <v>216</v>
      </c>
    </row>
    <row r="46" spans="14:25">
      <c r="N46" s="58" t="s">
        <v>217</v>
      </c>
    </row>
    <row r="48" spans="14:25">
      <c r="N48" s="56" t="s">
        <v>222</v>
      </c>
    </row>
    <row r="49" spans="14:31">
      <c r="N49" s="57" t="s">
        <v>215</v>
      </c>
    </row>
    <row r="50" spans="14:31">
      <c r="N50" s="58" t="s">
        <v>216</v>
      </c>
    </row>
    <row r="51" spans="14:31">
      <c r="N51" s="59" t="s">
        <v>217</v>
      </c>
    </row>
    <row r="55" spans="14:31">
      <c r="V55" s="70" t="s">
        <v>285</v>
      </c>
    </row>
    <row r="56" spans="14:31">
      <c r="U56" s="5" t="s">
        <v>286</v>
      </c>
      <c r="V56" s="71" t="s">
        <v>287</v>
      </c>
      <c r="W56" s="71" t="s">
        <v>33</v>
      </c>
      <c r="X56" s="71" t="s">
        <v>288</v>
      </c>
      <c r="Y56" s="71" t="s">
        <v>213</v>
      </c>
      <c r="Z56" s="71" t="s">
        <v>212</v>
      </c>
      <c r="AA56" s="71" t="s">
        <v>289</v>
      </c>
      <c r="AB56" s="71" t="s">
        <v>290</v>
      </c>
      <c r="AC56" s="71" t="s">
        <v>195</v>
      </c>
      <c r="AE56" s="72" t="s">
        <v>291</v>
      </c>
    </row>
    <row r="57" spans="14:31">
      <c r="U57" s="5" t="str">
        <f>_xlfn.CONCAT(V57,W57,X57)</f>
        <v>BusAverage local bus</v>
      </c>
      <c r="V57" s="5" t="s">
        <v>9</v>
      </c>
      <c r="W57" s="5" t="s">
        <v>292</v>
      </c>
      <c r="X57" s="5"/>
      <c r="Y57" s="5" t="s">
        <v>293</v>
      </c>
      <c r="Z57" s="5">
        <v>0.16439512528875452</v>
      </c>
      <c r="AA57" s="5">
        <f t="shared" ref="AA57:AA115" si="0">VLOOKUP(_xlfn.CONCAT(V57,W57,X57),$T$119:$Z$177,7,FALSE)</f>
        <v>4.0120946064461087E-2</v>
      </c>
      <c r="AB57" s="5">
        <f>SUM(Z57:AA57)</f>
        <v>0.20451607135321562</v>
      </c>
      <c r="AC57" s="5" t="s">
        <v>221</v>
      </c>
      <c r="AE57" s="5" t="s">
        <v>9</v>
      </c>
    </row>
    <row r="58" spans="14:31">
      <c r="U58" s="5" t="str">
        <f t="shared" ref="U58:U115" si="1">_xlfn.CONCAT(V58,W58,X58)</f>
        <v>BusCoach</v>
      </c>
      <c r="V58" s="5" t="s">
        <v>9</v>
      </c>
      <c r="W58" s="5" t="s">
        <v>294</v>
      </c>
      <c r="X58" s="5"/>
      <c r="Y58" s="5" t="s">
        <v>293</v>
      </c>
      <c r="Z58" s="5">
        <v>4.3744225319300493E-2</v>
      </c>
      <c r="AA58" s="5">
        <f t="shared" si="0"/>
        <v>1.0557296678013025E-2</v>
      </c>
      <c r="AB58" s="5">
        <f t="shared" ref="AB58:AB115" si="2">SUM(Z58:AA58)</f>
        <v>5.4301521997313515E-2</v>
      </c>
      <c r="AC58" s="5" t="s">
        <v>221</v>
      </c>
      <c r="AE58" s="5" t="s">
        <v>295</v>
      </c>
    </row>
    <row r="59" spans="14:31">
      <c r="U59" s="5" t="str">
        <f t="shared" si="1"/>
        <v>BusLocal bus (not London)</v>
      </c>
      <c r="V59" s="5" t="s">
        <v>9</v>
      </c>
      <c r="W59" s="5" t="s">
        <v>296</v>
      </c>
      <c r="X59" s="5"/>
      <c r="Y59" s="5" t="s">
        <v>293</v>
      </c>
      <c r="Z59" s="5">
        <v>0.19048641300462738</v>
      </c>
      <c r="AA59" s="5">
        <f t="shared" si="0"/>
        <v>4.6461761447292083E-2</v>
      </c>
      <c r="AB59" s="5">
        <f t="shared" si="2"/>
        <v>0.23694817445191946</v>
      </c>
      <c r="AC59" s="5" t="s">
        <v>221</v>
      </c>
      <c r="AE59" s="5" t="s">
        <v>36</v>
      </c>
    </row>
    <row r="60" spans="14:31">
      <c r="U60" s="5" t="str">
        <f t="shared" si="1"/>
        <v>BusLocal London bus</v>
      </c>
      <c r="V60" s="5" t="s">
        <v>9</v>
      </c>
      <c r="W60" s="5" t="s">
        <v>297</v>
      </c>
      <c r="X60" s="5"/>
      <c r="Y60" s="5" t="s">
        <v>293</v>
      </c>
      <c r="Z60" s="5">
        <v>0.12604785993510936</v>
      </c>
      <c r="AA60" s="5">
        <f t="shared" si="0"/>
        <v>3.0835031151025847E-2</v>
      </c>
      <c r="AB60" s="5">
        <f t="shared" si="2"/>
        <v>0.15688289108613521</v>
      </c>
      <c r="AC60" s="5" t="s">
        <v>221</v>
      </c>
      <c r="AE60" s="5" t="s">
        <v>298</v>
      </c>
    </row>
    <row r="61" spans="14:31">
      <c r="U61" s="5" t="str">
        <f t="shared" si="1"/>
        <v>Cars_by_market_segmentDual purpose 4X4Diesel</v>
      </c>
      <c r="V61" s="5" t="s">
        <v>295</v>
      </c>
      <c r="W61" s="5" t="s">
        <v>299</v>
      </c>
      <c r="X61" s="5" t="s">
        <v>16</v>
      </c>
      <c r="Y61" s="5" t="s">
        <v>300</v>
      </c>
      <c r="Z61" s="5">
        <v>0.32500566308724826</v>
      </c>
      <c r="AA61" s="5">
        <f t="shared" si="0"/>
        <v>7.9439999999999997E-2</v>
      </c>
      <c r="AB61" s="5">
        <f t="shared" si="2"/>
        <v>0.40444566308724827</v>
      </c>
      <c r="AC61" s="5" t="s">
        <v>221</v>
      </c>
      <c r="AE61" s="5" t="s">
        <v>301</v>
      </c>
    </row>
    <row r="62" spans="14:31">
      <c r="U62" s="5" t="str">
        <f t="shared" si="1"/>
        <v>Cars_by_market_segmentDual purpose 4X4Gasoline</v>
      </c>
      <c r="V62" s="5" t="s">
        <v>295</v>
      </c>
      <c r="W62" s="5" t="s">
        <v>299</v>
      </c>
      <c r="X62" s="5" t="s">
        <v>17</v>
      </c>
      <c r="Y62" s="5" t="s">
        <v>300</v>
      </c>
      <c r="Z62" s="5">
        <v>0.32838697181208049</v>
      </c>
      <c r="AA62" s="5">
        <f t="shared" si="0"/>
        <v>9.1259999999999994E-2</v>
      </c>
      <c r="AB62" s="5">
        <f t="shared" si="2"/>
        <v>0.41964697181208049</v>
      </c>
      <c r="AC62" s="5" t="s">
        <v>221</v>
      </c>
    </row>
    <row r="63" spans="14:31">
      <c r="U63" s="5" t="str">
        <f t="shared" si="1"/>
        <v>Cars_by_market_segmentDual purpose 4X4Unknown</v>
      </c>
      <c r="V63" s="5" t="s">
        <v>295</v>
      </c>
      <c r="W63" s="5" t="s">
        <v>299</v>
      </c>
      <c r="X63" s="5" t="s">
        <v>302</v>
      </c>
      <c r="Y63" s="5" t="s">
        <v>300</v>
      </c>
      <c r="Z63" s="5">
        <v>0.32621324295302018</v>
      </c>
      <c r="AA63" s="5">
        <f t="shared" si="0"/>
        <v>8.3320000000000005E-2</v>
      </c>
      <c r="AB63" s="5">
        <f t="shared" si="2"/>
        <v>0.40953324295302018</v>
      </c>
      <c r="AC63" s="5" t="s">
        <v>221</v>
      </c>
    </row>
    <row r="64" spans="14:31">
      <c r="U64" s="5" t="str">
        <f t="shared" si="1"/>
        <v>Cars_by_market_segmentDual purpose 4X4Plug-in Hybrid Electric Vehicle</v>
      </c>
      <c r="V64" s="5" t="s">
        <v>295</v>
      </c>
      <c r="W64" s="5" t="s">
        <v>299</v>
      </c>
      <c r="X64" s="5" t="s">
        <v>303</v>
      </c>
      <c r="Y64" s="5" t="s">
        <v>300</v>
      </c>
      <c r="Z64" s="5">
        <v>0.16621208322147651</v>
      </c>
      <c r="AA64" s="5">
        <f t="shared" si="0"/>
        <v>4.3059999999999994E-2</v>
      </c>
      <c r="AB64" s="5">
        <f t="shared" si="2"/>
        <v>0.2092720832214765</v>
      </c>
      <c r="AC64" s="5" t="s">
        <v>221</v>
      </c>
      <c r="AE64" s="73" t="s">
        <v>9</v>
      </c>
    </row>
    <row r="65" spans="12:33">
      <c r="U65" s="5" t="str">
        <f t="shared" si="1"/>
        <v>Cars_by_market_segmentDual purpose 4X4Battery Electric Vehicle</v>
      </c>
      <c r="V65" s="5" t="s">
        <v>295</v>
      </c>
      <c r="W65" s="5" t="s">
        <v>299</v>
      </c>
      <c r="X65" s="5" t="s">
        <v>304</v>
      </c>
      <c r="Y65" s="5" t="s">
        <v>300</v>
      </c>
      <c r="Z65" s="5">
        <v>9.8240575838926175E-2</v>
      </c>
      <c r="AA65" s="5">
        <f t="shared" si="0"/>
        <v>2.1749999999999999E-2</v>
      </c>
      <c r="AB65" s="5">
        <f t="shared" si="2"/>
        <v>0.11999057583892617</v>
      </c>
      <c r="AC65" s="5" t="s">
        <v>221</v>
      </c>
      <c r="AE65" s="74" t="s">
        <v>292</v>
      </c>
    </row>
    <row r="66" spans="12:33">
      <c r="U66" s="5" t="str">
        <f t="shared" si="1"/>
        <v>Cars_by_market_segmentExecutiveDiesel</v>
      </c>
      <c r="V66" s="5" t="s">
        <v>295</v>
      </c>
      <c r="W66" s="5" t="s">
        <v>305</v>
      </c>
      <c r="X66" s="5" t="s">
        <v>16</v>
      </c>
      <c r="Y66" s="5" t="s">
        <v>300</v>
      </c>
      <c r="Z66" s="5">
        <v>0.2785856630872483</v>
      </c>
      <c r="AA66" s="5">
        <f t="shared" si="0"/>
        <v>6.8000000000000005E-2</v>
      </c>
      <c r="AB66" s="5">
        <f t="shared" si="2"/>
        <v>0.34658566308724831</v>
      </c>
      <c r="AC66" s="5" t="s">
        <v>221</v>
      </c>
      <c r="AE66" s="74" t="s">
        <v>294</v>
      </c>
    </row>
    <row r="67" spans="12:33">
      <c r="L67" t="s">
        <v>306</v>
      </c>
      <c r="U67" s="5" t="str">
        <f t="shared" si="1"/>
        <v>Cars_by_market_segmentExecutiveGasoline</v>
      </c>
      <c r="V67" s="5" t="s">
        <v>295</v>
      </c>
      <c r="W67" s="5" t="s">
        <v>305</v>
      </c>
      <c r="X67" s="5" t="s">
        <v>17</v>
      </c>
      <c r="Y67" s="5" t="s">
        <v>300</v>
      </c>
      <c r="Z67" s="5">
        <v>0.34168697181208052</v>
      </c>
      <c r="AA67" s="5">
        <f t="shared" si="0"/>
        <v>9.4969999999999999E-2</v>
      </c>
      <c r="AB67" s="5">
        <f t="shared" si="2"/>
        <v>0.43665697181208052</v>
      </c>
      <c r="AC67" s="5" t="s">
        <v>221</v>
      </c>
      <c r="AE67" s="74" t="s">
        <v>296</v>
      </c>
    </row>
    <row r="68" spans="12:33">
      <c r="U68" s="5" t="str">
        <f t="shared" si="1"/>
        <v>Cars_by_market_segmentExecutiveUnknown</v>
      </c>
      <c r="V68" s="5" t="s">
        <v>295</v>
      </c>
      <c r="W68" s="5" t="s">
        <v>305</v>
      </c>
      <c r="X68" s="5" t="s">
        <v>302</v>
      </c>
      <c r="Y68" s="5" t="s">
        <v>300</v>
      </c>
      <c r="Z68" s="5">
        <v>0.29393429127516779</v>
      </c>
      <c r="AA68" s="5">
        <f t="shared" si="0"/>
        <v>7.4550000000000005E-2</v>
      </c>
      <c r="AB68" s="5">
        <f t="shared" si="2"/>
        <v>0.3684842912751678</v>
      </c>
      <c r="AC68" s="5" t="s">
        <v>221</v>
      </c>
      <c r="AE68" s="75" t="s">
        <v>297</v>
      </c>
    </row>
    <row r="69" spans="12:33">
      <c r="U69" s="5" t="str">
        <f t="shared" si="1"/>
        <v>Cars_by_market_segmentExecutivePlug-in Hybrid Electric Vehicle</v>
      </c>
      <c r="V69" s="5" t="s">
        <v>295</v>
      </c>
      <c r="W69" s="5" t="s">
        <v>305</v>
      </c>
      <c r="X69" s="5" t="s">
        <v>303</v>
      </c>
      <c r="Y69" s="5" t="s">
        <v>300</v>
      </c>
      <c r="Z69" s="5">
        <v>0.14300571275167784</v>
      </c>
      <c r="AA69" s="5">
        <f t="shared" si="0"/>
        <v>3.7180000000000005E-2</v>
      </c>
      <c r="AB69" s="5">
        <f t="shared" si="2"/>
        <v>0.18018571275167783</v>
      </c>
      <c r="AC69" s="5" t="s">
        <v>221</v>
      </c>
    </row>
    <row r="70" spans="12:33">
      <c r="U70" s="5" t="str">
        <f t="shared" si="1"/>
        <v>Cars_by_market_segmentExecutiveBattery Electric Vehicle</v>
      </c>
      <c r="V70" s="5" t="s">
        <v>295</v>
      </c>
      <c r="W70" s="5" t="s">
        <v>305</v>
      </c>
      <c r="X70" s="5" t="s">
        <v>304</v>
      </c>
      <c r="Y70" s="5" t="s">
        <v>300</v>
      </c>
      <c r="Z70" s="5">
        <v>8.0578508724832215E-2</v>
      </c>
      <c r="AA70" s="5">
        <f t="shared" si="0"/>
        <v>1.7860000000000001E-2</v>
      </c>
      <c r="AB70" s="5">
        <f t="shared" si="2"/>
        <v>9.8438508724832216E-2</v>
      </c>
      <c r="AC70" s="5" t="s">
        <v>221</v>
      </c>
      <c r="AE70" s="72" t="s">
        <v>295</v>
      </c>
      <c r="AF70"/>
    </row>
    <row r="71" spans="12:33">
      <c r="U71" s="5" t="str">
        <f t="shared" si="1"/>
        <v>Cars_by_market_segmentLower mediumDiesel</v>
      </c>
      <c r="V71" s="5" t="s">
        <v>295</v>
      </c>
      <c r="W71" s="5" t="s">
        <v>307</v>
      </c>
      <c r="X71" s="5" t="s">
        <v>16</v>
      </c>
      <c r="Y71" s="5" t="s">
        <v>300</v>
      </c>
      <c r="Z71" s="5">
        <v>0.23087566308724833</v>
      </c>
      <c r="AA71" s="5">
        <f t="shared" si="0"/>
        <v>5.6239999999999998E-2</v>
      </c>
      <c r="AB71" s="5">
        <f t="shared" si="2"/>
        <v>0.28711566308724834</v>
      </c>
      <c r="AC71" s="5" t="s">
        <v>221</v>
      </c>
      <c r="AE71" s="76" t="s">
        <v>308</v>
      </c>
      <c r="AF71"/>
      <c r="AG71" t="s">
        <v>309</v>
      </c>
    </row>
    <row r="72" spans="12:33">
      <c r="U72" s="5" t="str">
        <f t="shared" si="1"/>
        <v>Cars_by_market_segmentLower mediumGasoline</v>
      </c>
      <c r="V72" s="5" t="s">
        <v>295</v>
      </c>
      <c r="W72" s="5" t="s">
        <v>307</v>
      </c>
      <c r="X72" s="5" t="s">
        <v>17</v>
      </c>
      <c r="Y72" s="5" t="s">
        <v>300</v>
      </c>
      <c r="Z72" s="5">
        <v>0.26509697181208053</v>
      </c>
      <c r="AA72" s="5">
        <f t="shared" si="0"/>
        <v>7.3609999999999995E-2</v>
      </c>
      <c r="AB72" s="5">
        <f t="shared" si="2"/>
        <v>0.33870697181208054</v>
      </c>
      <c r="AC72" s="5" t="s">
        <v>221</v>
      </c>
      <c r="AE72" s="54" t="s">
        <v>310</v>
      </c>
      <c r="AF72"/>
      <c r="AG72" s="5" t="s">
        <v>16</v>
      </c>
    </row>
    <row r="73" spans="12:33">
      <c r="U73" s="5" t="str">
        <f t="shared" si="1"/>
        <v>Cars_by_market_segmentLower mediumUnknown</v>
      </c>
      <c r="V73" s="5" t="s">
        <v>295</v>
      </c>
      <c r="W73" s="5" t="s">
        <v>307</v>
      </c>
      <c r="X73" s="5" t="s">
        <v>302</v>
      </c>
      <c r="Y73" s="5" t="s">
        <v>300</v>
      </c>
      <c r="Z73" s="5">
        <v>0.24977187114093957</v>
      </c>
      <c r="AA73" s="5">
        <f t="shared" si="0"/>
        <v>6.5790000000000001E-2</v>
      </c>
      <c r="AB73" s="5">
        <f t="shared" si="2"/>
        <v>0.31556187114093959</v>
      </c>
      <c r="AC73" s="5" t="s">
        <v>221</v>
      </c>
      <c r="AE73" s="51" t="s">
        <v>299</v>
      </c>
      <c r="AF73"/>
      <c r="AG73" s="5" t="s">
        <v>17</v>
      </c>
    </row>
    <row r="74" spans="12:33">
      <c r="U74" s="5" t="str">
        <f t="shared" si="1"/>
        <v>Cars_by_market_segmentLower mediumPlug-in Hybrid Electric Vehicle</v>
      </c>
      <c r="V74" s="5" t="s">
        <v>295</v>
      </c>
      <c r="W74" s="5" t="s">
        <v>307</v>
      </c>
      <c r="X74" s="5" t="s">
        <v>303</v>
      </c>
      <c r="Y74" s="5" t="s">
        <v>300</v>
      </c>
      <c r="Z74" s="5">
        <v>0.13375669395973153</v>
      </c>
      <c r="AA74" s="5">
        <f t="shared" si="0"/>
        <v>3.4960000000000005E-2</v>
      </c>
      <c r="AB74" s="5">
        <f t="shared" si="2"/>
        <v>0.16871669395973155</v>
      </c>
      <c r="AC74" s="5" t="s">
        <v>221</v>
      </c>
      <c r="AE74" s="54" t="s">
        <v>311</v>
      </c>
      <c r="AF74"/>
      <c r="AG74" s="5" t="s">
        <v>302</v>
      </c>
    </row>
    <row r="75" spans="12:33">
      <c r="U75" s="5" t="str">
        <f t="shared" si="1"/>
        <v>Cars_by_market_segmentLower mediumBattery Electric Vehicle</v>
      </c>
      <c r="V75" s="5" t="s">
        <v>295</v>
      </c>
      <c r="W75" s="5" t="s">
        <v>307</v>
      </c>
      <c r="X75" s="5" t="s">
        <v>304</v>
      </c>
      <c r="Y75" s="5" t="s">
        <v>300</v>
      </c>
      <c r="Z75" s="5">
        <v>8.4578601342281873E-2</v>
      </c>
      <c r="AA75" s="5">
        <f t="shared" si="0"/>
        <v>1.8750000000000003E-2</v>
      </c>
      <c r="AB75" s="5">
        <f t="shared" si="2"/>
        <v>0.10332860134228188</v>
      </c>
      <c r="AC75" s="5" t="s">
        <v>221</v>
      </c>
      <c r="AE75" s="51" t="s">
        <v>305</v>
      </c>
      <c r="AF75"/>
      <c r="AG75" s="5" t="s">
        <v>303</v>
      </c>
    </row>
    <row r="76" spans="12:33">
      <c r="U76" s="5" t="str">
        <f t="shared" si="1"/>
        <v>Cars_by_market_segmentLuxuryDiesel</v>
      </c>
      <c r="V76" s="5" t="s">
        <v>295</v>
      </c>
      <c r="W76" s="5" t="s">
        <v>308</v>
      </c>
      <c r="X76" s="5" t="s">
        <v>16</v>
      </c>
      <c r="Y76" s="5" t="s">
        <v>300</v>
      </c>
      <c r="Z76" s="5">
        <v>0.33989566308724828</v>
      </c>
      <c r="AA76" s="5">
        <f t="shared" si="0"/>
        <v>8.3110000000000003E-2</v>
      </c>
      <c r="AB76" s="5">
        <f t="shared" si="2"/>
        <v>0.4230056630872483</v>
      </c>
      <c r="AC76" s="5" t="s">
        <v>221</v>
      </c>
      <c r="AE76" s="54" t="s">
        <v>312</v>
      </c>
      <c r="AF76"/>
      <c r="AG76" s="77" t="s">
        <v>304</v>
      </c>
    </row>
    <row r="77" spans="12:33">
      <c r="U77" s="5" t="str">
        <f t="shared" si="1"/>
        <v>Cars_by_market_segmentLuxuryGasoline</v>
      </c>
      <c r="V77" s="5" t="s">
        <v>295</v>
      </c>
      <c r="W77" s="5" t="s">
        <v>308</v>
      </c>
      <c r="X77" s="5" t="s">
        <v>17</v>
      </c>
      <c r="Y77" s="5" t="s">
        <v>300</v>
      </c>
      <c r="Z77" s="5">
        <v>0.51189697181208049</v>
      </c>
      <c r="AA77" s="5">
        <f t="shared" si="0"/>
        <v>0.14243</v>
      </c>
      <c r="AB77" s="5">
        <f t="shared" si="2"/>
        <v>0.65432697181208055</v>
      </c>
      <c r="AC77" s="5" t="s">
        <v>221</v>
      </c>
      <c r="AE77" s="51" t="s">
        <v>307</v>
      </c>
      <c r="AF77"/>
    </row>
    <row r="78" spans="12:33">
      <c r="U78" s="5" t="str">
        <f t="shared" si="1"/>
        <v>Cars_by_market_segmentLuxuryUnknown</v>
      </c>
      <c r="V78" s="5" t="s">
        <v>295</v>
      </c>
      <c r="W78" s="5" t="s">
        <v>308</v>
      </c>
      <c r="X78" s="5" t="s">
        <v>302</v>
      </c>
      <c r="Y78" s="5" t="s">
        <v>300</v>
      </c>
      <c r="Z78" s="5">
        <v>0.41822291946308726</v>
      </c>
      <c r="AA78" s="5">
        <f t="shared" si="0"/>
        <v>0.11013000000000001</v>
      </c>
      <c r="AB78" s="5">
        <f t="shared" si="2"/>
        <v>0.52835291946308727</v>
      </c>
      <c r="AC78" s="5" t="s">
        <v>221</v>
      </c>
      <c r="AE78" s="54" t="s">
        <v>313</v>
      </c>
      <c r="AF78"/>
    </row>
    <row r="79" spans="12:33">
      <c r="U79" s="5" t="str">
        <f t="shared" si="1"/>
        <v>Cars_by_market_segmentLuxuryPlug-in Hybrid Electric Vehicle</v>
      </c>
      <c r="V79" s="5" t="s">
        <v>295</v>
      </c>
      <c r="W79" s="5" t="s">
        <v>308</v>
      </c>
      <c r="X79" s="5" t="s">
        <v>303</v>
      </c>
      <c r="Y79" s="5" t="s">
        <v>300</v>
      </c>
      <c r="Z79" s="5">
        <v>0.18528817583892615</v>
      </c>
      <c r="AA79" s="5">
        <f t="shared" si="0"/>
        <v>4.9110000000000001E-2</v>
      </c>
      <c r="AB79" s="5">
        <f t="shared" si="2"/>
        <v>0.23439817583892614</v>
      </c>
      <c r="AC79" s="5" t="s">
        <v>221</v>
      </c>
      <c r="AE79" s="51" t="s">
        <v>314</v>
      </c>
      <c r="AF79"/>
    </row>
    <row r="80" spans="12:33">
      <c r="U80" s="5" t="str">
        <f t="shared" si="1"/>
        <v>Cars_by_market_segmentLuxuryBattery Electric Vehicle</v>
      </c>
      <c r="V80" s="5" t="s">
        <v>295</v>
      </c>
      <c r="W80" s="5" t="s">
        <v>308</v>
      </c>
      <c r="X80" s="5" t="s">
        <v>304</v>
      </c>
      <c r="Y80" s="5" t="s">
        <v>300</v>
      </c>
      <c r="Z80" s="5">
        <v>9.3944542281879206E-2</v>
      </c>
      <c r="AA80" s="5">
        <f t="shared" si="0"/>
        <v>2.0830000000000001E-2</v>
      </c>
      <c r="AB80" s="5">
        <f t="shared" si="2"/>
        <v>0.11477454228187921</v>
      </c>
      <c r="AC80" s="5" t="s">
        <v>221</v>
      </c>
      <c r="AF80"/>
    </row>
    <row r="81" spans="21:32">
      <c r="U81" s="5" t="str">
        <f t="shared" si="1"/>
        <v>Cars_by_market_segmentMiniDiesel</v>
      </c>
      <c r="V81" s="5" t="s">
        <v>295</v>
      </c>
      <c r="W81" s="5" t="s">
        <v>314</v>
      </c>
      <c r="X81" s="5" t="s">
        <v>16</v>
      </c>
      <c r="Y81" s="5" t="s">
        <v>300</v>
      </c>
      <c r="Z81" s="5">
        <v>0.17341566308724832</v>
      </c>
      <c r="AA81" s="5">
        <f t="shared" si="0"/>
        <v>4.2079999999999999E-2</v>
      </c>
      <c r="AB81" s="5">
        <f t="shared" si="2"/>
        <v>0.21549566308724832</v>
      </c>
      <c r="AC81" s="5" t="s">
        <v>221</v>
      </c>
      <c r="AF81"/>
    </row>
    <row r="82" spans="21:32">
      <c r="U82" s="5" t="str">
        <f t="shared" si="1"/>
        <v>Cars_by_market_segmentMiniGasoline</v>
      </c>
      <c r="V82" s="5" t="s">
        <v>295</v>
      </c>
      <c r="W82" s="5" t="s">
        <v>314</v>
      </c>
      <c r="X82" s="5" t="s">
        <v>17</v>
      </c>
      <c r="Y82" s="5" t="s">
        <v>300</v>
      </c>
      <c r="Z82" s="5">
        <v>0.20968697181208054</v>
      </c>
      <c r="AA82" s="5">
        <f t="shared" si="0"/>
        <v>5.8160000000000003E-2</v>
      </c>
      <c r="AB82" s="5">
        <f t="shared" si="2"/>
        <v>0.26784697181208056</v>
      </c>
      <c r="AC82" s="5" t="s">
        <v>221</v>
      </c>
      <c r="AF82"/>
    </row>
    <row r="83" spans="21:32">
      <c r="U83" s="5" t="str">
        <f t="shared" si="1"/>
        <v>Cars_by_market_segmentMiniUnknown</v>
      </c>
      <c r="V83" s="5" t="s">
        <v>295</v>
      </c>
      <c r="W83" s="5" t="s">
        <v>314</v>
      </c>
      <c r="X83" s="5" t="s">
        <v>302</v>
      </c>
      <c r="Y83" s="5" t="s">
        <v>300</v>
      </c>
      <c r="Z83" s="5">
        <v>0.20938244966442954</v>
      </c>
      <c r="AA83" s="5">
        <f t="shared" si="0"/>
        <v>5.8020000000000002E-2</v>
      </c>
      <c r="AB83" s="5">
        <f t="shared" si="2"/>
        <v>0.26740244966442955</v>
      </c>
      <c r="AC83" s="5" t="s">
        <v>221</v>
      </c>
      <c r="AE83" s="73" t="s">
        <v>36</v>
      </c>
    </row>
    <row r="84" spans="21:32">
      <c r="U84" s="5" t="str">
        <f t="shared" si="1"/>
        <v>Cars_by_market_segmentMiniPlug-in Hybrid Electric Vehicle</v>
      </c>
      <c r="V84" s="5" t="s">
        <v>295</v>
      </c>
      <c r="W84" s="5" t="s">
        <v>314</v>
      </c>
      <c r="X84" s="5" t="s">
        <v>303</v>
      </c>
      <c r="Y84" s="5" t="s">
        <v>300</v>
      </c>
      <c r="Z84" s="5"/>
      <c r="AA84" s="5">
        <f t="shared" si="0"/>
        <v>0</v>
      </c>
      <c r="AB84" s="5">
        <f t="shared" si="2"/>
        <v>0</v>
      </c>
      <c r="AC84" s="5" t="s">
        <v>221</v>
      </c>
      <c r="AE84" s="74" t="s">
        <v>315</v>
      </c>
    </row>
    <row r="85" spans="21:32">
      <c r="U85" s="5" t="str">
        <f t="shared" si="1"/>
        <v>Cars_by_market_segmentMiniBattery Electric Vehicle</v>
      </c>
      <c r="V85" s="5" t="s">
        <v>295</v>
      </c>
      <c r="W85" s="5" t="s">
        <v>314</v>
      </c>
      <c r="X85" s="5" t="s">
        <v>304</v>
      </c>
      <c r="Y85" s="5" t="s">
        <v>300</v>
      </c>
      <c r="Z85" s="5">
        <v>7.1370260402684571E-2</v>
      </c>
      <c r="AA85" s="5">
        <f t="shared" si="0"/>
        <v>1.5820000000000001E-2</v>
      </c>
      <c r="AB85" s="5">
        <f t="shared" si="2"/>
        <v>8.7190260402684572E-2</v>
      </c>
      <c r="AC85" s="5" t="s">
        <v>221</v>
      </c>
      <c r="AE85" s="74" t="s">
        <v>316</v>
      </c>
    </row>
    <row r="86" spans="21:32">
      <c r="U86" s="5" t="str">
        <f t="shared" si="1"/>
        <v>Cars_by_market_segmentMPVDiesel</v>
      </c>
      <c r="V86" s="5" t="s">
        <v>295</v>
      </c>
      <c r="W86" s="5" t="s">
        <v>311</v>
      </c>
      <c r="X86" s="5" t="s">
        <v>16</v>
      </c>
      <c r="Y86" s="5" t="s">
        <v>300</v>
      </c>
      <c r="Z86" s="5">
        <v>0.28421566308724827</v>
      </c>
      <c r="AA86" s="5">
        <f t="shared" si="0"/>
        <v>6.9389999999999993E-2</v>
      </c>
      <c r="AB86" s="5">
        <f t="shared" si="2"/>
        <v>0.35360566308724828</v>
      </c>
      <c r="AC86" s="5" t="s">
        <v>221</v>
      </c>
      <c r="AE86" s="74" t="s">
        <v>39</v>
      </c>
    </row>
    <row r="87" spans="21:32">
      <c r="U87" s="5" t="str">
        <f t="shared" si="1"/>
        <v>Cars_by_market_segmentMPVGasoline</v>
      </c>
      <c r="V87" s="5" t="s">
        <v>295</v>
      </c>
      <c r="W87" s="5" t="s">
        <v>311</v>
      </c>
      <c r="X87" s="5" t="s">
        <v>17</v>
      </c>
      <c r="Y87" s="5" t="s">
        <v>300</v>
      </c>
      <c r="Z87" s="5">
        <v>0.2965369718120805</v>
      </c>
      <c r="AA87" s="5">
        <f t="shared" si="0"/>
        <v>8.2379999999999995E-2</v>
      </c>
      <c r="AB87" s="5">
        <f t="shared" si="2"/>
        <v>0.37891697181208051</v>
      </c>
      <c r="AC87" s="5" t="s">
        <v>221</v>
      </c>
      <c r="AE87" s="75" t="s">
        <v>317</v>
      </c>
    </row>
    <row r="88" spans="21:32">
      <c r="U88" s="5" t="str">
        <f t="shared" si="1"/>
        <v>Cars_by_market_segmentMPVUnknown</v>
      </c>
      <c r="V88" s="5" t="s">
        <v>295</v>
      </c>
      <c r="W88" s="5" t="s">
        <v>311</v>
      </c>
      <c r="X88" s="5" t="s">
        <v>302</v>
      </c>
      <c r="Y88" s="5" t="s">
        <v>300</v>
      </c>
      <c r="Z88" s="5">
        <v>0.28750324295302015</v>
      </c>
      <c r="AA88" s="5">
        <f t="shared" si="0"/>
        <v>7.2849999999999998E-2</v>
      </c>
      <c r="AB88" s="5">
        <f t="shared" si="2"/>
        <v>0.36035324295302018</v>
      </c>
      <c r="AC88" s="5" t="s">
        <v>221</v>
      </c>
    </row>
    <row r="89" spans="21:32">
      <c r="U89" s="5" t="str">
        <f t="shared" si="1"/>
        <v>Cars_by_market_segmentMPVPlug-in Hybrid Electric Vehicle</v>
      </c>
      <c r="V89" s="5" t="s">
        <v>295</v>
      </c>
      <c r="W89" s="5" t="s">
        <v>311</v>
      </c>
      <c r="X89" s="5" t="s">
        <v>303</v>
      </c>
      <c r="Y89" s="5" t="s">
        <v>300</v>
      </c>
      <c r="Z89" s="5">
        <v>0.15936737583892618</v>
      </c>
      <c r="AA89" s="5">
        <f t="shared" si="0"/>
        <v>4.0369999999999996E-2</v>
      </c>
      <c r="AB89" s="5">
        <f t="shared" si="2"/>
        <v>0.19973737583892617</v>
      </c>
      <c r="AC89" s="5" t="s">
        <v>221</v>
      </c>
      <c r="AE89" s="73" t="s">
        <v>298</v>
      </c>
    </row>
    <row r="90" spans="21:32">
      <c r="U90" s="5" t="str">
        <f t="shared" si="1"/>
        <v>Cars_by_market_segmentMPVBattery Electric Vehicle</v>
      </c>
      <c r="V90" s="5" t="s">
        <v>295</v>
      </c>
      <c r="W90" s="5" t="s">
        <v>311</v>
      </c>
      <c r="X90" s="5" t="s">
        <v>304</v>
      </c>
      <c r="Y90" s="5" t="s">
        <v>300</v>
      </c>
      <c r="Z90" s="5">
        <v>0.12769066845637583</v>
      </c>
      <c r="AA90" s="5">
        <f t="shared" si="0"/>
        <v>2.835E-2</v>
      </c>
      <c r="AB90" s="5">
        <f t="shared" si="2"/>
        <v>0.15604066845637582</v>
      </c>
      <c r="AC90" s="5" t="s">
        <v>221</v>
      </c>
      <c r="AE90" s="74" t="s">
        <v>318</v>
      </c>
    </row>
    <row r="91" spans="21:32">
      <c r="U91" s="5" t="str">
        <f t="shared" si="1"/>
        <v>Cars_by_market_segmentSportsDiesel</v>
      </c>
      <c r="V91" s="5" t="s">
        <v>295</v>
      </c>
      <c r="W91" s="5" t="s">
        <v>310</v>
      </c>
      <c r="X91" s="5" t="s">
        <v>16</v>
      </c>
      <c r="Y91" s="5" t="s">
        <v>300</v>
      </c>
      <c r="Z91" s="5">
        <v>0.27268566308724829</v>
      </c>
      <c r="AA91" s="5">
        <f t="shared" si="0"/>
        <v>6.6549999999999998E-2</v>
      </c>
      <c r="AB91" s="5">
        <f t="shared" si="2"/>
        <v>0.33923566308724828</v>
      </c>
      <c r="AC91" s="5" t="s">
        <v>221</v>
      </c>
      <c r="AE91" s="74" t="s">
        <v>319</v>
      </c>
    </row>
    <row r="92" spans="21:32">
      <c r="U92" s="5" t="str">
        <f t="shared" si="1"/>
        <v>Cars_by_market_segmentSportsGasoline</v>
      </c>
      <c r="V92" s="5" t="s">
        <v>295</v>
      </c>
      <c r="W92" s="5" t="s">
        <v>310</v>
      </c>
      <c r="X92" s="5" t="s">
        <v>17</v>
      </c>
      <c r="Y92" s="5" t="s">
        <v>300</v>
      </c>
      <c r="Z92" s="5">
        <v>0.38165697181208053</v>
      </c>
      <c r="AA92" s="5">
        <f t="shared" si="0"/>
        <v>0.10611</v>
      </c>
      <c r="AB92" s="5">
        <f t="shared" si="2"/>
        <v>0.48776697181208051</v>
      </c>
      <c r="AC92" s="5" t="s">
        <v>221</v>
      </c>
      <c r="AE92" s="74" t="s">
        <v>320</v>
      </c>
    </row>
    <row r="93" spans="21:32">
      <c r="U93" s="5" t="str">
        <f t="shared" si="1"/>
        <v>Cars_by_market_segmentSportsUnknown</v>
      </c>
      <c r="V93" s="5" t="s">
        <v>295</v>
      </c>
      <c r="W93" s="5" t="s">
        <v>310</v>
      </c>
      <c r="X93" s="5" t="s">
        <v>302</v>
      </c>
      <c r="Y93" s="5" t="s">
        <v>300</v>
      </c>
      <c r="Z93" s="5">
        <v>0.3639841838926175</v>
      </c>
      <c r="AA93" s="5">
        <f t="shared" si="0"/>
        <v>9.9699999999999997E-2</v>
      </c>
      <c r="AB93" s="5">
        <f t="shared" si="2"/>
        <v>0.46368418389261751</v>
      </c>
      <c r="AC93" s="5" t="s">
        <v>221</v>
      </c>
      <c r="AE93" s="75" t="s">
        <v>321</v>
      </c>
    </row>
    <row r="94" spans="21:32">
      <c r="U94" s="5" t="str">
        <f t="shared" si="1"/>
        <v>Cars_by_market_segmentSportsPlug-in Hybrid Electric Vehicle</v>
      </c>
      <c r="V94" s="5" t="s">
        <v>295</v>
      </c>
      <c r="W94" s="5" t="s">
        <v>310</v>
      </c>
      <c r="X94" s="5" t="s">
        <v>303</v>
      </c>
      <c r="Y94" s="5" t="s">
        <v>300</v>
      </c>
      <c r="Z94" s="5">
        <v>0.16038918657718118</v>
      </c>
      <c r="AA94" s="5">
        <f t="shared" si="0"/>
        <v>4.2849999999999999E-2</v>
      </c>
      <c r="AB94" s="5">
        <f t="shared" si="2"/>
        <v>0.20323918657718118</v>
      </c>
      <c r="AC94" s="5" t="s">
        <v>221</v>
      </c>
    </row>
    <row r="95" spans="21:32" ht="14.25" customHeight="1">
      <c r="U95" s="5" t="str">
        <f t="shared" si="1"/>
        <v>Cars_by_market_segmentSportsBattery Electric Vehicle</v>
      </c>
      <c r="V95" s="5" t="s">
        <v>295</v>
      </c>
      <c r="W95" s="5" t="s">
        <v>310</v>
      </c>
      <c r="X95" s="5" t="s">
        <v>304</v>
      </c>
      <c r="Y95" s="5" t="s">
        <v>300</v>
      </c>
      <c r="Z95" s="5">
        <v>0.13433873154362416</v>
      </c>
      <c r="AA95" s="5">
        <f t="shared" si="0"/>
        <v>2.981E-2</v>
      </c>
      <c r="AB95" s="5">
        <f t="shared" si="2"/>
        <v>0.16414873154362417</v>
      </c>
      <c r="AC95" s="5" t="s">
        <v>221</v>
      </c>
      <c r="AE95" s="73" t="s">
        <v>301</v>
      </c>
    </row>
    <row r="96" spans="21:32">
      <c r="U96" s="5" t="str">
        <f t="shared" si="1"/>
        <v>Cars_by_market_segmentSuperminiDiesel</v>
      </c>
      <c r="V96" s="5" t="s">
        <v>295</v>
      </c>
      <c r="W96" s="5" t="s">
        <v>313</v>
      </c>
      <c r="X96" s="5" t="s">
        <v>16</v>
      </c>
      <c r="Y96" s="5" t="s">
        <v>300</v>
      </c>
      <c r="Z96" s="5">
        <v>0.21267566308724831</v>
      </c>
      <c r="AA96" s="5">
        <f t="shared" si="0"/>
        <v>5.1749999999999997E-2</v>
      </c>
      <c r="AB96" s="5">
        <f t="shared" si="2"/>
        <v>0.2644256630872483</v>
      </c>
      <c r="AC96" s="5" t="s">
        <v>221</v>
      </c>
      <c r="AE96" s="74" t="s">
        <v>322</v>
      </c>
    </row>
    <row r="97" spans="21:31">
      <c r="U97" s="5" t="str">
        <f t="shared" si="1"/>
        <v>Cars_by_market_segmentSuperminiGasoline</v>
      </c>
      <c r="V97" s="5" t="s">
        <v>295</v>
      </c>
      <c r="W97" s="5" t="s">
        <v>313</v>
      </c>
      <c r="X97" s="5" t="s">
        <v>17</v>
      </c>
      <c r="Y97" s="5" t="s">
        <v>300</v>
      </c>
      <c r="Z97" s="5">
        <v>0.22802697181208054</v>
      </c>
      <c r="AA97" s="5">
        <f t="shared" si="0"/>
        <v>6.3270000000000007E-2</v>
      </c>
      <c r="AB97" s="5">
        <f t="shared" si="2"/>
        <v>0.29129697181208053</v>
      </c>
      <c r="AC97" s="5" t="s">
        <v>221</v>
      </c>
      <c r="AE97" s="75" t="s">
        <v>323</v>
      </c>
    </row>
    <row r="98" spans="21:31">
      <c r="U98" s="5" t="str">
        <f t="shared" si="1"/>
        <v>Cars_by_market_segmentSuperminiUnknown</v>
      </c>
      <c r="V98" s="5" t="s">
        <v>295</v>
      </c>
      <c r="W98" s="5" t="s">
        <v>313</v>
      </c>
      <c r="X98" s="5" t="s">
        <v>302</v>
      </c>
      <c r="Y98" s="5" t="s">
        <v>300</v>
      </c>
      <c r="Z98" s="5">
        <v>0.22609639865771811</v>
      </c>
      <c r="AA98" s="5">
        <f t="shared" si="0"/>
        <v>6.1800000000000001E-2</v>
      </c>
      <c r="AB98" s="5">
        <f t="shared" si="2"/>
        <v>0.2878963986577181</v>
      </c>
      <c r="AC98" s="5" t="s">
        <v>221</v>
      </c>
    </row>
    <row r="99" spans="21:31">
      <c r="U99" s="5" t="str">
        <f t="shared" si="1"/>
        <v>Cars_by_market_segmentSuperminiPlug-in Hybrid Electric Vehicle</v>
      </c>
      <c r="V99" s="5" t="s">
        <v>295</v>
      </c>
      <c r="W99" s="5" t="s">
        <v>313</v>
      </c>
      <c r="X99" s="5" t="s">
        <v>303</v>
      </c>
      <c r="Y99" s="5" t="s">
        <v>300</v>
      </c>
      <c r="Z99" s="5">
        <v>8.6938567785234899E-2</v>
      </c>
      <c r="AA99" s="5">
        <f t="shared" si="0"/>
        <v>2.1190000000000001E-2</v>
      </c>
      <c r="AB99" s="5">
        <f t="shared" si="2"/>
        <v>0.1081285677852349</v>
      </c>
      <c r="AC99" s="5" t="s">
        <v>221</v>
      </c>
    </row>
    <row r="100" spans="21:31" ht="14.25" customHeight="1">
      <c r="U100" s="5" t="str">
        <f t="shared" si="1"/>
        <v>Cars_by_market_segmentSuperminiBattery Electric Vehicle</v>
      </c>
      <c r="V100" s="5" t="s">
        <v>295</v>
      </c>
      <c r="W100" s="5" t="s">
        <v>313</v>
      </c>
      <c r="X100" s="5" t="s">
        <v>304</v>
      </c>
      <c r="Y100" s="5" t="s">
        <v>300</v>
      </c>
      <c r="Z100" s="5">
        <v>7.8960445637583893E-2</v>
      </c>
      <c r="AA100" s="5">
        <f t="shared" si="0"/>
        <v>1.7509999999999998E-2</v>
      </c>
      <c r="AB100" s="5">
        <f t="shared" si="2"/>
        <v>9.647044563758389E-2</v>
      </c>
      <c r="AC100" s="5" t="s">
        <v>221</v>
      </c>
    </row>
    <row r="101" spans="21:31">
      <c r="U101" s="5" t="str">
        <f t="shared" si="1"/>
        <v>Cars_by_market_segmentUpper mediumDiesel</v>
      </c>
      <c r="V101" s="5" t="s">
        <v>295</v>
      </c>
      <c r="W101" s="5" t="s">
        <v>312</v>
      </c>
      <c r="X101" s="5" t="s">
        <v>16</v>
      </c>
      <c r="Y101" s="5" t="s">
        <v>300</v>
      </c>
      <c r="Z101" s="5">
        <v>0.25829566308724827</v>
      </c>
      <c r="AA101" s="5">
        <f t="shared" si="0"/>
        <v>6.3E-2</v>
      </c>
      <c r="AB101" s="5">
        <f t="shared" si="2"/>
        <v>0.32129566308724827</v>
      </c>
      <c r="AC101" s="5" t="s">
        <v>221</v>
      </c>
    </row>
    <row r="102" spans="21:31" ht="48" customHeight="1">
      <c r="U102" s="5" t="str">
        <f t="shared" si="1"/>
        <v>Cars_by_market_segmentUpper mediumGasoline</v>
      </c>
      <c r="V102" s="5" t="s">
        <v>295</v>
      </c>
      <c r="W102" s="5" t="s">
        <v>312</v>
      </c>
      <c r="X102" s="5" t="s">
        <v>17</v>
      </c>
      <c r="Y102" s="5" t="s">
        <v>300</v>
      </c>
      <c r="Z102" s="5">
        <v>0.30916697181208053</v>
      </c>
      <c r="AA102" s="5">
        <f t="shared" si="0"/>
        <v>8.5900000000000004E-2</v>
      </c>
      <c r="AB102" s="5">
        <f t="shared" si="2"/>
        <v>0.3950669718120805</v>
      </c>
      <c r="AC102" s="5" t="s">
        <v>221</v>
      </c>
    </row>
    <row r="103" spans="21:31">
      <c r="U103" s="5" t="str">
        <f t="shared" si="1"/>
        <v>Cars_by_market_segmentUpper mediumUnknown</v>
      </c>
      <c r="V103" s="5" t="s">
        <v>295</v>
      </c>
      <c r="W103" s="5" t="s">
        <v>312</v>
      </c>
      <c r="X103" s="5" t="s">
        <v>302</v>
      </c>
      <c r="Y103" s="5" t="s">
        <v>300</v>
      </c>
      <c r="Z103" s="5">
        <v>0.27025635436241607</v>
      </c>
      <c r="AA103" s="5">
        <f t="shared" si="0"/>
        <v>6.837E-2</v>
      </c>
      <c r="AB103" s="5">
        <f t="shared" si="2"/>
        <v>0.33862635436241606</v>
      </c>
      <c r="AC103" s="5" t="s">
        <v>221</v>
      </c>
    </row>
    <row r="104" spans="21:31" ht="39.75" customHeight="1">
      <c r="U104" s="5" t="str">
        <f t="shared" si="1"/>
        <v>Cars_by_market_segmentUpper mediumPlug-in Hybrid Electric Vehicle</v>
      </c>
      <c r="V104" s="5" t="s">
        <v>295</v>
      </c>
      <c r="W104" s="5" t="s">
        <v>312</v>
      </c>
      <c r="X104" s="5" t="s">
        <v>303</v>
      </c>
      <c r="Y104" s="5" t="s">
        <v>300</v>
      </c>
      <c r="Z104" s="5">
        <v>0.13980355704697986</v>
      </c>
      <c r="AA104" s="5">
        <f t="shared" si="0"/>
        <v>3.6490000000000002E-2</v>
      </c>
      <c r="AB104" s="5">
        <f t="shared" si="2"/>
        <v>0.17629355704697985</v>
      </c>
      <c r="AC104" s="5" t="s">
        <v>221</v>
      </c>
    </row>
    <row r="105" spans="21:31">
      <c r="U105" s="5" t="str">
        <f t="shared" si="1"/>
        <v>Cars_by_market_segmentUpper mediumBattery Electric Vehicle</v>
      </c>
      <c r="V105" s="5" t="s">
        <v>295</v>
      </c>
      <c r="W105" s="5" t="s">
        <v>312</v>
      </c>
      <c r="X105" s="5" t="s">
        <v>304</v>
      </c>
      <c r="Y105" s="5" t="s">
        <v>300</v>
      </c>
      <c r="Z105" s="5">
        <v>8.8123304697986585E-2</v>
      </c>
      <c r="AA105" s="5">
        <f t="shared" si="0"/>
        <v>1.9599999999999999E-2</v>
      </c>
      <c r="AB105" s="5">
        <f t="shared" si="2"/>
        <v>0.10772330469798658</v>
      </c>
      <c r="AC105" s="5" t="s">
        <v>221</v>
      </c>
    </row>
    <row r="106" spans="21:31" ht="39.75" customHeight="1">
      <c r="U106" s="5" t="str">
        <f t="shared" si="1"/>
        <v>MotorbikeAverage</v>
      </c>
      <c r="V106" s="5" t="s">
        <v>36</v>
      </c>
      <c r="W106" s="5" t="s">
        <v>315</v>
      </c>
      <c r="X106" s="5"/>
      <c r="Y106" s="5" t="s">
        <v>300</v>
      </c>
      <c r="Z106" s="5">
        <v>0.18293959865771811</v>
      </c>
      <c r="AA106" s="5">
        <f t="shared" si="0"/>
        <v>4.7566948355194191E-2</v>
      </c>
      <c r="AB106" s="5">
        <f t="shared" si="2"/>
        <v>0.23050654701291229</v>
      </c>
      <c r="AC106" s="5" t="s">
        <v>221</v>
      </c>
    </row>
    <row r="107" spans="21:31">
      <c r="U107" s="5" t="str">
        <f t="shared" si="1"/>
        <v>MotorbikeLarge</v>
      </c>
      <c r="V107" s="5" t="s">
        <v>36</v>
      </c>
      <c r="W107" s="5" t="s">
        <v>316</v>
      </c>
      <c r="X107" s="5"/>
      <c r="Y107" s="5" t="s">
        <v>300</v>
      </c>
      <c r="Z107" s="5">
        <v>0.21326209127516779</v>
      </c>
      <c r="AA107" s="5">
        <f t="shared" si="0"/>
        <v>5.5829618741700261E-2</v>
      </c>
      <c r="AB107" s="5">
        <f t="shared" si="2"/>
        <v>0.26909171001686805</v>
      </c>
      <c r="AC107" s="5" t="s">
        <v>221</v>
      </c>
    </row>
    <row r="108" spans="21:31">
      <c r="U108" s="5" t="str">
        <f t="shared" si="1"/>
        <v>MotorbikeMedium</v>
      </c>
      <c r="V108" s="5" t="s">
        <v>36</v>
      </c>
      <c r="W108" s="5" t="s">
        <v>39</v>
      </c>
      <c r="X108" s="5"/>
      <c r="Y108" s="5" t="s">
        <v>300</v>
      </c>
      <c r="Z108" s="5">
        <v>0.16265729127516779</v>
      </c>
      <c r="AA108" s="5">
        <f t="shared" si="0"/>
        <v>4.1964178709549667E-2</v>
      </c>
      <c r="AB108" s="5">
        <f t="shared" si="2"/>
        <v>0.20462146998471745</v>
      </c>
      <c r="AC108" s="5" t="s">
        <v>221</v>
      </c>
    </row>
    <row r="109" spans="21:31">
      <c r="U109" s="5" t="str">
        <f t="shared" si="1"/>
        <v>MotorbikeSmall</v>
      </c>
      <c r="V109" s="5" t="s">
        <v>36</v>
      </c>
      <c r="W109" s="5" t="s">
        <v>317</v>
      </c>
      <c r="X109" s="5"/>
      <c r="Y109" s="5" t="s">
        <v>300</v>
      </c>
      <c r="Z109" s="5">
        <v>0.1338927355704698</v>
      </c>
      <c r="AA109" s="5">
        <f t="shared" si="0"/>
        <v>3.4569277359069346E-2</v>
      </c>
      <c r="AB109" s="5">
        <f t="shared" si="2"/>
        <v>0.16846201292953913</v>
      </c>
      <c r="AC109" s="5" t="s">
        <v>221</v>
      </c>
    </row>
    <row r="110" spans="21:31">
      <c r="U110" s="5" t="str">
        <f t="shared" si="1"/>
        <v>RailInternational rail</v>
      </c>
      <c r="V110" s="5" t="s">
        <v>298</v>
      </c>
      <c r="W110" s="5" t="s">
        <v>318</v>
      </c>
      <c r="X110" s="5"/>
      <c r="Y110" s="5" t="s">
        <v>293</v>
      </c>
      <c r="Z110" s="5">
        <v>7.176190213049616E-3</v>
      </c>
      <c r="AA110" s="5">
        <f t="shared" si="0"/>
        <v>1.8765026418669092E-3</v>
      </c>
      <c r="AB110" s="5">
        <f t="shared" si="2"/>
        <v>9.0526928549165258E-3</v>
      </c>
      <c r="AC110" s="5" t="s">
        <v>221</v>
      </c>
    </row>
    <row r="111" spans="21:31">
      <c r="U111" s="5" t="str">
        <f t="shared" si="1"/>
        <v>RailLight rail and tram</v>
      </c>
      <c r="V111" s="5" t="s">
        <v>298</v>
      </c>
      <c r="W111" s="5" t="s">
        <v>319</v>
      </c>
      <c r="X111" s="5"/>
      <c r="Y111" s="5" t="s">
        <v>293</v>
      </c>
      <c r="Z111" s="5">
        <v>4.6032496476210882E-2</v>
      </c>
      <c r="AA111" s="5">
        <f t="shared" si="0"/>
        <v>1.2051676449921098E-2</v>
      </c>
      <c r="AB111" s="5">
        <f t="shared" si="2"/>
        <v>5.808417292613198E-2</v>
      </c>
      <c r="AC111" s="5" t="s">
        <v>221</v>
      </c>
    </row>
    <row r="112" spans="21:31">
      <c r="U112" s="5" t="str">
        <f t="shared" si="1"/>
        <v>RailLondon Underground</v>
      </c>
      <c r="V112" s="5" t="s">
        <v>298</v>
      </c>
      <c r="W112" s="5" t="s">
        <v>320</v>
      </c>
      <c r="X112" s="5"/>
      <c r="Y112" s="5" t="s">
        <v>293</v>
      </c>
      <c r="Z112" s="5">
        <v>4.4743090058768191E-2</v>
      </c>
      <c r="AA112" s="5">
        <f t="shared" si="0"/>
        <v>1.1711964764755537E-2</v>
      </c>
      <c r="AB112" s="5">
        <f t="shared" si="2"/>
        <v>5.6455054823523726E-2</v>
      </c>
      <c r="AC112" s="5" t="s">
        <v>221</v>
      </c>
    </row>
    <row r="113" spans="20:29">
      <c r="U113" s="5" t="str">
        <f t="shared" si="1"/>
        <v>RailNational rail</v>
      </c>
      <c r="V113" s="5" t="s">
        <v>298</v>
      </c>
      <c r="W113" s="5" t="s">
        <v>321</v>
      </c>
      <c r="X113" s="5"/>
      <c r="Y113" s="5" t="s">
        <v>293</v>
      </c>
      <c r="Z113" s="5">
        <v>5.7072108152277326E-2</v>
      </c>
      <c r="AA113" s="5">
        <f t="shared" si="0"/>
        <v>1.4429658246080028E-2</v>
      </c>
      <c r="AB113" s="5">
        <f t="shared" si="2"/>
        <v>7.1501766398357355E-2</v>
      </c>
      <c r="AC113" s="5" t="s">
        <v>221</v>
      </c>
    </row>
    <row r="114" spans="20:29">
      <c r="U114" s="5" t="str">
        <f t="shared" si="1"/>
        <v>TaxisBlack cab</v>
      </c>
      <c r="V114" s="5" t="s">
        <v>301</v>
      </c>
      <c r="W114" s="5" t="s">
        <v>322</v>
      </c>
      <c r="X114" s="5"/>
      <c r="Y114" s="5" t="s">
        <v>293</v>
      </c>
      <c r="Z114" s="5">
        <v>0.32834587709354224</v>
      </c>
      <c r="AA114" s="5">
        <f t="shared" si="0"/>
        <v>8.1909209811889788E-2</v>
      </c>
      <c r="AB114" s="5">
        <f t="shared" si="2"/>
        <v>0.410255086905432</v>
      </c>
      <c r="AC114" s="5" t="s">
        <v>221</v>
      </c>
    </row>
    <row r="115" spans="20:29">
      <c r="U115" s="5" t="str">
        <f t="shared" si="1"/>
        <v>TaxisRegular taxi</v>
      </c>
      <c r="V115" s="5" t="s">
        <v>301</v>
      </c>
      <c r="W115" s="5" t="s">
        <v>323</v>
      </c>
      <c r="X115" s="5"/>
      <c r="Y115" s="5" t="s">
        <v>293</v>
      </c>
      <c r="Z115" s="5">
        <v>0.23917254023034931</v>
      </c>
      <c r="AA115" s="5">
        <f t="shared" si="0"/>
        <v>5.9498850007356739E-2</v>
      </c>
      <c r="AB115" s="5">
        <f t="shared" si="2"/>
        <v>0.29867139023770606</v>
      </c>
      <c r="AC115" s="5" t="s">
        <v>221</v>
      </c>
    </row>
    <row r="118" spans="20:29" ht="18">
      <c r="T118" s="1336" t="s">
        <v>324</v>
      </c>
      <c r="U118" s="1337"/>
      <c r="V118" s="1337"/>
      <c r="W118" s="1337"/>
      <c r="X118" s="1337"/>
      <c r="Y118" s="1337"/>
      <c r="Z118" s="1337"/>
      <c r="AA118" s="1337"/>
      <c r="AB118" s="1337"/>
      <c r="AC118" s="1338"/>
    </row>
    <row r="119" spans="20:29">
      <c r="T119" t="str">
        <f>_xlfn.CONCAT(V119,W119,X119)</f>
        <v>busAverage local bus</v>
      </c>
      <c r="U119" t="s">
        <v>325</v>
      </c>
      <c r="V119" t="str">
        <f>RIGHT(U119,LEN(U119)-5)</f>
        <v>bus</v>
      </c>
      <c r="W119" t="s">
        <v>292</v>
      </c>
      <c r="Y119" t="s">
        <v>293</v>
      </c>
      <c r="Z119">
        <v>4.0120946064461087E-2</v>
      </c>
      <c r="AC119" s="78" t="s">
        <v>221</v>
      </c>
    </row>
    <row r="120" spans="20:29">
      <c r="T120" t="str">
        <f t="shared" ref="T120:T177" si="3">_xlfn.CONCAT(V120,W120,X120)</f>
        <v>busCoach</v>
      </c>
      <c r="U120" t="s">
        <v>325</v>
      </c>
      <c r="V120" t="str">
        <f t="shared" ref="V120:V122" si="4">RIGHT(U120,LEN(U120)-5)</f>
        <v>bus</v>
      </c>
      <c r="W120" t="s">
        <v>294</v>
      </c>
      <c r="Y120" t="s">
        <v>293</v>
      </c>
      <c r="Z120">
        <v>1.0557296678013025E-2</v>
      </c>
      <c r="AC120" s="5" t="s">
        <v>221</v>
      </c>
    </row>
    <row r="121" spans="20:29">
      <c r="T121" t="str">
        <f t="shared" si="3"/>
        <v>busLocal bus (not London)</v>
      </c>
      <c r="U121" t="s">
        <v>325</v>
      </c>
      <c r="V121" t="str">
        <f t="shared" si="4"/>
        <v>bus</v>
      </c>
      <c r="W121" t="s">
        <v>296</v>
      </c>
      <c r="Y121" t="s">
        <v>293</v>
      </c>
      <c r="Z121">
        <v>4.6461761447292083E-2</v>
      </c>
      <c r="AC121" s="5" t="s">
        <v>221</v>
      </c>
    </row>
    <row r="122" spans="20:29">
      <c r="T122" t="str">
        <f t="shared" si="3"/>
        <v>busLocal London bus</v>
      </c>
      <c r="U122" t="s">
        <v>325</v>
      </c>
      <c r="V122" t="str">
        <f t="shared" si="4"/>
        <v>bus</v>
      </c>
      <c r="W122" t="s">
        <v>297</v>
      </c>
      <c r="Y122" t="s">
        <v>293</v>
      </c>
      <c r="Z122">
        <v>3.0835031151025847E-2</v>
      </c>
      <c r="AC122" s="5" t="s">
        <v>221</v>
      </c>
    </row>
    <row r="123" spans="20:29">
      <c r="T123" t="str">
        <f t="shared" si="3"/>
        <v>cars_by_market_segmentDual purpose 4X4Diesel</v>
      </c>
      <c r="U123" t="s">
        <v>326</v>
      </c>
      <c r="V123" t="s">
        <v>327</v>
      </c>
      <c r="W123" t="s">
        <v>299</v>
      </c>
      <c r="X123" t="s">
        <v>16</v>
      </c>
      <c r="Y123" t="s">
        <v>300</v>
      </c>
      <c r="Z123">
        <v>7.9439999999999997E-2</v>
      </c>
      <c r="AC123" s="5" t="s">
        <v>221</v>
      </c>
    </row>
    <row r="124" spans="20:29">
      <c r="T124" t="str">
        <f t="shared" si="3"/>
        <v>cars_by_market_segmentDual purpose 4X4Gasoline</v>
      </c>
      <c r="U124" t="s">
        <v>326</v>
      </c>
      <c r="V124" t="s">
        <v>327</v>
      </c>
      <c r="W124" t="s">
        <v>299</v>
      </c>
      <c r="X124" t="s">
        <v>17</v>
      </c>
      <c r="Y124" t="s">
        <v>300</v>
      </c>
      <c r="Z124">
        <v>9.1259999999999994E-2</v>
      </c>
      <c r="AC124" s="5" t="s">
        <v>221</v>
      </c>
    </row>
    <row r="125" spans="20:29">
      <c r="T125" t="str">
        <f t="shared" si="3"/>
        <v>cars_by_market_segmentDual purpose 4X4Unknown</v>
      </c>
      <c r="U125" t="s">
        <v>326</v>
      </c>
      <c r="V125" t="s">
        <v>327</v>
      </c>
      <c r="W125" t="s">
        <v>299</v>
      </c>
      <c r="X125" t="s">
        <v>302</v>
      </c>
      <c r="Y125" t="s">
        <v>300</v>
      </c>
      <c r="Z125">
        <v>8.3320000000000005E-2</v>
      </c>
      <c r="AC125" s="5" t="s">
        <v>221</v>
      </c>
    </row>
    <row r="126" spans="20:29">
      <c r="T126" t="str">
        <f t="shared" si="3"/>
        <v>cars_by_market_segmentDual purpose 4X4Plug-in Hybrid Electric Vehicle</v>
      </c>
      <c r="U126" t="s">
        <v>326</v>
      </c>
      <c r="V126" t="s">
        <v>327</v>
      </c>
      <c r="W126" t="s">
        <v>299</v>
      </c>
      <c r="X126" t="s">
        <v>303</v>
      </c>
      <c r="Y126" t="s">
        <v>300</v>
      </c>
      <c r="Z126">
        <v>4.3059999999999994E-2</v>
      </c>
      <c r="AC126" s="5" t="s">
        <v>221</v>
      </c>
    </row>
    <row r="127" spans="20:29">
      <c r="T127" t="str">
        <f t="shared" si="3"/>
        <v>cars_by_market_segmentDual purpose 4X4Battery Electric Vehicle</v>
      </c>
      <c r="U127" t="s">
        <v>326</v>
      </c>
      <c r="V127" t="s">
        <v>327</v>
      </c>
      <c r="W127" t="s">
        <v>299</v>
      </c>
      <c r="X127" t="s">
        <v>304</v>
      </c>
      <c r="Y127" t="s">
        <v>300</v>
      </c>
      <c r="Z127">
        <v>2.1749999999999999E-2</v>
      </c>
      <c r="AC127" s="5" t="s">
        <v>221</v>
      </c>
    </row>
    <row r="128" spans="20:29">
      <c r="T128" t="str">
        <f t="shared" si="3"/>
        <v>cars_by_market_segmentExecutiveDiesel</v>
      </c>
      <c r="U128" t="s">
        <v>326</v>
      </c>
      <c r="V128" t="s">
        <v>327</v>
      </c>
      <c r="W128" t="s">
        <v>305</v>
      </c>
      <c r="X128" t="s">
        <v>16</v>
      </c>
      <c r="Y128" t="s">
        <v>300</v>
      </c>
      <c r="Z128">
        <v>6.8000000000000005E-2</v>
      </c>
      <c r="AC128" s="5" t="s">
        <v>221</v>
      </c>
    </row>
    <row r="129" spans="20:29">
      <c r="T129" t="str">
        <f t="shared" si="3"/>
        <v>cars_by_market_segmentExecutiveGasoline</v>
      </c>
      <c r="U129" t="s">
        <v>326</v>
      </c>
      <c r="V129" t="s">
        <v>327</v>
      </c>
      <c r="W129" t="s">
        <v>305</v>
      </c>
      <c r="X129" t="s">
        <v>17</v>
      </c>
      <c r="Y129" t="s">
        <v>300</v>
      </c>
      <c r="Z129">
        <v>9.4969999999999999E-2</v>
      </c>
      <c r="AC129" s="5" t="s">
        <v>221</v>
      </c>
    </row>
    <row r="130" spans="20:29">
      <c r="T130" t="str">
        <f t="shared" si="3"/>
        <v>cars_by_market_segmentExecutiveUnknown</v>
      </c>
      <c r="U130" t="s">
        <v>326</v>
      </c>
      <c r="V130" t="s">
        <v>327</v>
      </c>
      <c r="W130" t="s">
        <v>305</v>
      </c>
      <c r="X130" t="s">
        <v>302</v>
      </c>
      <c r="Y130" t="s">
        <v>300</v>
      </c>
      <c r="Z130">
        <v>7.4550000000000005E-2</v>
      </c>
      <c r="AC130" s="5" t="s">
        <v>221</v>
      </c>
    </row>
    <row r="131" spans="20:29">
      <c r="T131" t="str">
        <f t="shared" si="3"/>
        <v>cars_by_market_segmentExecutivePlug-in Hybrid Electric Vehicle</v>
      </c>
      <c r="U131" t="s">
        <v>326</v>
      </c>
      <c r="V131" t="s">
        <v>327</v>
      </c>
      <c r="W131" t="s">
        <v>305</v>
      </c>
      <c r="X131" t="s">
        <v>303</v>
      </c>
      <c r="Y131" t="s">
        <v>300</v>
      </c>
      <c r="Z131">
        <v>3.7180000000000005E-2</v>
      </c>
      <c r="AC131" s="5" t="s">
        <v>221</v>
      </c>
    </row>
    <row r="132" spans="20:29">
      <c r="T132" t="str">
        <f t="shared" si="3"/>
        <v>cars_by_market_segmentExecutiveBattery Electric Vehicle</v>
      </c>
      <c r="U132" t="s">
        <v>326</v>
      </c>
      <c r="V132" t="s">
        <v>327</v>
      </c>
      <c r="W132" t="s">
        <v>305</v>
      </c>
      <c r="X132" t="s">
        <v>304</v>
      </c>
      <c r="Y132" t="s">
        <v>300</v>
      </c>
      <c r="Z132">
        <v>1.7860000000000001E-2</v>
      </c>
      <c r="AC132" s="5" t="s">
        <v>221</v>
      </c>
    </row>
    <row r="133" spans="20:29">
      <c r="T133" t="str">
        <f t="shared" si="3"/>
        <v>cars_by_market_segmentLower mediumDiesel</v>
      </c>
      <c r="U133" t="s">
        <v>326</v>
      </c>
      <c r="V133" t="s">
        <v>327</v>
      </c>
      <c r="W133" t="s">
        <v>307</v>
      </c>
      <c r="X133" t="s">
        <v>16</v>
      </c>
      <c r="Y133" t="s">
        <v>300</v>
      </c>
      <c r="Z133">
        <v>5.6239999999999998E-2</v>
      </c>
      <c r="AC133" s="5" t="s">
        <v>221</v>
      </c>
    </row>
    <row r="134" spans="20:29">
      <c r="T134" t="str">
        <f t="shared" si="3"/>
        <v>cars_by_market_segmentLower mediumGasoline</v>
      </c>
      <c r="U134" t="s">
        <v>326</v>
      </c>
      <c r="V134" t="s">
        <v>327</v>
      </c>
      <c r="W134" t="s">
        <v>307</v>
      </c>
      <c r="X134" t="s">
        <v>17</v>
      </c>
      <c r="Y134" t="s">
        <v>300</v>
      </c>
      <c r="Z134">
        <v>7.3609999999999995E-2</v>
      </c>
      <c r="AC134" s="5" t="s">
        <v>221</v>
      </c>
    </row>
    <row r="135" spans="20:29">
      <c r="T135" t="str">
        <f t="shared" si="3"/>
        <v>cars_by_market_segmentLower mediumUnknown</v>
      </c>
      <c r="U135" t="s">
        <v>326</v>
      </c>
      <c r="V135" t="s">
        <v>327</v>
      </c>
      <c r="W135" t="s">
        <v>307</v>
      </c>
      <c r="X135" t="s">
        <v>302</v>
      </c>
      <c r="Y135" t="s">
        <v>300</v>
      </c>
      <c r="Z135">
        <v>6.5790000000000001E-2</v>
      </c>
      <c r="AC135" s="5" t="s">
        <v>221</v>
      </c>
    </row>
    <row r="136" spans="20:29">
      <c r="T136" t="str">
        <f t="shared" si="3"/>
        <v>cars_by_market_segmentLower mediumPlug-in Hybrid Electric Vehicle</v>
      </c>
      <c r="U136" t="s">
        <v>326</v>
      </c>
      <c r="V136" t="s">
        <v>327</v>
      </c>
      <c r="W136" t="s">
        <v>307</v>
      </c>
      <c r="X136" t="s">
        <v>303</v>
      </c>
      <c r="Y136" t="s">
        <v>300</v>
      </c>
      <c r="Z136">
        <v>3.4960000000000005E-2</v>
      </c>
      <c r="AC136" s="5" t="s">
        <v>221</v>
      </c>
    </row>
    <row r="137" spans="20:29">
      <c r="T137" t="str">
        <f t="shared" si="3"/>
        <v>cars_by_market_segmentLower mediumBattery Electric Vehicle</v>
      </c>
      <c r="U137" t="s">
        <v>326</v>
      </c>
      <c r="V137" t="s">
        <v>327</v>
      </c>
      <c r="W137" t="s">
        <v>307</v>
      </c>
      <c r="X137" t="s">
        <v>304</v>
      </c>
      <c r="Y137" t="s">
        <v>300</v>
      </c>
      <c r="Z137">
        <v>1.8750000000000003E-2</v>
      </c>
      <c r="AC137" s="5" t="s">
        <v>221</v>
      </c>
    </row>
    <row r="138" spans="20:29">
      <c r="T138" t="str">
        <f t="shared" si="3"/>
        <v>cars_by_market_segmentLuxuryDiesel</v>
      </c>
      <c r="U138" t="s">
        <v>326</v>
      </c>
      <c r="V138" t="s">
        <v>327</v>
      </c>
      <c r="W138" t="s">
        <v>308</v>
      </c>
      <c r="X138" t="s">
        <v>16</v>
      </c>
      <c r="Y138" t="s">
        <v>300</v>
      </c>
      <c r="Z138">
        <v>8.3110000000000003E-2</v>
      </c>
      <c r="AC138" s="5" t="s">
        <v>221</v>
      </c>
    </row>
    <row r="139" spans="20:29">
      <c r="T139" t="str">
        <f t="shared" si="3"/>
        <v>cars_by_market_segmentLuxuryGasoline</v>
      </c>
      <c r="U139" t="s">
        <v>326</v>
      </c>
      <c r="V139" t="s">
        <v>327</v>
      </c>
      <c r="W139" t="s">
        <v>308</v>
      </c>
      <c r="X139" t="s">
        <v>17</v>
      </c>
      <c r="Y139" t="s">
        <v>300</v>
      </c>
      <c r="Z139">
        <v>0.14243</v>
      </c>
      <c r="AC139" s="5" t="s">
        <v>221</v>
      </c>
    </row>
    <row r="140" spans="20:29">
      <c r="T140" t="str">
        <f t="shared" si="3"/>
        <v>cars_by_market_segmentLuxuryUnknown</v>
      </c>
      <c r="U140" t="s">
        <v>326</v>
      </c>
      <c r="V140" t="s">
        <v>327</v>
      </c>
      <c r="W140" t="s">
        <v>308</v>
      </c>
      <c r="X140" t="s">
        <v>302</v>
      </c>
      <c r="Y140" t="s">
        <v>300</v>
      </c>
      <c r="Z140">
        <v>0.11013000000000001</v>
      </c>
      <c r="AC140" s="5" t="s">
        <v>221</v>
      </c>
    </row>
    <row r="141" spans="20:29">
      <c r="T141" t="str">
        <f t="shared" si="3"/>
        <v>cars_by_market_segmentLuxuryPlug-in Hybrid Electric Vehicle</v>
      </c>
      <c r="U141" t="s">
        <v>326</v>
      </c>
      <c r="V141" t="s">
        <v>327</v>
      </c>
      <c r="W141" t="s">
        <v>308</v>
      </c>
      <c r="X141" t="s">
        <v>303</v>
      </c>
      <c r="Y141" t="s">
        <v>300</v>
      </c>
      <c r="Z141">
        <v>4.9110000000000001E-2</v>
      </c>
      <c r="AC141" s="5" t="s">
        <v>221</v>
      </c>
    </row>
    <row r="142" spans="20:29">
      <c r="T142" t="str">
        <f t="shared" si="3"/>
        <v>cars_by_market_segmentLuxuryBattery Electric Vehicle</v>
      </c>
      <c r="U142" t="s">
        <v>326</v>
      </c>
      <c r="V142" t="s">
        <v>327</v>
      </c>
      <c r="W142" t="s">
        <v>308</v>
      </c>
      <c r="X142" t="s">
        <v>304</v>
      </c>
      <c r="Y142" t="s">
        <v>300</v>
      </c>
      <c r="Z142">
        <v>2.0830000000000001E-2</v>
      </c>
      <c r="AC142" s="5" t="s">
        <v>221</v>
      </c>
    </row>
    <row r="143" spans="20:29">
      <c r="T143" t="str">
        <f t="shared" si="3"/>
        <v>cars_by_market_segmentMiniDiesel</v>
      </c>
      <c r="U143" t="s">
        <v>326</v>
      </c>
      <c r="V143" t="s">
        <v>327</v>
      </c>
      <c r="W143" t="s">
        <v>314</v>
      </c>
      <c r="X143" t="s">
        <v>16</v>
      </c>
      <c r="Y143" t="s">
        <v>300</v>
      </c>
      <c r="Z143">
        <v>4.2079999999999999E-2</v>
      </c>
      <c r="AC143" s="5" t="s">
        <v>221</v>
      </c>
    </row>
    <row r="144" spans="20:29">
      <c r="T144" t="str">
        <f t="shared" si="3"/>
        <v>cars_by_market_segmentMiniGasoline</v>
      </c>
      <c r="U144" t="s">
        <v>326</v>
      </c>
      <c r="V144" t="s">
        <v>327</v>
      </c>
      <c r="W144" t="s">
        <v>314</v>
      </c>
      <c r="X144" t="s">
        <v>17</v>
      </c>
      <c r="Y144" t="s">
        <v>300</v>
      </c>
      <c r="Z144">
        <v>5.8160000000000003E-2</v>
      </c>
      <c r="AC144" s="5" t="s">
        <v>221</v>
      </c>
    </row>
    <row r="145" spans="20:29">
      <c r="T145" t="str">
        <f t="shared" si="3"/>
        <v>cars_by_market_segmentMiniUnknown</v>
      </c>
      <c r="U145" t="s">
        <v>326</v>
      </c>
      <c r="V145" t="s">
        <v>327</v>
      </c>
      <c r="W145" t="s">
        <v>314</v>
      </c>
      <c r="X145" t="s">
        <v>302</v>
      </c>
      <c r="Y145" t="s">
        <v>300</v>
      </c>
      <c r="Z145">
        <v>5.8020000000000002E-2</v>
      </c>
      <c r="AC145" s="5" t="s">
        <v>221</v>
      </c>
    </row>
    <row r="146" spans="20:29">
      <c r="T146" t="str">
        <f t="shared" si="3"/>
        <v>cars_by_market_segmentMiniPlug-in Hybrid Electric Vehicle</v>
      </c>
      <c r="U146" t="s">
        <v>326</v>
      </c>
      <c r="V146" t="s">
        <v>327</v>
      </c>
      <c r="W146" t="s">
        <v>314</v>
      </c>
      <c r="X146" t="s">
        <v>303</v>
      </c>
      <c r="Y146" t="s">
        <v>300</v>
      </c>
      <c r="AC146" s="5" t="s">
        <v>221</v>
      </c>
    </row>
    <row r="147" spans="20:29">
      <c r="T147" t="str">
        <f t="shared" si="3"/>
        <v>cars_by_market_segmentMiniBattery Electric Vehicle</v>
      </c>
      <c r="U147" t="s">
        <v>326</v>
      </c>
      <c r="V147" t="s">
        <v>327</v>
      </c>
      <c r="W147" t="s">
        <v>314</v>
      </c>
      <c r="X147" t="s">
        <v>304</v>
      </c>
      <c r="Y147" t="s">
        <v>300</v>
      </c>
      <c r="Z147">
        <v>1.5820000000000001E-2</v>
      </c>
      <c r="AC147" s="5" t="s">
        <v>221</v>
      </c>
    </row>
    <row r="148" spans="20:29">
      <c r="T148" t="str">
        <f t="shared" si="3"/>
        <v>cars_by_market_segmentMPVDiesel</v>
      </c>
      <c r="U148" t="s">
        <v>326</v>
      </c>
      <c r="V148" t="s">
        <v>327</v>
      </c>
      <c r="W148" t="s">
        <v>311</v>
      </c>
      <c r="X148" t="s">
        <v>16</v>
      </c>
      <c r="Y148" t="s">
        <v>300</v>
      </c>
      <c r="Z148">
        <v>6.9389999999999993E-2</v>
      </c>
      <c r="AC148" s="5" t="s">
        <v>221</v>
      </c>
    </row>
    <row r="149" spans="20:29">
      <c r="T149" t="str">
        <f t="shared" si="3"/>
        <v>cars_by_market_segmentMPVGasoline</v>
      </c>
      <c r="U149" t="s">
        <v>326</v>
      </c>
      <c r="V149" t="s">
        <v>327</v>
      </c>
      <c r="W149" t="s">
        <v>311</v>
      </c>
      <c r="X149" t="s">
        <v>17</v>
      </c>
      <c r="Y149" t="s">
        <v>300</v>
      </c>
      <c r="Z149">
        <v>8.2379999999999995E-2</v>
      </c>
      <c r="AC149" s="5" t="s">
        <v>221</v>
      </c>
    </row>
    <row r="150" spans="20:29" ht="24.75" customHeight="1">
      <c r="T150" t="str">
        <f t="shared" si="3"/>
        <v>cars_by_market_segmentMPVUnknown</v>
      </c>
      <c r="U150" t="s">
        <v>326</v>
      </c>
      <c r="V150" t="s">
        <v>327</v>
      </c>
      <c r="W150" t="s">
        <v>311</v>
      </c>
      <c r="X150" t="s">
        <v>302</v>
      </c>
      <c r="Y150" t="s">
        <v>300</v>
      </c>
      <c r="Z150">
        <v>7.2849999999999998E-2</v>
      </c>
      <c r="AC150" s="5" t="s">
        <v>221</v>
      </c>
    </row>
    <row r="151" spans="20:29">
      <c r="T151" t="str">
        <f t="shared" si="3"/>
        <v>cars_by_market_segmentMPVPlug-in Hybrid Electric Vehicle</v>
      </c>
      <c r="U151" t="s">
        <v>326</v>
      </c>
      <c r="V151" t="s">
        <v>327</v>
      </c>
      <c r="W151" t="s">
        <v>311</v>
      </c>
      <c r="X151" t="s">
        <v>303</v>
      </c>
      <c r="Y151" t="s">
        <v>300</v>
      </c>
      <c r="Z151">
        <v>4.0369999999999996E-2</v>
      </c>
      <c r="AC151" s="5" t="s">
        <v>221</v>
      </c>
    </row>
    <row r="152" spans="20:29">
      <c r="T152" t="str">
        <f t="shared" si="3"/>
        <v>cars_by_market_segmentMPVBattery Electric Vehicle</v>
      </c>
      <c r="U152" t="s">
        <v>326</v>
      </c>
      <c r="V152" t="s">
        <v>327</v>
      </c>
      <c r="W152" t="s">
        <v>311</v>
      </c>
      <c r="X152" t="s">
        <v>304</v>
      </c>
      <c r="Y152" t="s">
        <v>300</v>
      </c>
      <c r="Z152">
        <v>2.835E-2</v>
      </c>
      <c r="AC152" s="5" t="s">
        <v>221</v>
      </c>
    </row>
    <row r="153" spans="20:29">
      <c r="T153" t="str">
        <f t="shared" si="3"/>
        <v>cars_by_market_segmentSportsDiesel</v>
      </c>
      <c r="U153" t="s">
        <v>326</v>
      </c>
      <c r="V153" t="s">
        <v>327</v>
      </c>
      <c r="W153" t="s">
        <v>310</v>
      </c>
      <c r="X153" t="s">
        <v>16</v>
      </c>
      <c r="Y153" t="s">
        <v>300</v>
      </c>
      <c r="Z153">
        <v>6.6549999999999998E-2</v>
      </c>
      <c r="AC153" s="5" t="s">
        <v>221</v>
      </c>
    </row>
    <row r="154" spans="20:29">
      <c r="T154" t="str">
        <f t="shared" si="3"/>
        <v>cars_by_market_segmentSportsGasoline</v>
      </c>
      <c r="U154" t="s">
        <v>326</v>
      </c>
      <c r="V154" t="s">
        <v>327</v>
      </c>
      <c r="W154" t="s">
        <v>310</v>
      </c>
      <c r="X154" t="s">
        <v>17</v>
      </c>
      <c r="Y154" t="s">
        <v>300</v>
      </c>
      <c r="Z154">
        <v>0.10611</v>
      </c>
      <c r="AC154" s="5" t="s">
        <v>221</v>
      </c>
    </row>
    <row r="155" spans="20:29">
      <c r="T155" t="str">
        <f t="shared" si="3"/>
        <v>cars_by_market_segmentSportsUnknown</v>
      </c>
      <c r="U155" t="s">
        <v>326</v>
      </c>
      <c r="V155" t="s">
        <v>327</v>
      </c>
      <c r="W155" t="s">
        <v>310</v>
      </c>
      <c r="X155" t="s">
        <v>302</v>
      </c>
      <c r="Y155" t="s">
        <v>300</v>
      </c>
      <c r="Z155">
        <v>9.9699999999999997E-2</v>
      </c>
      <c r="AC155" s="5" t="s">
        <v>221</v>
      </c>
    </row>
    <row r="156" spans="20:29">
      <c r="T156" t="str">
        <f t="shared" si="3"/>
        <v>cars_by_market_segmentSportsPlug-in Hybrid Electric Vehicle</v>
      </c>
      <c r="U156" t="s">
        <v>326</v>
      </c>
      <c r="V156" t="s">
        <v>327</v>
      </c>
      <c r="W156" t="s">
        <v>310</v>
      </c>
      <c r="X156" t="s">
        <v>303</v>
      </c>
      <c r="Y156" t="s">
        <v>300</v>
      </c>
      <c r="Z156">
        <v>4.2849999999999999E-2</v>
      </c>
      <c r="AC156" s="5" t="s">
        <v>221</v>
      </c>
    </row>
    <row r="157" spans="20:29">
      <c r="T157" t="str">
        <f t="shared" si="3"/>
        <v>cars_by_market_segmentSportsBattery Electric Vehicle</v>
      </c>
      <c r="U157" t="s">
        <v>326</v>
      </c>
      <c r="V157" t="s">
        <v>327</v>
      </c>
      <c r="W157" t="s">
        <v>310</v>
      </c>
      <c r="X157" t="s">
        <v>304</v>
      </c>
      <c r="Y157" t="s">
        <v>300</v>
      </c>
      <c r="Z157">
        <v>2.981E-2</v>
      </c>
      <c r="AC157" s="5" t="s">
        <v>221</v>
      </c>
    </row>
    <row r="158" spans="20:29">
      <c r="T158" t="str">
        <f t="shared" si="3"/>
        <v>cars_by_market_segmentSuperminiDiesel</v>
      </c>
      <c r="U158" t="s">
        <v>326</v>
      </c>
      <c r="V158" t="s">
        <v>327</v>
      </c>
      <c r="W158" t="s">
        <v>313</v>
      </c>
      <c r="X158" t="s">
        <v>16</v>
      </c>
      <c r="Y158" t="s">
        <v>300</v>
      </c>
      <c r="Z158">
        <v>5.1749999999999997E-2</v>
      </c>
      <c r="AC158" s="5" t="s">
        <v>221</v>
      </c>
    </row>
    <row r="159" spans="20:29">
      <c r="T159" t="str">
        <f t="shared" si="3"/>
        <v>cars_by_market_segmentSuperminiGasoline</v>
      </c>
      <c r="U159" t="s">
        <v>326</v>
      </c>
      <c r="V159" t="s">
        <v>327</v>
      </c>
      <c r="W159" t="s">
        <v>313</v>
      </c>
      <c r="X159" t="s">
        <v>17</v>
      </c>
      <c r="Y159" t="s">
        <v>300</v>
      </c>
      <c r="Z159">
        <v>6.3270000000000007E-2</v>
      </c>
      <c r="AC159" s="5" t="s">
        <v>221</v>
      </c>
    </row>
    <row r="160" spans="20:29">
      <c r="T160" t="str">
        <f t="shared" si="3"/>
        <v>cars_by_market_segmentSuperminiUnknown</v>
      </c>
      <c r="U160" t="s">
        <v>326</v>
      </c>
      <c r="V160" t="s">
        <v>327</v>
      </c>
      <c r="W160" t="s">
        <v>313</v>
      </c>
      <c r="X160" t="s">
        <v>302</v>
      </c>
      <c r="Y160" t="s">
        <v>300</v>
      </c>
      <c r="Z160">
        <v>6.1800000000000001E-2</v>
      </c>
      <c r="AC160" s="5" t="s">
        <v>221</v>
      </c>
    </row>
    <row r="161" spans="20:29">
      <c r="T161" t="str">
        <f t="shared" si="3"/>
        <v>cars_by_market_segmentSuperminiPlug-in Hybrid Electric Vehicle</v>
      </c>
      <c r="U161" t="s">
        <v>326</v>
      </c>
      <c r="V161" t="s">
        <v>327</v>
      </c>
      <c r="W161" t="s">
        <v>313</v>
      </c>
      <c r="X161" t="s">
        <v>303</v>
      </c>
      <c r="Y161" t="s">
        <v>300</v>
      </c>
      <c r="Z161">
        <v>2.1190000000000001E-2</v>
      </c>
      <c r="AC161" s="5" t="s">
        <v>221</v>
      </c>
    </row>
    <row r="162" spans="20:29">
      <c r="T162" t="str">
        <f t="shared" si="3"/>
        <v>cars_by_market_segmentSuperminiBattery Electric Vehicle</v>
      </c>
      <c r="U162" t="s">
        <v>326</v>
      </c>
      <c r="V162" t="s">
        <v>327</v>
      </c>
      <c r="W162" t="s">
        <v>313</v>
      </c>
      <c r="X162" t="s">
        <v>304</v>
      </c>
      <c r="Y162" t="s">
        <v>300</v>
      </c>
      <c r="Z162">
        <v>1.7509999999999998E-2</v>
      </c>
      <c r="AC162" s="5" t="s">
        <v>221</v>
      </c>
    </row>
    <row r="163" spans="20:29">
      <c r="T163" t="str">
        <f t="shared" si="3"/>
        <v>cars_by_market_segmentUpper mediumDiesel</v>
      </c>
      <c r="U163" t="s">
        <v>326</v>
      </c>
      <c r="V163" t="s">
        <v>327</v>
      </c>
      <c r="W163" t="s">
        <v>312</v>
      </c>
      <c r="X163" t="s">
        <v>16</v>
      </c>
      <c r="Y163" t="s">
        <v>300</v>
      </c>
      <c r="Z163">
        <v>6.3E-2</v>
      </c>
      <c r="AC163" s="5" t="s">
        <v>221</v>
      </c>
    </row>
    <row r="164" spans="20:29">
      <c r="T164" t="str">
        <f t="shared" si="3"/>
        <v>cars_by_market_segmentUpper mediumGasoline</v>
      </c>
      <c r="U164" t="s">
        <v>326</v>
      </c>
      <c r="V164" t="s">
        <v>327</v>
      </c>
      <c r="W164" t="s">
        <v>312</v>
      </c>
      <c r="X164" t="s">
        <v>17</v>
      </c>
      <c r="Y164" t="s">
        <v>300</v>
      </c>
      <c r="Z164">
        <v>8.5900000000000004E-2</v>
      </c>
      <c r="AC164" s="5" t="s">
        <v>221</v>
      </c>
    </row>
    <row r="165" spans="20:29">
      <c r="T165" t="str">
        <f t="shared" si="3"/>
        <v>cars_by_market_segmentUpper mediumUnknown</v>
      </c>
      <c r="U165" t="s">
        <v>326</v>
      </c>
      <c r="V165" t="s">
        <v>327</v>
      </c>
      <c r="W165" t="s">
        <v>312</v>
      </c>
      <c r="X165" t="s">
        <v>302</v>
      </c>
      <c r="Y165" t="s">
        <v>300</v>
      </c>
      <c r="Z165">
        <v>6.837E-2</v>
      </c>
      <c r="AC165" s="5" t="s">
        <v>221</v>
      </c>
    </row>
    <row r="166" spans="20:29">
      <c r="T166" t="str">
        <f t="shared" si="3"/>
        <v>cars_by_market_segmentUpper mediumPlug-in Hybrid Electric Vehicle</v>
      </c>
      <c r="U166" t="s">
        <v>326</v>
      </c>
      <c r="V166" t="s">
        <v>327</v>
      </c>
      <c r="W166" t="s">
        <v>312</v>
      </c>
      <c r="X166" t="s">
        <v>303</v>
      </c>
      <c r="Y166" t="s">
        <v>300</v>
      </c>
      <c r="Z166">
        <v>3.6490000000000002E-2</v>
      </c>
      <c r="AC166" s="5" t="s">
        <v>221</v>
      </c>
    </row>
    <row r="167" spans="20:29">
      <c r="T167" t="str">
        <f t="shared" si="3"/>
        <v>cars_by_market_segmentUpper mediumBattery Electric Vehicle</v>
      </c>
      <c r="U167" t="s">
        <v>326</v>
      </c>
      <c r="V167" t="s">
        <v>327</v>
      </c>
      <c r="W167" t="s">
        <v>312</v>
      </c>
      <c r="X167" t="s">
        <v>304</v>
      </c>
      <c r="Y167" t="s">
        <v>300</v>
      </c>
      <c r="Z167">
        <v>1.9599999999999999E-2</v>
      </c>
      <c r="AC167" s="5" t="s">
        <v>221</v>
      </c>
    </row>
    <row r="168" spans="20:29">
      <c r="T168" t="str">
        <f t="shared" si="3"/>
        <v>motorbikeAverage</v>
      </c>
      <c r="U168" t="s">
        <v>328</v>
      </c>
      <c r="V168" t="str">
        <f t="shared" ref="V168:V177" si="5">RIGHT(U168,LEN(U168)-5)</f>
        <v>motorbike</v>
      </c>
      <c r="W168" t="s">
        <v>315</v>
      </c>
      <c r="Y168" t="s">
        <v>300</v>
      </c>
      <c r="Z168">
        <v>4.7566948355194191E-2</v>
      </c>
      <c r="AC168" s="5" t="s">
        <v>221</v>
      </c>
    </row>
    <row r="169" spans="20:29">
      <c r="T169" t="str">
        <f t="shared" si="3"/>
        <v>motorbikeLarge</v>
      </c>
      <c r="U169" t="s">
        <v>328</v>
      </c>
      <c r="V169" t="str">
        <f t="shared" si="5"/>
        <v>motorbike</v>
      </c>
      <c r="W169" t="s">
        <v>316</v>
      </c>
      <c r="Y169" t="s">
        <v>300</v>
      </c>
      <c r="Z169">
        <v>5.5829618741700261E-2</v>
      </c>
      <c r="AC169" s="5" t="s">
        <v>221</v>
      </c>
    </row>
    <row r="170" spans="20:29">
      <c r="T170" t="str">
        <f t="shared" si="3"/>
        <v>motorbikeMedium</v>
      </c>
      <c r="U170" t="s">
        <v>328</v>
      </c>
      <c r="V170" t="str">
        <f t="shared" si="5"/>
        <v>motorbike</v>
      </c>
      <c r="W170" t="s">
        <v>39</v>
      </c>
      <c r="Y170" t="s">
        <v>300</v>
      </c>
      <c r="Z170">
        <v>4.1964178709549667E-2</v>
      </c>
      <c r="AC170" s="5" t="s">
        <v>221</v>
      </c>
    </row>
    <row r="171" spans="20:29">
      <c r="T171" t="str">
        <f t="shared" si="3"/>
        <v>motorbikeSmall</v>
      </c>
      <c r="U171" t="s">
        <v>328</v>
      </c>
      <c r="V171" t="str">
        <f t="shared" si="5"/>
        <v>motorbike</v>
      </c>
      <c r="W171" t="s">
        <v>317</v>
      </c>
      <c r="Y171" t="s">
        <v>300</v>
      </c>
      <c r="Z171">
        <v>3.4569277359069346E-2</v>
      </c>
      <c r="AC171" s="5" t="s">
        <v>221</v>
      </c>
    </row>
    <row r="172" spans="20:29">
      <c r="T172" t="str">
        <f t="shared" si="3"/>
        <v>railInternational rail</v>
      </c>
      <c r="U172" t="s">
        <v>329</v>
      </c>
      <c r="V172" t="str">
        <f t="shared" si="5"/>
        <v>rail</v>
      </c>
      <c r="W172" t="s">
        <v>318</v>
      </c>
      <c r="Y172" t="s">
        <v>293</v>
      </c>
      <c r="Z172">
        <v>1.8765026418669092E-3</v>
      </c>
      <c r="AC172" s="5" t="s">
        <v>221</v>
      </c>
    </row>
    <row r="173" spans="20:29">
      <c r="T173" t="str">
        <f t="shared" si="3"/>
        <v>railLight rail and tram</v>
      </c>
      <c r="U173" t="s">
        <v>329</v>
      </c>
      <c r="V173" t="str">
        <f t="shared" si="5"/>
        <v>rail</v>
      </c>
      <c r="W173" t="s">
        <v>319</v>
      </c>
      <c r="Y173" t="s">
        <v>293</v>
      </c>
      <c r="Z173">
        <v>1.2051676449921098E-2</v>
      </c>
      <c r="AC173" s="5" t="s">
        <v>221</v>
      </c>
    </row>
    <row r="174" spans="20:29">
      <c r="T174" t="str">
        <f t="shared" si="3"/>
        <v>railLondon Underground</v>
      </c>
      <c r="U174" t="s">
        <v>329</v>
      </c>
      <c r="V174" t="str">
        <f t="shared" si="5"/>
        <v>rail</v>
      </c>
      <c r="W174" t="s">
        <v>320</v>
      </c>
      <c r="Y174" t="s">
        <v>293</v>
      </c>
      <c r="Z174">
        <v>1.1711964764755537E-2</v>
      </c>
      <c r="AC174" s="5" t="s">
        <v>221</v>
      </c>
    </row>
    <row r="175" spans="20:29">
      <c r="T175" t="str">
        <f t="shared" si="3"/>
        <v>railNational rail</v>
      </c>
      <c r="U175" t="s">
        <v>329</v>
      </c>
      <c r="V175" t="str">
        <f t="shared" si="5"/>
        <v>rail</v>
      </c>
      <c r="W175" t="s">
        <v>321</v>
      </c>
      <c r="Y175" t="s">
        <v>293</v>
      </c>
      <c r="Z175">
        <v>1.4429658246080028E-2</v>
      </c>
      <c r="AC175" s="5" t="s">
        <v>221</v>
      </c>
    </row>
    <row r="176" spans="20:29">
      <c r="T176" t="str">
        <f t="shared" si="3"/>
        <v>taxisBlack cab</v>
      </c>
      <c r="U176" t="s">
        <v>330</v>
      </c>
      <c r="V176" t="str">
        <f t="shared" si="5"/>
        <v>taxis</v>
      </c>
      <c r="W176" t="s">
        <v>322</v>
      </c>
      <c r="Y176" t="s">
        <v>293</v>
      </c>
      <c r="Z176">
        <v>8.1909209811889788E-2</v>
      </c>
      <c r="AC176" s="5" t="s">
        <v>221</v>
      </c>
    </row>
    <row r="177" spans="20:31">
      <c r="T177" t="str">
        <f t="shared" si="3"/>
        <v>taxisRegular taxi</v>
      </c>
      <c r="U177" t="s">
        <v>330</v>
      </c>
      <c r="V177" t="str">
        <f t="shared" si="5"/>
        <v>taxis</v>
      </c>
      <c r="W177" t="s">
        <v>323</v>
      </c>
      <c r="Y177" t="s">
        <v>293</v>
      </c>
      <c r="Z177">
        <v>5.9498850007356739E-2</v>
      </c>
      <c r="AC177" s="5" t="s">
        <v>221</v>
      </c>
    </row>
    <row r="179" spans="20:31">
      <c r="V179" s="70" t="s">
        <v>331</v>
      </c>
    </row>
    <row r="180" spans="20:31">
      <c r="U180" s="5" t="s">
        <v>286</v>
      </c>
      <c r="V180" s="71" t="s">
        <v>287</v>
      </c>
      <c r="W180" s="71" t="s">
        <v>332</v>
      </c>
      <c r="X180" s="71" t="s">
        <v>333</v>
      </c>
      <c r="Y180" s="71" t="s">
        <v>213</v>
      </c>
      <c r="Z180" s="71" t="s">
        <v>212</v>
      </c>
      <c r="AA180" s="71" t="s">
        <v>289</v>
      </c>
      <c r="AB180" s="71" t="s">
        <v>290</v>
      </c>
      <c r="AC180" s="71" t="s">
        <v>195</v>
      </c>
    </row>
    <row r="181" spans="20:31">
      <c r="U181" s="5" t="str">
        <f>_xlfn.CONCAT(W181,X181)</f>
        <v>ShortAverage passenger</v>
      </c>
      <c r="V181" s="79" t="s">
        <v>334</v>
      </c>
      <c r="W181" s="79" t="s">
        <v>38</v>
      </c>
      <c r="X181" s="79" t="s">
        <v>335</v>
      </c>
      <c r="Y181" s="5" t="s">
        <v>293</v>
      </c>
      <c r="Z181" s="80">
        <v>0.43866981385707382</v>
      </c>
      <c r="AA181" s="5">
        <f>VLOOKUP(U181,$U$197:$Z$210,6,FALSE)</f>
        <v>5.3913024000000004E-2</v>
      </c>
      <c r="AB181" s="81">
        <f>SUM(Z181:AA181)</f>
        <v>0.4925828378570738</v>
      </c>
      <c r="AC181" s="5" t="s">
        <v>336</v>
      </c>
      <c r="AE181" s="92" t="s">
        <v>332</v>
      </c>
    </row>
    <row r="182" spans="20:31">
      <c r="U182" s="5" t="str">
        <f t="shared" ref="U182:U194" si="6">_xlfn.CONCAT(W182,X182)</f>
        <v>MediumAverage passenger</v>
      </c>
      <c r="V182" s="79" t="s">
        <v>334</v>
      </c>
      <c r="W182" s="79" t="s">
        <v>39</v>
      </c>
      <c r="X182" s="79" t="s">
        <v>335</v>
      </c>
      <c r="Y182" s="5" t="s">
        <v>293</v>
      </c>
      <c r="Z182" s="80">
        <v>0.29920463310810197</v>
      </c>
      <c r="AA182" s="5">
        <f t="shared" ref="AA182:AA194" si="7">VLOOKUP(U182,$U$197:$Z$210,6,FALSE)</f>
        <v>3.6789603839999997E-2</v>
      </c>
      <c r="AB182" s="81">
        <f t="shared" ref="AB182:AB194" si="8">SUM(Z182:AA182)</f>
        <v>0.33599423694810199</v>
      </c>
      <c r="AC182" s="5" t="s">
        <v>336</v>
      </c>
      <c r="AE182" s="5" t="s">
        <v>38</v>
      </c>
    </row>
    <row r="183" spans="20:31">
      <c r="U183" s="5" t="str">
        <f t="shared" si="6"/>
        <v>MediumEconomy class</v>
      </c>
      <c r="V183" s="79" t="s">
        <v>334</v>
      </c>
      <c r="W183" s="79" t="s">
        <v>39</v>
      </c>
      <c r="X183" s="79" t="s">
        <v>337</v>
      </c>
      <c r="Y183" s="5" t="s">
        <v>293</v>
      </c>
      <c r="Z183" s="80">
        <v>0.29429969822702823</v>
      </c>
      <c r="AA183" s="5">
        <f t="shared" si="7"/>
        <v>3.6194146560000001E-2</v>
      </c>
      <c r="AB183" s="81">
        <f t="shared" si="8"/>
        <v>0.33049384478702826</v>
      </c>
      <c r="AC183" s="5" t="s">
        <v>336</v>
      </c>
      <c r="AE183" s="5" t="s">
        <v>39</v>
      </c>
    </row>
    <row r="184" spans="20:31">
      <c r="U184" s="5" t="str">
        <f t="shared" si="6"/>
        <v>MediumBusiness class</v>
      </c>
      <c r="V184" s="79" t="s">
        <v>334</v>
      </c>
      <c r="W184" s="79" t="s">
        <v>39</v>
      </c>
      <c r="X184" s="79" t="s">
        <v>338</v>
      </c>
      <c r="Y184" s="5" t="s">
        <v>293</v>
      </c>
      <c r="Z184" s="80">
        <v>0.44144769065441081</v>
      </c>
      <c r="AA184" s="5">
        <f t="shared" si="7"/>
        <v>5.4283173120000007E-2</v>
      </c>
      <c r="AB184" s="81">
        <f t="shared" si="8"/>
        <v>0.49573086377441083</v>
      </c>
      <c r="AC184" s="5" t="s">
        <v>336</v>
      </c>
      <c r="AE184" s="5" t="s">
        <v>40</v>
      </c>
    </row>
    <row r="185" spans="20:31">
      <c r="U185" s="5" t="str">
        <f t="shared" si="6"/>
        <v>LongAverage passenger</v>
      </c>
      <c r="V185" s="79" t="s">
        <v>334</v>
      </c>
      <c r="W185" s="79" t="s">
        <v>40</v>
      </c>
      <c r="X185" s="79" t="s">
        <v>335</v>
      </c>
      <c r="Y185" s="5" t="s">
        <v>293</v>
      </c>
      <c r="Z185" s="80">
        <v>0.42049041345065236</v>
      </c>
      <c r="AA185" s="5">
        <f t="shared" si="7"/>
        <v>5.1708222720000002E-2</v>
      </c>
      <c r="AB185" s="81">
        <f t="shared" si="8"/>
        <v>0.47219863617065239</v>
      </c>
      <c r="AC185" s="5" t="s">
        <v>336</v>
      </c>
      <c r="AE185" s="5"/>
    </row>
    <row r="186" spans="20:31">
      <c r="U186" s="5" t="str">
        <f t="shared" si="6"/>
        <v>LongEconomy class</v>
      </c>
      <c r="V186" s="79" t="s">
        <v>334</v>
      </c>
      <c r="W186" s="79" t="s">
        <v>40</v>
      </c>
      <c r="X186" s="79" t="s">
        <v>337</v>
      </c>
      <c r="Y186" s="5" t="s">
        <v>293</v>
      </c>
      <c r="Z186" s="80">
        <v>0.32204306063239735</v>
      </c>
      <c r="AA186" s="5">
        <f t="shared" si="7"/>
        <v>3.9605955840000005E-2</v>
      </c>
      <c r="AB186" s="81">
        <f t="shared" si="8"/>
        <v>0.36164901647239733</v>
      </c>
      <c r="AC186" s="5" t="s">
        <v>336</v>
      </c>
    </row>
    <row r="187" spans="20:31">
      <c r="U187" s="5" t="str">
        <f t="shared" si="6"/>
        <v>LongPremium economy class</v>
      </c>
      <c r="V187" s="79" t="s">
        <v>334</v>
      </c>
      <c r="W187" s="79" t="s">
        <v>40</v>
      </c>
      <c r="X187" s="79" t="s">
        <v>339</v>
      </c>
      <c r="Y187" s="5" t="s">
        <v>293</v>
      </c>
      <c r="Z187" s="80">
        <v>0.51523983938783358</v>
      </c>
      <c r="AA187" s="5">
        <f t="shared" si="7"/>
        <v>6.3359873280000006E-2</v>
      </c>
      <c r="AB187" s="81">
        <f t="shared" si="8"/>
        <v>0.57859971266783361</v>
      </c>
      <c r="AC187" s="5" t="s">
        <v>336</v>
      </c>
    </row>
    <row r="188" spans="20:31">
      <c r="U188" s="5" t="str">
        <f t="shared" si="6"/>
        <v>LongBusiness class</v>
      </c>
      <c r="V188" s="79" t="s">
        <v>334</v>
      </c>
      <c r="W188" s="79" t="s">
        <v>40</v>
      </c>
      <c r="X188" s="79" t="s">
        <v>338</v>
      </c>
      <c r="Y188" s="5" t="s">
        <v>293</v>
      </c>
      <c r="Z188" s="80">
        <v>0.93388128939794901</v>
      </c>
      <c r="AA188" s="5">
        <f t="shared" si="7"/>
        <v>0.11485888128000002</v>
      </c>
      <c r="AB188" s="81">
        <f t="shared" si="8"/>
        <v>1.0487401706779491</v>
      </c>
      <c r="AC188" s="5" t="s">
        <v>336</v>
      </c>
      <c r="AE188" t="s">
        <v>38</v>
      </c>
    </row>
    <row r="189" spans="20:31">
      <c r="U189" s="5" t="str">
        <f t="shared" si="6"/>
        <v>LongFirst class</v>
      </c>
      <c r="V189" s="79" t="s">
        <v>334</v>
      </c>
      <c r="W189" s="79" t="s">
        <v>40</v>
      </c>
      <c r="X189" s="79" t="s">
        <v>340</v>
      </c>
      <c r="Y189" s="5" t="s">
        <v>293</v>
      </c>
      <c r="Z189" s="80">
        <v>1.2881238131562522</v>
      </c>
      <c r="AA189" s="5">
        <f t="shared" si="7"/>
        <v>0.15842382336000002</v>
      </c>
      <c r="AB189" s="81">
        <f t="shared" si="8"/>
        <v>1.4465476365162522</v>
      </c>
      <c r="AC189" s="5" t="s">
        <v>336</v>
      </c>
      <c r="AE189" s="93" t="s">
        <v>335</v>
      </c>
    </row>
    <row r="190" spans="20:31">
      <c r="U190" s="82" t="str">
        <f t="shared" si="6"/>
        <v>InternationalAverage passenger</v>
      </c>
      <c r="V190" s="83" t="s">
        <v>334</v>
      </c>
      <c r="W190" s="83" t="s">
        <v>341</v>
      </c>
      <c r="X190" s="83" t="s">
        <v>335</v>
      </c>
      <c r="Y190" s="82" t="s">
        <v>293</v>
      </c>
      <c r="Z190" s="84">
        <v>0.28292876478488055</v>
      </c>
      <c r="AA190" s="5">
        <f t="shared" si="7"/>
        <v>3.4794017280000006E-2</v>
      </c>
      <c r="AB190" s="85">
        <f t="shared" si="8"/>
        <v>0.31772278206488058</v>
      </c>
      <c r="AC190" s="82" t="s">
        <v>336</v>
      </c>
    </row>
    <row r="191" spans="20:31">
      <c r="U191" s="82" t="str">
        <f t="shared" si="6"/>
        <v>InternationalEconomy class</v>
      </c>
      <c r="V191" s="83" t="s">
        <v>334</v>
      </c>
      <c r="W191" s="83" t="s">
        <v>341</v>
      </c>
      <c r="X191" s="83" t="s">
        <v>337</v>
      </c>
      <c r="Y191" s="82" t="s">
        <v>293</v>
      </c>
      <c r="Z191" s="84">
        <v>0.21668743577236446</v>
      </c>
      <c r="AA191" s="5">
        <f t="shared" si="7"/>
        <v>2.6650736639999999E-2</v>
      </c>
      <c r="AB191" s="85">
        <f t="shared" si="8"/>
        <v>0.24333817241236447</v>
      </c>
      <c r="AC191" s="82" t="s">
        <v>336</v>
      </c>
    </row>
    <row r="192" spans="20:31">
      <c r="U192" s="82" t="str">
        <f t="shared" si="6"/>
        <v>InternationalPremium economy class</v>
      </c>
      <c r="V192" s="83" t="s">
        <v>334</v>
      </c>
      <c r="W192" s="83" t="s">
        <v>341</v>
      </c>
      <c r="X192" s="83" t="s">
        <v>339</v>
      </c>
      <c r="Y192" s="82" t="s">
        <v>293</v>
      </c>
      <c r="Z192" s="84">
        <v>0.34668395343669267</v>
      </c>
      <c r="AA192" s="5">
        <f t="shared" si="7"/>
        <v>4.2631522560000003E-2</v>
      </c>
      <c r="AB192" s="85">
        <f t="shared" si="8"/>
        <v>0.38931547599669269</v>
      </c>
      <c r="AC192" s="82" t="s">
        <v>336</v>
      </c>
      <c r="AE192" t="s">
        <v>39</v>
      </c>
    </row>
    <row r="193" spans="21:31">
      <c r="U193" s="82" t="str">
        <f t="shared" si="6"/>
        <v>InternationalBusiness class</v>
      </c>
      <c r="V193" s="83" t="s">
        <v>334</v>
      </c>
      <c r="W193" s="83" t="s">
        <v>341</v>
      </c>
      <c r="X193" s="83" t="s">
        <v>338</v>
      </c>
      <c r="Y193" s="82" t="s">
        <v>293</v>
      </c>
      <c r="Z193" s="84">
        <v>0.62835742990157317</v>
      </c>
      <c r="AA193" s="5">
        <f t="shared" si="7"/>
        <v>7.7280698880000012E-2</v>
      </c>
      <c r="AB193" s="85">
        <f t="shared" si="8"/>
        <v>0.70563812878157317</v>
      </c>
      <c r="AC193" s="82" t="s">
        <v>336</v>
      </c>
      <c r="AE193" s="79" t="s">
        <v>335</v>
      </c>
    </row>
    <row r="194" spans="21:31">
      <c r="U194" s="82" t="str">
        <f t="shared" si="6"/>
        <v>InternationalFirst class</v>
      </c>
      <c r="V194" s="83" t="s">
        <v>334</v>
      </c>
      <c r="W194" s="83" t="s">
        <v>341</v>
      </c>
      <c r="X194" s="83" t="s">
        <v>340</v>
      </c>
      <c r="Y194" s="82" t="s">
        <v>293</v>
      </c>
      <c r="Z194" s="84">
        <v>0.86669998018560002</v>
      </c>
      <c r="AA194" s="5">
        <f t="shared" si="7"/>
        <v>0.10658685312000001</v>
      </c>
      <c r="AB194" s="85">
        <f t="shared" si="8"/>
        <v>0.97328683330560006</v>
      </c>
      <c r="AC194" s="82" t="s">
        <v>336</v>
      </c>
      <c r="AE194" s="79" t="s">
        <v>337</v>
      </c>
    </row>
    <row r="195" spans="21:31">
      <c r="AE195" s="93" t="s">
        <v>338</v>
      </c>
    </row>
    <row r="196" spans="21:31" ht="18.5" thickBot="1">
      <c r="U196" s="86" t="s">
        <v>342</v>
      </c>
      <c r="V196" s="87"/>
      <c r="W196" s="87"/>
      <c r="X196" s="87"/>
      <c r="Y196" s="87"/>
      <c r="Z196" s="87"/>
    </row>
    <row r="197" spans="21:31" ht="14.5" thickBot="1">
      <c r="U197" s="88" t="str">
        <f t="shared" ref="U197:U210" si="9">_xlfn.CONCAT(W197,X197)</f>
        <v>ShortAverage passenger</v>
      </c>
      <c r="V197" s="89" t="s">
        <v>343</v>
      </c>
      <c r="W197" s="79" t="s">
        <v>38</v>
      </c>
      <c r="X197" s="89" t="s">
        <v>335</v>
      </c>
      <c r="Y197" s="88" t="s">
        <v>293</v>
      </c>
      <c r="Z197" s="90">
        <v>5.3913024000000004E-2</v>
      </c>
    </row>
    <row r="198" spans="21:31" ht="14.5" thickBot="1">
      <c r="U198" s="88" t="str">
        <f t="shared" si="9"/>
        <v>MediumAverage passenger</v>
      </c>
      <c r="V198" s="79" t="s">
        <v>343</v>
      </c>
      <c r="W198" s="79" t="s">
        <v>39</v>
      </c>
      <c r="X198" s="79" t="s">
        <v>335</v>
      </c>
      <c r="Y198" s="88" t="s">
        <v>293</v>
      </c>
      <c r="Z198" s="80">
        <v>3.6789603839999997E-2</v>
      </c>
      <c r="AE198" t="s">
        <v>40</v>
      </c>
    </row>
    <row r="199" spans="21:31" ht="14.5" thickBot="1">
      <c r="U199" s="88" t="str">
        <f t="shared" si="9"/>
        <v>MediumEconomy class</v>
      </c>
      <c r="V199" s="79" t="s">
        <v>343</v>
      </c>
      <c r="W199" s="79" t="s">
        <v>39</v>
      </c>
      <c r="X199" s="79" t="s">
        <v>337</v>
      </c>
      <c r="Y199" s="88" t="s">
        <v>293</v>
      </c>
      <c r="Z199" s="80">
        <v>3.6194146560000001E-2</v>
      </c>
      <c r="AE199" s="79" t="s">
        <v>335</v>
      </c>
    </row>
    <row r="200" spans="21:31" ht="14.5" thickBot="1">
      <c r="U200" s="88" t="str">
        <f t="shared" si="9"/>
        <v>MediumBusiness class</v>
      </c>
      <c r="V200" s="79" t="s">
        <v>343</v>
      </c>
      <c r="W200" s="79" t="s">
        <v>39</v>
      </c>
      <c r="X200" s="79" t="s">
        <v>338</v>
      </c>
      <c r="Y200" s="88" t="s">
        <v>293</v>
      </c>
      <c r="Z200" s="80">
        <v>5.4283173120000007E-2</v>
      </c>
      <c r="AE200" s="79" t="s">
        <v>337</v>
      </c>
    </row>
    <row r="201" spans="21:31" ht="14.5" thickBot="1">
      <c r="U201" s="88" t="str">
        <f t="shared" si="9"/>
        <v>LongAverage passenger</v>
      </c>
      <c r="V201" s="79" t="s">
        <v>343</v>
      </c>
      <c r="W201" s="79" t="s">
        <v>40</v>
      </c>
      <c r="X201" s="79" t="s">
        <v>335</v>
      </c>
      <c r="Y201" s="88" t="s">
        <v>293</v>
      </c>
      <c r="Z201" s="80">
        <v>5.1708222720000002E-2</v>
      </c>
      <c r="AE201" s="79" t="s">
        <v>339</v>
      </c>
    </row>
    <row r="202" spans="21:31" ht="14.5" thickBot="1">
      <c r="U202" s="88" t="str">
        <f t="shared" si="9"/>
        <v>LongEconomy class</v>
      </c>
      <c r="V202" s="79" t="s">
        <v>343</v>
      </c>
      <c r="W202" s="79" t="s">
        <v>40</v>
      </c>
      <c r="X202" s="79" t="s">
        <v>337</v>
      </c>
      <c r="Y202" s="88" t="s">
        <v>293</v>
      </c>
      <c r="Z202" s="80">
        <v>3.9605955840000005E-2</v>
      </c>
      <c r="AE202" s="79" t="s">
        <v>338</v>
      </c>
    </row>
    <row r="203" spans="21:31" ht="14.5" thickBot="1">
      <c r="U203" s="88" t="str">
        <f t="shared" si="9"/>
        <v>LongPremium economy class</v>
      </c>
      <c r="V203" s="79" t="s">
        <v>343</v>
      </c>
      <c r="W203" s="79" t="s">
        <v>40</v>
      </c>
      <c r="X203" s="79" t="s">
        <v>339</v>
      </c>
      <c r="Y203" s="88" t="s">
        <v>293</v>
      </c>
      <c r="Z203" s="80">
        <v>6.3359873280000006E-2</v>
      </c>
      <c r="AE203" s="93" t="s">
        <v>340</v>
      </c>
    </row>
    <row r="204" spans="21:31" ht="14.5" thickBot="1">
      <c r="U204" s="88" t="str">
        <f t="shared" si="9"/>
        <v>LongBusiness class</v>
      </c>
      <c r="V204" s="79" t="s">
        <v>343</v>
      </c>
      <c r="W204" s="79" t="s">
        <v>40</v>
      </c>
      <c r="X204" s="79" t="s">
        <v>338</v>
      </c>
      <c r="Y204" s="88" t="s">
        <v>293</v>
      </c>
      <c r="Z204" s="80">
        <v>0.11485888128000002</v>
      </c>
    </row>
    <row r="205" spans="21:31" ht="14.5" thickBot="1">
      <c r="U205" s="88" t="str">
        <f t="shared" si="9"/>
        <v>LongFirst class</v>
      </c>
      <c r="V205" s="79" t="s">
        <v>343</v>
      </c>
      <c r="W205" s="79" t="s">
        <v>40</v>
      </c>
      <c r="X205" s="79" t="s">
        <v>340</v>
      </c>
      <c r="Y205" s="88" t="s">
        <v>293</v>
      </c>
      <c r="Z205" s="80">
        <v>0.15842382336000002</v>
      </c>
    </row>
    <row r="206" spans="21:31" ht="14.5" thickBot="1">
      <c r="U206" s="91" t="str">
        <f t="shared" si="9"/>
        <v>InternationalAverage passenger</v>
      </c>
      <c r="V206" s="83" t="s">
        <v>343</v>
      </c>
      <c r="W206" s="83" t="s">
        <v>341</v>
      </c>
      <c r="X206" s="83" t="s">
        <v>335</v>
      </c>
      <c r="Y206" s="91" t="s">
        <v>293</v>
      </c>
      <c r="Z206" s="84">
        <v>3.4794017280000006E-2</v>
      </c>
      <c r="AE206" s="94"/>
    </row>
    <row r="207" spans="21:31" ht="14.5" thickBot="1">
      <c r="U207" s="91" t="str">
        <f t="shared" si="9"/>
        <v>InternationalEconomy class</v>
      </c>
      <c r="V207" s="83" t="s">
        <v>343</v>
      </c>
      <c r="W207" s="83" t="s">
        <v>341</v>
      </c>
      <c r="X207" s="83" t="s">
        <v>337</v>
      </c>
      <c r="Y207" s="91" t="s">
        <v>293</v>
      </c>
      <c r="Z207" s="84">
        <v>2.6650736639999999E-2</v>
      </c>
      <c r="AE207" s="95"/>
    </row>
    <row r="208" spans="21:31" ht="14.5" thickBot="1">
      <c r="U208" s="91" t="str">
        <f t="shared" si="9"/>
        <v>InternationalPremium economy class</v>
      </c>
      <c r="V208" s="83" t="s">
        <v>343</v>
      </c>
      <c r="W208" s="83" t="s">
        <v>341</v>
      </c>
      <c r="X208" s="83" t="s">
        <v>339</v>
      </c>
      <c r="Y208" s="91" t="s">
        <v>293</v>
      </c>
      <c r="Z208" s="84">
        <v>4.2631522560000003E-2</v>
      </c>
      <c r="AE208" s="95"/>
    </row>
    <row r="209" spans="21:31" ht="14.5" thickBot="1">
      <c r="U209" s="91" t="str">
        <f t="shared" si="9"/>
        <v>InternationalBusiness class</v>
      </c>
      <c r="V209" s="83" t="s">
        <v>343</v>
      </c>
      <c r="W209" s="83" t="s">
        <v>341</v>
      </c>
      <c r="X209" s="83" t="s">
        <v>338</v>
      </c>
      <c r="Y209" s="91" t="s">
        <v>293</v>
      </c>
      <c r="Z209" s="84">
        <v>7.7280698880000012E-2</v>
      </c>
      <c r="AE209" s="95"/>
    </row>
    <row r="210" spans="21:31">
      <c r="U210" s="91" t="str">
        <f t="shared" si="9"/>
        <v>InternationalFirst class</v>
      </c>
      <c r="V210" s="83" t="s">
        <v>343</v>
      </c>
      <c r="W210" s="83" t="s">
        <v>341</v>
      </c>
      <c r="X210" s="83" t="s">
        <v>340</v>
      </c>
      <c r="Y210" s="91" t="s">
        <v>293</v>
      </c>
      <c r="Z210" s="84">
        <v>0.10658685312000001</v>
      </c>
      <c r="AE210" s="95"/>
    </row>
    <row r="260" spans="31:31" ht="21" customHeight="1"/>
    <row r="269" spans="31:31">
      <c r="AE269" s="96"/>
    </row>
  </sheetData>
  <autoFilter ref="T119:AC177" xr:uid="{00000000-0001-0000-1900-000000000000}"/>
  <sortState xmlns:xlrd2="http://schemas.microsoft.com/office/spreadsheetml/2017/richdata2" ref="V5:Y44">
    <sortCondition ref="V5:V44"/>
  </sortState>
  <mergeCells count="9">
    <mergeCell ref="T118:AC118"/>
    <mergeCell ref="B1:B30"/>
    <mergeCell ref="O4:R4"/>
    <mergeCell ref="E10:F10"/>
    <mergeCell ref="G10:I10"/>
    <mergeCell ref="P19:P20"/>
    <mergeCell ref="Q19:Q20"/>
    <mergeCell ref="P22:P23"/>
    <mergeCell ref="Q22:Q23"/>
  </mergeCells>
  <conditionalFormatting sqref="Z181:Z194 Z197:Z210">
    <cfRule type="expression" dxfId="0" priority="1">
      <formula>Z181=""</formula>
    </cfRule>
  </conditionalFormatting>
  <dataValidations count="1">
    <dataValidation type="decimal" allowBlank="1" showInputMessage="1" showErrorMessage="1" error="Please enter a valid Number." prompt="Enter a Number." sqref="H3" xr:uid="{B70F1782-EA4B-4406-B662-30EEFAA2C10F}">
      <formula1>-99999.99999</formula1>
      <formula2>99999.99999</formula2>
    </dataValidation>
  </dataValidations>
  <hyperlinks>
    <hyperlink ref="N3" r:id="rId1" xr:uid="{44EB2D6C-D27D-4C75-AC4E-38DBCE1352CD}"/>
  </hyperlinks>
  <pageMargins left="0.7" right="0.7" top="0.75" bottom="0.75" header="0.3" footer="0.3"/>
  <pageSetup orientation="portrait" horizontalDpi="1200" verticalDpi="1200" r:id="rId2"/>
  <tableParts count="17">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3BDF0-5597-425A-932C-B768E79BB1C7}">
  <sheetPr>
    <tabColor theme="3" tint="0.59999389629810485"/>
  </sheetPr>
  <dimension ref="A1:G96"/>
  <sheetViews>
    <sheetView zoomScale="85" zoomScaleNormal="85" workbookViewId="0">
      <selection activeCell="D21" sqref="D21:D24"/>
    </sheetView>
  </sheetViews>
  <sheetFormatPr defaultRowHeight="14"/>
  <cols>
    <col min="1" max="1" width="7" customWidth="1"/>
    <col min="2" max="2" width="27.58203125" customWidth="1"/>
    <col min="3" max="3" width="44.58203125" customWidth="1"/>
    <col min="4" max="4" width="25.1640625" customWidth="1"/>
    <col min="5" max="5" width="22.6640625" customWidth="1"/>
    <col min="6" max="6" width="30" bestFit="1" customWidth="1"/>
    <col min="7" max="7" width="110.08203125" customWidth="1"/>
  </cols>
  <sheetData>
    <row r="1" spans="1:7" ht="20">
      <c r="A1" s="154" t="s">
        <v>1729</v>
      </c>
      <c r="B1" s="258"/>
      <c r="C1" s="401"/>
      <c r="D1" s="401"/>
      <c r="E1" s="401"/>
      <c r="F1" s="401"/>
      <c r="G1" s="258"/>
    </row>
    <row r="2" spans="1:7">
      <c r="A2" s="359" t="s">
        <v>345</v>
      </c>
      <c r="B2" s="261"/>
      <c r="C2" s="261"/>
      <c r="D2" s="261"/>
      <c r="E2" s="261"/>
      <c r="F2" s="261"/>
      <c r="G2" s="261"/>
    </row>
    <row r="3" spans="1:7">
      <c r="A3" s="263" t="s">
        <v>1699</v>
      </c>
      <c r="B3" s="261"/>
      <c r="C3" s="261"/>
      <c r="D3" s="261"/>
      <c r="E3" s="261"/>
      <c r="F3" s="261"/>
      <c r="G3" s="261"/>
    </row>
    <row r="4" spans="1:7">
      <c r="A4" s="360" t="s">
        <v>1730</v>
      </c>
      <c r="B4" s="261"/>
      <c r="C4" s="261"/>
      <c r="D4" s="261"/>
      <c r="E4" s="261"/>
      <c r="F4" s="261"/>
      <c r="G4" s="261"/>
    </row>
    <row r="5" spans="1:7">
      <c r="A5" s="360" t="s">
        <v>1731</v>
      </c>
      <c r="B5" s="418"/>
      <c r="C5" s="261"/>
      <c r="D5" s="261"/>
      <c r="E5" s="261"/>
      <c r="F5" s="261"/>
      <c r="G5" s="418"/>
    </row>
    <row r="6" spans="1:7">
      <c r="A6" s="419"/>
      <c r="B6" s="403"/>
    </row>
    <row r="7" spans="1:7">
      <c r="A7" s="419"/>
      <c r="B7" s="403"/>
    </row>
    <row r="8" spans="1:7">
      <c r="A8" s="419"/>
      <c r="B8" s="403"/>
    </row>
    <row r="9" spans="1:7">
      <c r="A9" s="419"/>
      <c r="B9" s="403"/>
    </row>
    <row r="10" spans="1:7">
      <c r="A10" s="419"/>
      <c r="B10" s="403"/>
    </row>
    <row r="11" spans="1:7">
      <c r="A11" s="419"/>
      <c r="B11" s="403"/>
    </row>
    <row r="12" spans="1:7">
      <c r="A12" s="419"/>
      <c r="B12" s="403"/>
    </row>
    <row r="13" spans="1:7">
      <c r="A13" s="419"/>
      <c r="B13" s="403"/>
    </row>
    <row r="14" spans="1:7">
      <c r="A14" s="419"/>
      <c r="B14" s="403"/>
    </row>
    <row r="15" spans="1:7">
      <c r="A15" s="419"/>
      <c r="B15" s="403"/>
    </row>
    <row r="16" spans="1:7">
      <c r="A16" s="419"/>
      <c r="B16" s="403"/>
    </row>
    <row r="17" spans="1:7">
      <c r="A17" s="419"/>
      <c r="B17" s="403"/>
    </row>
    <row r="18" spans="1:7" ht="15.5">
      <c r="A18" s="420" t="s">
        <v>1732</v>
      </c>
      <c r="B18" s="403"/>
    </row>
    <row r="19" spans="1:7" ht="22.5">
      <c r="A19" s="146"/>
      <c r="B19" s="390"/>
      <c r="C19" s="392" t="s">
        <v>353</v>
      </c>
      <c r="D19" s="392" t="s">
        <v>353</v>
      </c>
      <c r="E19" s="1"/>
      <c r="F19" s="393"/>
    </row>
    <row r="20" spans="1:7" ht="54">
      <c r="A20" s="146"/>
      <c r="B20" s="394" t="s">
        <v>359</v>
      </c>
      <c r="C20" s="395" t="s">
        <v>360</v>
      </c>
      <c r="D20" s="396" t="s">
        <v>361</v>
      </c>
      <c r="E20" s="396" t="s">
        <v>363</v>
      </c>
      <c r="F20" s="397" t="s">
        <v>364</v>
      </c>
      <c r="G20" s="398" t="s">
        <v>368</v>
      </c>
    </row>
    <row r="21" spans="1:7" ht="168">
      <c r="B21" s="663" t="s">
        <v>21</v>
      </c>
      <c r="C21" s="657"/>
      <c r="D21" s="657"/>
      <c r="E21" s="658" t="str">
        <f>IF(D21="","",D21*F21/1000*'Inventory Settings'!$J$21)</f>
        <v/>
      </c>
      <c r="F21" s="664">
        <v>0.98798129474000018</v>
      </c>
      <c r="G21" s="399" t="s">
        <v>1733</v>
      </c>
    </row>
    <row r="22" spans="1:7" ht="112">
      <c r="B22" s="663" t="s">
        <v>1701</v>
      </c>
      <c r="C22" s="657"/>
      <c r="D22" s="657"/>
      <c r="E22" s="658" t="str">
        <f>IF(D22="","",D22*F22/1000*'Inventory Settings'!$J$21)</f>
        <v/>
      </c>
      <c r="F22" s="664">
        <v>0.56479923960000011</v>
      </c>
      <c r="G22" s="399" t="s">
        <v>1734</v>
      </c>
    </row>
    <row r="23" spans="1:7" ht="84">
      <c r="B23" s="663" t="s">
        <v>1703</v>
      </c>
      <c r="C23" s="657"/>
      <c r="D23" s="657"/>
      <c r="E23" s="658" t="str">
        <f>IF(D23="","",D23*F23/1000*'Inventory Settings'!$J$21)</f>
        <v/>
      </c>
      <c r="F23" s="664">
        <v>0.63220751212999993</v>
      </c>
      <c r="G23" s="399" t="s">
        <v>1735</v>
      </c>
    </row>
    <row r="24" spans="1:7" ht="140.5" thickBot="1">
      <c r="B24" s="663" t="s">
        <v>1736</v>
      </c>
      <c r="C24" s="657"/>
      <c r="D24" s="657"/>
      <c r="E24" s="658" t="str">
        <f>IF(D24="","",D24*F24/1000*'Inventory Settings'!$J$21)</f>
        <v/>
      </c>
      <c r="F24" s="664">
        <v>0.51190432209999992</v>
      </c>
      <c r="G24" s="399" t="s">
        <v>1737</v>
      </c>
    </row>
    <row r="25" spans="1:7" ht="14.5" thickBot="1">
      <c r="B25" s="14"/>
      <c r="D25" s="377" t="s">
        <v>1624</v>
      </c>
      <c r="E25" s="400">
        <f>SUM(E21:E24)</f>
        <v>0</v>
      </c>
      <c r="F25" s="421"/>
    </row>
    <row r="96" spans="2:6">
      <c r="B96" s="14"/>
      <c r="F96" s="421"/>
    </row>
  </sheetData>
  <sheetProtection algorithmName="SHA-512" hashValue="N49pDZLl1O3zpBm61cOcp0xduhTkEtlmGc3MqxkmSTOJXONJPkbujRuugU/AVsPMBSdsbxat4F7cFWArLPY4Ng==" saltValue="yKA98GA1DamWGjJusOtI7g==" spinCount="100000" sheet="1" objects="1" scenarios="1"/>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2C895-6340-489D-9B24-39E345974F87}">
  <sheetPr>
    <tabColor theme="3" tint="0.59999389629810485"/>
  </sheetPr>
  <dimension ref="A1:L111"/>
  <sheetViews>
    <sheetView showGridLines="0" zoomScale="85" zoomScaleNormal="85" workbookViewId="0">
      <selection activeCell="D33" sqref="D33:D34"/>
    </sheetView>
  </sheetViews>
  <sheetFormatPr defaultColWidth="8.9140625" defaultRowHeight="14"/>
  <cols>
    <col min="1" max="1" width="7" customWidth="1"/>
    <col min="2" max="2" width="44.58203125" customWidth="1"/>
    <col min="3" max="3" width="24" customWidth="1"/>
    <col min="4" max="4" width="22.6640625" customWidth="1"/>
    <col min="5" max="5" width="30" bestFit="1" customWidth="1"/>
    <col min="6" max="6" width="23.6640625" customWidth="1"/>
    <col min="7" max="7" width="28.58203125" customWidth="1"/>
    <col min="8" max="8" width="29.58203125" customWidth="1"/>
    <col min="9" max="9" width="17.08203125" customWidth="1"/>
    <col min="10" max="10" width="18.58203125" customWidth="1"/>
    <col min="11" max="11" width="14.1640625" customWidth="1"/>
    <col min="12" max="12" width="37.58203125" customWidth="1"/>
    <col min="13" max="13" width="8.9140625" customWidth="1"/>
  </cols>
  <sheetData>
    <row r="1" spans="1:8" ht="20">
      <c r="A1" s="154" t="s">
        <v>1738</v>
      </c>
      <c r="B1" s="401"/>
      <c r="C1" s="401"/>
      <c r="D1" s="401"/>
      <c r="E1" s="401"/>
      <c r="F1" s="258"/>
      <c r="G1" s="258"/>
      <c r="H1" s="258"/>
    </row>
    <row r="2" spans="1:8">
      <c r="A2" s="359" t="s">
        <v>345</v>
      </c>
      <c r="B2" s="261"/>
      <c r="C2" s="261"/>
      <c r="D2" s="261"/>
      <c r="E2" s="261"/>
      <c r="F2" s="261"/>
      <c r="G2" s="261"/>
      <c r="H2" s="261"/>
    </row>
    <row r="3" spans="1:8">
      <c r="A3" s="263" t="s">
        <v>1739</v>
      </c>
      <c r="B3" s="261"/>
      <c r="C3" s="261"/>
      <c r="D3" s="261"/>
      <c r="E3" s="261"/>
      <c r="F3" s="261"/>
      <c r="G3" s="261"/>
      <c r="H3" s="261"/>
    </row>
    <row r="4" spans="1:8" ht="18.75" customHeight="1">
      <c r="A4" s="263" t="s">
        <v>1740</v>
      </c>
      <c r="B4" s="261"/>
      <c r="C4" s="261"/>
      <c r="D4" s="261"/>
      <c r="E4" s="261"/>
      <c r="F4" s="261"/>
      <c r="G4" s="261"/>
      <c r="H4" s="261"/>
    </row>
    <row r="5" spans="1:8">
      <c r="A5" s="360" t="s">
        <v>1741</v>
      </c>
      <c r="B5" s="261"/>
      <c r="C5" s="261"/>
      <c r="D5" s="261"/>
      <c r="E5" s="261"/>
      <c r="F5" s="261"/>
      <c r="G5" s="261"/>
      <c r="H5" s="261"/>
    </row>
    <row r="6" spans="1:8">
      <c r="A6" s="422" t="s">
        <v>72</v>
      </c>
      <c r="B6" s="261"/>
      <c r="C6" s="261"/>
      <c r="D6" s="261"/>
      <c r="E6" s="261"/>
      <c r="F6" s="261"/>
      <c r="G6" s="261"/>
      <c r="H6" s="261"/>
    </row>
    <row r="7" spans="1:8">
      <c r="A7" s="360" t="s">
        <v>1742</v>
      </c>
      <c r="B7" s="261"/>
      <c r="C7" s="261"/>
      <c r="D7" s="261"/>
      <c r="E7" s="261"/>
      <c r="F7" s="261"/>
      <c r="G7" s="261"/>
      <c r="H7" s="261"/>
    </row>
    <row r="8" spans="1:8">
      <c r="A8" s="360" t="s">
        <v>1743</v>
      </c>
      <c r="B8" s="261"/>
      <c r="C8" s="261"/>
      <c r="D8" s="261"/>
      <c r="E8" s="261"/>
      <c r="F8" s="418"/>
      <c r="G8" s="418"/>
      <c r="H8" s="418"/>
    </row>
    <row r="9" spans="1:8">
      <c r="A9" s="360" t="s">
        <v>1744</v>
      </c>
      <c r="B9" s="261"/>
      <c r="C9" s="261"/>
      <c r="D9" s="261"/>
      <c r="E9" s="261"/>
      <c r="F9" s="418"/>
      <c r="G9" s="418"/>
      <c r="H9" s="418"/>
    </row>
    <row r="10" spans="1:8">
      <c r="A10" s="422" t="s">
        <v>1745</v>
      </c>
      <c r="B10" s="261"/>
      <c r="C10" s="261"/>
      <c r="D10" s="261"/>
      <c r="E10" s="261"/>
      <c r="F10" s="418"/>
      <c r="G10" s="418"/>
      <c r="H10" s="418"/>
    </row>
    <row r="11" spans="1:8">
      <c r="A11" s="423" t="s">
        <v>1746</v>
      </c>
      <c r="B11" s="261"/>
      <c r="C11" s="261"/>
      <c r="D11" s="261"/>
      <c r="E11" s="261"/>
      <c r="F11" s="418"/>
      <c r="G11" s="418"/>
      <c r="H11" s="418"/>
    </row>
    <row r="12" spans="1:8">
      <c r="A12" s="423" t="s">
        <v>1747</v>
      </c>
      <c r="B12" s="261"/>
      <c r="C12" s="261"/>
      <c r="D12" s="261"/>
      <c r="E12" s="261"/>
      <c r="F12" s="418"/>
      <c r="G12" s="418"/>
      <c r="H12" s="418"/>
    </row>
    <row r="13" spans="1:8">
      <c r="A13" s="360" t="s">
        <v>1748</v>
      </c>
      <c r="B13" s="261"/>
      <c r="C13" s="261"/>
      <c r="D13" s="261"/>
      <c r="E13" s="261"/>
      <c r="F13" s="418"/>
      <c r="G13" s="418"/>
      <c r="H13" s="418"/>
    </row>
    <row r="14" spans="1:8">
      <c r="A14" s="360" t="s">
        <v>1749</v>
      </c>
      <c r="B14" s="261"/>
      <c r="C14" s="261"/>
      <c r="D14" s="261"/>
      <c r="E14" s="261"/>
      <c r="F14" s="418"/>
      <c r="G14" s="418"/>
      <c r="H14" s="418"/>
    </row>
    <row r="15" spans="1:8">
      <c r="A15" s="422" t="s">
        <v>1750</v>
      </c>
      <c r="B15" s="261"/>
      <c r="C15" s="261"/>
      <c r="D15" s="261"/>
      <c r="E15" s="261"/>
      <c r="F15" s="418"/>
      <c r="G15" s="418"/>
      <c r="H15" s="418"/>
    </row>
    <row r="16" spans="1:8">
      <c r="A16" s="360" t="s">
        <v>1751</v>
      </c>
      <c r="B16" s="261"/>
      <c r="C16" s="261"/>
      <c r="D16" s="261"/>
      <c r="E16" s="261"/>
      <c r="F16" s="418"/>
      <c r="G16" s="418"/>
      <c r="H16" s="418"/>
    </row>
    <row r="17" spans="1:8">
      <c r="A17" s="423" t="s">
        <v>1752</v>
      </c>
      <c r="B17" s="261"/>
      <c r="C17" s="261"/>
      <c r="D17" s="261"/>
      <c r="E17" s="261"/>
      <c r="F17" s="418"/>
      <c r="G17" s="418"/>
      <c r="H17" s="418"/>
    </row>
    <row r="18" spans="1:8">
      <c r="A18" s="422"/>
      <c r="B18" s="261"/>
      <c r="C18" s="261"/>
      <c r="D18" s="261"/>
      <c r="E18" s="261"/>
      <c r="F18" s="418"/>
      <c r="G18" s="418"/>
      <c r="H18" s="418"/>
    </row>
    <row r="19" spans="1:8">
      <c r="A19" s="419"/>
      <c r="F19" s="403"/>
    </row>
    <row r="20" spans="1:8">
      <c r="A20" s="419"/>
      <c r="F20" s="403"/>
    </row>
    <row r="21" spans="1:8">
      <c r="A21" s="419"/>
      <c r="F21" s="403"/>
    </row>
    <row r="22" spans="1:8">
      <c r="A22" s="419"/>
      <c r="F22" s="403"/>
    </row>
    <row r="23" spans="1:8">
      <c r="A23" s="419"/>
      <c r="F23" s="403"/>
    </row>
    <row r="24" spans="1:8">
      <c r="A24" s="419"/>
      <c r="F24" s="403"/>
    </row>
    <row r="25" spans="1:8">
      <c r="A25" s="419"/>
      <c r="F25" s="403"/>
    </row>
    <row r="26" spans="1:8">
      <c r="A26" s="419"/>
      <c r="F26" s="403"/>
    </row>
    <row r="27" spans="1:8">
      <c r="A27" s="419"/>
      <c r="F27" s="403"/>
    </row>
    <row r="28" spans="1:8">
      <c r="A28" s="419"/>
      <c r="F28" s="403"/>
    </row>
    <row r="29" spans="1:8">
      <c r="A29" s="419"/>
      <c r="F29" s="403"/>
    </row>
    <row r="30" spans="1:8">
      <c r="A30" s="419"/>
      <c r="F30" s="403"/>
    </row>
    <row r="31" spans="1:8">
      <c r="A31" s="419"/>
      <c r="F31" s="403"/>
    </row>
    <row r="32" spans="1:8">
      <c r="A32" s="419"/>
      <c r="F32" s="403"/>
    </row>
    <row r="33" spans="1:11">
      <c r="A33" s="419"/>
      <c r="D33" s="1348" t="s">
        <v>2212</v>
      </c>
      <c r="F33" s="403"/>
    </row>
    <row r="34" spans="1:11" ht="17.5">
      <c r="A34" s="364" t="s">
        <v>1753</v>
      </c>
      <c r="D34" s="1348"/>
      <c r="E34" s="421"/>
      <c r="F34" s="14"/>
    </row>
    <row r="35" spans="1:11" ht="15.5">
      <c r="A35" s="420"/>
      <c r="B35" s="392" t="s">
        <v>353</v>
      </c>
      <c r="C35" s="392" t="s">
        <v>353</v>
      </c>
      <c r="D35" s="392" t="s">
        <v>353</v>
      </c>
      <c r="E35" s="392" t="s">
        <v>353</v>
      </c>
      <c r="F35" s="14"/>
    </row>
    <row r="36" spans="1:11" ht="38.25" customHeight="1" thickBot="1">
      <c r="A36" s="366" t="s">
        <v>1593</v>
      </c>
      <c r="B36" s="367" t="s">
        <v>360</v>
      </c>
      <c r="C36" s="367" t="s">
        <v>1754</v>
      </c>
      <c r="D36" s="367" t="s">
        <v>1755</v>
      </c>
      <c r="E36" s="367" t="s">
        <v>1642</v>
      </c>
      <c r="F36" s="378" t="s">
        <v>1756</v>
      </c>
      <c r="G36" s="367" t="s">
        <v>363</v>
      </c>
    </row>
    <row r="37" spans="1:11" ht="19.5" customHeight="1">
      <c r="A37" s="368">
        <v>1</v>
      </c>
      <c r="B37" s="301" t="s">
        <v>1597</v>
      </c>
      <c r="C37" s="301" t="s">
        <v>39</v>
      </c>
      <c r="D37" s="301" t="s">
        <v>337</v>
      </c>
      <c r="E37" s="691">
        <v>50000</v>
      </c>
      <c r="F37" s="424">
        <f>IFERROR(VLOOKUP(_xlfn.CONCAT(C37,D37),EF!$U$181:$AB$194,8,FALSE),"")</f>
        <v>0.33049384478702826</v>
      </c>
      <c r="G37" s="328">
        <f>IFERROR(F37*E37*'Inventory Settings'!$J$21/1000,"")</f>
        <v>14.706976093022758</v>
      </c>
      <c r="I37" s="1345" t="s">
        <v>1757</v>
      </c>
      <c r="J37" s="1346"/>
    </row>
    <row r="38" spans="1:11" ht="15" customHeight="1">
      <c r="A38" s="368">
        <v>2</v>
      </c>
      <c r="B38" s="304"/>
      <c r="C38" s="304"/>
      <c r="D38" s="304"/>
      <c r="E38" s="373"/>
      <c r="F38" s="425" t="str">
        <f>IFERROR(VLOOKUP(_xlfn.CONCAT(C38,D38),EF!$U$181:$AB$194,8,FALSE),"")</f>
        <v/>
      </c>
      <c r="G38" s="329" t="str">
        <f>IFERROR(F38*E38*'Inventory Settings'!$J$21/1000,"")</f>
        <v/>
      </c>
      <c r="I38" s="1347" t="s">
        <v>1758</v>
      </c>
      <c r="J38" s="1347"/>
      <c r="K38" s="1347"/>
    </row>
    <row r="39" spans="1:11">
      <c r="A39" s="368">
        <v>3</v>
      </c>
      <c r="B39" s="304"/>
      <c r="C39" s="304"/>
      <c r="D39" s="304"/>
      <c r="E39" s="373"/>
      <c r="F39" s="425" t="str">
        <f>IFERROR(VLOOKUP(_xlfn.CONCAT(C39,D39),EF!$U$181:$AB$194,8,FALSE),"")</f>
        <v/>
      </c>
      <c r="G39" s="329" t="str">
        <f>IFERROR(F39*E39*'Inventory Settings'!$J$21/1000,"")</f>
        <v/>
      </c>
      <c r="I39" s="1347"/>
      <c r="J39" s="1347"/>
      <c r="K39" s="1347"/>
    </row>
    <row r="40" spans="1:11">
      <c r="A40" s="368">
        <v>4</v>
      </c>
      <c r="B40" s="304"/>
      <c r="C40" s="304"/>
      <c r="D40" s="304"/>
      <c r="E40" s="373"/>
      <c r="F40" s="425" t="str">
        <f>IFERROR(VLOOKUP(_xlfn.CONCAT(C40,D40),EF!$U$181:$AB$194,8,FALSE),"")</f>
        <v/>
      </c>
      <c r="G40" s="329" t="str">
        <f>IFERROR(F40*E40*'Inventory Settings'!$J$21/1000,"")</f>
        <v/>
      </c>
      <c r="I40" s="1347"/>
      <c r="J40" s="1347"/>
      <c r="K40" s="1347"/>
    </row>
    <row r="41" spans="1:11">
      <c r="A41" s="368">
        <v>5</v>
      </c>
      <c r="B41" s="304"/>
      <c r="C41" s="304"/>
      <c r="D41" s="304"/>
      <c r="E41" s="373"/>
      <c r="F41" s="425" t="str">
        <f>IFERROR(VLOOKUP(_xlfn.CONCAT(C41,D41),EF!$U$181:$AB$194,8,FALSE),"")</f>
        <v/>
      </c>
      <c r="G41" s="329" t="str">
        <f>IFERROR(F41*E41*'Inventory Settings'!$J$21/1000,"")</f>
        <v/>
      </c>
      <c r="I41" s="1347"/>
      <c r="J41" s="1347"/>
      <c r="K41" s="1347"/>
    </row>
    <row r="42" spans="1:11">
      <c r="A42" s="368">
        <v>6</v>
      </c>
      <c r="B42" s="304"/>
      <c r="C42" s="304"/>
      <c r="D42" s="304"/>
      <c r="E42" s="373"/>
      <c r="F42" s="425" t="str">
        <f>IFERROR(VLOOKUP(_xlfn.CONCAT(C42,D42),EF!$U$181:$AB$194,8,FALSE),"")</f>
        <v/>
      </c>
      <c r="G42" s="329" t="str">
        <f>IFERROR(F42*E42*'Inventory Settings'!$J$21/1000,"")</f>
        <v/>
      </c>
      <c r="I42" s="1347"/>
      <c r="J42" s="1347"/>
      <c r="K42" s="1347"/>
    </row>
    <row r="43" spans="1:11">
      <c r="A43" s="368">
        <v>7</v>
      </c>
      <c r="B43" s="304"/>
      <c r="C43" s="304"/>
      <c r="D43" s="304"/>
      <c r="E43" s="373"/>
      <c r="F43" s="425" t="str">
        <f>IFERROR(VLOOKUP(_xlfn.CONCAT(C43,D43),EF!$U$181:$AB$194,8,FALSE),"")</f>
        <v/>
      </c>
      <c r="G43" s="329" t="str">
        <f>IFERROR(F43*E43*'Inventory Settings'!$J$21/1000,"")</f>
        <v/>
      </c>
    </row>
    <row r="44" spans="1:11">
      <c r="A44" s="368">
        <v>8</v>
      </c>
      <c r="B44" s="304"/>
      <c r="C44" s="304"/>
      <c r="D44" s="304"/>
      <c r="E44" s="373"/>
      <c r="F44" s="425" t="str">
        <f>IFERROR(VLOOKUP(_xlfn.CONCAT(C44,D44),EF!$U$181:$AB$194,8,FALSE),"")</f>
        <v/>
      </c>
      <c r="G44" s="329" t="str">
        <f>IFERROR(F44*E44*'Inventory Settings'!$J$21/1000,"")</f>
        <v/>
      </c>
    </row>
    <row r="45" spans="1:11">
      <c r="A45" s="368">
        <v>9</v>
      </c>
      <c r="B45" s="304"/>
      <c r="C45" s="304"/>
      <c r="D45" s="304"/>
      <c r="E45" s="373"/>
      <c r="F45" s="425" t="str">
        <f>IFERROR(VLOOKUP(_xlfn.CONCAT(C45,D45),EF!$U$181:$AB$194,8,FALSE),"")</f>
        <v/>
      </c>
      <c r="G45" s="329" t="str">
        <f>IFERROR(F45*E45*'Inventory Settings'!$J$21/1000,"")</f>
        <v/>
      </c>
    </row>
    <row r="46" spans="1:11">
      <c r="A46" s="368">
        <v>10</v>
      </c>
      <c r="B46" s="304"/>
      <c r="C46" s="304"/>
      <c r="D46" s="304"/>
      <c r="E46" s="373"/>
      <c r="F46" s="425" t="str">
        <f>IFERROR(VLOOKUP(_xlfn.CONCAT(C46,D46),EF!$U$181:$AB$194,8,FALSE),"")</f>
        <v/>
      </c>
      <c r="G46" s="329" t="str">
        <f>IFERROR(F46*E46*'Inventory Settings'!$J$21/1000,"")</f>
        <v/>
      </c>
    </row>
    <row r="47" spans="1:11">
      <c r="A47" s="368">
        <v>11</v>
      </c>
      <c r="B47" s="304"/>
      <c r="C47" s="304"/>
      <c r="D47" s="304"/>
      <c r="E47" s="373"/>
      <c r="F47" s="425" t="str">
        <f>IFERROR(VLOOKUP(_xlfn.CONCAT(C47,D47),EF!$U$181:$AB$194,8,FALSE),"")</f>
        <v/>
      </c>
      <c r="G47" s="329" t="str">
        <f>IFERROR(F47*E47*'Inventory Settings'!$J$21/1000,"")</f>
        <v/>
      </c>
    </row>
    <row r="48" spans="1:11">
      <c r="A48" s="368">
        <v>12</v>
      </c>
      <c r="B48" s="304"/>
      <c r="C48" s="304"/>
      <c r="D48" s="304"/>
      <c r="E48" s="373"/>
      <c r="F48" s="425" t="str">
        <f>IFERROR(VLOOKUP(_xlfn.CONCAT(C48,D48),EF!$U$181:$AB$194,8,FALSE),"")</f>
        <v/>
      </c>
      <c r="G48" s="329" t="str">
        <f>IFERROR(F48*E48*'Inventory Settings'!$J$21/1000,"")</f>
        <v/>
      </c>
    </row>
    <row r="49" spans="1:8">
      <c r="A49" s="368">
        <v>13</v>
      </c>
      <c r="B49" s="304"/>
      <c r="C49" s="304"/>
      <c r="D49" s="304"/>
      <c r="E49" s="373"/>
      <c r="F49" s="425" t="str">
        <f>IFERROR(VLOOKUP(_xlfn.CONCAT(C49,D49),EF!$U$181:$AB$194,8,FALSE),"")</f>
        <v/>
      </c>
      <c r="G49" s="329" t="str">
        <f>IFERROR(F49*E49*'Inventory Settings'!$J$21/1000,"")</f>
        <v/>
      </c>
    </row>
    <row r="50" spans="1:8">
      <c r="A50" s="368">
        <v>14</v>
      </c>
      <c r="B50" s="304"/>
      <c r="C50" s="304"/>
      <c r="D50" s="304"/>
      <c r="E50" s="373"/>
      <c r="F50" s="425" t="str">
        <f>IFERROR(VLOOKUP(_xlfn.CONCAT(C50,D50),EF!$U$181:$AB$194,8,FALSE),"")</f>
        <v/>
      </c>
      <c r="G50" s="329" t="str">
        <f>IFERROR(F50*E50*'Inventory Settings'!$J$21/1000,"")</f>
        <v/>
      </c>
    </row>
    <row r="51" spans="1:8">
      <c r="A51" s="368">
        <v>15</v>
      </c>
      <c r="B51" s="304"/>
      <c r="C51" s="304"/>
      <c r="D51" s="304"/>
      <c r="E51" s="373"/>
      <c r="F51" s="425" t="str">
        <f>IFERROR(VLOOKUP(_xlfn.CONCAT(C51,D51),EF!$U$181:$AB$194,8,FALSE),"")</f>
        <v/>
      </c>
      <c r="G51" s="329" t="str">
        <f>IFERROR(F51*E51*'Inventory Settings'!$J$21/1000,"")</f>
        <v/>
      </c>
    </row>
    <row r="52" spans="1:8">
      <c r="A52" s="368">
        <v>16</v>
      </c>
      <c r="B52" s="304"/>
      <c r="C52" s="304"/>
      <c r="D52" s="304"/>
      <c r="E52" s="373"/>
      <c r="F52" s="425" t="str">
        <f>IFERROR(VLOOKUP(_xlfn.CONCAT(C52,D52),EF!$U$181:$AB$194,8,FALSE),"")</f>
        <v/>
      </c>
      <c r="G52" s="329" t="str">
        <f>IFERROR(F52*E52*'Inventory Settings'!$J$21/1000,"")</f>
        <v/>
      </c>
    </row>
    <row r="53" spans="1:8">
      <c r="A53" s="368">
        <v>17</v>
      </c>
      <c r="B53" s="304"/>
      <c r="C53" s="304"/>
      <c r="D53" s="304"/>
      <c r="E53" s="373"/>
      <c r="F53" s="425" t="str">
        <f>IFERROR(VLOOKUP(_xlfn.CONCAT(C53,D53),EF!$U$181:$AB$194,8,FALSE),"")</f>
        <v/>
      </c>
      <c r="G53" s="329" t="str">
        <f>IFERROR(F53*E53*'Inventory Settings'!$J$21/1000,"")</f>
        <v/>
      </c>
    </row>
    <row r="54" spans="1:8">
      <c r="A54" s="368">
        <v>18</v>
      </c>
      <c r="B54" s="304"/>
      <c r="C54" s="304"/>
      <c r="D54" s="304"/>
      <c r="E54" s="373"/>
      <c r="F54" s="425" t="str">
        <f>IFERROR(VLOOKUP(_xlfn.CONCAT(C54,D54),EF!$U$181:$AB$194,8,FALSE),"")</f>
        <v/>
      </c>
      <c r="G54" s="329" t="str">
        <f>IFERROR(F54*E54*'Inventory Settings'!$J$21/1000,"")</f>
        <v/>
      </c>
    </row>
    <row r="55" spans="1:8">
      <c r="A55" s="368">
        <v>19</v>
      </c>
      <c r="B55" s="304"/>
      <c r="C55" s="304"/>
      <c r="D55" s="304"/>
      <c r="E55" s="373"/>
      <c r="F55" s="425" t="str">
        <f>IFERROR(VLOOKUP(_xlfn.CONCAT(C55,D55),EF!$U$181:$AB$194,8,FALSE),"")</f>
        <v/>
      </c>
      <c r="G55" s="329" t="str">
        <f>IFERROR(F55*E55*'Inventory Settings'!$J$21/1000,"")</f>
        <v/>
      </c>
    </row>
    <row r="56" spans="1:8" ht="14.5" thickBot="1">
      <c r="A56" s="368">
        <v>20</v>
      </c>
      <c r="B56" s="304"/>
      <c r="C56" s="304"/>
      <c r="D56" s="304"/>
      <c r="E56" s="373"/>
      <c r="F56" s="425" t="str">
        <f>IFERROR(VLOOKUP(_xlfn.CONCAT(C56,D56),EF!$U$181:$AB$194,8,FALSE),"")</f>
        <v/>
      </c>
      <c r="G56" s="329" t="str">
        <f>IFERROR(F56*E56*'Inventory Settings'!$J$21/1000,"")</f>
        <v/>
      </c>
    </row>
    <row r="57" spans="1:8" ht="14.5" thickBot="1">
      <c r="F57" s="386" t="s">
        <v>1624</v>
      </c>
      <c r="G57" s="339">
        <f>SUM(G38:G56)</f>
        <v>0</v>
      </c>
    </row>
    <row r="58" spans="1:8">
      <c r="F58" s="421"/>
      <c r="G58" s="14"/>
    </row>
    <row r="59" spans="1:8" ht="17.5">
      <c r="A59" s="364" t="s">
        <v>1759</v>
      </c>
      <c r="E59" s="421"/>
      <c r="F59" s="14"/>
    </row>
    <row r="60" spans="1:8">
      <c r="A60" s="365" t="s">
        <v>1592</v>
      </c>
      <c r="E60" s="421"/>
      <c r="F60" s="14"/>
    </row>
    <row r="61" spans="1:8">
      <c r="A61" s="407" t="s">
        <v>2213</v>
      </c>
      <c r="E61" s="421"/>
      <c r="F61" s="14"/>
    </row>
    <row r="62" spans="1:8" ht="15.5">
      <c r="A62" s="420"/>
      <c r="B62" s="392" t="s">
        <v>353</v>
      </c>
      <c r="C62" s="392" t="s">
        <v>353</v>
      </c>
      <c r="D62" s="392" t="s">
        <v>353</v>
      </c>
      <c r="E62" s="392" t="s">
        <v>353</v>
      </c>
      <c r="F62" s="392" t="s">
        <v>353</v>
      </c>
    </row>
    <row r="63" spans="1:8" ht="55.5" customHeight="1">
      <c r="A63" s="366" t="s">
        <v>1593</v>
      </c>
      <c r="B63" s="367" t="s">
        <v>360</v>
      </c>
      <c r="C63" s="367" t="s">
        <v>287</v>
      </c>
      <c r="D63" s="367" t="s">
        <v>33</v>
      </c>
      <c r="E63" s="367" t="s">
        <v>1641</v>
      </c>
      <c r="F63" s="367" t="s">
        <v>1642</v>
      </c>
      <c r="G63" s="378" t="s">
        <v>1643</v>
      </c>
      <c r="H63" s="367" t="s">
        <v>363</v>
      </c>
    </row>
    <row r="64" spans="1:8" ht="14.5">
      <c r="A64" s="368">
        <v>1</v>
      </c>
      <c r="B64" s="301" t="s">
        <v>1597</v>
      </c>
      <c r="C64" s="301" t="s">
        <v>295</v>
      </c>
      <c r="D64" s="301" t="s">
        <v>311</v>
      </c>
      <c r="E64" s="301" t="s">
        <v>302</v>
      </c>
      <c r="F64" s="302">
        <v>50000</v>
      </c>
      <c r="G64" s="699">
        <f>IFERROR(VLOOKUP(_xlfn.CONCAT(C64,D64,E64),EF!$U$57:$AB$115,8,FALSE),"")</f>
        <v>0.36035324295302018</v>
      </c>
      <c r="H64" s="328">
        <f>IFERROR(G64*F64/1000,"")</f>
        <v>18.017662147651009</v>
      </c>
    </row>
    <row r="65" spans="1:12" ht="14.5" thickBot="1">
      <c r="A65" s="368">
        <v>2</v>
      </c>
      <c r="B65" s="304"/>
      <c r="C65" s="304"/>
      <c r="D65" s="304"/>
      <c r="E65" s="304"/>
      <c r="F65" s="305"/>
      <c r="G65" s="329" t="str">
        <f>IFERROR(VLOOKUP(_xlfn.CONCAT(C65,D65,E65),EF!$U$57:$AB$115,8,FALSE),"")</f>
        <v/>
      </c>
      <c r="H65" s="329" t="str">
        <f t="shared" ref="H65:H83" si="0">IFERROR(G65*F65/1000,"")</f>
        <v/>
      </c>
    </row>
    <row r="66" spans="1:12">
      <c r="A66" s="368">
        <v>3</v>
      </c>
      <c r="B66" s="304"/>
      <c r="C66" s="304"/>
      <c r="D66" s="304"/>
      <c r="E66" s="304"/>
      <c r="F66" s="305"/>
      <c r="G66" s="329" t="str">
        <f>IFERROR(VLOOKUP(_xlfn.CONCAT(C66,D66,E66),EF!$U$57:$AB$115,8,FALSE),"")</f>
        <v/>
      </c>
      <c r="H66" s="329" t="str">
        <f t="shared" si="0"/>
        <v/>
      </c>
      <c r="J66" s="1332" t="s">
        <v>1644</v>
      </c>
      <c r="K66" s="1333"/>
      <c r="L66" s="1334"/>
    </row>
    <row r="67" spans="1:12" ht="42">
      <c r="A67" s="368">
        <v>4</v>
      </c>
      <c r="B67" s="304"/>
      <c r="C67" s="304"/>
      <c r="D67" s="304"/>
      <c r="E67" s="304"/>
      <c r="F67" s="305"/>
      <c r="G67" s="329" t="str">
        <f>IFERROR(VLOOKUP(_xlfn.CONCAT(C67,D67,E67),EF!$U$57:$AB$115,8,FALSE),"")</f>
        <v/>
      </c>
      <c r="H67" s="329" t="str">
        <f t="shared" si="0"/>
        <v/>
      </c>
      <c r="J67" s="330" t="s">
        <v>1645</v>
      </c>
      <c r="K67" s="331" t="s">
        <v>1646</v>
      </c>
      <c r="L67" s="332" t="s">
        <v>1647</v>
      </c>
    </row>
    <row r="68" spans="1:12">
      <c r="A68" s="368">
        <v>5</v>
      </c>
      <c r="B68" s="304"/>
      <c r="C68" s="304"/>
      <c r="D68" s="304"/>
      <c r="E68" s="304"/>
      <c r="F68" s="305"/>
      <c r="G68" s="329" t="str">
        <f>IFERROR(VLOOKUP(_xlfn.CONCAT(C68,D68,E68),EF!$U$57:$AB$115,8,FALSE),"")</f>
        <v/>
      </c>
      <c r="H68" s="329" t="str">
        <f t="shared" si="0"/>
        <v/>
      </c>
      <c r="J68" s="333" t="s">
        <v>308</v>
      </c>
      <c r="K68" s="11">
        <v>1</v>
      </c>
      <c r="L68" s="334" t="s">
        <v>1648</v>
      </c>
    </row>
    <row r="69" spans="1:12" ht="42">
      <c r="A69" s="368">
        <v>6</v>
      </c>
      <c r="B69" s="304"/>
      <c r="C69" s="304"/>
      <c r="D69" s="304"/>
      <c r="E69" s="304"/>
      <c r="F69" s="305"/>
      <c r="G69" s="329" t="str">
        <f>IFERROR(VLOOKUP(_xlfn.CONCAT(C69,D69,E69),EF!$U$57:$AB$115,8,FALSE),"")</f>
        <v/>
      </c>
      <c r="H69" s="329" t="str">
        <f t="shared" si="0"/>
        <v/>
      </c>
      <c r="J69" s="333" t="s">
        <v>310</v>
      </c>
      <c r="K69" s="11">
        <v>2</v>
      </c>
      <c r="L69" s="334" t="s">
        <v>1649</v>
      </c>
    </row>
    <row r="70" spans="1:12" ht="42">
      <c r="A70" s="368">
        <v>7</v>
      </c>
      <c r="B70" s="304"/>
      <c r="C70" s="304"/>
      <c r="D70" s="304"/>
      <c r="E70" s="304"/>
      <c r="F70" s="305"/>
      <c r="G70" s="329" t="str">
        <f>IFERROR(VLOOKUP(_xlfn.CONCAT(C70,D70,E70),EF!$U$57:$AB$115,8,FALSE),"")</f>
        <v/>
      </c>
      <c r="H70" s="329" t="str">
        <f t="shared" si="0"/>
        <v/>
      </c>
      <c r="J70" s="333" t="s">
        <v>299</v>
      </c>
      <c r="K70" s="11">
        <v>3</v>
      </c>
      <c r="L70" s="334" t="s">
        <v>1650</v>
      </c>
    </row>
    <row r="71" spans="1:12" ht="28">
      <c r="A71" s="368">
        <v>8</v>
      </c>
      <c r="B71" s="304"/>
      <c r="C71" s="304"/>
      <c r="D71" s="304"/>
      <c r="E71" s="304"/>
      <c r="F71" s="305"/>
      <c r="G71" s="329" t="str">
        <f>IFERROR(VLOOKUP(_xlfn.CONCAT(C71,D71,E71),EF!$U$57:$AB$115,8,FALSE),"")</f>
        <v/>
      </c>
      <c r="H71" s="329" t="str">
        <f t="shared" si="0"/>
        <v/>
      </c>
      <c r="J71" s="333" t="s">
        <v>311</v>
      </c>
      <c r="K71" s="11">
        <v>4</v>
      </c>
      <c r="L71" s="334" t="s">
        <v>1651</v>
      </c>
    </row>
    <row r="72" spans="1:12">
      <c r="A72" s="368">
        <v>9</v>
      </c>
      <c r="B72" s="304"/>
      <c r="C72" s="304"/>
      <c r="D72" s="304"/>
      <c r="E72" s="304"/>
      <c r="F72" s="305"/>
      <c r="G72" s="329" t="str">
        <f>IFERROR(VLOOKUP(_xlfn.CONCAT(C72,D72,E72),EF!$U$57:$AB$115,8,FALSE),"")</f>
        <v/>
      </c>
      <c r="H72" s="329" t="str">
        <f t="shared" si="0"/>
        <v/>
      </c>
      <c r="J72" s="333" t="s">
        <v>305</v>
      </c>
      <c r="K72" s="11">
        <v>5</v>
      </c>
      <c r="L72" s="334" t="s">
        <v>1652</v>
      </c>
    </row>
    <row r="73" spans="1:12">
      <c r="A73" s="368">
        <v>10</v>
      </c>
      <c r="B73" s="304"/>
      <c r="C73" s="304"/>
      <c r="D73" s="304"/>
      <c r="E73" s="304"/>
      <c r="F73" s="305"/>
      <c r="G73" s="329" t="str">
        <f>IFERROR(VLOOKUP(_xlfn.CONCAT(C73,D73,E73),EF!$U$57:$AB$115,8,FALSE),"")</f>
        <v/>
      </c>
      <c r="H73" s="329" t="str">
        <f t="shared" si="0"/>
        <v/>
      </c>
      <c r="J73" s="333" t="s">
        <v>312</v>
      </c>
      <c r="K73" s="11">
        <v>6</v>
      </c>
      <c r="L73" s="334" t="s">
        <v>1653</v>
      </c>
    </row>
    <row r="74" spans="1:12">
      <c r="A74" s="368">
        <v>11</v>
      </c>
      <c r="B74" s="304"/>
      <c r="C74" s="304"/>
      <c r="D74" s="304"/>
      <c r="E74" s="304"/>
      <c r="F74" s="305"/>
      <c r="G74" s="329" t="str">
        <f>IFERROR(VLOOKUP(_xlfn.CONCAT(C74,D74,E74),EF!$U$57:$AB$115,8,FALSE),"")</f>
        <v/>
      </c>
      <c r="H74" s="329" t="str">
        <f t="shared" si="0"/>
        <v/>
      </c>
      <c r="J74" s="333" t="s">
        <v>307</v>
      </c>
      <c r="K74" s="11">
        <v>7</v>
      </c>
      <c r="L74" s="334" t="s">
        <v>1654</v>
      </c>
    </row>
    <row r="75" spans="1:12" ht="28">
      <c r="A75" s="368">
        <v>12</v>
      </c>
      <c r="B75" s="304"/>
      <c r="C75" s="304"/>
      <c r="D75" s="304"/>
      <c r="E75" s="304"/>
      <c r="F75" s="305"/>
      <c r="G75" s="329" t="str">
        <f>IFERROR(VLOOKUP(_xlfn.CONCAT(C75,D75,E75),EF!$U$57:$AB$115,8,FALSE),"")</f>
        <v/>
      </c>
      <c r="H75" s="329" t="str">
        <f t="shared" si="0"/>
        <v/>
      </c>
      <c r="J75" s="333" t="s">
        <v>313</v>
      </c>
      <c r="K75" s="11">
        <v>8</v>
      </c>
      <c r="L75" s="334" t="s">
        <v>1655</v>
      </c>
    </row>
    <row r="76" spans="1:12" ht="28.5" thickBot="1">
      <c r="A76" s="368">
        <v>13</v>
      </c>
      <c r="B76" s="304"/>
      <c r="C76" s="304"/>
      <c r="D76" s="304"/>
      <c r="E76" s="304"/>
      <c r="F76" s="305"/>
      <c r="G76" s="329" t="str">
        <f>IFERROR(VLOOKUP(_xlfn.CONCAT(C76,D76,E76),EF!$U$57:$AB$115,8,FALSE),"")</f>
        <v/>
      </c>
      <c r="H76" s="329" t="str">
        <f t="shared" si="0"/>
        <v/>
      </c>
      <c r="J76" s="335" t="s">
        <v>314</v>
      </c>
      <c r="K76" s="336">
        <v>9</v>
      </c>
      <c r="L76" s="337" t="s">
        <v>1656</v>
      </c>
    </row>
    <row r="77" spans="1:12">
      <c r="A77" s="368">
        <v>14</v>
      </c>
      <c r="B77" s="304"/>
      <c r="C77" s="304"/>
      <c r="D77" s="304"/>
      <c r="E77" s="304"/>
      <c r="F77" s="305"/>
      <c r="G77" s="329" t="str">
        <f>IFERROR(VLOOKUP(_xlfn.CONCAT(C77,D77,E77),EF!$U$57:$AB$115,8,FALSE),"")</f>
        <v/>
      </c>
      <c r="H77" s="329" t="str">
        <f t="shared" si="0"/>
        <v/>
      </c>
    </row>
    <row r="78" spans="1:12">
      <c r="A78" s="368">
        <v>15</v>
      </c>
      <c r="B78" s="304"/>
      <c r="C78" s="304"/>
      <c r="D78" s="304"/>
      <c r="E78" s="304"/>
      <c r="F78" s="305"/>
      <c r="G78" s="329" t="str">
        <f>IFERROR(VLOOKUP(_xlfn.CONCAT(C78,D78,E78),EF!$U$57:$AB$115,8,FALSE),"")</f>
        <v/>
      </c>
      <c r="H78" s="329" t="str">
        <f t="shared" si="0"/>
        <v/>
      </c>
    </row>
    <row r="79" spans="1:12">
      <c r="A79" s="368">
        <v>16</v>
      </c>
      <c r="B79" s="304"/>
      <c r="C79" s="304"/>
      <c r="D79" s="304"/>
      <c r="E79" s="304"/>
      <c r="F79" s="305"/>
      <c r="G79" s="329" t="str">
        <f>IFERROR(VLOOKUP(_xlfn.CONCAT(C79,D79,E79),EF!$U$57:$AB$115,8,FALSE),"")</f>
        <v/>
      </c>
      <c r="H79" s="329" t="str">
        <f t="shared" si="0"/>
        <v/>
      </c>
    </row>
    <row r="80" spans="1:12">
      <c r="A80" s="368">
        <v>17</v>
      </c>
      <c r="B80" s="304"/>
      <c r="C80" s="304"/>
      <c r="D80" s="304"/>
      <c r="E80" s="304"/>
      <c r="F80" s="305"/>
      <c r="G80" s="329" t="str">
        <f>IFERROR(VLOOKUP(_xlfn.CONCAT(C80,D80,E80),EF!$U$57:$AB$115,8,FALSE),"")</f>
        <v/>
      </c>
      <c r="H80" s="329" t="str">
        <f t="shared" si="0"/>
        <v/>
      </c>
    </row>
    <row r="81" spans="1:8">
      <c r="A81" s="368">
        <v>18</v>
      </c>
      <c r="B81" s="304"/>
      <c r="C81" s="304"/>
      <c r="D81" s="304"/>
      <c r="E81" s="304"/>
      <c r="F81" s="305"/>
      <c r="G81" s="329" t="str">
        <f>IFERROR(VLOOKUP(_xlfn.CONCAT(C81,D81,E81),EF!$U$57:$AB$115,8,FALSE),"")</f>
        <v/>
      </c>
      <c r="H81" s="329" t="str">
        <f t="shared" si="0"/>
        <v/>
      </c>
    </row>
    <row r="82" spans="1:8">
      <c r="A82" s="368">
        <v>19</v>
      </c>
      <c r="B82" s="304"/>
      <c r="C82" s="304"/>
      <c r="D82" s="304"/>
      <c r="E82" s="304"/>
      <c r="F82" s="305"/>
      <c r="G82" s="329" t="str">
        <f>IFERROR(VLOOKUP(_xlfn.CONCAT(C82,D82,E82),EF!$U$57:$AB$115,8,FALSE),"")</f>
        <v/>
      </c>
      <c r="H82" s="329" t="str">
        <f t="shared" si="0"/>
        <v/>
      </c>
    </row>
    <row r="83" spans="1:8" ht="14.5" thickBot="1">
      <c r="A83" s="368">
        <v>20</v>
      </c>
      <c r="B83" s="304"/>
      <c r="C83" s="304"/>
      <c r="D83" s="304"/>
      <c r="E83" s="304"/>
      <c r="F83" s="305"/>
      <c r="G83" s="329" t="str">
        <f>IFERROR(VLOOKUP(_xlfn.CONCAT(C83,D83,E83),EF!$U$57:$AB$115,8,FALSE),"")</f>
        <v/>
      </c>
      <c r="H83" s="329" t="str">
        <f t="shared" si="0"/>
        <v/>
      </c>
    </row>
    <row r="84" spans="1:8" ht="14.5" thickBot="1">
      <c r="G84" s="386" t="s">
        <v>1624</v>
      </c>
      <c r="H84" s="339">
        <f>SUM(H65:H83)</f>
        <v>0</v>
      </c>
    </row>
    <row r="85" spans="1:8">
      <c r="E85" s="421"/>
      <c r="F85" s="14"/>
    </row>
    <row r="86" spans="1:8" ht="17.5">
      <c r="A86" s="364" t="s">
        <v>1760</v>
      </c>
      <c r="E86" s="421"/>
      <c r="F86" s="14"/>
    </row>
    <row r="87" spans="1:8">
      <c r="A87" s="365" t="s">
        <v>1592</v>
      </c>
      <c r="C87" s="365"/>
      <c r="E87" s="421"/>
      <c r="F87" s="14"/>
    </row>
    <row r="88" spans="1:8" ht="15.5">
      <c r="A88" s="420"/>
      <c r="B88" s="392" t="s">
        <v>353</v>
      </c>
      <c r="C88" s="392" t="s">
        <v>353</v>
      </c>
      <c r="D88" s="392" t="s">
        <v>353</v>
      </c>
      <c r="E88" s="421"/>
      <c r="F88" s="14"/>
    </row>
    <row r="89" spans="1:8">
      <c r="A89" s="366" t="s">
        <v>1593</v>
      </c>
      <c r="B89" s="367" t="s">
        <v>360</v>
      </c>
      <c r="C89" s="367" t="s">
        <v>1761</v>
      </c>
      <c r="D89" s="367" t="s">
        <v>1762</v>
      </c>
      <c r="E89" s="367" t="s">
        <v>1763</v>
      </c>
      <c r="F89" s="367" t="s">
        <v>363</v>
      </c>
    </row>
    <row r="90" spans="1:8" ht="14.5">
      <c r="A90" s="368">
        <v>1</v>
      </c>
      <c r="B90" s="301" t="s">
        <v>1597</v>
      </c>
      <c r="C90" s="301" t="s">
        <v>227</v>
      </c>
      <c r="D90" s="301">
        <v>4</v>
      </c>
      <c r="E90" s="427">
        <f>IFERROR(VLOOKUP($C90,EF!$V$4:$W$44,2,FALSE),"")</f>
        <v>35</v>
      </c>
      <c r="F90" s="328">
        <f>IFERROR(E90*D90/1000,"")</f>
        <v>0.14000000000000001</v>
      </c>
    </row>
    <row r="91" spans="1:8">
      <c r="A91" s="368">
        <v>2</v>
      </c>
      <c r="B91" s="304"/>
      <c r="C91" s="304"/>
      <c r="D91" s="304"/>
      <c r="E91" s="426" t="str">
        <f>IFERROR(VLOOKUP($C91,EF!$V$4:$W$44,2,FALSE),"")</f>
        <v/>
      </c>
      <c r="F91" s="329" t="str">
        <f t="shared" ref="F91:F109" si="1">IFERROR(E91*D91/1000,"")</f>
        <v/>
      </c>
    </row>
    <row r="92" spans="1:8">
      <c r="A92" s="368">
        <v>3</v>
      </c>
      <c r="B92" s="304"/>
      <c r="C92" s="304"/>
      <c r="D92" s="304"/>
      <c r="E92" s="426" t="str">
        <f>IFERROR(VLOOKUP($C92,EF!$V$4:$W$44,2,FALSE),"")</f>
        <v/>
      </c>
      <c r="F92" s="329" t="str">
        <f t="shared" si="1"/>
        <v/>
      </c>
    </row>
    <row r="93" spans="1:8">
      <c r="A93" s="368">
        <v>4</v>
      </c>
      <c r="B93" s="304"/>
      <c r="C93" s="304"/>
      <c r="D93" s="304"/>
      <c r="E93" s="426" t="str">
        <f>IFERROR(VLOOKUP($C93,EF!$V$4:$W$44,2,FALSE),"")</f>
        <v/>
      </c>
      <c r="F93" s="329" t="str">
        <f t="shared" si="1"/>
        <v/>
      </c>
    </row>
    <row r="94" spans="1:8">
      <c r="A94" s="368">
        <v>5</v>
      </c>
      <c r="B94" s="304"/>
      <c r="C94" s="304"/>
      <c r="D94" s="304"/>
      <c r="E94" s="426" t="str">
        <f>IFERROR(VLOOKUP($C94,EF!$V$4:$W$44,2,FALSE),"")</f>
        <v/>
      </c>
      <c r="F94" s="329" t="str">
        <f t="shared" si="1"/>
        <v/>
      </c>
    </row>
    <row r="95" spans="1:8">
      <c r="A95" s="368">
        <v>6</v>
      </c>
      <c r="B95" s="304"/>
      <c r="C95" s="304"/>
      <c r="D95" s="304"/>
      <c r="E95" s="426" t="str">
        <f>IFERROR(VLOOKUP($C95,EF!$V$4:$W$44,2,FALSE),"")</f>
        <v/>
      </c>
      <c r="F95" s="329" t="str">
        <f t="shared" si="1"/>
        <v/>
      </c>
    </row>
    <row r="96" spans="1:8">
      <c r="A96" s="368">
        <v>7</v>
      </c>
      <c r="B96" s="304"/>
      <c r="C96" s="304"/>
      <c r="D96" s="304"/>
      <c r="E96" s="426" t="str">
        <f>IFERROR(VLOOKUP($C96,EF!$V$4:$W$44,2,FALSE),"")</f>
        <v/>
      </c>
      <c r="F96" s="329" t="str">
        <f t="shared" si="1"/>
        <v/>
      </c>
    </row>
    <row r="97" spans="1:6">
      <c r="A97" s="368">
        <v>8</v>
      </c>
      <c r="B97" s="304"/>
      <c r="C97" s="304"/>
      <c r="D97" s="304"/>
      <c r="E97" s="426" t="str">
        <f>IFERROR(VLOOKUP($C97,EF!$V$4:$W$44,2,FALSE),"")</f>
        <v/>
      </c>
      <c r="F97" s="329" t="str">
        <f t="shared" si="1"/>
        <v/>
      </c>
    </row>
    <row r="98" spans="1:6">
      <c r="A98" s="368">
        <v>9</v>
      </c>
      <c r="B98" s="304"/>
      <c r="C98" s="304"/>
      <c r="D98" s="304"/>
      <c r="E98" s="426" t="str">
        <f>IFERROR(VLOOKUP($C98,EF!$V$4:$W$44,2,FALSE),"")</f>
        <v/>
      </c>
      <c r="F98" s="329" t="str">
        <f t="shared" si="1"/>
        <v/>
      </c>
    </row>
    <row r="99" spans="1:6">
      <c r="A99" s="368">
        <v>10</v>
      </c>
      <c r="B99" s="304"/>
      <c r="C99" s="304"/>
      <c r="D99" s="304"/>
      <c r="E99" s="426" t="str">
        <f>IFERROR(VLOOKUP($C99,EF!$V$4:$W$44,2,FALSE),"")</f>
        <v/>
      </c>
      <c r="F99" s="329" t="str">
        <f t="shared" si="1"/>
        <v/>
      </c>
    </row>
    <row r="100" spans="1:6">
      <c r="A100" s="368">
        <v>11</v>
      </c>
      <c r="B100" s="304"/>
      <c r="C100" s="304"/>
      <c r="D100" s="304"/>
      <c r="E100" s="426" t="str">
        <f>IFERROR(VLOOKUP($C100,EF!$V$4:$W$44,2,FALSE),"")</f>
        <v/>
      </c>
      <c r="F100" s="329" t="str">
        <f t="shared" si="1"/>
        <v/>
      </c>
    </row>
    <row r="101" spans="1:6">
      <c r="A101" s="368">
        <v>12</v>
      </c>
      <c r="B101" s="304"/>
      <c r="C101" s="304"/>
      <c r="D101" s="304"/>
      <c r="E101" s="426" t="str">
        <f>IFERROR(VLOOKUP($C101,EF!$V$4:$W$44,2,FALSE),"")</f>
        <v/>
      </c>
      <c r="F101" s="329" t="str">
        <f t="shared" si="1"/>
        <v/>
      </c>
    </row>
    <row r="102" spans="1:6">
      <c r="A102" s="368">
        <v>13</v>
      </c>
      <c r="B102" s="304"/>
      <c r="C102" s="304"/>
      <c r="D102" s="304"/>
      <c r="E102" s="426" t="str">
        <f>IFERROR(VLOOKUP($C102,EF!$V$4:$W$44,2,FALSE),"")</f>
        <v/>
      </c>
      <c r="F102" s="329" t="str">
        <f t="shared" si="1"/>
        <v/>
      </c>
    </row>
    <row r="103" spans="1:6">
      <c r="A103" s="368">
        <v>14</v>
      </c>
      <c r="B103" s="304"/>
      <c r="C103" s="304"/>
      <c r="D103" s="304"/>
      <c r="E103" s="426" t="str">
        <f>IFERROR(VLOOKUP($C103,EF!$V$4:$W$44,2,FALSE),"")</f>
        <v/>
      </c>
      <c r="F103" s="329" t="str">
        <f t="shared" si="1"/>
        <v/>
      </c>
    </row>
    <row r="104" spans="1:6">
      <c r="A104" s="368">
        <v>15</v>
      </c>
      <c r="B104" s="304"/>
      <c r="C104" s="304"/>
      <c r="D104" s="304"/>
      <c r="E104" s="426" t="str">
        <f>IFERROR(VLOOKUP($C104,EF!$V$4:$W$44,2,FALSE),"")</f>
        <v/>
      </c>
      <c r="F104" s="329" t="str">
        <f t="shared" si="1"/>
        <v/>
      </c>
    </row>
    <row r="105" spans="1:6">
      <c r="A105" s="368">
        <v>16</v>
      </c>
      <c r="B105" s="304"/>
      <c r="C105" s="304"/>
      <c r="D105" s="304"/>
      <c r="E105" s="426" t="str">
        <f>IFERROR(VLOOKUP($C105,EF!$V$4:$W$44,2,FALSE),"")</f>
        <v/>
      </c>
      <c r="F105" s="329" t="str">
        <f t="shared" si="1"/>
        <v/>
      </c>
    </row>
    <row r="106" spans="1:6">
      <c r="A106" s="368">
        <v>17</v>
      </c>
      <c r="B106" s="304"/>
      <c r="C106" s="304"/>
      <c r="D106" s="304"/>
      <c r="E106" s="426" t="str">
        <f>IFERROR(VLOOKUP($C106,EF!$V$4:$W$44,2,FALSE),"")</f>
        <v/>
      </c>
      <c r="F106" s="329" t="str">
        <f t="shared" si="1"/>
        <v/>
      </c>
    </row>
    <row r="107" spans="1:6">
      <c r="A107" s="368">
        <v>18</v>
      </c>
      <c r="B107" s="304"/>
      <c r="C107" s="304"/>
      <c r="D107" s="304"/>
      <c r="E107" s="426" t="str">
        <f>IFERROR(VLOOKUP($C107,EF!$V$4:$W$44,2,FALSE),"")</f>
        <v/>
      </c>
      <c r="F107" s="329" t="str">
        <f t="shared" si="1"/>
        <v/>
      </c>
    </row>
    <row r="108" spans="1:6">
      <c r="A108" s="368">
        <v>19</v>
      </c>
      <c r="B108" s="304"/>
      <c r="C108" s="304"/>
      <c r="D108" s="304"/>
      <c r="E108" s="426" t="str">
        <f>IFERROR(VLOOKUP($C108,EF!$V$4:$W$44,2,FALSE),"")</f>
        <v/>
      </c>
      <c r="F108" s="329" t="str">
        <f t="shared" si="1"/>
        <v/>
      </c>
    </row>
    <row r="109" spans="1:6" ht="14.5" thickBot="1">
      <c r="A109" s="368">
        <v>20</v>
      </c>
      <c r="B109" s="304"/>
      <c r="C109" s="304"/>
      <c r="D109" s="304"/>
      <c r="E109" s="426" t="str">
        <f>IFERROR(VLOOKUP($C109,EF!$V$4:$W$44,2,FALSE),"")</f>
        <v/>
      </c>
      <c r="F109" s="329" t="str">
        <f t="shared" si="1"/>
        <v/>
      </c>
    </row>
    <row r="110" spans="1:6" ht="14.5" thickBot="1">
      <c r="E110" s="386" t="s">
        <v>1624</v>
      </c>
      <c r="F110" s="339">
        <f>SUM(F91:F109)</f>
        <v>0</v>
      </c>
    </row>
    <row r="111" spans="1:6">
      <c r="E111" s="421"/>
      <c r="F111" s="14"/>
    </row>
  </sheetData>
  <sheetProtection algorithmName="SHA-512" hashValue="VRqfd1xFYLtX8Zv7O31s7Z5cLmbh52wQIEirr/3hTjloodh0BLuNkmbXtDdX1m26cpivztSWtICnM1nlP0Gx2A==" saltValue="ev4dG3jTyj7J1RAQWh/zqw==" spinCount="100000" sheet="1" objects="1" scenarios="1"/>
  <mergeCells count="4">
    <mergeCell ref="I37:J37"/>
    <mergeCell ref="I38:K42"/>
    <mergeCell ref="J66:L66"/>
    <mergeCell ref="D33:D34"/>
  </mergeCells>
  <dataValidations count="2">
    <dataValidation type="list" allowBlank="1" showInputMessage="1" showErrorMessage="1" sqref="D64:D83 D37:D56" xr:uid="{A81EC5B9-D0F2-44DE-B24C-DE8F395B7D41}">
      <formula1>INDIRECT(C37)</formula1>
    </dataValidation>
    <dataValidation type="list" allowBlank="1" showInputMessage="1" showErrorMessage="1" sqref="C37:C56" xr:uid="{31A0C2E1-1956-4C09-9BA5-BA851EB62017}">
      <formula1>"Short, Medium, Long"</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DC214945-147A-41CD-9038-CC9CC8F49094}">
          <x14:formula1>
            <xm:f>EF!$V$5:$V$44</xm:f>
          </x14:formula1>
          <xm:sqref>C90:C109</xm:sqref>
        </x14:dataValidation>
        <x14:dataValidation type="list" allowBlank="1" showInputMessage="1" showErrorMessage="1" xr:uid="{F8EA074C-F2AC-4079-9D22-95BE7130A0CA}">
          <x14:formula1>
            <xm:f>EF!$AE$57:$AE$61</xm:f>
          </x14:formula1>
          <xm:sqref>C65:C83</xm:sqref>
        </x14:dataValidation>
        <x14:dataValidation type="list" allowBlank="1" showInputMessage="1" showErrorMessage="1" xr:uid="{5ADD34A8-FCC0-4D18-8169-570A6731546D}">
          <x14:formula1>
            <xm:f>IF($C65=EF!$AE$58,EF!$AG$72:$AG$76,"")</xm:f>
          </x14:formula1>
          <xm:sqref>E65:E83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FEA9E-2B43-4F13-A7E2-2BC6FCD71FC9}">
  <sheetPr>
    <tabColor theme="3" tint="0.59999389629810485"/>
  </sheetPr>
  <dimension ref="A1:H97"/>
  <sheetViews>
    <sheetView showGridLines="0" zoomScale="80" zoomScaleNormal="80" workbookViewId="0">
      <selection activeCell="C77" sqref="C77:E77"/>
    </sheetView>
  </sheetViews>
  <sheetFormatPr defaultColWidth="8.9140625" defaultRowHeight="14"/>
  <cols>
    <col min="2" max="2" width="39.5" customWidth="1"/>
    <col min="3" max="3" width="29.08203125" customWidth="1"/>
    <col min="4" max="4" width="20" customWidth="1"/>
    <col min="5" max="5" width="27.4140625" customWidth="1"/>
    <col min="6" max="6" width="22.5" customWidth="1"/>
    <col min="7" max="7" width="24.5" customWidth="1"/>
    <col min="8" max="8" width="19.4140625" bestFit="1" customWidth="1"/>
  </cols>
  <sheetData>
    <row r="1" spans="1:6" ht="25.65" customHeight="1">
      <c r="A1" s="154" t="s">
        <v>1764</v>
      </c>
      <c r="B1" s="154"/>
      <c r="C1" s="154"/>
      <c r="D1" s="154"/>
      <c r="E1" s="154"/>
      <c r="F1" s="154"/>
    </row>
    <row r="2" spans="1:6" ht="18.75" customHeight="1">
      <c r="A2" s="359" t="s">
        <v>1765</v>
      </c>
      <c r="B2" s="261"/>
      <c r="C2" s="261"/>
      <c r="D2" s="261"/>
      <c r="E2" s="261"/>
      <c r="F2" s="261"/>
    </row>
    <row r="3" spans="1:6" ht="18.75" customHeight="1">
      <c r="A3" s="263" t="s">
        <v>1739</v>
      </c>
      <c r="B3" s="261"/>
      <c r="C3" s="261"/>
      <c r="D3" s="261"/>
      <c r="E3" s="261"/>
      <c r="F3" s="261"/>
    </row>
    <row r="4" spans="1:6" ht="18.75" customHeight="1">
      <c r="A4" s="263" t="s">
        <v>1766</v>
      </c>
      <c r="B4" s="261"/>
      <c r="C4" s="261"/>
      <c r="D4" s="261"/>
      <c r="E4" s="261"/>
      <c r="F4" s="261"/>
    </row>
    <row r="5" spans="1:6" ht="18.75" customHeight="1">
      <c r="A5" s="428" t="s">
        <v>1767</v>
      </c>
      <c r="B5" s="261"/>
      <c r="C5" s="261"/>
      <c r="D5" s="261"/>
      <c r="E5" s="261"/>
      <c r="F5" s="261"/>
    </row>
    <row r="6" spans="1:6" ht="18.75" customHeight="1">
      <c r="A6" s="429" t="s">
        <v>1768</v>
      </c>
      <c r="B6" s="261"/>
      <c r="C6" s="261"/>
      <c r="D6" s="261"/>
      <c r="E6" s="261"/>
      <c r="F6" s="261"/>
    </row>
    <row r="7" spans="1:6" ht="15.9" customHeight="1"/>
    <row r="8" spans="1:6" ht="15.9" customHeight="1">
      <c r="E8" s="1"/>
    </row>
    <row r="9" spans="1:6" ht="15.9" customHeight="1">
      <c r="E9" s="1"/>
    </row>
    <row r="10" spans="1:6" ht="15.9" customHeight="1"/>
    <row r="11" spans="1:6" ht="15.9" customHeight="1"/>
    <row r="12" spans="1:6" ht="15.9" customHeight="1"/>
    <row r="13" spans="1:6" ht="15.9" customHeight="1"/>
    <row r="14" spans="1:6" ht="15.9" customHeight="1"/>
    <row r="15" spans="1:6" ht="15.9" customHeight="1"/>
    <row r="16" spans="1:6" ht="15.9" customHeight="1"/>
    <row r="17" spans="1:7" ht="15.9" customHeight="1"/>
    <row r="18" spans="1:7" ht="15.9" customHeight="1"/>
    <row r="19" spans="1:7" ht="17.5">
      <c r="A19" s="364" t="s">
        <v>1769</v>
      </c>
    </row>
    <row r="20" spans="1:7">
      <c r="A20" s="365" t="s">
        <v>1592</v>
      </c>
    </row>
    <row r="21" spans="1:7" ht="14.5">
      <c r="B21" s="2" t="s">
        <v>353</v>
      </c>
      <c r="C21" s="2" t="s">
        <v>353</v>
      </c>
      <c r="D21" s="2" t="s">
        <v>353</v>
      </c>
      <c r="E21" s="2" t="s">
        <v>353</v>
      </c>
      <c r="F21" s="2" t="s">
        <v>353</v>
      </c>
    </row>
    <row r="22" spans="1:7" ht="42">
      <c r="A22" s="366" t="s">
        <v>1593</v>
      </c>
      <c r="B22" s="367" t="s">
        <v>360</v>
      </c>
      <c r="C22" s="378" t="s">
        <v>1770</v>
      </c>
      <c r="D22" s="379" t="s">
        <v>1771</v>
      </c>
      <c r="E22" s="378" t="s">
        <v>1772</v>
      </c>
      <c r="F22" s="379" t="s">
        <v>1773</v>
      </c>
      <c r="G22" s="367" t="s">
        <v>363</v>
      </c>
    </row>
    <row r="23" spans="1:7" ht="14.5">
      <c r="A23" s="368">
        <v>1</v>
      </c>
      <c r="B23" s="301" t="s">
        <v>1774</v>
      </c>
      <c r="C23" s="301" t="s">
        <v>1775</v>
      </c>
      <c r="D23" s="430">
        <v>10000</v>
      </c>
      <c r="E23" s="430">
        <v>49</v>
      </c>
      <c r="F23" s="431">
        <v>5</v>
      </c>
      <c r="G23" s="412">
        <f>IFERROR((D23*E23*F23*VLOOKUP(C23,'Commute Calcs'!$F$6:$I$56,4,FALSE)/1000),"")</f>
        <v>8888.9640778851572</v>
      </c>
    </row>
    <row r="24" spans="1:7">
      <c r="A24" s="368">
        <v>2</v>
      </c>
      <c r="B24" s="313"/>
      <c r="C24" s="313"/>
      <c r="D24" s="323"/>
      <c r="E24" s="323"/>
      <c r="F24" s="432"/>
      <c r="G24" s="382" t="str">
        <f>IFERROR((D24*E24*F24*VLOOKUP(C24,'Commute Calcs'!$F$6:$I$56,4,FALSE)/1000),"")</f>
        <v/>
      </c>
    </row>
    <row r="25" spans="1:7">
      <c r="A25" s="368">
        <v>3</v>
      </c>
      <c r="B25" s="313"/>
      <c r="C25" s="313"/>
      <c r="D25" s="323"/>
      <c r="E25" s="323"/>
      <c r="F25" s="432"/>
      <c r="G25" s="382" t="str">
        <f>IFERROR((D25*E25*F25*VLOOKUP(C25,'Commute Calcs'!$F$6:$I$56,4,FALSE)/1000),"")</f>
        <v/>
      </c>
    </row>
    <row r="26" spans="1:7">
      <c r="A26" s="368">
        <v>4</v>
      </c>
      <c r="B26" s="313"/>
      <c r="C26" s="313"/>
      <c r="D26" s="323"/>
      <c r="E26" s="323"/>
      <c r="F26" s="432"/>
      <c r="G26" s="382" t="str">
        <f>IFERROR((D26*E26*F26*VLOOKUP(C26,'Commute Calcs'!$F$6:$I$56,4,FALSE)/1000),"")</f>
        <v/>
      </c>
    </row>
    <row r="27" spans="1:7">
      <c r="A27" s="368">
        <v>5</v>
      </c>
      <c r="B27" s="313"/>
      <c r="C27" s="313"/>
      <c r="D27" s="323"/>
      <c r="E27" s="323"/>
      <c r="F27" s="432"/>
      <c r="G27" s="382" t="str">
        <f>IFERROR((D27*E27*F27*VLOOKUP(C27,'Commute Calcs'!$F$6:$I$56,4,FALSE)/1000),"")</f>
        <v/>
      </c>
    </row>
    <row r="28" spans="1:7">
      <c r="A28" s="368">
        <v>6</v>
      </c>
      <c r="B28" s="313"/>
      <c r="C28" s="313"/>
      <c r="D28" s="323"/>
      <c r="E28" s="323"/>
      <c r="F28" s="432"/>
      <c r="G28" s="382" t="str">
        <f>IFERROR((D28*E28*F28*VLOOKUP(C28,'Commute Calcs'!$F$6:$I$56,4,FALSE)/1000),"")</f>
        <v/>
      </c>
    </row>
    <row r="29" spans="1:7">
      <c r="A29" s="368">
        <v>7</v>
      </c>
      <c r="B29" s="313"/>
      <c r="C29" s="313"/>
      <c r="D29" s="323"/>
      <c r="E29" s="323"/>
      <c r="F29" s="432"/>
      <c r="G29" s="382" t="str">
        <f>IFERROR((D29*E29*F29*VLOOKUP(C29,'Commute Calcs'!$F$6:$I$56,4,FALSE)/1000),"")</f>
        <v/>
      </c>
    </row>
    <row r="30" spans="1:7">
      <c r="A30" s="368">
        <v>8</v>
      </c>
      <c r="B30" s="313"/>
      <c r="C30" s="313"/>
      <c r="D30" s="323"/>
      <c r="E30" s="323"/>
      <c r="F30" s="432"/>
      <c r="G30" s="382" t="str">
        <f>IFERROR((D30*E30*F30*VLOOKUP(C30,'Commute Calcs'!$F$6:$I$56,4,FALSE)/1000),"")</f>
        <v/>
      </c>
    </row>
    <row r="31" spans="1:7">
      <c r="A31" s="368">
        <v>9</v>
      </c>
      <c r="B31" s="313"/>
      <c r="C31" s="313"/>
      <c r="D31" s="323"/>
      <c r="E31" s="323"/>
      <c r="F31" s="432"/>
      <c r="G31" s="382" t="str">
        <f>IFERROR((D31*E31*F31*VLOOKUP(C31,'Commute Calcs'!$F$6:$I$56,4,FALSE)/1000),"")</f>
        <v/>
      </c>
    </row>
    <row r="32" spans="1:7">
      <c r="A32" s="368">
        <v>10</v>
      </c>
      <c r="B32" s="313"/>
      <c r="C32" s="313"/>
      <c r="D32" s="323"/>
      <c r="E32" s="323"/>
      <c r="F32" s="432"/>
      <c r="G32" s="382" t="str">
        <f>IFERROR((D32*E32*F32*VLOOKUP(C32,'Commute Calcs'!$F$6:$I$56,4,FALSE)/1000),"")</f>
        <v/>
      </c>
    </row>
    <row r="33" spans="1:8">
      <c r="A33" s="368">
        <v>11</v>
      </c>
      <c r="B33" s="313"/>
      <c r="C33" s="313"/>
      <c r="D33" s="323"/>
      <c r="E33" s="323"/>
      <c r="F33" s="432"/>
      <c r="G33" s="382" t="str">
        <f>IFERROR((D33*E33*F33*VLOOKUP(C33,'Commute Calcs'!$F$6:$I$56,4,FALSE)/1000),"")</f>
        <v/>
      </c>
    </row>
    <row r="34" spans="1:8">
      <c r="A34" s="368">
        <v>12</v>
      </c>
      <c r="B34" s="313"/>
      <c r="C34" s="313"/>
      <c r="D34" s="323"/>
      <c r="E34" s="323"/>
      <c r="F34" s="432"/>
      <c r="G34" s="382" t="str">
        <f>IFERROR((D34*E34*F34*VLOOKUP(C34,'Commute Calcs'!$F$6:$I$56,4,FALSE)/1000),"")</f>
        <v/>
      </c>
    </row>
    <row r="35" spans="1:8">
      <c r="A35" s="368">
        <v>13</v>
      </c>
      <c r="B35" s="313"/>
      <c r="C35" s="313"/>
      <c r="D35" s="323"/>
      <c r="E35" s="323"/>
      <c r="F35" s="432"/>
      <c r="G35" s="382" t="str">
        <f>IFERROR((D35*E35*F35*VLOOKUP(C35,'Commute Calcs'!$F$6:$I$56,4,FALSE)/1000),"")</f>
        <v/>
      </c>
    </row>
    <row r="36" spans="1:8">
      <c r="A36" s="368">
        <v>14</v>
      </c>
      <c r="B36" s="313"/>
      <c r="C36" s="313"/>
      <c r="D36" s="323"/>
      <c r="E36" s="323"/>
      <c r="F36" s="432"/>
      <c r="G36" s="382" t="str">
        <f>IFERROR((D36*E36*F36*VLOOKUP(C36,'Commute Calcs'!$F$6:$I$56,4,FALSE)/1000),"")</f>
        <v/>
      </c>
    </row>
    <row r="37" spans="1:8">
      <c r="A37" s="368">
        <v>15</v>
      </c>
      <c r="B37" s="313"/>
      <c r="C37" s="313"/>
      <c r="D37" s="323"/>
      <c r="E37" s="323"/>
      <c r="F37" s="432"/>
      <c r="G37" s="382" t="str">
        <f>IFERROR((D37*E37*F37*VLOOKUP(C37,'Commute Calcs'!$F$6:$I$56,4,FALSE)/1000),"")</f>
        <v/>
      </c>
    </row>
    <row r="38" spans="1:8">
      <c r="A38" s="368">
        <v>16</v>
      </c>
      <c r="B38" s="313"/>
      <c r="C38" s="313"/>
      <c r="D38" s="323"/>
      <c r="E38" s="323"/>
      <c r="F38" s="432"/>
      <c r="G38" s="382" t="str">
        <f>IFERROR((D38*E38*F38*VLOOKUP(C38,'Commute Calcs'!$F$6:$I$56,4,FALSE)/1000),"")</f>
        <v/>
      </c>
    </row>
    <row r="39" spans="1:8">
      <c r="A39" s="368">
        <v>17</v>
      </c>
      <c r="B39" s="313"/>
      <c r="C39" s="313"/>
      <c r="D39" s="323"/>
      <c r="E39" s="323"/>
      <c r="F39" s="432"/>
      <c r="G39" s="382" t="str">
        <f>IFERROR((D39*E39*F39*VLOOKUP(C39,'Commute Calcs'!$F$6:$I$56,4,FALSE)/1000),"")</f>
        <v/>
      </c>
    </row>
    <row r="40" spans="1:8">
      <c r="A40" s="368">
        <v>18</v>
      </c>
      <c r="B40" s="313"/>
      <c r="C40" s="313"/>
      <c r="D40" s="323"/>
      <c r="E40" s="323"/>
      <c r="F40" s="432"/>
      <c r="G40" s="382" t="str">
        <f>IFERROR((D40*E40*F40*VLOOKUP(C40,'Commute Calcs'!$F$6:$I$56,4,FALSE)/1000),"")</f>
        <v/>
      </c>
    </row>
    <row r="41" spans="1:8">
      <c r="A41" s="368">
        <v>19</v>
      </c>
      <c r="B41" s="313"/>
      <c r="C41" s="313"/>
      <c r="D41" s="323"/>
      <c r="E41" s="323"/>
      <c r="F41" s="432"/>
      <c r="G41" s="382" t="str">
        <f>IFERROR((D41*E41*F41*VLOOKUP(C41,'Commute Calcs'!$F$6:$I$56,4,FALSE)/1000),"")</f>
        <v/>
      </c>
    </row>
    <row r="42" spans="1:8" ht="14.5" thickBot="1">
      <c r="A42" s="368">
        <v>20</v>
      </c>
      <c r="B42" s="313"/>
      <c r="C42" s="313"/>
      <c r="D42" s="323"/>
      <c r="E42" s="323"/>
      <c r="F42" s="432"/>
      <c r="G42" s="382" t="str">
        <f>IFERROR((D42*E42*F42*VLOOKUP(C42,'Commute Calcs'!$F$6:$I$56,4,FALSE)/1000),"")</f>
        <v/>
      </c>
    </row>
    <row r="43" spans="1:8" ht="14.5" thickBot="1">
      <c r="F43" s="386" t="s">
        <v>1624</v>
      </c>
      <c r="G43" s="339">
        <f>SUM(G24:G42)</f>
        <v>0</v>
      </c>
    </row>
    <row r="44" spans="1:8" ht="18" thickBot="1">
      <c r="A44" s="364" t="s">
        <v>1776</v>
      </c>
      <c r="F44" s="433" t="s">
        <v>1624</v>
      </c>
      <c r="G44" s="434"/>
      <c r="H44" s="407" t="s">
        <v>1777</v>
      </c>
    </row>
    <row r="45" spans="1:8">
      <c r="A45" s="365" t="s">
        <v>1592</v>
      </c>
    </row>
    <row r="46" spans="1:8" ht="14.5">
      <c r="B46" s="2" t="s">
        <v>353</v>
      </c>
      <c r="C46" s="2" t="s">
        <v>353</v>
      </c>
      <c r="D46" s="2" t="s">
        <v>353</v>
      </c>
      <c r="E46" s="2" t="s">
        <v>353</v>
      </c>
      <c r="F46" s="2" t="s">
        <v>353</v>
      </c>
    </row>
    <row r="47" spans="1:8" ht="42">
      <c r="A47" s="366" t="s">
        <v>1593</v>
      </c>
      <c r="B47" s="367" t="s">
        <v>360</v>
      </c>
      <c r="C47" s="378" t="s">
        <v>1770</v>
      </c>
      <c r="D47" s="378" t="s">
        <v>1778</v>
      </c>
      <c r="E47" s="378" t="s">
        <v>1772</v>
      </c>
      <c r="F47" s="378" t="s">
        <v>1779</v>
      </c>
      <c r="G47" s="367" t="s">
        <v>363</v>
      </c>
    </row>
    <row r="48" spans="1:8" ht="14.5">
      <c r="A48" s="368">
        <v>1</v>
      </c>
      <c r="B48" s="301" t="s">
        <v>1780</v>
      </c>
      <c r="C48" s="301" t="s">
        <v>1781</v>
      </c>
      <c r="D48" s="369">
        <v>5000</v>
      </c>
      <c r="E48" s="369">
        <v>49</v>
      </c>
      <c r="F48" s="301">
        <v>3</v>
      </c>
      <c r="G48" s="412">
        <f>IFERROR((D48*E48*F48*VLOOKUP(C48,'Commute Calcs'!$F$6:$I$56,4,FALSE)/1000),"")</f>
        <v>2272.7418482689782</v>
      </c>
    </row>
    <row r="49" spans="1:7">
      <c r="A49" s="368">
        <v>2</v>
      </c>
      <c r="B49" s="313"/>
      <c r="C49" s="313"/>
      <c r="D49" s="435"/>
      <c r="E49" s="435"/>
      <c r="F49" s="313"/>
      <c r="G49" s="382" t="str">
        <f>IFERROR((D49*E49*F49*VLOOKUP(C49,'Commute Calcs'!$F$6:$I$56,4,FALSE)/1000),"")</f>
        <v/>
      </c>
    </row>
    <row r="50" spans="1:7">
      <c r="A50" s="368">
        <v>3</v>
      </c>
      <c r="B50" s="313"/>
      <c r="C50" s="313"/>
      <c r="D50" s="435"/>
      <c r="E50" s="435"/>
      <c r="F50" s="313"/>
      <c r="G50" s="382" t="str">
        <f>IFERROR((D50*E50*F50*VLOOKUP(C50,'Commute Calcs'!$F$6:$I$56,4,FALSE)/1000),"")</f>
        <v/>
      </c>
    </row>
    <row r="51" spans="1:7">
      <c r="A51" s="368">
        <v>4</v>
      </c>
      <c r="B51" s="313"/>
      <c r="C51" s="313"/>
      <c r="D51" s="435"/>
      <c r="E51" s="435"/>
      <c r="F51" s="313"/>
      <c r="G51" s="382" t="str">
        <f>IFERROR((D51*E51*F51*VLOOKUP(C51,'Commute Calcs'!$F$6:$I$56,4,FALSE)/1000),"")</f>
        <v/>
      </c>
    </row>
    <row r="52" spans="1:7">
      <c r="A52" s="368">
        <v>5</v>
      </c>
      <c r="B52" s="313"/>
      <c r="C52" s="313"/>
      <c r="D52" s="435"/>
      <c r="E52" s="435"/>
      <c r="F52" s="313"/>
      <c r="G52" s="382" t="str">
        <f>IFERROR((D52*E52*F52*VLOOKUP(C52,'Commute Calcs'!$F$6:$I$56,4,FALSE)/1000),"")</f>
        <v/>
      </c>
    </row>
    <row r="53" spans="1:7">
      <c r="A53" s="368">
        <v>6</v>
      </c>
      <c r="B53" s="313"/>
      <c r="C53" s="313"/>
      <c r="D53" s="435"/>
      <c r="E53" s="435"/>
      <c r="F53" s="313"/>
      <c r="G53" s="382" t="str">
        <f>IFERROR((D53*E53*F53*VLOOKUP(C53,'Commute Calcs'!$F$6:$I$56,4,FALSE)/1000),"")</f>
        <v/>
      </c>
    </row>
    <row r="54" spans="1:7">
      <c r="A54" s="368">
        <v>7</v>
      </c>
      <c r="B54" s="313"/>
      <c r="C54" s="313"/>
      <c r="D54" s="435"/>
      <c r="E54" s="435"/>
      <c r="F54" s="313"/>
      <c r="G54" s="382" t="str">
        <f>IFERROR((D54*E54*F54*VLOOKUP(C54,'Commute Calcs'!$F$6:$I$56,4,FALSE)/1000),"")</f>
        <v/>
      </c>
    </row>
    <row r="55" spans="1:7">
      <c r="A55" s="368">
        <v>8</v>
      </c>
      <c r="B55" s="313"/>
      <c r="C55" s="313"/>
      <c r="D55" s="435"/>
      <c r="E55" s="435"/>
      <c r="F55" s="313"/>
      <c r="G55" s="382" t="str">
        <f>IFERROR((D55*E55*F55*VLOOKUP(C55,'Commute Calcs'!$F$6:$I$56,4,FALSE)/1000),"")</f>
        <v/>
      </c>
    </row>
    <row r="56" spans="1:7">
      <c r="A56" s="368">
        <v>9</v>
      </c>
      <c r="B56" s="313"/>
      <c r="C56" s="313"/>
      <c r="D56" s="435"/>
      <c r="E56" s="435"/>
      <c r="F56" s="313"/>
      <c r="G56" s="382" t="str">
        <f>IFERROR((D56*E56*F56*VLOOKUP(C56,'Commute Calcs'!$F$6:$I$56,4,FALSE)/1000),"")</f>
        <v/>
      </c>
    </row>
    <row r="57" spans="1:7">
      <c r="A57" s="368">
        <v>10</v>
      </c>
      <c r="B57" s="313"/>
      <c r="C57" s="313"/>
      <c r="D57" s="435"/>
      <c r="E57" s="435"/>
      <c r="F57" s="313"/>
      <c r="G57" s="382" t="str">
        <f>IFERROR((D57*E57*F57*VLOOKUP(C57,'Commute Calcs'!$F$6:$I$56,4,FALSE)/1000),"")</f>
        <v/>
      </c>
    </row>
    <row r="58" spans="1:7">
      <c r="A58" s="368">
        <v>11</v>
      </c>
      <c r="B58" s="313"/>
      <c r="C58" s="313"/>
      <c r="D58" s="435"/>
      <c r="E58" s="435"/>
      <c r="F58" s="313"/>
      <c r="G58" s="382" t="str">
        <f>IFERROR((D58*E58*F58*VLOOKUP(C58,'Commute Calcs'!$F$6:$I$56,4,FALSE)/1000),"")</f>
        <v/>
      </c>
    </row>
    <row r="59" spans="1:7">
      <c r="A59" s="368">
        <v>12</v>
      </c>
      <c r="B59" s="313"/>
      <c r="C59" s="313"/>
      <c r="D59" s="435"/>
      <c r="E59" s="435"/>
      <c r="F59" s="313"/>
      <c r="G59" s="382" t="str">
        <f>IFERROR((D59*E59*F59*VLOOKUP(C59,'Commute Calcs'!$F$6:$I$56,4,FALSE)/1000),"")</f>
        <v/>
      </c>
    </row>
    <row r="60" spans="1:7">
      <c r="A60" s="368">
        <v>13</v>
      </c>
      <c r="B60" s="313"/>
      <c r="C60" s="313"/>
      <c r="D60" s="435"/>
      <c r="E60" s="435"/>
      <c r="F60" s="313"/>
      <c r="G60" s="382" t="str">
        <f>IFERROR((D60*E60*F60*VLOOKUP(C60,'Commute Calcs'!$F$6:$I$56,4,FALSE)/1000),"")</f>
        <v/>
      </c>
    </row>
    <row r="61" spans="1:7">
      <c r="A61" s="368">
        <v>14</v>
      </c>
      <c r="B61" s="313"/>
      <c r="C61" s="313"/>
      <c r="D61" s="435"/>
      <c r="E61" s="435"/>
      <c r="F61" s="313"/>
      <c r="G61" s="382" t="str">
        <f>IFERROR((D61*E61*F61*VLOOKUP(C61,'Commute Calcs'!$F$6:$I$56,4,FALSE)/1000),"")</f>
        <v/>
      </c>
    </row>
    <row r="62" spans="1:7">
      <c r="A62" s="368">
        <v>15</v>
      </c>
      <c r="B62" s="313"/>
      <c r="C62" s="313"/>
      <c r="D62" s="435"/>
      <c r="E62" s="435"/>
      <c r="F62" s="313"/>
      <c r="G62" s="382" t="str">
        <f>IFERROR((D62*E62*F62*VLOOKUP(C62,'Commute Calcs'!$F$6:$I$56,4,FALSE)/1000),"")</f>
        <v/>
      </c>
    </row>
    <row r="63" spans="1:7">
      <c r="A63" s="368">
        <v>16</v>
      </c>
      <c r="B63" s="313"/>
      <c r="C63" s="313"/>
      <c r="D63" s="323"/>
      <c r="E63" s="323"/>
      <c r="F63" s="432"/>
      <c r="G63" s="382" t="str">
        <f>IFERROR((D63*E63*F63*VLOOKUP(C63,'Commute Calcs'!$F$6:$I$56,4,FALSE)/1000),"")</f>
        <v/>
      </c>
    </row>
    <row r="64" spans="1:7">
      <c r="A64" s="368">
        <v>17</v>
      </c>
      <c r="B64" s="313"/>
      <c r="C64" s="313"/>
      <c r="D64" s="323"/>
      <c r="E64" s="323"/>
      <c r="F64" s="432"/>
      <c r="G64" s="382" t="str">
        <f>IFERROR((D64*E64*F64*VLOOKUP(C64,'Commute Calcs'!$F$6:$I$56,4,FALSE)/1000),"")</f>
        <v/>
      </c>
    </row>
    <row r="65" spans="1:8">
      <c r="A65" s="368">
        <v>18</v>
      </c>
      <c r="B65" s="313"/>
      <c r="C65" s="313"/>
      <c r="D65" s="323"/>
      <c r="E65" s="323"/>
      <c r="F65" s="432"/>
      <c r="G65" s="382" t="str">
        <f>IFERROR((D65*E65*F65*VLOOKUP(C65,'Commute Calcs'!$F$6:$I$56,4,FALSE)/1000),"")</f>
        <v/>
      </c>
    </row>
    <row r="66" spans="1:8">
      <c r="A66" s="368">
        <v>19</v>
      </c>
      <c r="B66" s="313"/>
      <c r="C66" s="313"/>
      <c r="D66" s="323"/>
      <c r="E66" s="323"/>
      <c r="F66" s="432"/>
      <c r="G66" s="382" t="str">
        <f>IFERROR((D66*E66*F66*VLOOKUP(C66,'Commute Calcs'!$F$6:$I$56,4,FALSE)/1000),"")</f>
        <v/>
      </c>
    </row>
    <row r="67" spans="1:8" ht="14.5" thickBot="1">
      <c r="A67" s="368">
        <v>20</v>
      </c>
      <c r="B67" s="313"/>
      <c r="C67" s="313"/>
      <c r="D67" s="323"/>
      <c r="E67" s="323"/>
      <c r="F67" s="432"/>
      <c r="G67" s="382" t="str">
        <f>IFERROR((D67*E67*F67*VLOOKUP(C67,'Commute Calcs'!$F$6:$I$56,4,FALSE)/1000),"")</f>
        <v/>
      </c>
    </row>
    <row r="68" spans="1:8" ht="14.5" thickBot="1">
      <c r="F68" s="386" t="s">
        <v>1624</v>
      </c>
      <c r="G68" s="339">
        <f>SUM(G49:G67)</f>
        <v>0</v>
      </c>
    </row>
    <row r="69" spans="1:8" ht="14.5" thickBot="1">
      <c r="F69" s="433" t="s">
        <v>1624</v>
      </c>
      <c r="G69" s="434"/>
      <c r="H69" s="407" t="s">
        <v>1777</v>
      </c>
    </row>
    <row r="71" spans="1:8">
      <c r="A71" s="436"/>
    </row>
    <row r="72" spans="1:8" ht="17.5">
      <c r="A72" s="364" t="s">
        <v>1782</v>
      </c>
    </row>
    <row r="73" spans="1:8">
      <c r="A73" s="365" t="s">
        <v>1592</v>
      </c>
    </row>
    <row r="74" spans="1:8" ht="14.5">
      <c r="B74" s="2" t="s">
        <v>353</v>
      </c>
      <c r="C74" s="2"/>
      <c r="D74" s="2" t="s">
        <v>353</v>
      </c>
    </row>
    <row r="75" spans="1:8" ht="28">
      <c r="A75" s="366" t="s">
        <v>1593</v>
      </c>
      <c r="B75" s="367" t="s">
        <v>1659</v>
      </c>
      <c r="C75" s="378" t="s">
        <v>1770</v>
      </c>
      <c r="D75" s="378" t="s">
        <v>1783</v>
      </c>
      <c r="E75" s="379" t="s">
        <v>1784</v>
      </c>
      <c r="F75" s="366" t="s">
        <v>363</v>
      </c>
    </row>
    <row r="76" spans="1:8" ht="14.5">
      <c r="A76" s="368">
        <v>1</v>
      </c>
      <c r="B76" s="301" t="s">
        <v>1785</v>
      </c>
      <c r="C76" s="301" t="s">
        <v>1775</v>
      </c>
      <c r="D76" s="301">
        <v>400</v>
      </c>
      <c r="E76" s="301">
        <f>48*5</f>
        <v>240</v>
      </c>
      <c r="F76" s="437">
        <f>IFERROR(('State eGrid factors'!$F$3/1000)*E76*D76*VLOOKUP(C76,'State eGrid factors'!$A$2:$D$53,4,FALSE)/1000,"")</f>
        <v>7.590715497455343</v>
      </c>
    </row>
    <row r="77" spans="1:8">
      <c r="A77" s="368">
        <v>2</v>
      </c>
      <c r="B77" s="313"/>
      <c r="C77" s="304"/>
      <c r="D77" s="373"/>
      <c r="E77" s="313"/>
      <c r="F77" s="437" t="str">
        <f>IFERROR(('State eGrid factors'!$F$3/1000)*E77*D77*VLOOKUP(C77,'State eGrid factors'!$A$2:$D$53,4,FALSE)/1000,"")</f>
        <v/>
      </c>
    </row>
    <row r="78" spans="1:8">
      <c r="A78" s="368">
        <v>3</v>
      </c>
      <c r="B78" s="313"/>
      <c r="C78" s="304"/>
      <c r="D78" s="373"/>
      <c r="E78" s="313"/>
      <c r="F78" s="437" t="str">
        <f>IFERROR(('State eGrid factors'!$F$3/1000)*E78*D78*VLOOKUP(C78,'State eGrid factors'!$A$2:$D$53,4,FALSE)/1000,"")</f>
        <v/>
      </c>
    </row>
    <row r="79" spans="1:8">
      <c r="A79" s="368">
        <v>4</v>
      </c>
      <c r="B79" s="313"/>
      <c r="C79" s="304"/>
      <c r="D79" s="373"/>
      <c r="E79" s="313"/>
      <c r="F79" s="437" t="str">
        <f>IFERROR(('State eGrid factors'!$F$3/1000)*E79*D79*VLOOKUP(C79,'State eGrid factors'!$A$2:$D$53,4,FALSE)/1000,"")</f>
        <v/>
      </c>
    </row>
    <row r="80" spans="1:8">
      <c r="A80" s="368">
        <v>5</v>
      </c>
      <c r="B80" s="313"/>
      <c r="C80" s="304"/>
      <c r="D80" s="373"/>
      <c r="E80" s="313"/>
      <c r="F80" s="437" t="str">
        <f>IFERROR(('State eGrid factors'!$F$3/1000)*E80*D80*VLOOKUP(C80,'State eGrid factors'!$A$2:$D$53,4,FALSE)/1000,"")</f>
        <v/>
      </c>
    </row>
    <row r="81" spans="1:6">
      <c r="A81" s="368">
        <v>6</v>
      </c>
      <c r="B81" s="313"/>
      <c r="C81" s="304"/>
      <c r="D81" s="373"/>
      <c r="E81" s="313"/>
      <c r="F81" s="437" t="str">
        <f>IFERROR(('State eGrid factors'!$F$3/1000)*E81*D81*VLOOKUP(C81,'State eGrid factors'!$A$2:$D$53,4,FALSE)/1000,"")</f>
        <v/>
      </c>
    </row>
    <row r="82" spans="1:6">
      <c r="A82" s="368">
        <v>7</v>
      </c>
      <c r="B82" s="313"/>
      <c r="C82" s="304"/>
      <c r="D82" s="373"/>
      <c r="E82" s="313"/>
      <c r="F82" s="437" t="str">
        <f>IFERROR(('State eGrid factors'!$F$3/1000)*E82*D82*VLOOKUP(C82,'State eGrid factors'!$A$2:$D$53,4,FALSE)/1000,"")</f>
        <v/>
      </c>
    </row>
    <row r="83" spans="1:6">
      <c r="A83" s="368">
        <v>8</v>
      </c>
      <c r="B83" s="313"/>
      <c r="C83" s="304"/>
      <c r="D83" s="373"/>
      <c r="E83" s="313"/>
      <c r="F83" s="437" t="str">
        <f>IFERROR(('State eGrid factors'!$F$3/1000)*E83*D83*VLOOKUP(C83,'State eGrid factors'!$A$2:$D$53,4,FALSE)/1000,"")</f>
        <v/>
      </c>
    </row>
    <row r="84" spans="1:6">
      <c r="A84" s="368">
        <v>9</v>
      </c>
      <c r="B84" s="313"/>
      <c r="C84" s="304"/>
      <c r="D84" s="373"/>
      <c r="E84" s="313"/>
      <c r="F84" s="437" t="str">
        <f>IFERROR(('State eGrid factors'!$F$3/1000)*E84*D84*VLOOKUP(C84,'State eGrid factors'!$A$2:$D$53,4,FALSE)/1000,"")</f>
        <v/>
      </c>
    </row>
    <row r="85" spans="1:6">
      <c r="A85" s="368">
        <v>10</v>
      </c>
      <c r="B85" s="313"/>
      <c r="C85" s="304"/>
      <c r="D85" s="373"/>
      <c r="E85" s="313"/>
      <c r="F85" s="437" t="str">
        <f>IFERROR(('State eGrid factors'!$F$3/1000)*E85*D85*VLOOKUP(C85,'State eGrid factors'!$A$2:$D$53,4,FALSE)/1000,"")</f>
        <v/>
      </c>
    </row>
    <row r="86" spans="1:6">
      <c r="A86" s="368">
        <v>11</v>
      </c>
      <c r="B86" s="313"/>
      <c r="C86" s="304"/>
      <c r="D86" s="373"/>
      <c r="E86" s="313"/>
      <c r="F86" s="437" t="str">
        <f>IFERROR(('State eGrid factors'!$F$3/1000)*E86*D86*VLOOKUP(C86,'State eGrid factors'!$A$2:$D$53,4,FALSE)/1000,"")</f>
        <v/>
      </c>
    </row>
    <row r="87" spans="1:6">
      <c r="A87" s="368">
        <v>12</v>
      </c>
      <c r="B87" s="313"/>
      <c r="C87" s="304"/>
      <c r="D87" s="373"/>
      <c r="E87" s="313"/>
      <c r="F87" s="437" t="str">
        <f>IFERROR(('State eGrid factors'!$F$3/1000)*E87*D87*VLOOKUP(C87,'State eGrid factors'!$A$2:$D$53,4,FALSE)/1000,"")</f>
        <v/>
      </c>
    </row>
    <row r="88" spans="1:6">
      <c r="A88" s="368">
        <v>13</v>
      </c>
      <c r="B88" s="313"/>
      <c r="C88" s="304"/>
      <c r="D88" s="373"/>
      <c r="E88" s="313"/>
      <c r="F88" s="437" t="str">
        <f>IFERROR(('State eGrid factors'!$F$3/1000)*E88*D88*VLOOKUP(C88,'State eGrid factors'!$A$2:$D$53,4,FALSE)/1000,"")</f>
        <v/>
      </c>
    </row>
    <row r="89" spans="1:6">
      <c r="A89" s="368">
        <v>14</v>
      </c>
      <c r="B89" s="313"/>
      <c r="C89" s="304"/>
      <c r="D89" s="373"/>
      <c r="E89" s="313"/>
      <c r="F89" s="437" t="str">
        <f>IFERROR(('State eGrid factors'!$F$3/1000)*E89*D89*VLOOKUP(C89,'State eGrid factors'!$A$2:$D$53,4,FALSE)/1000,"")</f>
        <v/>
      </c>
    </row>
    <row r="90" spans="1:6">
      <c r="A90" s="368">
        <v>15</v>
      </c>
      <c r="B90" s="313"/>
      <c r="C90" s="304"/>
      <c r="D90" s="373"/>
      <c r="E90" s="313"/>
      <c r="F90" s="437" t="str">
        <f>IFERROR(('State eGrid factors'!$F$3/1000)*E90*D90*VLOOKUP(C90,'State eGrid factors'!$A$2:$D$53,4,FALSE)/1000,"")</f>
        <v/>
      </c>
    </row>
    <row r="91" spans="1:6">
      <c r="A91" s="368">
        <v>16</v>
      </c>
      <c r="B91" s="313"/>
      <c r="C91" s="304"/>
      <c r="D91" s="373"/>
      <c r="E91" s="313"/>
      <c r="F91" s="437" t="str">
        <f>IFERROR(('State eGrid factors'!$F$3/1000)*E91*D91*VLOOKUP(C91,'State eGrid factors'!$A$2:$D$53,4,FALSE)/1000,"")</f>
        <v/>
      </c>
    </row>
    <row r="92" spans="1:6">
      <c r="A92" s="368">
        <v>17</v>
      </c>
      <c r="B92" s="313"/>
      <c r="C92" s="304"/>
      <c r="D92" s="373"/>
      <c r="E92" s="313"/>
      <c r="F92" s="437" t="str">
        <f>IFERROR(('State eGrid factors'!$F$3/1000)*E92*D92*VLOOKUP(C92,'State eGrid factors'!$A$2:$D$53,4,FALSE)/1000,"")</f>
        <v/>
      </c>
    </row>
    <row r="93" spans="1:6">
      <c r="A93" s="368">
        <v>18</v>
      </c>
      <c r="B93" s="313"/>
      <c r="C93" s="304"/>
      <c r="D93" s="373"/>
      <c r="E93" s="313"/>
      <c r="F93" s="437" t="str">
        <f>IFERROR(('State eGrid factors'!$F$3/1000)*E93*D93*VLOOKUP(C93,'State eGrid factors'!$A$2:$D$53,4,FALSE)/1000,"")</f>
        <v/>
      </c>
    </row>
    <row r="94" spans="1:6">
      <c r="A94" s="368">
        <v>19</v>
      </c>
      <c r="B94" s="313"/>
      <c r="C94" s="304"/>
      <c r="D94" s="373"/>
      <c r="E94" s="313"/>
      <c r="F94" s="437" t="str">
        <f>IFERROR(('State eGrid factors'!$F$3/1000)*E94*D94*VLOOKUP(C94,'State eGrid factors'!$A$2:$D$53,4,FALSE)/1000,"")</f>
        <v/>
      </c>
    </row>
    <row r="95" spans="1:6" ht="14.5" thickBot="1">
      <c r="A95" s="368">
        <v>20</v>
      </c>
      <c r="B95" s="313"/>
      <c r="C95" s="304"/>
      <c r="D95" s="373"/>
      <c r="E95" s="313"/>
      <c r="F95" s="437" t="str">
        <f>IFERROR(('State eGrid factors'!$F$3/1000)*E95*D95*VLOOKUP(C95,'State eGrid factors'!$A$2:$D$53,4,FALSE)/1000,"")</f>
        <v/>
      </c>
    </row>
    <row r="96" spans="1:6" ht="14.5" thickBot="1">
      <c r="D96" s="438"/>
      <c r="E96" s="386" t="s">
        <v>1624</v>
      </c>
      <c r="F96" s="339">
        <f>SUM(F78:F95)</f>
        <v>0</v>
      </c>
    </row>
    <row r="97" spans="5:7" ht="14.5" thickBot="1">
      <c r="E97" s="433" t="s">
        <v>1624</v>
      </c>
      <c r="F97" s="434"/>
      <c r="G97" s="407" t="s">
        <v>1777</v>
      </c>
    </row>
  </sheetData>
  <sheetProtection algorithmName="SHA-512" hashValue="uWtwkkYdHEhyKZRPPZHA3B5BqoWttfjfQ6k90NYsClsHrWbDMrVj8cARCSMiR0mgJHrGnLvwby8M0lrK+TBJ7Q==" saltValue="8S4IEmMMzQBT2CNCgWUpJg==" spinCount="100000" sheet="1" objects="1" scenarios="1"/>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5017CF8-6C51-4187-8C0F-40EF72C6FDDB}">
          <x14:formula1>
            <xm:f>'Commute Calcs'!$F$6:$F$56</xm:f>
          </x14:formula1>
          <xm:sqref>C23:C42 C48:C67 C76:C95</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4B101-26DE-40FF-85B2-96DCEDA8CEB4}">
  <dimension ref="A1:Q53"/>
  <sheetViews>
    <sheetView zoomScale="90" zoomScaleNormal="90" workbookViewId="0">
      <selection activeCell="N26" sqref="N26"/>
    </sheetView>
  </sheetViews>
  <sheetFormatPr defaultColWidth="8.9140625" defaultRowHeight="14"/>
  <cols>
    <col min="2" max="2" width="23" customWidth="1"/>
    <col min="3" max="3" width="10.9140625" bestFit="1" customWidth="1"/>
    <col min="4" max="4" width="13" customWidth="1"/>
    <col min="5" max="5" width="12" customWidth="1"/>
    <col min="11" max="11" width="20.4140625" customWidth="1"/>
    <col min="12" max="12" width="14.5" bestFit="1" customWidth="1"/>
    <col min="13" max="13" width="15.5" customWidth="1"/>
    <col min="14" max="15" width="14" customWidth="1"/>
    <col min="16" max="16" width="27.58203125" bestFit="1" customWidth="1"/>
  </cols>
  <sheetData>
    <row r="1" spans="1:11">
      <c r="A1" s="9" t="s">
        <v>2001</v>
      </c>
    </row>
    <row r="3" spans="1:11" ht="16.5" customHeight="1">
      <c r="A3" s="521" t="s">
        <v>2002</v>
      </c>
    </row>
    <row r="4" spans="1:11" ht="15" customHeight="1">
      <c r="A4" s="9" t="s">
        <v>2001</v>
      </c>
      <c r="J4" s="522"/>
      <c r="K4" s="522"/>
    </row>
    <row r="5" spans="1:11" ht="15">
      <c r="B5" s="523" t="s">
        <v>2003</v>
      </c>
      <c r="C5" s="523"/>
      <c r="D5" s="522"/>
      <c r="E5" s="522"/>
      <c r="F5" s="522"/>
      <c r="G5" s="522"/>
      <c r="H5" s="522"/>
      <c r="I5" s="522"/>
      <c r="J5" s="524"/>
      <c r="K5" s="524"/>
    </row>
    <row r="6" spans="1:11">
      <c r="B6" s="525"/>
      <c r="C6" s="526" t="s">
        <v>1624</v>
      </c>
      <c r="D6" s="525"/>
      <c r="E6" s="525"/>
      <c r="F6" s="525"/>
      <c r="G6" s="525"/>
      <c r="H6" s="525"/>
      <c r="I6" s="524"/>
    </row>
    <row r="7" spans="1:11">
      <c r="B7" s="527" t="s">
        <v>2004</v>
      </c>
      <c r="C7" s="528">
        <v>23.8</v>
      </c>
    </row>
    <row r="8" spans="1:11">
      <c r="B8" s="529" t="s">
        <v>2005</v>
      </c>
      <c r="C8" s="528">
        <v>28.8</v>
      </c>
    </row>
    <row r="9" spans="1:11">
      <c r="B9" s="529" t="s">
        <v>2006</v>
      </c>
      <c r="C9" s="528">
        <v>17.399999999999999</v>
      </c>
    </row>
    <row r="10" spans="1:11">
      <c r="B10" s="530" t="s">
        <v>1802</v>
      </c>
      <c r="C10" s="528">
        <v>14.9</v>
      </c>
    </row>
    <row r="11" spans="1:11" ht="15" customHeight="1">
      <c r="B11" s="530" t="s">
        <v>1798</v>
      </c>
      <c r="C11" s="528">
        <v>18.899999999999999</v>
      </c>
    </row>
    <row r="12" spans="1:11">
      <c r="B12" s="9"/>
    </row>
    <row r="13" spans="1:11" ht="15.5">
      <c r="A13" s="521" t="s">
        <v>2007</v>
      </c>
    </row>
    <row r="14" spans="1:11">
      <c r="A14" s="9" t="s">
        <v>2001</v>
      </c>
    </row>
    <row r="15" spans="1:11" ht="15">
      <c r="B15" s="531" t="s">
        <v>2008</v>
      </c>
      <c r="C15" s="522"/>
      <c r="D15" s="522"/>
      <c r="E15" s="522"/>
      <c r="F15" s="522"/>
    </row>
    <row r="16" spans="1:11" ht="26">
      <c r="C16" s="532" t="s">
        <v>2009</v>
      </c>
      <c r="D16" s="526" t="s">
        <v>2010</v>
      </c>
    </row>
    <row r="17" spans="1:16" ht="14.5">
      <c r="B17" s="527" t="s">
        <v>2004</v>
      </c>
      <c r="C17" s="533">
        <v>59.1</v>
      </c>
      <c r="D17" s="533">
        <f>C17/96.7</f>
        <v>0.61116856256463292</v>
      </c>
      <c r="E17" s="534"/>
    </row>
    <row r="18" spans="1:16" ht="14.5">
      <c r="B18" s="529" t="s">
        <v>2005</v>
      </c>
      <c r="C18" s="533">
        <v>77.900000000000006</v>
      </c>
      <c r="D18" s="533">
        <f>C18/96.7</f>
        <v>0.80558428128231652</v>
      </c>
      <c r="E18" s="534"/>
      <c r="F18" t="s">
        <v>2011</v>
      </c>
    </row>
    <row r="19" spans="1:16" ht="14.5">
      <c r="B19" s="529" t="s">
        <v>2006</v>
      </c>
      <c r="C19" s="533">
        <v>27.8</v>
      </c>
      <c r="D19" s="533">
        <f>C19/96.7</f>
        <v>0.2874870734229576</v>
      </c>
      <c r="E19" s="534"/>
    </row>
    <row r="20" spans="1:16" ht="14.5">
      <c r="B20" s="530" t="s">
        <v>1802</v>
      </c>
      <c r="C20" s="533">
        <v>19.2</v>
      </c>
      <c r="D20" s="533">
        <f>C20/96.7</f>
        <v>0.19855222337125128</v>
      </c>
      <c r="E20" s="534"/>
    </row>
    <row r="21" spans="1:16">
      <c r="B21" s="530" t="s">
        <v>1798</v>
      </c>
      <c r="C21" s="533">
        <v>31.4</v>
      </c>
      <c r="D21" s="533">
        <f>C21/96.7</f>
        <v>0.32471561530506721</v>
      </c>
    </row>
    <row r="22" spans="1:16" ht="14.5" thickBot="1"/>
    <row r="23" spans="1:16">
      <c r="K23" s="535" t="s">
        <v>2012</v>
      </c>
      <c r="L23" s="536"/>
      <c r="M23" s="536"/>
      <c r="N23" s="536"/>
      <c r="O23" s="536"/>
      <c r="P23" s="537"/>
    </row>
    <row r="24" spans="1:16">
      <c r="K24" s="538" t="s">
        <v>2013</v>
      </c>
      <c r="P24" s="539"/>
    </row>
    <row r="25" spans="1:16">
      <c r="A25" t="s">
        <v>2014</v>
      </c>
      <c r="K25" s="540"/>
      <c r="P25" s="539"/>
    </row>
    <row r="26" spans="1:16" ht="31.5">
      <c r="A26" s="10" t="s">
        <v>2015</v>
      </c>
      <c r="C26" s="541" t="s">
        <v>2016</v>
      </c>
      <c r="D26" s="541" t="s">
        <v>2017</v>
      </c>
      <c r="E26" s="541" t="s">
        <v>2018</v>
      </c>
      <c r="F26" s="542"/>
      <c r="K26" s="543" t="s">
        <v>240</v>
      </c>
      <c r="L26" s="544" t="s">
        <v>0</v>
      </c>
      <c r="M26" s="545" t="s">
        <v>265</v>
      </c>
      <c r="N26" s="546" t="s">
        <v>2019</v>
      </c>
      <c r="O26" s="61" t="s">
        <v>2020</v>
      </c>
      <c r="P26" s="547" t="s">
        <v>2021</v>
      </c>
    </row>
    <row r="27" spans="1:16">
      <c r="A27" s="548" t="s">
        <v>2022</v>
      </c>
      <c r="C27" s="549">
        <v>53.06</v>
      </c>
      <c r="D27" s="549">
        <v>1</v>
      </c>
      <c r="E27" s="549">
        <v>0.1</v>
      </c>
      <c r="F27" s="542"/>
      <c r="K27" s="1349" t="s">
        <v>10</v>
      </c>
      <c r="L27" s="545" t="s">
        <v>2023</v>
      </c>
      <c r="M27" s="550">
        <v>2562.5744107382552</v>
      </c>
      <c r="N27" s="550">
        <v>2557.5300000000002</v>
      </c>
      <c r="O27" s="550">
        <v>3.8528000000000002</v>
      </c>
      <c r="P27" s="551">
        <v>1.1916107382550336</v>
      </c>
    </row>
    <row r="28" spans="1:16">
      <c r="A28" s="9" t="s">
        <v>2024</v>
      </c>
      <c r="C28" s="542"/>
      <c r="D28" s="542"/>
      <c r="E28" s="542"/>
      <c r="F28" s="542"/>
      <c r="K28" s="1350"/>
      <c r="L28" s="545" t="s">
        <v>270</v>
      </c>
      <c r="M28" s="550">
        <v>2.0383903100671139</v>
      </c>
      <c r="N28" s="552">
        <v>2.03437</v>
      </c>
      <c r="O28" s="552">
        <v>3.0688E-3</v>
      </c>
      <c r="P28" s="553">
        <v>9.5151006711409393E-4</v>
      </c>
    </row>
    <row r="29" spans="1:16">
      <c r="K29" s="1350"/>
      <c r="L29" s="545" t="s">
        <v>2025</v>
      </c>
      <c r="M29" s="550">
        <v>0.20267141879194631</v>
      </c>
      <c r="N29" s="554">
        <v>0.20226</v>
      </c>
      <c r="O29" s="554">
        <v>3.1359999999999998E-4</v>
      </c>
      <c r="P29" s="555">
        <v>9.7818791946308734E-5</v>
      </c>
    </row>
    <row r="30" spans="1:16" ht="23.5">
      <c r="C30" s="541" t="s">
        <v>2026</v>
      </c>
      <c r="D30" s="541" t="s">
        <v>2027</v>
      </c>
      <c r="E30" s="541" t="s">
        <v>2028</v>
      </c>
      <c r="G30" s="556" t="s">
        <v>2029</v>
      </c>
      <c r="K30" s="1351"/>
      <c r="L30" s="545" t="s">
        <v>248</v>
      </c>
      <c r="M30" s="550">
        <v>0.18292892617449666</v>
      </c>
      <c r="N30" s="552">
        <v>0.18256</v>
      </c>
      <c r="O30" s="552">
        <v>2.8000000000000003E-4</v>
      </c>
      <c r="P30" s="553">
        <v>8.8926174496644302E-5</v>
      </c>
    </row>
    <row r="31" spans="1:16">
      <c r="C31" s="549">
        <f>C27/10</f>
        <v>5.306</v>
      </c>
      <c r="D31" s="549">
        <f>D27/10</f>
        <v>0.1</v>
      </c>
      <c r="E31" s="549">
        <f>E27/10</f>
        <v>0.01</v>
      </c>
      <c r="G31" s="557">
        <f>C31+(D31/1000*GWPs!$C$4)+(E31/1000*GWPs!$C$5)</f>
        <v>5.3117099999999997</v>
      </c>
      <c r="K31" s="1352" t="s">
        <v>2030</v>
      </c>
      <c r="L31" s="545" t="s">
        <v>2023</v>
      </c>
      <c r="M31" s="550">
        <v>2581.9844107382551</v>
      </c>
      <c r="N31" s="550">
        <v>2576.94</v>
      </c>
      <c r="O31" s="550">
        <v>3.8528000000000002</v>
      </c>
      <c r="P31" s="551">
        <v>1.1916107382550336</v>
      </c>
    </row>
    <row r="32" spans="1:16">
      <c r="K32" s="1353"/>
      <c r="L32" s="545" t="s">
        <v>270</v>
      </c>
      <c r="M32" s="550">
        <v>2.0538303100671138</v>
      </c>
      <c r="N32" s="554">
        <v>2.0498099999999999</v>
      </c>
      <c r="O32" s="554">
        <v>3.0688E-3</v>
      </c>
      <c r="P32" s="555">
        <v>9.5151006711409393E-4</v>
      </c>
    </row>
    <row r="33" spans="6:17">
      <c r="F33" t="s">
        <v>2031</v>
      </c>
      <c r="K33" s="1353"/>
      <c r="L33" s="545" t="s">
        <v>2025</v>
      </c>
      <c r="M33" s="550">
        <v>0.20420141879194631</v>
      </c>
      <c r="N33" s="554">
        <v>0.20379</v>
      </c>
      <c r="O33" s="554">
        <v>3.1359999999999998E-4</v>
      </c>
      <c r="P33" s="555">
        <v>9.7818791946308734E-5</v>
      </c>
    </row>
    <row r="34" spans="6:17">
      <c r="K34" s="1354"/>
      <c r="L34" s="545" t="s">
        <v>248</v>
      </c>
      <c r="M34" s="550">
        <v>0.18431892617449666</v>
      </c>
      <c r="N34" s="554">
        <v>0.18395</v>
      </c>
      <c r="O34" s="554">
        <v>2.8000000000000003E-4</v>
      </c>
      <c r="P34" s="555">
        <v>8.8926174496644302E-5</v>
      </c>
    </row>
    <row r="35" spans="6:17">
      <c r="K35" s="540"/>
      <c r="M35" s="558"/>
      <c r="N35" s="559"/>
      <c r="O35" s="559"/>
      <c r="P35" s="560"/>
    </row>
    <row r="36" spans="6:17" ht="16.5">
      <c r="K36" s="540"/>
      <c r="M36" s="545" t="s">
        <v>2032</v>
      </c>
      <c r="N36" s="545" t="s">
        <v>2033</v>
      </c>
      <c r="O36" s="561" t="s">
        <v>2034</v>
      </c>
      <c r="P36" s="562" t="s">
        <v>2035</v>
      </c>
    </row>
    <row r="37" spans="6:17">
      <c r="K37" s="563" t="s">
        <v>10</v>
      </c>
      <c r="L37" s="564" t="s">
        <v>11</v>
      </c>
      <c r="M37" s="565">
        <f>N37+(O37*GWPs!$C$4)+(P37*GWPs!$C$5)</f>
        <v>5.6155588102893121</v>
      </c>
      <c r="N37" s="566">
        <f>N28/$L$52*$L$51</f>
        <v>5.6038619397845917</v>
      </c>
      <c r="O37" s="566">
        <f>(O28/$L$52*$L$51)/GWPs!$O$5</f>
        <v>3.0190342395945241E-4</v>
      </c>
      <c r="P37" s="566">
        <f>(P28/$L$52*$L$51)/GWPs!$O$6</f>
        <v>9.8906537389351766E-6</v>
      </c>
      <c r="Q37" t="s">
        <v>2036</v>
      </c>
    </row>
    <row r="38" spans="6:17">
      <c r="K38" s="563" t="s">
        <v>10</v>
      </c>
      <c r="L38" s="564" t="s">
        <v>11</v>
      </c>
      <c r="M38" s="565">
        <f>N38+(O38*GWPs!$C$4)+(P38*GWPs!$C$5)</f>
        <v>5.3617240617295314</v>
      </c>
      <c r="N38" s="566">
        <f>N30*Conversions!$C$22</f>
        <v>5.3503056976150605</v>
      </c>
      <c r="O38" s="566">
        <f>O30*Conversions!$C$22/GWPs!$O$5</f>
        <v>2.9307108334876544E-4</v>
      </c>
      <c r="P38" s="566">
        <f>P30*Conversions!$C$22/GWPs!$O$6</f>
        <v>9.8346001123746793E-6</v>
      </c>
      <c r="Q38" t="s">
        <v>2037</v>
      </c>
    </row>
    <row r="39" spans="6:17">
      <c r="K39" s="540"/>
      <c r="P39" s="539"/>
    </row>
    <row r="40" spans="6:17" ht="30.5">
      <c r="K40" s="540"/>
      <c r="M40" s="546" t="s">
        <v>2038</v>
      </c>
      <c r="O40" s="546" t="s">
        <v>2038</v>
      </c>
      <c r="P40" s="539"/>
    </row>
    <row r="41" spans="6:17">
      <c r="K41" s="1355" t="s">
        <v>10</v>
      </c>
      <c r="L41" s="545" t="s">
        <v>2023</v>
      </c>
      <c r="M41" s="567">
        <v>423.16368</v>
      </c>
      <c r="P41" s="539"/>
    </row>
    <row r="42" spans="6:17">
      <c r="K42" s="1355"/>
      <c r="L42" s="545" t="s">
        <v>270</v>
      </c>
      <c r="M42" s="568">
        <v>0.33660000000000001</v>
      </c>
      <c r="N42" s="564" t="s">
        <v>11</v>
      </c>
      <c r="O42" s="566">
        <f>M42/$L$52*$L$51</f>
        <v>0.92719609949590953</v>
      </c>
      <c r="P42" s="539" t="s">
        <v>2036</v>
      </c>
    </row>
    <row r="43" spans="6:17">
      <c r="K43" s="1355"/>
      <c r="L43" s="545" t="s">
        <v>2025</v>
      </c>
      <c r="M43" s="567">
        <v>3.347E-2</v>
      </c>
      <c r="P43" s="539"/>
    </row>
    <row r="44" spans="6:17">
      <c r="K44" s="1355"/>
      <c r="L44" s="545" t="s">
        <v>248</v>
      </c>
      <c r="M44" s="567">
        <v>3.0210000000000001E-2</v>
      </c>
      <c r="N44" s="564" t="s">
        <v>11</v>
      </c>
      <c r="O44" s="566">
        <f>M44*Conversions!$C$22</f>
        <v>0.88536774279662023</v>
      </c>
      <c r="P44" s="539" t="s">
        <v>2037</v>
      </c>
    </row>
    <row r="45" spans="6:17">
      <c r="K45" s="1355" t="s">
        <v>2030</v>
      </c>
      <c r="L45" s="545" t="s">
        <v>2023</v>
      </c>
      <c r="M45" s="567">
        <v>423.16368</v>
      </c>
      <c r="P45" s="539"/>
    </row>
    <row r="46" spans="6:17">
      <c r="K46" s="1356"/>
      <c r="L46" s="545" t="s">
        <v>270</v>
      </c>
      <c r="M46" s="567">
        <v>0.33660000000000001</v>
      </c>
      <c r="P46" s="539"/>
    </row>
    <row r="47" spans="6:17">
      <c r="K47" s="1356"/>
      <c r="L47" s="545" t="s">
        <v>2025</v>
      </c>
      <c r="M47" s="567">
        <v>3.347E-2</v>
      </c>
      <c r="P47" s="539"/>
    </row>
    <row r="48" spans="6:17">
      <c r="K48" s="1356"/>
      <c r="L48" s="545" t="s">
        <v>248</v>
      </c>
      <c r="M48" s="567">
        <v>3.0210000000000001E-2</v>
      </c>
      <c r="P48" s="539"/>
    </row>
    <row r="49" spans="11:16">
      <c r="K49" s="540"/>
      <c r="P49" s="539"/>
    </row>
    <row r="50" spans="11:16">
      <c r="K50" s="540"/>
      <c r="P50" s="539"/>
    </row>
    <row r="51" spans="11:16">
      <c r="K51" s="569" t="s">
        <v>2039</v>
      </c>
      <c r="L51" s="390">
        <v>100</v>
      </c>
      <c r="M51" t="s">
        <v>2040</v>
      </c>
      <c r="P51" s="539"/>
    </row>
    <row r="52" spans="11:16">
      <c r="K52" s="569" t="s">
        <v>2041</v>
      </c>
      <c r="L52" s="390">
        <v>36.302999999999997</v>
      </c>
      <c r="M52" t="s">
        <v>2040</v>
      </c>
      <c r="P52" s="539"/>
    </row>
    <row r="53" spans="11:16" ht="14.5" thickBot="1">
      <c r="K53" s="570" t="s">
        <v>2042</v>
      </c>
      <c r="L53" s="571"/>
      <c r="M53" s="571"/>
      <c r="N53" s="571"/>
      <c r="O53" s="571"/>
      <c r="P53" s="572"/>
    </row>
  </sheetData>
  <mergeCells count="4">
    <mergeCell ref="K27:K30"/>
    <mergeCell ref="K31:K34"/>
    <mergeCell ref="K41:K44"/>
    <mergeCell ref="K45:K48"/>
  </mergeCells>
  <hyperlinks>
    <hyperlink ref="A28" r:id="rId1" xr:uid="{6903C0CB-882C-48FA-BA26-1B9B4412AC36}"/>
    <hyperlink ref="A4" r:id="rId2" display="https://www.eia.gov/consumption/commercial/data/2018/index.php?view=consumption" xr:uid="{E835CEAD-FBB4-49E3-B027-895CE15D9AC9}"/>
    <hyperlink ref="A14" r:id="rId3" display="https://www.eia.gov/consumption/commercial/data/2018/index.php?view=consumption" xr:uid="{0568FB2D-C431-4B51-8718-2DF8033458EE}"/>
    <hyperlink ref="A1" r:id="rId4" display="https://www.eia.gov/consumption/commercial/data/2018/index.php?view=consumption" xr:uid="{C729FF3F-DB7B-47B4-95CB-19BD5609777E}"/>
    <hyperlink ref="K24" r:id="rId5" xr:uid="{A088D760-16ED-429E-9654-2EF3CF83E664}"/>
    <hyperlink ref="K53" r:id="rId6" xr:uid="{8FFBD8A5-3D8E-4A9E-84CD-4CCC6B90B1A8}"/>
  </hyperlinks>
  <pageMargins left="0.7" right="0.7" top="0.75" bottom="0.75" header="0.3" footer="0.3"/>
  <pageSetup orientation="portrait" horizontalDpi="1200" verticalDpi="1200" r:id="rId7"/>
  <legacyDrawing r:id="rId8"/>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A14BE-B666-4F99-A822-141ABC3BE192}">
  <sheetPr>
    <tabColor rgb="FF00B050"/>
  </sheetPr>
  <dimension ref="A2:C15"/>
  <sheetViews>
    <sheetView workbookViewId="0">
      <selection activeCell="B19" sqref="B19"/>
    </sheetView>
  </sheetViews>
  <sheetFormatPr defaultRowHeight="14"/>
  <cols>
    <col min="1" max="1" width="51.9140625" style="677" bestFit="1" customWidth="1"/>
    <col min="2" max="2" width="43.1640625" customWidth="1"/>
    <col min="3" max="3" width="171.4140625" style="390" bestFit="1" customWidth="1"/>
  </cols>
  <sheetData>
    <row r="2" spans="1:3">
      <c r="A2" s="689" t="s">
        <v>2178</v>
      </c>
      <c r="B2" s="689" t="s">
        <v>2197</v>
      </c>
      <c r="C2" s="678" t="s">
        <v>2173</v>
      </c>
    </row>
    <row r="3" spans="1:3">
      <c r="A3" s="679"/>
      <c r="B3" s="5" t="s">
        <v>2177</v>
      </c>
      <c r="C3" s="678" t="s">
        <v>2188</v>
      </c>
    </row>
    <row r="4" spans="1:3" ht="28">
      <c r="A4" s="679" t="s">
        <v>2176</v>
      </c>
      <c r="B4" s="79" t="s">
        <v>2205</v>
      </c>
      <c r="C4" s="678" t="s">
        <v>2189</v>
      </c>
    </row>
    <row r="5" spans="1:3" ht="70">
      <c r="A5" s="680" t="s">
        <v>2181</v>
      </c>
      <c r="B5" s="79" t="s">
        <v>2211</v>
      </c>
      <c r="C5" s="678" t="s">
        <v>2187</v>
      </c>
    </row>
    <row r="6" spans="1:3">
      <c r="A6" s="679"/>
      <c r="B6" s="5"/>
      <c r="C6" s="678" t="s">
        <v>2190</v>
      </c>
    </row>
    <row r="7" spans="1:3">
      <c r="A7" s="679" t="s">
        <v>2180</v>
      </c>
      <c r="B7" s="5" t="s">
        <v>2177</v>
      </c>
      <c r="C7" s="690" t="s">
        <v>2191</v>
      </c>
    </row>
    <row r="8" spans="1:3">
      <c r="A8" s="679" t="s">
        <v>2182</v>
      </c>
      <c r="B8" s="5" t="s">
        <v>2177</v>
      </c>
      <c r="C8" s="690" t="s">
        <v>2192</v>
      </c>
    </row>
    <row r="9" spans="1:3">
      <c r="A9" s="679" t="s">
        <v>2183</v>
      </c>
      <c r="B9" s="5"/>
      <c r="C9" s="690" t="s">
        <v>2193</v>
      </c>
    </row>
    <row r="10" spans="1:3">
      <c r="A10" s="679" t="s">
        <v>2184</v>
      </c>
      <c r="B10" s="5" t="s">
        <v>2177</v>
      </c>
      <c r="C10" s="690" t="s">
        <v>2194</v>
      </c>
    </row>
    <row r="11" spans="1:3">
      <c r="A11" s="679" t="s">
        <v>2185</v>
      </c>
      <c r="B11" s="5" t="s">
        <v>2177</v>
      </c>
      <c r="C11" s="678" t="s">
        <v>2195</v>
      </c>
    </row>
    <row r="12" spans="1:3" ht="28">
      <c r="A12" s="680" t="s">
        <v>2186</v>
      </c>
      <c r="B12" s="5" t="s">
        <v>2199</v>
      </c>
      <c r="C12" s="678" t="s">
        <v>2196</v>
      </c>
    </row>
    <row r="13" spans="1:3">
      <c r="A13" s="679"/>
      <c r="B13" s="1357" t="s">
        <v>2202</v>
      </c>
      <c r="C13" s="678" t="s">
        <v>2200</v>
      </c>
    </row>
    <row r="14" spans="1:3">
      <c r="A14" s="679"/>
      <c r="B14" s="1358"/>
      <c r="C14" s="678" t="s">
        <v>2174</v>
      </c>
    </row>
    <row r="15" spans="1:3">
      <c r="A15" s="679"/>
      <c r="B15" s="1359"/>
      <c r="C15" s="678" t="s">
        <v>2175</v>
      </c>
    </row>
  </sheetData>
  <mergeCells count="1">
    <mergeCell ref="B13:B15"/>
  </mergeCell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637AD-7BB2-4D8B-A6EF-A1F2441859A9}">
  <sheetPr>
    <tabColor theme="3" tint="0.59999389629810485"/>
  </sheetPr>
  <dimension ref="A1:N127"/>
  <sheetViews>
    <sheetView showGridLines="0" zoomScale="85" zoomScaleNormal="85" workbookViewId="0">
      <selection activeCell="C108" sqref="C108:D110"/>
    </sheetView>
  </sheetViews>
  <sheetFormatPr defaultColWidth="8.9140625" defaultRowHeight="14"/>
  <cols>
    <col min="1" max="1" width="7.9140625" style="104" customWidth="1"/>
    <col min="2" max="2" width="29.9140625" style="104" customWidth="1"/>
    <col min="3" max="3" width="30.1640625" style="104" bestFit="1" customWidth="1"/>
    <col min="4" max="4" width="33.58203125" style="104" customWidth="1"/>
    <col min="5" max="5" width="28.5" style="104" customWidth="1"/>
    <col min="6" max="6" width="25.4140625" style="104" customWidth="1"/>
    <col min="7" max="7" width="21.6640625" style="104" bestFit="1" customWidth="1"/>
    <col min="8" max="8" width="7.4140625" style="442" customWidth="1"/>
    <col min="9" max="9" width="8.9140625" style="104"/>
    <col min="10" max="10" width="28.5" style="104" customWidth="1"/>
    <col min="11" max="12" width="34.5" style="104" bestFit="1" customWidth="1"/>
    <col min="13" max="13" width="29" style="104" bestFit="1" customWidth="1"/>
    <col min="14" max="14" width="29" style="104" customWidth="1"/>
    <col min="15" max="15" width="21.6640625" style="104" customWidth="1"/>
    <col min="16" max="16384" width="8.9140625" style="104"/>
  </cols>
  <sheetData>
    <row r="1" spans="1:6" ht="23.4" customHeight="1">
      <c r="A1" s="97" t="s">
        <v>1786</v>
      </c>
      <c r="B1" s="98"/>
      <c r="C1" s="98"/>
      <c r="D1" s="98"/>
      <c r="E1" s="98"/>
      <c r="F1" s="98"/>
    </row>
    <row r="2" spans="1:6">
      <c r="A2" s="439" t="s">
        <v>345</v>
      </c>
      <c r="B2" s="106"/>
      <c r="C2" s="106"/>
      <c r="D2" s="106"/>
      <c r="E2" s="106"/>
      <c r="F2" s="106"/>
    </row>
    <row r="3" spans="1:6">
      <c r="A3" s="112" t="s">
        <v>1739</v>
      </c>
      <c r="B3" s="106"/>
      <c r="C3" s="106"/>
      <c r="D3" s="106"/>
      <c r="E3" s="106"/>
      <c r="F3" s="106"/>
    </row>
    <row r="4" spans="1:6">
      <c r="A4" s="112" t="s">
        <v>1787</v>
      </c>
      <c r="B4" s="106"/>
      <c r="C4" s="106"/>
      <c r="D4" s="106"/>
      <c r="E4" s="106"/>
      <c r="F4" s="106"/>
    </row>
    <row r="5" spans="1:6">
      <c r="A5" s="112" t="s">
        <v>1788</v>
      </c>
      <c r="B5" s="106"/>
      <c r="C5" s="106"/>
      <c r="D5" s="106"/>
      <c r="E5" s="106"/>
      <c r="F5" s="106"/>
    </row>
    <row r="6" spans="1:6">
      <c r="A6" s="440" t="s">
        <v>347</v>
      </c>
      <c r="B6" s="106"/>
      <c r="C6" s="106"/>
      <c r="D6" s="106"/>
      <c r="E6" s="106"/>
      <c r="F6" s="106"/>
    </row>
    <row r="7" spans="1:6">
      <c r="A7" s="441" t="s">
        <v>1789</v>
      </c>
      <c r="B7" s="106"/>
      <c r="C7" s="106"/>
      <c r="D7" s="106"/>
      <c r="E7" s="106"/>
      <c r="F7" s="106"/>
    </row>
    <row r="8" spans="1:6">
      <c r="A8" s="441" t="s">
        <v>1790</v>
      </c>
      <c r="B8" s="106"/>
      <c r="C8" s="106"/>
      <c r="D8" s="106"/>
      <c r="E8" s="106"/>
      <c r="F8" s="106"/>
    </row>
    <row r="14" spans="1:6" ht="14.25" customHeight="1"/>
    <row r="15" spans="1:6" ht="14.25" customHeight="1"/>
    <row r="16" spans="1:6" ht="14.25" customHeight="1"/>
    <row r="17" spans="1:13" ht="14.25" customHeight="1"/>
    <row r="18" spans="1:13" ht="14.25" customHeight="1"/>
    <row r="19" spans="1:13" ht="27.9" customHeight="1"/>
    <row r="20" spans="1:13" ht="27.9" customHeight="1">
      <c r="I20" s="443"/>
    </row>
    <row r="21" spans="1:13" ht="27.9" customHeight="1">
      <c r="I21" s="443"/>
    </row>
    <row r="22" spans="1:13">
      <c r="I22" s="443" t="s">
        <v>1791</v>
      </c>
    </row>
    <row r="23" spans="1:13" ht="17.5">
      <c r="A23" s="444" t="s">
        <v>1792</v>
      </c>
      <c r="I23" s="444" t="s">
        <v>1792</v>
      </c>
    </row>
    <row r="24" spans="1:13">
      <c r="A24" s="445" t="s">
        <v>1592</v>
      </c>
      <c r="H24" s="446"/>
      <c r="I24" s="445" t="s">
        <v>1592</v>
      </c>
    </row>
    <row r="25" spans="1:13" ht="14.5">
      <c r="B25" s="447" t="s">
        <v>353</v>
      </c>
      <c r="C25" s="447" t="s">
        <v>353</v>
      </c>
      <c r="D25" s="447"/>
      <c r="E25" s="447"/>
      <c r="J25" s="447" t="s">
        <v>353</v>
      </c>
      <c r="K25" s="447" t="s">
        <v>353</v>
      </c>
      <c r="L25" s="447" t="s">
        <v>353</v>
      </c>
      <c r="M25" s="447"/>
    </row>
    <row r="26" spans="1:13">
      <c r="A26" s="448" t="s">
        <v>1593</v>
      </c>
      <c r="B26" s="449" t="s">
        <v>360</v>
      </c>
      <c r="C26" s="448" t="s">
        <v>1793</v>
      </c>
      <c r="D26" s="448" t="s">
        <v>1794</v>
      </c>
      <c r="E26" s="448" t="s">
        <v>1795</v>
      </c>
      <c r="F26" s="448" t="s">
        <v>363</v>
      </c>
      <c r="I26" s="448" t="s">
        <v>1593</v>
      </c>
      <c r="J26" s="449" t="s">
        <v>360</v>
      </c>
      <c r="K26" s="448" t="s">
        <v>1794</v>
      </c>
      <c r="L26" s="448" t="s">
        <v>1795</v>
      </c>
      <c r="M26" s="448" t="s">
        <v>363</v>
      </c>
    </row>
    <row r="27" spans="1:13" ht="14.5">
      <c r="A27" s="450">
        <v>1</v>
      </c>
      <c r="B27" s="451" t="s">
        <v>1796</v>
      </c>
      <c r="C27" s="452">
        <v>3000</v>
      </c>
      <c r="D27" s="453">
        <f>IF(C27="","",C27*'CBECS IFs'!$C$8)</f>
        <v>86400</v>
      </c>
      <c r="E27" s="453">
        <f>IF(C27="","",C27*'CBECS IFs'!$D$18)</f>
        <v>2416.7528438469494</v>
      </c>
      <c r="F27" s="328">
        <f>IF(C27="","",((D27/1000*'State eGrid factors'!$C$53/2204.62)+((D27/(1-EF!$E$30))*EF!$E$24)+(D27*EF!$H$3)+(E27*('CBECS IFs'!$M$38+'CBECS IFs'!$O$44)))/1000+N("electricity emissions + upstream losses on total generation + T&amp;D losses + natural gas combustion emissions +upstream natural gas emissions"))</f>
        <v>22.693204681888041</v>
      </c>
      <c r="I27" s="450">
        <v>1</v>
      </c>
      <c r="J27" s="451" t="s">
        <v>1796</v>
      </c>
      <c r="K27" s="452">
        <v>15000</v>
      </c>
      <c r="L27" s="452">
        <v>2600</v>
      </c>
      <c r="M27" s="328">
        <f>((K27/1000*'State eGrid factors'!$C$53/2204.62)+((K27/(1-EF!$E$30))*EF!$E$24)+(K27*EF!$H$3)+(L27*('CBECS IFs'!$M$38+'CBECS IFs'!$O$44)))/1000+N("electricity emissions + upstream losses on total generation + T&amp;D losses + natural gas combustion emissions +upstream natural gas emissions")</f>
        <v>17.561106712171899</v>
      </c>
    </row>
    <row r="28" spans="1:13" ht="14.5">
      <c r="A28" s="450">
        <v>2</v>
      </c>
      <c r="B28" s="454"/>
      <c r="C28" s="455"/>
      <c r="D28" s="456" t="str">
        <f>IF(C28="","",C28*'CBECS IFs'!$C$8)</f>
        <v/>
      </c>
      <c r="E28" s="456" t="str">
        <f>IF(C28="","",C28*'CBECS IFs'!$D$18)</f>
        <v/>
      </c>
      <c r="F28" s="328" t="str">
        <f>IF(C28="","",((D28/1000*'State eGrid factors'!$C$53/2204.62)+((D28/(1-EF!$E$30))*EF!$E$24)+(D28*EF!$H$3)+(E28*('CBECS IFs'!$M$38+'CBECS IFs'!$O$44)))/1000+N("electricity emissions + upstream losses on total generation + T&amp;D losses + natural gas combustion emissions +upstream natural gas emissions"))</f>
        <v/>
      </c>
      <c r="I28" s="450">
        <v>2</v>
      </c>
      <c r="J28" s="454"/>
      <c r="K28" s="455"/>
      <c r="L28" s="455"/>
      <c r="M28" s="328">
        <f>((K28/1000*'State eGrid factors'!$C$53/2204.62)+((K28/(1-EF!$E$30))*EF!$E$24)+(K28*EF!$H$3)+(L28*('CBECS IFs'!$M$38+'CBECS IFs'!$O$44)))/1000+N("electricity emissions + upstream losses on total generation + T&amp;D losses + natural gas combustion emissions +upstream natural gas emissions")</f>
        <v>0</v>
      </c>
    </row>
    <row r="29" spans="1:13" ht="14.5">
      <c r="A29" s="450">
        <v>3</v>
      </c>
      <c r="B29" s="454"/>
      <c r="C29" s="455"/>
      <c r="D29" s="456" t="str">
        <f>IF(C29="","",C29*'CBECS IFs'!$C$8)</f>
        <v/>
      </c>
      <c r="E29" s="456" t="str">
        <f>IF(C29="","",C29*'CBECS IFs'!$D$18)</f>
        <v/>
      </c>
      <c r="F29" s="328" t="str">
        <f>IF(C29="","",((D29/1000*'State eGrid factors'!$C$53/2204.62)+((D29/(1-EF!$E$30))*EF!$E$24)+(D29*EF!$H$3)+(E29*('CBECS IFs'!$M$38+'CBECS IFs'!$O$44)))/1000+N("electricity emissions + upstream losses on total generation + T&amp;D losses + natural gas combustion emissions +upstream natural gas emissions"))</f>
        <v/>
      </c>
      <c r="I29" s="450">
        <v>3</v>
      </c>
      <c r="J29" s="454"/>
      <c r="K29" s="455"/>
      <c r="L29" s="455"/>
      <c r="M29" s="328">
        <f>((K29/1000*'State eGrid factors'!$C$53/2204.62)+((K29/(1-EF!$E$30))*EF!$E$24)+(K29*EF!$H$3)+(L29*('CBECS IFs'!$M$38+'CBECS IFs'!$O$44)))/1000+N("electricity emissions + upstream losses on total generation + T&amp;D losses + natural gas combustion emissions +upstream natural gas emissions")</f>
        <v>0</v>
      </c>
    </row>
    <row r="30" spans="1:13" ht="14.5">
      <c r="A30" s="450">
        <v>4</v>
      </c>
      <c r="B30" s="454"/>
      <c r="C30" s="455"/>
      <c r="D30" s="456" t="str">
        <f>IF(C30="","",C30*'CBECS IFs'!$C$8)</f>
        <v/>
      </c>
      <c r="E30" s="456" t="str">
        <f>IF(C30="","",C30*'CBECS IFs'!$D$18)</f>
        <v/>
      </c>
      <c r="F30" s="328" t="str">
        <f>IF(C30="","",((D30/1000*'State eGrid factors'!$C$53/2204.62)+((D30/(1-EF!$E$30))*EF!$E$24)+(D30*EF!$H$3)+(E30*('CBECS IFs'!$M$38+'CBECS IFs'!$O$44)))/1000+N("electricity emissions + upstream losses on total generation + T&amp;D losses + natural gas combustion emissions +upstream natural gas emissions"))</f>
        <v/>
      </c>
      <c r="I30" s="450">
        <v>4</v>
      </c>
      <c r="J30" s="454"/>
      <c r="K30" s="455"/>
      <c r="L30" s="455"/>
      <c r="M30" s="328">
        <f>((K30/1000*'State eGrid factors'!$C$53/2204.62)+((K30/(1-EF!$E$30))*EF!$E$24)+(K30*EF!$H$3)+(L30*('CBECS IFs'!$M$38+'CBECS IFs'!$O$44)))/1000+N("electricity emissions + upstream losses on total generation + T&amp;D losses + natural gas combustion emissions +upstream natural gas emissions")</f>
        <v>0</v>
      </c>
    </row>
    <row r="31" spans="1:13" ht="14.5">
      <c r="A31" s="450">
        <v>5</v>
      </c>
      <c r="B31" s="454"/>
      <c r="C31" s="455"/>
      <c r="D31" s="456" t="str">
        <f>IF(C31="","",C31*'CBECS IFs'!$C$8)</f>
        <v/>
      </c>
      <c r="E31" s="456" t="str">
        <f>IF(C31="","",C31*'CBECS IFs'!$D$18)</f>
        <v/>
      </c>
      <c r="F31" s="328" t="str">
        <f>IF(C31="","",((D31/1000*'State eGrid factors'!$C$53/2204.62)+((D31/(1-EF!$E$30))*EF!$E$24)+(D31*EF!$H$3)+(E31*('CBECS IFs'!$M$38+'CBECS IFs'!$O$44)))/1000+N("electricity emissions + upstream losses on total generation + T&amp;D losses + natural gas combustion emissions +upstream natural gas emissions"))</f>
        <v/>
      </c>
      <c r="I31" s="450">
        <v>5</v>
      </c>
      <c r="J31" s="454"/>
      <c r="K31" s="455"/>
      <c r="L31" s="455"/>
      <c r="M31" s="328">
        <f>((K31/1000*'State eGrid factors'!$C$53/2204.62)+((K31/(1-EF!$E$30))*EF!$E$24)+(K31*EF!$H$3)+(L31*('CBECS IFs'!$M$38+'CBECS IFs'!$O$44)))/1000+N("electricity emissions + upstream losses on total generation + T&amp;D losses + natural gas combustion emissions +upstream natural gas emissions")</f>
        <v>0</v>
      </c>
    </row>
    <row r="32" spans="1:13" ht="14.5">
      <c r="A32" s="450">
        <v>6</v>
      </c>
      <c r="B32" s="454"/>
      <c r="C32" s="455"/>
      <c r="D32" s="456" t="str">
        <f>IF(C32="","",C32*'CBECS IFs'!$C$8)</f>
        <v/>
      </c>
      <c r="E32" s="456" t="str">
        <f>IF(C32="","",C32*'CBECS IFs'!$D$18)</f>
        <v/>
      </c>
      <c r="F32" s="328" t="str">
        <f>IF(C32="","",((D32/1000*'State eGrid factors'!$C$53/2204.62)+((D32/(1-EF!$E$30))*EF!$E$24)+(D32*EF!$H$3)+(E32*('CBECS IFs'!$M$38+'CBECS IFs'!$O$44)))/1000+N("electricity emissions + upstream losses on total generation + T&amp;D losses + natural gas combustion emissions +upstream natural gas emissions"))</f>
        <v/>
      </c>
      <c r="I32" s="450">
        <v>6</v>
      </c>
      <c r="J32" s="454"/>
      <c r="K32" s="455"/>
      <c r="L32" s="455"/>
      <c r="M32" s="328">
        <f>((K32/1000*'State eGrid factors'!$C$53/2204.62)+((K32/(1-EF!$E$30))*EF!$E$24)+(K32*EF!$H$3)+(L32*('CBECS IFs'!$M$38+'CBECS IFs'!$O$44)))/1000+N("electricity emissions + upstream losses on total generation + T&amp;D losses + natural gas combustion emissions +upstream natural gas emissions")</f>
        <v>0</v>
      </c>
    </row>
    <row r="33" spans="1:14" ht="14.5">
      <c r="A33" s="450">
        <v>7</v>
      </c>
      <c r="B33" s="454"/>
      <c r="C33" s="455"/>
      <c r="D33" s="456" t="str">
        <f>IF(C33="","",C33*'CBECS IFs'!$C$8)</f>
        <v/>
      </c>
      <c r="E33" s="456" t="str">
        <f>IF(C33="","",C33*'CBECS IFs'!$D$18)</f>
        <v/>
      </c>
      <c r="F33" s="328" t="str">
        <f>IF(C33="","",((D33/1000*'State eGrid factors'!$C$53/2204.62)+((D33/(1-EF!$E$30))*EF!$E$24)+(D33*EF!$H$3)+(E33*('CBECS IFs'!$M$38+'CBECS IFs'!$O$44)))/1000+N("electricity emissions + upstream losses on total generation + T&amp;D losses + natural gas combustion emissions +upstream natural gas emissions"))</f>
        <v/>
      </c>
      <c r="I33" s="450">
        <v>7</v>
      </c>
      <c r="J33" s="454"/>
      <c r="K33" s="455"/>
      <c r="L33" s="455"/>
      <c r="M33" s="328">
        <f>((K33/1000*'State eGrid factors'!$C$53/2204.62)+((K33/(1-EF!$E$30))*EF!$E$24)+(K33*EF!$H$3)+(L33*('CBECS IFs'!$M$38+'CBECS IFs'!$O$44)))/1000+N("electricity emissions + upstream losses on total generation + T&amp;D losses + natural gas combustion emissions +upstream natural gas emissions")</f>
        <v>0</v>
      </c>
    </row>
    <row r="34" spans="1:14" ht="14.5">
      <c r="A34" s="450">
        <v>8</v>
      </c>
      <c r="B34" s="454"/>
      <c r="C34" s="455"/>
      <c r="D34" s="456" t="str">
        <f>IF(C34="","",C34*'CBECS IFs'!$C$8)</f>
        <v/>
      </c>
      <c r="E34" s="456" t="str">
        <f>IF(C34="","",C34*'CBECS IFs'!$D$18)</f>
        <v/>
      </c>
      <c r="F34" s="328" t="str">
        <f>IF(C34="","",((D34/1000*'State eGrid factors'!$C$53/2204.62)+((D34/(1-EF!$E$30))*EF!$E$24)+(D34*EF!$H$3)+(E34*('CBECS IFs'!$M$38+'CBECS IFs'!$O$44)))/1000+N("electricity emissions + upstream losses on total generation + T&amp;D losses + natural gas combustion emissions +upstream natural gas emissions"))</f>
        <v/>
      </c>
      <c r="I34" s="450">
        <v>8</v>
      </c>
      <c r="J34" s="454"/>
      <c r="K34" s="455"/>
      <c r="L34" s="455"/>
      <c r="M34" s="328">
        <f>((K34/1000*'State eGrid factors'!$C$53/2204.62)+((K34/(1-EF!$E$30))*EF!$E$24)+(K34*EF!$H$3)+(L34*('CBECS IFs'!$M$38+'CBECS IFs'!$O$44)))/1000+N("electricity emissions + upstream losses on total generation + T&amp;D losses + natural gas combustion emissions +upstream natural gas emissions")</f>
        <v>0</v>
      </c>
    </row>
    <row r="35" spans="1:14" ht="14.5">
      <c r="A35" s="450">
        <v>9</v>
      </c>
      <c r="B35" s="454"/>
      <c r="C35" s="455"/>
      <c r="D35" s="456" t="str">
        <f>IF(C35="","",C35*'CBECS IFs'!$C$8)</f>
        <v/>
      </c>
      <c r="E35" s="456" t="str">
        <f>IF(C35="","",C35*'CBECS IFs'!$D$18)</f>
        <v/>
      </c>
      <c r="F35" s="328" t="str">
        <f>IF(C35="","",((D35/1000*'State eGrid factors'!$C$53/2204.62)+((D35/(1-EF!$E$30))*EF!$E$24)+(D35*EF!$H$3)+(E35*('CBECS IFs'!$M$38+'CBECS IFs'!$O$44)))/1000+N("electricity emissions + upstream losses on total generation + T&amp;D losses + natural gas combustion emissions +upstream natural gas emissions"))</f>
        <v/>
      </c>
      <c r="I35" s="450">
        <v>9</v>
      </c>
      <c r="J35" s="454"/>
      <c r="K35" s="455"/>
      <c r="L35" s="455"/>
      <c r="M35" s="328">
        <f>((K35/1000*'State eGrid factors'!$C$53/2204.62)+((K35/(1-EF!$E$30))*EF!$E$24)+(K35*EF!$H$3)+(L35*('CBECS IFs'!$M$38+'CBECS IFs'!$O$44)))/1000+N("electricity emissions + upstream losses on total generation + T&amp;D losses + natural gas combustion emissions +upstream natural gas emissions")</f>
        <v>0</v>
      </c>
    </row>
    <row r="36" spans="1:14" ht="14.5">
      <c r="A36" s="450">
        <v>10</v>
      </c>
      <c r="B36" s="454"/>
      <c r="C36" s="455"/>
      <c r="D36" s="456" t="str">
        <f>IF(C36="","",C36*'CBECS IFs'!$C$8)</f>
        <v/>
      </c>
      <c r="E36" s="456" t="str">
        <f>IF(C36="","",C36*'CBECS IFs'!$D$18)</f>
        <v/>
      </c>
      <c r="F36" s="328" t="str">
        <f>IF(C36="","",((D36/1000*'State eGrid factors'!$C$53/2204.62)+((D36/(1-EF!$E$30))*EF!$E$24)+(D36*EF!$H$3)+(E36*('CBECS IFs'!$M$38+'CBECS IFs'!$O$44)))/1000+N("electricity emissions + upstream losses on total generation + T&amp;D losses + natural gas combustion emissions +upstream natural gas emissions"))</f>
        <v/>
      </c>
      <c r="I36" s="450">
        <v>10</v>
      </c>
      <c r="J36" s="454"/>
      <c r="K36" s="455"/>
      <c r="L36" s="455"/>
      <c r="M36" s="328">
        <f>((K36/1000*'State eGrid factors'!$C$53/2204.62)+((K36/(1-EF!$E$30))*EF!$E$24)+(K36*EF!$H$3)+(L36*('CBECS IFs'!$M$38+'CBECS IFs'!$O$44)))/1000+N("electricity emissions + upstream losses on total generation + T&amp;D losses + natural gas combustion emissions +upstream natural gas emissions")</f>
        <v>0</v>
      </c>
    </row>
    <row r="37" spans="1:14" ht="14.5">
      <c r="A37" s="450">
        <v>11</v>
      </c>
      <c r="B37" s="454"/>
      <c r="C37" s="455"/>
      <c r="D37" s="456" t="str">
        <f>IF(C37="","",C37*'CBECS IFs'!$C$8)</f>
        <v/>
      </c>
      <c r="E37" s="456" t="str">
        <f>IF(C37="","",C37*'CBECS IFs'!$D$18)</f>
        <v/>
      </c>
      <c r="F37" s="328" t="str">
        <f>IF(C37="","",((D37/1000*'State eGrid factors'!$C$53/2204.62)+((D37/(1-EF!$E$30))*EF!$E$24)+(D37*EF!$H$3)+(E37*('CBECS IFs'!$M$38+'CBECS IFs'!$O$44)))/1000+N("electricity emissions + upstream losses on total generation + T&amp;D losses + natural gas combustion emissions +upstream natural gas emissions"))</f>
        <v/>
      </c>
      <c r="I37" s="450">
        <v>11</v>
      </c>
      <c r="J37" s="454"/>
      <c r="K37" s="455"/>
      <c r="L37" s="455"/>
      <c r="M37" s="328">
        <f>((K37/1000*'State eGrid factors'!$C$53/2204.62)+((K37/(1-EF!$E$30))*EF!$E$24)+(K37*EF!$H$3)+(L37*('CBECS IFs'!$M$38+'CBECS IFs'!$O$44)))/1000+N("electricity emissions + upstream losses on total generation + T&amp;D losses + natural gas combustion emissions +upstream natural gas emissions")</f>
        <v>0</v>
      </c>
    </row>
    <row r="38" spans="1:14" ht="14.5">
      <c r="A38" s="450">
        <v>12</v>
      </c>
      <c r="B38" s="454"/>
      <c r="C38" s="455"/>
      <c r="D38" s="456" t="str">
        <f>IF(C38="","",C38*'CBECS IFs'!$C$8)</f>
        <v/>
      </c>
      <c r="E38" s="456" t="str">
        <f>IF(C38="","",C38*'CBECS IFs'!$D$18)</f>
        <v/>
      </c>
      <c r="F38" s="328" t="str">
        <f>IF(C38="","",((D38/1000*'State eGrid factors'!$C$53/2204.62)+((D38/(1-EF!$E$30))*EF!$E$24)+(D38*EF!$H$3)+(E38*('CBECS IFs'!$M$38+'CBECS IFs'!$O$44)))/1000+N("electricity emissions + upstream losses on total generation + T&amp;D losses + natural gas combustion emissions +upstream natural gas emissions"))</f>
        <v/>
      </c>
      <c r="I38" s="450">
        <v>12</v>
      </c>
      <c r="J38" s="454"/>
      <c r="K38" s="455"/>
      <c r="L38" s="455"/>
      <c r="M38" s="328">
        <f>((K38/1000*'State eGrid factors'!$C$53/2204.62)+((K38/(1-EF!$E$30))*EF!$E$24)+(K38*EF!$H$3)+(L38*('CBECS IFs'!$M$38+'CBECS IFs'!$O$44)))/1000+N("electricity emissions + upstream losses on total generation + T&amp;D losses + natural gas combustion emissions +upstream natural gas emissions")</f>
        <v>0</v>
      </c>
    </row>
    <row r="39" spans="1:14" ht="14.5">
      <c r="A39" s="450">
        <v>13</v>
      </c>
      <c r="B39" s="454"/>
      <c r="C39" s="455"/>
      <c r="D39" s="456" t="str">
        <f>IF(C39="","",C39*'CBECS IFs'!$C$8)</f>
        <v/>
      </c>
      <c r="E39" s="456" t="str">
        <f>IF(C39="","",C39*'CBECS IFs'!$D$18)</f>
        <v/>
      </c>
      <c r="F39" s="328" t="str">
        <f>IF(C39="","",((D39/1000*'State eGrid factors'!$C$53/2204.62)+((D39/(1-EF!$E$30))*EF!$E$24)+(D39*EF!$H$3)+(E39*('CBECS IFs'!$M$38+'CBECS IFs'!$O$44)))/1000+N("electricity emissions + upstream losses on total generation + T&amp;D losses + natural gas combustion emissions +upstream natural gas emissions"))</f>
        <v/>
      </c>
      <c r="I39" s="450">
        <v>13</v>
      </c>
      <c r="J39" s="454"/>
      <c r="K39" s="455"/>
      <c r="L39" s="455"/>
      <c r="M39" s="328">
        <f>((K39/1000*'State eGrid factors'!$C$53/2204.62)+((K39/(1-EF!$E$30))*EF!$E$24)+(K39*EF!$H$3)+(L39*('CBECS IFs'!$M$38+'CBECS IFs'!$O$44)))/1000+N("electricity emissions + upstream losses on total generation + T&amp;D losses + natural gas combustion emissions +upstream natural gas emissions")</f>
        <v>0</v>
      </c>
    </row>
    <row r="40" spans="1:14" ht="14.5">
      <c r="A40" s="450">
        <v>14</v>
      </c>
      <c r="B40" s="454"/>
      <c r="C40" s="455"/>
      <c r="D40" s="456" t="str">
        <f>IF(C40="","",C40*'CBECS IFs'!$C$8)</f>
        <v/>
      </c>
      <c r="E40" s="456" t="str">
        <f>IF(C40="","",C40*'CBECS IFs'!$D$18)</f>
        <v/>
      </c>
      <c r="F40" s="328" t="str">
        <f>IF(C40="","",((D40/1000*'State eGrid factors'!$C$53/2204.62)+((D40/(1-EF!$E$30))*EF!$E$24)+(D40*EF!$H$3)+(E40*('CBECS IFs'!$M$38+'CBECS IFs'!$O$44)))/1000+N("electricity emissions + upstream losses on total generation + T&amp;D losses + natural gas combustion emissions +upstream natural gas emissions"))</f>
        <v/>
      </c>
      <c r="I40" s="450">
        <v>14</v>
      </c>
      <c r="J40" s="454"/>
      <c r="K40" s="455"/>
      <c r="L40" s="455"/>
      <c r="M40" s="328">
        <f>((K40/1000*'State eGrid factors'!$C$53/2204.62)+((K40/(1-EF!$E$30))*EF!$E$24)+(K40*EF!$H$3)+(L40*('CBECS IFs'!$M$38+'CBECS IFs'!$O$44)))/1000+N("electricity emissions + upstream losses on total generation + T&amp;D losses + natural gas combustion emissions +upstream natural gas emissions")</f>
        <v>0</v>
      </c>
    </row>
    <row r="41" spans="1:14" ht="14.5">
      <c r="A41" s="450">
        <v>15</v>
      </c>
      <c r="B41" s="454"/>
      <c r="C41" s="455"/>
      <c r="D41" s="456" t="str">
        <f>IF(C41="","",C41*'CBECS IFs'!$C$8)</f>
        <v/>
      </c>
      <c r="E41" s="456" t="str">
        <f>IF(C41="","",C41*'CBECS IFs'!$D$18)</f>
        <v/>
      </c>
      <c r="F41" s="328" t="str">
        <f>IF(C41="","",((D41/1000*'State eGrid factors'!$C$53/2204.62)+((D41/(1-EF!$E$30))*EF!$E$24)+(D41*EF!$H$3)+(E41*('CBECS IFs'!$M$38+'CBECS IFs'!$O$44)))/1000+N("electricity emissions + upstream losses on total generation + T&amp;D losses + natural gas combustion emissions +upstream natural gas emissions"))</f>
        <v/>
      </c>
      <c r="I41" s="450">
        <v>15</v>
      </c>
      <c r="J41" s="454"/>
      <c r="K41" s="455"/>
      <c r="L41" s="455"/>
      <c r="M41" s="328">
        <f>((K41/1000*'State eGrid factors'!$C$53/2204.62)+((K41/(1-EF!$E$30))*EF!$E$24)+(K41*EF!$H$3)+(L41*('CBECS IFs'!$M$38+'CBECS IFs'!$O$44)))/1000+N("electricity emissions + upstream losses on total generation + T&amp;D losses + natural gas combustion emissions +upstream natural gas emissions")</f>
        <v>0</v>
      </c>
    </row>
    <row r="42" spans="1:14" ht="14.5">
      <c r="A42" s="450">
        <v>16</v>
      </c>
      <c r="B42" s="454"/>
      <c r="C42" s="455"/>
      <c r="D42" s="456" t="str">
        <f>IF(C42="","",C42*'CBECS IFs'!$C$8)</f>
        <v/>
      </c>
      <c r="E42" s="456" t="str">
        <f>IF(C42="","",C42*'CBECS IFs'!$D$18)</f>
        <v/>
      </c>
      <c r="F42" s="328" t="str">
        <f>IF(C42="","",((D42/1000*'State eGrid factors'!$C$53/2204.62)+((D42/(1-EF!$E$30))*EF!$E$24)+(D42*EF!$H$3)+(E42*('CBECS IFs'!$M$38+'CBECS IFs'!$O$44)))/1000+N("electricity emissions + upstream losses on total generation + T&amp;D losses + natural gas combustion emissions +upstream natural gas emissions"))</f>
        <v/>
      </c>
      <c r="I42" s="450">
        <v>16</v>
      </c>
      <c r="J42" s="454"/>
      <c r="K42" s="455"/>
      <c r="L42" s="455"/>
      <c r="M42" s="328">
        <f>((K42/1000*'State eGrid factors'!$C$53/2204.62)+((K42/(1-EF!$E$30))*EF!$E$24)+(K42*EF!$H$3)+(L42*('CBECS IFs'!$M$38+'CBECS IFs'!$O$44)))/1000+N("electricity emissions + upstream losses on total generation + T&amp;D losses + natural gas combustion emissions +upstream natural gas emissions")</f>
        <v>0</v>
      </c>
    </row>
    <row r="43" spans="1:14" ht="14.5">
      <c r="A43" s="450">
        <v>17</v>
      </c>
      <c r="B43" s="454"/>
      <c r="C43" s="455"/>
      <c r="D43" s="456" t="str">
        <f>IF(C43="","",C43*'CBECS IFs'!$C$8)</f>
        <v/>
      </c>
      <c r="E43" s="456" t="str">
        <f>IF(C43="","",C43*'CBECS IFs'!$D$18)</f>
        <v/>
      </c>
      <c r="F43" s="328" t="str">
        <f>IF(C43="","",((D43/1000*'State eGrid factors'!$C$53/2204.62)+((D43/(1-EF!$E$30))*EF!$E$24)+(D43*EF!$H$3)+(E43*('CBECS IFs'!$M$38+'CBECS IFs'!$O$44)))/1000+N("electricity emissions + upstream losses on total generation + T&amp;D losses + natural gas combustion emissions +upstream natural gas emissions"))</f>
        <v/>
      </c>
      <c r="I43" s="450">
        <v>17</v>
      </c>
      <c r="J43" s="454"/>
      <c r="K43" s="455"/>
      <c r="L43" s="455"/>
      <c r="M43" s="328">
        <f>((K43/1000*'State eGrid factors'!$C$53/2204.62)+((K43/(1-EF!$E$30))*EF!$E$24)+(K43*EF!$H$3)+(L43*('CBECS IFs'!$M$38+'CBECS IFs'!$O$44)))/1000+N("electricity emissions + upstream losses on total generation + T&amp;D losses + natural gas combustion emissions +upstream natural gas emissions")</f>
        <v>0</v>
      </c>
    </row>
    <row r="44" spans="1:14" ht="14.5">
      <c r="A44" s="450">
        <v>18</v>
      </c>
      <c r="B44" s="454"/>
      <c r="C44" s="455"/>
      <c r="D44" s="456" t="str">
        <f>IF(C44="","",C44*'CBECS IFs'!$C$8)</f>
        <v/>
      </c>
      <c r="E44" s="456" t="str">
        <f>IF(C44="","",C44*'CBECS IFs'!$D$18)</f>
        <v/>
      </c>
      <c r="F44" s="328" t="str">
        <f>IF(C44="","",((D44/1000*'State eGrid factors'!$C$53/2204.62)+((D44/(1-EF!$E$30))*EF!$E$24)+(D44*EF!$H$3)+(E44*('CBECS IFs'!$M$38+'CBECS IFs'!$O$44)))/1000+N("electricity emissions + upstream losses on total generation + T&amp;D losses + natural gas combustion emissions +upstream natural gas emissions"))</f>
        <v/>
      </c>
      <c r="I44" s="450">
        <v>18</v>
      </c>
      <c r="J44" s="454"/>
      <c r="K44" s="455"/>
      <c r="L44" s="455"/>
      <c r="M44" s="328">
        <f>((K44/1000*'State eGrid factors'!$C$53/2204.62)+((K44/(1-EF!$E$30))*EF!$E$24)+(K44*EF!$H$3)+(L44*('CBECS IFs'!$M$38+'CBECS IFs'!$O$44)))/1000+N("electricity emissions + upstream losses on total generation + T&amp;D losses + natural gas combustion emissions +upstream natural gas emissions")</f>
        <v>0</v>
      </c>
    </row>
    <row r="45" spans="1:14" ht="14.5">
      <c r="A45" s="450">
        <v>19</v>
      </c>
      <c r="B45" s="454"/>
      <c r="C45" s="455"/>
      <c r="D45" s="456" t="str">
        <f>IF(C45="","",C45*'CBECS IFs'!$C$8)</f>
        <v/>
      </c>
      <c r="E45" s="456" t="str">
        <f>IF(C45="","",C45*'CBECS IFs'!$D$18)</f>
        <v/>
      </c>
      <c r="F45" s="328" t="str">
        <f>IF(C45="","",((D45/1000*'State eGrid factors'!$C$53/2204.62)+((D45/(1-EF!$E$30))*EF!$E$24)+(D45*EF!$H$3)+(E45*('CBECS IFs'!$M$38+'CBECS IFs'!$O$44)))/1000+N("electricity emissions + upstream losses on total generation + T&amp;D losses + natural gas combustion emissions +upstream natural gas emissions"))</f>
        <v/>
      </c>
      <c r="I45" s="450">
        <v>19</v>
      </c>
      <c r="J45" s="454"/>
      <c r="K45" s="455"/>
      <c r="L45" s="455"/>
      <c r="M45" s="328">
        <f>((K45/1000*'State eGrid factors'!$C$53/2204.62)+((K45/(1-EF!$E$30))*EF!$E$24)+(K45*EF!$H$3)+(L45*('CBECS IFs'!$M$38+'CBECS IFs'!$O$44)))/1000+N("electricity emissions + upstream losses on total generation + T&amp;D losses + natural gas combustion emissions +upstream natural gas emissions")</f>
        <v>0</v>
      </c>
    </row>
    <row r="46" spans="1:14" ht="15" thickBot="1">
      <c r="A46" s="450">
        <v>20</v>
      </c>
      <c r="B46" s="454"/>
      <c r="C46" s="455"/>
      <c r="D46" s="456" t="str">
        <f>IF(C46="","",C46*'CBECS IFs'!$C$8)</f>
        <v/>
      </c>
      <c r="E46" s="456" t="str">
        <f>IF(C46="","",C46*'CBECS IFs'!$D$18)</f>
        <v/>
      </c>
      <c r="F46" s="328" t="str">
        <f>IF(C46="","",((D46/1000*'State eGrid factors'!$C$53/2204.62)+((D46/(1-EF!$E$30))*EF!$E$24)+(D46*EF!$H$3)+(E46*('CBECS IFs'!$M$38+'CBECS IFs'!$O$44)))/1000+N("electricity emissions + upstream losses on total generation + T&amp;D losses + natural gas combustion emissions +upstream natural gas emissions"))</f>
        <v/>
      </c>
      <c r="I46" s="450">
        <v>20</v>
      </c>
      <c r="J46" s="454"/>
      <c r="K46" s="455"/>
      <c r="L46" s="455"/>
      <c r="M46" s="328">
        <f>((K46/1000*'State eGrid factors'!$C$53/2204.62)+((K46/(1-EF!$E$30))*EF!$E$24)+(K46*EF!$H$3)+(L46*('CBECS IFs'!$M$38+'CBECS IFs'!$O$44)))/1000+N("electricity emissions + upstream losses on total generation + T&amp;D losses + natural gas combustion emissions +upstream natural gas emissions")</f>
        <v>0</v>
      </c>
    </row>
    <row r="47" spans="1:14" ht="14.5" thickBot="1">
      <c r="E47" s="457" t="s">
        <v>1624</v>
      </c>
      <c r="F47" s="339">
        <f>SUM(F28:F46)</f>
        <v>0</v>
      </c>
      <c r="L47" s="457" t="s">
        <v>1624</v>
      </c>
      <c r="M47" s="339">
        <f>SUM(M28:M46)</f>
        <v>0</v>
      </c>
    </row>
    <row r="48" spans="1:14">
      <c r="E48" s="458"/>
      <c r="F48" s="459"/>
      <c r="M48" s="458"/>
      <c r="N48" s="459"/>
    </row>
    <row r="49" spans="1:14" ht="17.5">
      <c r="A49" s="444" t="s">
        <v>1797</v>
      </c>
      <c r="I49" s="444" t="s">
        <v>1797</v>
      </c>
    </row>
    <row r="50" spans="1:14" ht="14.25" customHeight="1">
      <c r="A50" s="445" t="s">
        <v>1592</v>
      </c>
      <c r="I50" s="445" t="s">
        <v>1592</v>
      </c>
    </row>
    <row r="51" spans="1:14" ht="22.5" customHeight="1">
      <c r="A51" s="445"/>
      <c r="C51" s="1206" t="s">
        <v>3444</v>
      </c>
      <c r="I51" s="445"/>
      <c r="K51" s="1206"/>
    </row>
    <row r="52" spans="1:14" ht="14.25" customHeight="1">
      <c r="B52" s="447" t="s">
        <v>353</v>
      </c>
      <c r="C52" s="447" t="s">
        <v>353</v>
      </c>
      <c r="D52" s="1205"/>
      <c r="E52" s="447"/>
      <c r="J52" s="447" t="s">
        <v>353</v>
      </c>
      <c r="K52" s="447" t="s">
        <v>353</v>
      </c>
      <c r="L52" s="447" t="s">
        <v>353</v>
      </c>
      <c r="M52" s="447" t="s">
        <v>353</v>
      </c>
    </row>
    <row r="53" spans="1:14">
      <c r="A53" s="448" t="s">
        <v>1593</v>
      </c>
      <c r="B53" s="449" t="s">
        <v>360</v>
      </c>
      <c r="C53" s="449" t="s">
        <v>3445</v>
      </c>
      <c r="D53" s="448" t="s">
        <v>1793</v>
      </c>
      <c r="E53" s="448" t="s">
        <v>1794</v>
      </c>
      <c r="F53" s="448" t="s">
        <v>1795</v>
      </c>
      <c r="G53" s="448" t="s">
        <v>363</v>
      </c>
      <c r="I53" s="448" t="s">
        <v>1593</v>
      </c>
      <c r="J53" s="449" t="s">
        <v>360</v>
      </c>
      <c r="K53" s="449" t="s">
        <v>2201</v>
      </c>
      <c r="L53" s="448" t="s">
        <v>1794</v>
      </c>
      <c r="M53" s="448" t="s">
        <v>1795</v>
      </c>
      <c r="N53" s="448" t="s">
        <v>363</v>
      </c>
    </row>
    <row r="54" spans="1:14" ht="14.5">
      <c r="A54" s="450">
        <v>1</v>
      </c>
      <c r="B54" s="451" t="s">
        <v>1796</v>
      </c>
      <c r="C54" s="451" t="s">
        <v>1798</v>
      </c>
      <c r="D54" s="452">
        <v>3000</v>
      </c>
      <c r="E54" s="453">
        <f>IF(OR(C54="",D54=""),"",(D54*IF(C54='CBECS IFs'!$B$10,'CBECS IFs'!$C$10,'CBECS IFs'!$C$11)))</f>
        <v>56699.999999999993</v>
      </c>
      <c r="F54" s="453">
        <f>IF(OR(C54="",D54=""),"",(D54*IF(C54='CBECS IFs'!$B$20,'CBECS IFs'!$D$20,'CBECS IFs'!$D$21)))</f>
        <v>974.14684591520165</v>
      </c>
      <c r="G54" s="328">
        <f>IF(OR(D54="",C54=""),"",((E54/1000*'State eGrid factors'!$C$53/2204.62)+((E54/(1-EF!$E$30))*EF!$E$24)+(E54*EF!$H$3)+(F54*('CBECS IFs'!$M$38+'CBECS IFs'!$O$44)))/1000+N("electricity emissions + upstream losses on total generation + T&amp;D losses + natural gas combustion emissions +upstream natural gas emissions"))</f>
        <v>11.070149894648617</v>
      </c>
      <c r="I54" s="450">
        <v>1</v>
      </c>
      <c r="J54" s="451" t="s">
        <v>1796</v>
      </c>
      <c r="K54" s="451" t="s">
        <v>1798</v>
      </c>
      <c r="L54" s="452">
        <v>50000</v>
      </c>
      <c r="M54" s="452">
        <v>1000</v>
      </c>
      <c r="N54" s="328">
        <f>((L54/1000*'State eGrid factors'!$C$53/2204.62)+((L54/(1-EF!$E$30))*EF!$E$24)+(L54*EF!$H$3)+(M54*('CBECS IFs'!$M$38+'CBECS IFs'!$O$44)))/1000+N("electricity emissions + upstream losses on total generation + T&amp;D losses + natural gas combustion emissions +upstream natural gas emissions")</f>
        <v>10.642651872539169</v>
      </c>
    </row>
    <row r="55" spans="1:14" ht="14.5">
      <c r="A55" s="450">
        <v>2</v>
      </c>
      <c r="B55" s="454"/>
      <c r="C55" s="454"/>
      <c r="D55" s="455"/>
      <c r="E55" s="456" t="str">
        <f>IF(OR(C55="",D55=""),"",(D55*IF(C55='CBECS IFs'!$B$10,'CBECS IFs'!$C$10,'CBECS IFs'!$C$11)))</f>
        <v/>
      </c>
      <c r="F55" s="456" t="str">
        <f>IF(OR(C55="",D55=""),"",(D55*IF(C55='CBECS IFs'!$B$20,'CBECS IFs'!$D$20,'CBECS IFs'!$D$21)))</f>
        <v/>
      </c>
      <c r="G55" s="328" t="str">
        <f>IF(OR(D55="",C55=""),"",((E55/1000*'State eGrid factors'!$C$53/2204.62)+((E55/(1-EF!$E$30))*EF!$E$24)+(E55*EF!$H$3)+(F55*('CBECS IFs'!$M$38+'CBECS IFs'!$O$44)))/1000+N("electricity emissions + upstream losses on total generation + T&amp;D losses + natural gas combustion emissions +upstream natural gas emissions"))</f>
        <v/>
      </c>
      <c r="I55" s="450">
        <v>2</v>
      </c>
      <c r="J55" s="454"/>
      <c r="K55" s="454"/>
      <c r="L55" s="455"/>
      <c r="M55" s="455"/>
      <c r="N55" s="328">
        <f>((L55/1000*'State eGrid factors'!$C$53/2204.62)+((L55/(1-EF!$E$30))*EF!$E$24)+(L55*EF!$H$3)+(M55*('CBECS IFs'!$M$38+'CBECS IFs'!$O$44)))/1000+N("electricity emissions + upstream losses on total generation + T&amp;D losses + natural gas combustion emissions +upstream natural gas emissions")</f>
        <v>0</v>
      </c>
    </row>
    <row r="56" spans="1:14" ht="14.5">
      <c r="A56" s="450">
        <v>3</v>
      </c>
      <c r="B56" s="454"/>
      <c r="C56" s="454"/>
      <c r="D56" s="455"/>
      <c r="E56" s="456" t="str">
        <f>IF(OR(C56="",D56=""),"",(D56*IF(C56='CBECS IFs'!$B$10,'CBECS IFs'!$C$10,'CBECS IFs'!$C$11)))</f>
        <v/>
      </c>
      <c r="F56" s="456" t="str">
        <f>IF(OR(C56="",D56=""),"",(D56*IF(C56='CBECS IFs'!$B$20,'CBECS IFs'!$D$20,'CBECS IFs'!$D$21)))</f>
        <v/>
      </c>
      <c r="G56" s="328" t="str">
        <f>IF(OR(D56="",C56=""),"",((E56/1000*'State eGrid factors'!$C$53/2204.62)+((E56/(1-EF!$E$30))*EF!$E$24)+(E56*EF!$H$3)+(F56*('CBECS IFs'!$M$38+'CBECS IFs'!$O$44)))/1000+N("electricity emissions + upstream losses on total generation + T&amp;D losses + natural gas combustion emissions +upstream natural gas emissions"))</f>
        <v/>
      </c>
      <c r="I56" s="450">
        <v>3</v>
      </c>
      <c r="J56" s="454"/>
      <c r="K56" s="454"/>
      <c r="L56" s="455"/>
      <c r="M56" s="455"/>
      <c r="N56" s="328">
        <f>((L56/1000*'State eGrid factors'!$C$53/2204.62)+((L56/(1-EF!$E$30))*EF!$E$24)+(L56*EF!$H$3)+(M56*('CBECS IFs'!$M$38+'CBECS IFs'!$O$44)))/1000+N("electricity emissions + upstream losses on total generation + T&amp;D losses + natural gas combustion emissions +upstream natural gas emissions")</f>
        <v>0</v>
      </c>
    </row>
    <row r="57" spans="1:14" ht="14.5">
      <c r="A57" s="450">
        <v>4</v>
      </c>
      <c r="B57" s="454"/>
      <c r="C57" s="454"/>
      <c r="D57" s="455"/>
      <c r="E57" s="456" t="str">
        <f>IF(OR(C57="",D57=""),"",(D57*IF(C57='CBECS IFs'!$B$10,'CBECS IFs'!$C$10,'CBECS IFs'!$C$11)))</f>
        <v/>
      </c>
      <c r="F57" s="456" t="str">
        <f>IF(OR(C57="",D57=""),"",(D57*IF(C57='CBECS IFs'!$B$20,'CBECS IFs'!$D$20,'CBECS IFs'!$D$21)))</f>
        <v/>
      </c>
      <c r="G57" s="328" t="str">
        <f>IF(OR(D57="",C57=""),"",((E57/1000*'State eGrid factors'!$C$53/2204.62)+((E57/(1-EF!$E$30))*EF!$E$24)+(E57*EF!$H$3)+(F57*('CBECS IFs'!$M$38+'CBECS IFs'!$O$44)))/1000+N("electricity emissions + upstream losses on total generation + T&amp;D losses + natural gas combustion emissions +upstream natural gas emissions"))</f>
        <v/>
      </c>
      <c r="I57" s="450">
        <v>4</v>
      </c>
      <c r="J57" s="454"/>
      <c r="K57" s="454"/>
      <c r="L57" s="455"/>
      <c r="M57" s="455"/>
      <c r="N57" s="328">
        <f>((L57/1000*'State eGrid factors'!$C$53/2204.62)+((L57/(1-EF!$E$30))*EF!$E$24)+(L57*EF!$H$3)+(M57*('CBECS IFs'!$M$38+'CBECS IFs'!$O$44)))/1000+N("electricity emissions + upstream losses on total generation + T&amp;D losses + natural gas combustion emissions +upstream natural gas emissions")</f>
        <v>0</v>
      </c>
    </row>
    <row r="58" spans="1:14" ht="14.5">
      <c r="A58" s="450">
        <v>5</v>
      </c>
      <c r="B58" s="454"/>
      <c r="C58" s="454"/>
      <c r="D58" s="455"/>
      <c r="E58" s="456" t="str">
        <f>IF(OR(C58="",D58=""),"",(D58*IF(C58='CBECS IFs'!$B$10,'CBECS IFs'!$C$10,'CBECS IFs'!$C$11)))</f>
        <v/>
      </c>
      <c r="F58" s="456" t="str">
        <f>IF(OR(C58="",D58=""),"",(D58*IF(C58='CBECS IFs'!$B$20,'CBECS IFs'!$D$20,'CBECS IFs'!$D$21)))</f>
        <v/>
      </c>
      <c r="G58" s="328" t="str">
        <f>IF(OR(D58="",C58=""),"",((E58/1000*'State eGrid factors'!$C$53/2204.62)+((E58/(1-EF!$E$30))*EF!$E$24)+(E58*EF!$H$3)+(F58*('CBECS IFs'!$M$38+'CBECS IFs'!$O$44)))/1000+N("electricity emissions + upstream losses on total generation + T&amp;D losses + natural gas combustion emissions +upstream natural gas emissions"))</f>
        <v/>
      </c>
      <c r="I58" s="450">
        <v>5</v>
      </c>
      <c r="J58" s="454"/>
      <c r="K58" s="454"/>
      <c r="L58" s="455"/>
      <c r="M58" s="455"/>
      <c r="N58" s="328">
        <f>((L58/1000*'State eGrid factors'!$C$53/2204.62)+((L58/(1-EF!$E$30))*EF!$E$24)+(L58*EF!$H$3)+(M58*('CBECS IFs'!$M$38+'CBECS IFs'!$O$44)))/1000+N("electricity emissions + upstream losses on total generation + T&amp;D losses + natural gas combustion emissions +upstream natural gas emissions")</f>
        <v>0</v>
      </c>
    </row>
    <row r="59" spans="1:14" ht="14.5">
      <c r="A59" s="450">
        <v>6</v>
      </c>
      <c r="B59" s="454"/>
      <c r="C59" s="454"/>
      <c r="D59" s="455"/>
      <c r="E59" s="456" t="str">
        <f>IF(OR(C59="",D59=""),"",(D59*IF(C59='CBECS IFs'!$B$10,'CBECS IFs'!$C$10,'CBECS IFs'!$C$11)))</f>
        <v/>
      </c>
      <c r="F59" s="456" t="str">
        <f>IF(OR(C59="",D59=""),"",(D59*IF(C59='CBECS IFs'!$B$20,'CBECS IFs'!$D$20,'CBECS IFs'!$D$21)))</f>
        <v/>
      </c>
      <c r="G59" s="328" t="str">
        <f>IF(OR(D59="",C59=""),"",((E59/1000*'State eGrid factors'!$C$53/2204.62)+((E59/(1-EF!$E$30))*EF!$E$24)+(E59*EF!$H$3)+(F59*('CBECS IFs'!$M$38+'CBECS IFs'!$O$44)))/1000+N("electricity emissions + upstream losses on total generation + T&amp;D losses + natural gas combustion emissions +upstream natural gas emissions"))</f>
        <v/>
      </c>
      <c r="I59" s="450">
        <v>6</v>
      </c>
      <c r="J59" s="454"/>
      <c r="K59" s="454"/>
      <c r="L59" s="455"/>
      <c r="M59" s="455"/>
      <c r="N59" s="328">
        <f>((L59/1000*'State eGrid factors'!$C$53/2204.62)+((L59/(1-EF!$E$30))*EF!$E$24)+(L59*EF!$H$3)+(M59*('CBECS IFs'!$M$38+'CBECS IFs'!$O$44)))/1000+N("electricity emissions + upstream losses on total generation + T&amp;D losses + natural gas combustion emissions +upstream natural gas emissions")</f>
        <v>0</v>
      </c>
    </row>
    <row r="60" spans="1:14" ht="14.5">
      <c r="A60" s="450">
        <v>7</v>
      </c>
      <c r="B60" s="454"/>
      <c r="C60" s="454"/>
      <c r="D60" s="455"/>
      <c r="E60" s="456" t="str">
        <f>IF(OR(C60="",D60=""),"",(D60*IF(C60='CBECS IFs'!$B$10,'CBECS IFs'!$C$10,'CBECS IFs'!$C$11)))</f>
        <v/>
      </c>
      <c r="F60" s="456" t="str">
        <f>IF(OR(C60="",D60=""),"",(D60*IF(C60='CBECS IFs'!$B$20,'CBECS IFs'!$D$20,'CBECS IFs'!$D$21)))</f>
        <v/>
      </c>
      <c r="G60" s="328" t="str">
        <f>IF(OR(D60="",C60=""),"",((E60/1000*'State eGrid factors'!$C$53/2204.62)+((E60/(1-EF!$E$30))*EF!$E$24)+(E60*EF!$H$3)+(F60*('CBECS IFs'!$M$38+'CBECS IFs'!$O$44)))/1000+N("electricity emissions + upstream losses on total generation + T&amp;D losses + natural gas combustion emissions +upstream natural gas emissions"))</f>
        <v/>
      </c>
      <c r="I60" s="450">
        <v>7</v>
      </c>
      <c r="J60" s="454"/>
      <c r="K60" s="454"/>
      <c r="L60" s="455"/>
      <c r="M60" s="455"/>
      <c r="N60" s="328">
        <f>((L60/1000*'State eGrid factors'!$C$53/2204.62)+((L60/(1-EF!$E$30))*EF!$E$24)+(L60*EF!$H$3)+(M60*('CBECS IFs'!$M$38+'CBECS IFs'!$O$44)))/1000+N("electricity emissions + upstream losses on total generation + T&amp;D losses + natural gas combustion emissions +upstream natural gas emissions")</f>
        <v>0</v>
      </c>
    </row>
    <row r="61" spans="1:14" ht="14.5">
      <c r="A61" s="450">
        <v>8</v>
      </c>
      <c r="B61" s="454"/>
      <c r="C61" s="454"/>
      <c r="D61" s="455"/>
      <c r="E61" s="456" t="str">
        <f>IF(OR(C61="",D61=""),"",(D61*IF(C61='CBECS IFs'!$B$10,'CBECS IFs'!$C$10,'CBECS IFs'!$C$11)))</f>
        <v/>
      </c>
      <c r="F61" s="456" t="str">
        <f>IF(OR(C61="",D61=""),"",(D61*IF(C61='CBECS IFs'!$B$20,'CBECS IFs'!$D$20,'CBECS IFs'!$D$21)))</f>
        <v/>
      </c>
      <c r="G61" s="328" t="str">
        <f>IF(OR(D61="",C61=""),"",((E61/1000*'State eGrid factors'!$C$53/2204.62)+((E61/(1-EF!$E$30))*EF!$E$24)+(E61*EF!$H$3)+(F61*('CBECS IFs'!$M$38+'CBECS IFs'!$O$44)))/1000+N("electricity emissions + upstream losses on total generation + T&amp;D losses + natural gas combustion emissions +upstream natural gas emissions"))</f>
        <v/>
      </c>
      <c r="I61" s="450">
        <v>8</v>
      </c>
      <c r="J61" s="454"/>
      <c r="K61" s="454"/>
      <c r="L61" s="455"/>
      <c r="M61" s="455"/>
      <c r="N61" s="328">
        <f>((L61/1000*'State eGrid factors'!$C$53/2204.62)+((L61/(1-EF!$E$30))*EF!$E$24)+(L61*EF!$H$3)+(M61*('CBECS IFs'!$M$38+'CBECS IFs'!$O$44)))/1000+N("electricity emissions + upstream losses on total generation + T&amp;D losses + natural gas combustion emissions +upstream natural gas emissions")</f>
        <v>0</v>
      </c>
    </row>
    <row r="62" spans="1:14" ht="14.5">
      <c r="A62" s="450">
        <v>9</v>
      </c>
      <c r="B62" s="454"/>
      <c r="C62" s="454"/>
      <c r="D62" s="455"/>
      <c r="E62" s="456" t="str">
        <f>IF(OR(C62="",D62=""),"",(D62*IF(C62='CBECS IFs'!$B$10,'CBECS IFs'!$C$10,'CBECS IFs'!$C$11)))</f>
        <v/>
      </c>
      <c r="F62" s="456" t="str">
        <f>IF(OR(C62="",D62=""),"",(D62*IF(C62='CBECS IFs'!$B$20,'CBECS IFs'!$D$20,'CBECS IFs'!$D$21)))</f>
        <v/>
      </c>
      <c r="G62" s="328" t="str">
        <f>IF(OR(D62="",C62=""),"",((E62/1000*'State eGrid factors'!$C$53/2204.62)+((E62/(1-EF!$E$30))*EF!$E$24)+(E62*EF!$H$3)+(F62*('CBECS IFs'!$M$38+'CBECS IFs'!$O$44)))/1000+N("electricity emissions + upstream losses on total generation + T&amp;D losses + natural gas combustion emissions +upstream natural gas emissions"))</f>
        <v/>
      </c>
      <c r="I62" s="450">
        <v>9</v>
      </c>
      <c r="J62" s="454"/>
      <c r="K62" s="454"/>
      <c r="L62" s="455"/>
      <c r="M62" s="455"/>
      <c r="N62" s="328">
        <f>((L62/1000*'State eGrid factors'!$C$53/2204.62)+((L62/(1-EF!$E$30))*EF!$E$24)+(L62*EF!$H$3)+(M62*('CBECS IFs'!$M$38+'CBECS IFs'!$O$44)))/1000+N("electricity emissions + upstream losses on total generation + T&amp;D losses + natural gas combustion emissions +upstream natural gas emissions")</f>
        <v>0</v>
      </c>
    </row>
    <row r="63" spans="1:14" ht="14.5">
      <c r="A63" s="450">
        <v>10</v>
      </c>
      <c r="B63" s="454"/>
      <c r="C63" s="454"/>
      <c r="D63" s="455"/>
      <c r="E63" s="456" t="str">
        <f>IF(OR(C63="",D63=""),"",(D63*IF(C63='CBECS IFs'!$B$10,'CBECS IFs'!$C$10,'CBECS IFs'!$C$11)))</f>
        <v/>
      </c>
      <c r="F63" s="456" t="str">
        <f>IF(OR(C63="",D63=""),"",(D63*IF(C63='CBECS IFs'!$B$20,'CBECS IFs'!$D$20,'CBECS IFs'!$D$21)))</f>
        <v/>
      </c>
      <c r="G63" s="328" t="str">
        <f>IF(OR(D63="",C63=""),"",((E63/1000*'State eGrid factors'!$C$53/2204.62)+((E63/(1-EF!$E$30))*EF!$E$24)+(E63*EF!$H$3)+(F63*('CBECS IFs'!$M$38+'CBECS IFs'!$O$44)))/1000+N("electricity emissions + upstream losses on total generation + T&amp;D losses + natural gas combustion emissions +upstream natural gas emissions"))</f>
        <v/>
      </c>
      <c r="I63" s="450">
        <v>10</v>
      </c>
      <c r="J63" s="454"/>
      <c r="K63" s="454"/>
      <c r="L63" s="455"/>
      <c r="M63" s="455"/>
      <c r="N63" s="328">
        <f>((L63/1000*'State eGrid factors'!$C$53/2204.62)+((L63/(1-EF!$E$30))*EF!$E$24)+(L63*EF!$H$3)+(M63*('CBECS IFs'!$M$38+'CBECS IFs'!$O$44)))/1000+N("electricity emissions + upstream losses on total generation + T&amp;D losses + natural gas combustion emissions +upstream natural gas emissions")</f>
        <v>0</v>
      </c>
    </row>
    <row r="64" spans="1:14" ht="14.5">
      <c r="A64" s="450">
        <v>11</v>
      </c>
      <c r="B64" s="454"/>
      <c r="C64" s="454"/>
      <c r="D64" s="455"/>
      <c r="E64" s="456" t="str">
        <f>IF(OR(C64="",D64=""),"",(D64*IF(C64='CBECS IFs'!$B$10,'CBECS IFs'!$C$10,'CBECS IFs'!$C$11)))</f>
        <v/>
      </c>
      <c r="F64" s="456" t="str">
        <f>IF(OR(C64="",D64=""),"",(D64*IF(C64='CBECS IFs'!$B$20,'CBECS IFs'!$D$20,'CBECS IFs'!$D$21)))</f>
        <v/>
      </c>
      <c r="G64" s="328" t="str">
        <f>IF(OR(D64="",C64=""),"",((E64/1000*'State eGrid factors'!$C$53/2204.62)+((E64/(1-EF!$E$30))*EF!$E$24)+(E64*EF!$H$3)+(F64*('CBECS IFs'!$M$38+'CBECS IFs'!$O$44)))/1000+N("electricity emissions + upstream losses on total generation + T&amp;D losses + natural gas combustion emissions +upstream natural gas emissions"))</f>
        <v/>
      </c>
      <c r="I64" s="450">
        <v>11</v>
      </c>
      <c r="J64" s="454"/>
      <c r="K64" s="454"/>
      <c r="L64" s="455"/>
      <c r="M64" s="455"/>
      <c r="N64" s="328">
        <f>((L64/1000*'State eGrid factors'!$C$53/2204.62)+((L64/(1-EF!$E$30))*EF!$E$24)+(L64*EF!$H$3)+(M64*('CBECS IFs'!$M$38+'CBECS IFs'!$O$44)))/1000+N("electricity emissions + upstream losses on total generation + T&amp;D losses + natural gas combustion emissions +upstream natural gas emissions")</f>
        <v>0</v>
      </c>
    </row>
    <row r="65" spans="1:14" ht="14.5">
      <c r="A65" s="450">
        <v>12</v>
      </c>
      <c r="B65" s="454"/>
      <c r="C65" s="454"/>
      <c r="D65" s="455"/>
      <c r="E65" s="456" t="str">
        <f>IF(OR(C65="",D65=""),"",(D65*IF(C65='CBECS IFs'!$B$10,'CBECS IFs'!$C$10,'CBECS IFs'!$C$11)))</f>
        <v/>
      </c>
      <c r="F65" s="456" t="str">
        <f>IF(OR(C65="",D65=""),"",(D65*IF(C65='CBECS IFs'!$B$20,'CBECS IFs'!$D$20,'CBECS IFs'!$D$21)))</f>
        <v/>
      </c>
      <c r="G65" s="328" t="str">
        <f>IF(OR(D65="",C65=""),"",((E65/1000*'State eGrid factors'!$C$53/2204.62)+((E65/(1-EF!$E$30))*EF!$E$24)+(E65*EF!$H$3)+(F65*('CBECS IFs'!$M$38+'CBECS IFs'!$O$44)))/1000+N("electricity emissions + upstream losses on total generation + T&amp;D losses + natural gas combustion emissions +upstream natural gas emissions"))</f>
        <v/>
      </c>
      <c r="I65" s="450">
        <v>12</v>
      </c>
      <c r="J65" s="454"/>
      <c r="K65" s="454"/>
      <c r="L65" s="455"/>
      <c r="M65" s="455"/>
      <c r="N65" s="328">
        <f>((L65/1000*'State eGrid factors'!$C$53/2204.62)+((L65/(1-EF!$E$30))*EF!$E$24)+(L65*EF!$H$3)+(M65*('CBECS IFs'!$M$38+'CBECS IFs'!$O$44)))/1000+N("electricity emissions + upstream losses on total generation + T&amp;D losses + natural gas combustion emissions +upstream natural gas emissions")</f>
        <v>0</v>
      </c>
    </row>
    <row r="66" spans="1:14" ht="14.5">
      <c r="A66" s="450">
        <v>13</v>
      </c>
      <c r="B66" s="454"/>
      <c r="C66" s="454"/>
      <c r="D66" s="455"/>
      <c r="E66" s="456" t="str">
        <f>IF(OR(C66="",D66=""),"",(D66*IF(C66='CBECS IFs'!$B$10,'CBECS IFs'!$C$10,'CBECS IFs'!$C$11)))</f>
        <v/>
      </c>
      <c r="F66" s="456" t="str">
        <f>IF(OR(C66="",D66=""),"",(D66*IF(C66='CBECS IFs'!$B$20,'CBECS IFs'!$D$20,'CBECS IFs'!$D$21)))</f>
        <v/>
      </c>
      <c r="G66" s="328" t="str">
        <f>IF(OR(D66="",C66=""),"",((E66/1000*'State eGrid factors'!$C$53/2204.62)+((E66/(1-EF!$E$30))*EF!$E$24)+(E66*EF!$H$3)+(F66*('CBECS IFs'!$M$38+'CBECS IFs'!$O$44)))/1000+N("electricity emissions + upstream losses on total generation + T&amp;D losses + natural gas combustion emissions +upstream natural gas emissions"))</f>
        <v/>
      </c>
      <c r="I66" s="450">
        <v>13</v>
      </c>
      <c r="J66" s="454"/>
      <c r="K66" s="454"/>
      <c r="L66" s="455"/>
      <c r="M66" s="455"/>
      <c r="N66" s="328">
        <f>((L66/1000*'State eGrid factors'!$C$53/2204.62)+((L66/(1-EF!$E$30))*EF!$E$24)+(L66*EF!$H$3)+(M66*('CBECS IFs'!$M$38+'CBECS IFs'!$O$44)))/1000+N("electricity emissions + upstream losses on total generation + T&amp;D losses + natural gas combustion emissions +upstream natural gas emissions")</f>
        <v>0</v>
      </c>
    </row>
    <row r="67" spans="1:14" ht="14.5">
      <c r="A67" s="450">
        <v>14</v>
      </c>
      <c r="B67" s="454"/>
      <c r="C67" s="454"/>
      <c r="D67" s="455"/>
      <c r="E67" s="456" t="str">
        <f>IF(OR(C67="",D67=""),"",(D67*IF(C67='CBECS IFs'!$B$10,'CBECS IFs'!$C$10,'CBECS IFs'!$C$11)))</f>
        <v/>
      </c>
      <c r="F67" s="456" t="str">
        <f>IF(OR(C67="",D67=""),"",(D67*IF(C67='CBECS IFs'!$B$20,'CBECS IFs'!$D$20,'CBECS IFs'!$D$21)))</f>
        <v/>
      </c>
      <c r="G67" s="328" t="str">
        <f>IF(OR(D67="",C67=""),"",((E67/1000*'State eGrid factors'!$C$53/2204.62)+((E67/(1-EF!$E$30))*EF!$E$24)+(E67*EF!$H$3)+(F67*('CBECS IFs'!$M$38+'CBECS IFs'!$O$44)))/1000+N("electricity emissions + upstream losses on total generation + T&amp;D losses + natural gas combustion emissions +upstream natural gas emissions"))</f>
        <v/>
      </c>
      <c r="I67" s="450">
        <v>14</v>
      </c>
      <c r="J67" s="454"/>
      <c r="K67" s="454"/>
      <c r="L67" s="455"/>
      <c r="M67" s="455"/>
      <c r="N67" s="328">
        <f>((L67/1000*'State eGrid factors'!$C$53/2204.62)+((L67/(1-EF!$E$30))*EF!$E$24)+(L67*EF!$H$3)+(M67*('CBECS IFs'!$M$38+'CBECS IFs'!$O$44)))/1000+N("electricity emissions + upstream losses on total generation + T&amp;D losses + natural gas combustion emissions +upstream natural gas emissions")</f>
        <v>0</v>
      </c>
    </row>
    <row r="68" spans="1:14" ht="14.5">
      <c r="A68" s="450">
        <v>15</v>
      </c>
      <c r="B68" s="454"/>
      <c r="C68" s="454"/>
      <c r="D68" s="455"/>
      <c r="E68" s="456" t="str">
        <f>IF(OR(C68="",D68=""),"",(D68*IF(C68='CBECS IFs'!$B$10,'CBECS IFs'!$C$10,'CBECS IFs'!$C$11)))</f>
        <v/>
      </c>
      <c r="F68" s="456" t="str">
        <f>IF(OR(C68="",D68=""),"",(D68*IF(C68='CBECS IFs'!$B$20,'CBECS IFs'!$D$20,'CBECS IFs'!$D$21)))</f>
        <v/>
      </c>
      <c r="G68" s="328" t="str">
        <f>IF(OR(D68="",C68=""),"",((E68/1000*'State eGrid factors'!$C$53/2204.62)+((E68/(1-EF!$E$30))*EF!$E$24)+(E68*EF!$H$3)+(F68*('CBECS IFs'!$M$38+'CBECS IFs'!$O$44)))/1000+N("electricity emissions + upstream losses on total generation + T&amp;D losses + natural gas combustion emissions +upstream natural gas emissions"))</f>
        <v/>
      </c>
      <c r="I68" s="450">
        <v>15</v>
      </c>
      <c r="J68" s="454"/>
      <c r="K68" s="454"/>
      <c r="L68" s="455"/>
      <c r="M68" s="455"/>
      <c r="N68" s="328">
        <f>((L68/1000*'State eGrid factors'!$C$53/2204.62)+((L68/(1-EF!$E$30))*EF!$E$24)+(L68*EF!$H$3)+(M68*('CBECS IFs'!$M$38+'CBECS IFs'!$O$44)))/1000+N("electricity emissions + upstream losses on total generation + T&amp;D losses + natural gas combustion emissions +upstream natural gas emissions")</f>
        <v>0</v>
      </c>
    </row>
    <row r="69" spans="1:14" ht="14.5">
      <c r="A69" s="450">
        <v>16</v>
      </c>
      <c r="B69" s="454"/>
      <c r="C69" s="454"/>
      <c r="D69" s="455"/>
      <c r="E69" s="456" t="str">
        <f>IF(OR(C69="",D69=""),"",(D69*IF(C69='CBECS IFs'!$B$10,'CBECS IFs'!$C$10,'CBECS IFs'!$C$11)))</f>
        <v/>
      </c>
      <c r="F69" s="456" t="str">
        <f>IF(OR(C69="",D69=""),"",(D69*IF(C69='CBECS IFs'!$B$20,'CBECS IFs'!$D$20,'CBECS IFs'!$D$21)))</f>
        <v/>
      </c>
      <c r="G69" s="328" t="str">
        <f>IF(OR(D69="",C69=""),"",((E69/1000*'State eGrid factors'!$C$53/2204.62)+((E69/(1-EF!$E$30))*EF!$E$24)+(E69*EF!$H$3)+(F69*('CBECS IFs'!$M$38+'CBECS IFs'!$O$44)))/1000+N("electricity emissions + upstream losses on total generation + T&amp;D losses + natural gas combustion emissions +upstream natural gas emissions"))</f>
        <v/>
      </c>
      <c r="I69" s="450">
        <v>16</v>
      </c>
      <c r="J69" s="454"/>
      <c r="K69" s="454"/>
      <c r="L69" s="455"/>
      <c r="M69" s="455"/>
      <c r="N69" s="328">
        <f>((L69/1000*'State eGrid factors'!$C$53/2204.62)+((L69/(1-EF!$E$30))*EF!$E$24)+(L69*EF!$H$3)+(M69*('CBECS IFs'!$M$38+'CBECS IFs'!$O$44)))/1000+N("electricity emissions + upstream losses on total generation + T&amp;D losses + natural gas combustion emissions +upstream natural gas emissions")</f>
        <v>0</v>
      </c>
    </row>
    <row r="70" spans="1:14" ht="14.5">
      <c r="A70" s="450">
        <v>17</v>
      </c>
      <c r="B70" s="454"/>
      <c r="C70" s="454"/>
      <c r="D70" s="455"/>
      <c r="E70" s="456" t="str">
        <f>IF(OR(C70="",D70=""),"",(D70*IF(C70='CBECS IFs'!$B$10,'CBECS IFs'!$C$10,'CBECS IFs'!$C$11)))</f>
        <v/>
      </c>
      <c r="F70" s="456" t="str">
        <f>IF(OR(C70="",D70=""),"",(D70*IF(C70='CBECS IFs'!$B$20,'CBECS IFs'!$D$20,'CBECS IFs'!$D$21)))</f>
        <v/>
      </c>
      <c r="G70" s="328" t="str">
        <f>IF(OR(D70="",C70=""),"",((E70/1000*'State eGrid factors'!$C$53/2204.62)+((E70/(1-EF!$E$30))*EF!$E$24)+(E70*EF!$H$3)+(F70*('CBECS IFs'!$M$38+'CBECS IFs'!$O$44)))/1000+N("electricity emissions + upstream losses on total generation + T&amp;D losses + natural gas combustion emissions +upstream natural gas emissions"))</f>
        <v/>
      </c>
      <c r="I70" s="450">
        <v>17</v>
      </c>
      <c r="J70" s="454"/>
      <c r="K70" s="454"/>
      <c r="L70" s="455"/>
      <c r="M70" s="455"/>
      <c r="N70" s="328">
        <f>((L70/1000*'State eGrid factors'!$C$53/2204.62)+((L70/(1-EF!$E$30))*EF!$E$24)+(L70*EF!$H$3)+(M70*('CBECS IFs'!$M$38+'CBECS IFs'!$O$44)))/1000+N("electricity emissions + upstream losses on total generation + T&amp;D losses + natural gas combustion emissions +upstream natural gas emissions")</f>
        <v>0</v>
      </c>
    </row>
    <row r="71" spans="1:14" ht="14.5">
      <c r="A71" s="450">
        <v>18</v>
      </c>
      <c r="B71" s="454"/>
      <c r="C71" s="454"/>
      <c r="D71" s="455"/>
      <c r="E71" s="456" t="str">
        <f>IF(OR(C71="",D71=""),"",(D71*IF(C71='CBECS IFs'!$B$10,'CBECS IFs'!$C$10,'CBECS IFs'!$C$11)))</f>
        <v/>
      </c>
      <c r="F71" s="456" t="str">
        <f>IF(OR(C71="",D71=""),"",(D71*IF(C71='CBECS IFs'!$B$20,'CBECS IFs'!$D$20,'CBECS IFs'!$D$21)))</f>
        <v/>
      </c>
      <c r="G71" s="328" t="str">
        <f>IF(OR(D71="",C71=""),"",((E71/1000*'State eGrid factors'!$C$53/2204.62)+((E71/(1-EF!$E$30))*EF!$E$24)+(E71*EF!$H$3)+(F71*('CBECS IFs'!$M$38+'CBECS IFs'!$O$44)))/1000+N("electricity emissions + upstream losses on total generation + T&amp;D losses + natural gas combustion emissions +upstream natural gas emissions"))</f>
        <v/>
      </c>
      <c r="I71" s="450">
        <v>18</v>
      </c>
      <c r="J71" s="454"/>
      <c r="K71" s="454"/>
      <c r="L71" s="455"/>
      <c r="M71" s="455"/>
      <c r="N71" s="328">
        <f>((L71/1000*'State eGrid factors'!$C$53/2204.62)+((L71/(1-EF!$E$30))*EF!$E$24)+(L71*EF!$H$3)+(M71*('CBECS IFs'!$M$38+'CBECS IFs'!$O$44)))/1000+N("electricity emissions + upstream losses on total generation + T&amp;D losses + natural gas combustion emissions +upstream natural gas emissions")</f>
        <v>0</v>
      </c>
    </row>
    <row r="72" spans="1:14" ht="14.5">
      <c r="A72" s="450">
        <v>19</v>
      </c>
      <c r="B72" s="454"/>
      <c r="C72" s="454"/>
      <c r="D72" s="455"/>
      <c r="E72" s="456" t="str">
        <f>IF(OR(C72="",D72=""),"",(D72*IF(C72='CBECS IFs'!$B$10,'CBECS IFs'!$C$10,'CBECS IFs'!$C$11)))</f>
        <v/>
      </c>
      <c r="F72" s="456" t="str">
        <f>IF(OR(C72="",D72=""),"",(D72*IF(C72='CBECS IFs'!$B$20,'CBECS IFs'!$D$20,'CBECS IFs'!$D$21)))</f>
        <v/>
      </c>
      <c r="G72" s="328" t="str">
        <f>IF(OR(D72="",C72=""),"",((E72/1000*'State eGrid factors'!$C$53/2204.62)+((E72/(1-EF!$E$30))*EF!$E$24)+(E72*EF!$H$3)+(F72*('CBECS IFs'!$M$38+'CBECS IFs'!$O$44)))/1000+N("electricity emissions + upstream losses on total generation + T&amp;D losses + natural gas combustion emissions +upstream natural gas emissions"))</f>
        <v/>
      </c>
      <c r="I72" s="450">
        <v>19</v>
      </c>
      <c r="J72" s="454"/>
      <c r="K72" s="454"/>
      <c r="L72" s="455"/>
      <c r="M72" s="455"/>
      <c r="N72" s="328">
        <f>((L72/1000*'State eGrid factors'!$C$53/2204.62)+((L72/(1-EF!$E$30))*EF!$E$24)+(L72*EF!$H$3)+(M72*('CBECS IFs'!$M$38+'CBECS IFs'!$O$44)))/1000+N("electricity emissions + upstream losses on total generation + T&amp;D losses + natural gas combustion emissions +upstream natural gas emissions")</f>
        <v>0</v>
      </c>
    </row>
    <row r="73" spans="1:14" ht="15" thickBot="1">
      <c r="A73" s="450">
        <v>20</v>
      </c>
      <c r="B73" s="454"/>
      <c r="C73" s="454"/>
      <c r="D73" s="455"/>
      <c r="E73" s="456" t="str">
        <f>IF(OR(C73="",D73=""),"",(D73*IF(C73='CBECS IFs'!$B$10,'CBECS IFs'!$C$10,'CBECS IFs'!$C$11)))</f>
        <v/>
      </c>
      <c r="F73" s="456" t="str">
        <f>IF(OR(C73="",D73=""),"",(D73*IF(C73='CBECS IFs'!$B$20,'CBECS IFs'!$D$20,'CBECS IFs'!$D$21)))</f>
        <v/>
      </c>
      <c r="G73" s="328" t="str">
        <f>IF(OR(D73="",C73=""),"",((E73/1000*'State eGrid factors'!$C$53/2204.62)+((E73/(1-EF!$E$30))*EF!$E$24)+(E73*EF!$H$3)+(F73*('CBECS IFs'!$M$38+'CBECS IFs'!$O$44)))/1000+N("electricity emissions + upstream losses on total generation + T&amp;D losses + natural gas combustion emissions +upstream natural gas emissions"))</f>
        <v/>
      </c>
      <c r="I73" s="450">
        <v>20</v>
      </c>
      <c r="J73" s="454"/>
      <c r="K73" s="454"/>
      <c r="L73" s="455"/>
      <c r="M73" s="455"/>
      <c r="N73" s="328">
        <f>((L73/1000*'State eGrid factors'!$C$53/2204.62)+((L73/(1-EF!$E$30))*EF!$E$24)+(L73*EF!$H$3)+(M73*('CBECS IFs'!$M$38+'CBECS IFs'!$O$44)))/1000+N("electricity emissions + upstream losses on total generation + T&amp;D losses + natural gas combustion emissions +upstream natural gas emissions")</f>
        <v>0</v>
      </c>
    </row>
    <row r="74" spans="1:14" ht="14.5" thickBot="1">
      <c r="F74" s="457" t="s">
        <v>1624</v>
      </c>
      <c r="G74" s="339">
        <f>SUM(G55:G73)</f>
        <v>0</v>
      </c>
      <c r="M74" s="457" t="s">
        <v>1624</v>
      </c>
      <c r="N74" s="339">
        <f>SUM(N55:N73)</f>
        <v>0</v>
      </c>
    </row>
    <row r="76" spans="1:14" ht="17.5">
      <c r="A76" s="444" t="s">
        <v>1799</v>
      </c>
      <c r="I76" s="444" t="s">
        <v>1799</v>
      </c>
    </row>
    <row r="77" spans="1:14">
      <c r="A77" s="445" t="s">
        <v>1592</v>
      </c>
      <c r="I77" s="445" t="s">
        <v>1592</v>
      </c>
    </row>
    <row r="78" spans="1:14" ht="14.5">
      <c r="B78" s="447" t="s">
        <v>353</v>
      </c>
      <c r="C78" s="447" t="s">
        <v>353</v>
      </c>
      <c r="E78" s="447"/>
      <c r="J78" s="447" t="s">
        <v>353</v>
      </c>
      <c r="K78" s="447" t="s">
        <v>353</v>
      </c>
      <c r="L78" s="447" t="s">
        <v>353</v>
      </c>
    </row>
    <row r="79" spans="1:14">
      <c r="A79" s="448" t="s">
        <v>1593</v>
      </c>
      <c r="B79" s="449" t="s">
        <v>360</v>
      </c>
      <c r="C79" s="448" t="s">
        <v>1793</v>
      </c>
      <c r="D79" s="448" t="s">
        <v>1794</v>
      </c>
      <c r="E79" s="448" t="s">
        <v>1795</v>
      </c>
      <c r="F79" s="448" t="s">
        <v>363</v>
      </c>
      <c r="I79" s="448" t="s">
        <v>1593</v>
      </c>
      <c r="J79" s="449" t="s">
        <v>360</v>
      </c>
      <c r="K79" s="448" t="s">
        <v>1794</v>
      </c>
      <c r="L79" s="448" t="s">
        <v>1795</v>
      </c>
      <c r="M79" s="448" t="s">
        <v>363</v>
      </c>
    </row>
    <row r="80" spans="1:14" ht="14.5">
      <c r="A80" s="450">
        <v>1</v>
      </c>
      <c r="B80" s="451" t="s">
        <v>1800</v>
      </c>
      <c r="C80" s="452">
        <v>5000</v>
      </c>
      <c r="D80" s="453">
        <f>IF(C80="","",C80*'CBECS IFs'!$C$8)</f>
        <v>144000</v>
      </c>
      <c r="E80" s="453">
        <f>IF(C80="","",C80*'CBECS IFs'!$D$18)</f>
        <v>4027.9214064115827</v>
      </c>
      <c r="F80" s="328">
        <f>IF(C80="","",((D80/1000*'State eGrid factors'!$C$53/2204.62)+((D80/(1-EF!$E$30))*EF!$E$24)+(D80*EF!$H$3)+(E80*('CBECS IFs'!$M$38+'CBECS IFs'!$O$44)))/1000+N("electricity emissions + upstream losses on total generation + T&amp;D losses + natural gas combustion emissions +upstream natural gas emissions"))</f>
        <v>37.822007803146732</v>
      </c>
      <c r="I80" s="450">
        <v>1</v>
      </c>
      <c r="J80" s="451" t="s">
        <v>1800</v>
      </c>
      <c r="K80" s="452">
        <v>120000</v>
      </c>
      <c r="L80" s="452">
        <v>3700</v>
      </c>
      <c r="M80" s="328">
        <f>((K80/1000*'State eGrid factors'!$C$53/2204.62)+((K80/(1-EF!$E$30))*EF!$E$24)+(K80*EF!$H$3)+(L80*('CBECS IFs'!$M$38+'CBECS IFs'!$O$44)))/1000+N("electricity emissions + upstream losses on total generation + T&amp;D losses + natural gas combustion emissions +upstream natural gas emissions")</f>
        <v>33.663583839978003</v>
      </c>
    </row>
    <row r="81" spans="1:13" ht="14.5">
      <c r="A81" s="450">
        <v>2</v>
      </c>
      <c r="B81" s="454"/>
      <c r="C81" s="455"/>
      <c r="D81" s="456" t="str">
        <f>IF(C81="","",C81*'CBECS IFs'!$C$8)</f>
        <v/>
      </c>
      <c r="E81" s="456" t="str">
        <f>IF(C81="","",C81*'CBECS IFs'!$D$18)</f>
        <v/>
      </c>
      <c r="F81" s="328" t="str">
        <f>IF(C81="","",((D81/1000*'State eGrid factors'!$C$53/2204.62)+((D81/(1-EF!$E$30))*EF!$E$24)+(D81*EF!$H$3)+(E81*('CBECS IFs'!$M$38+'CBECS IFs'!$O$44)))/1000+N("electricity emissions + upstream losses on total generation + T&amp;D losses + natural gas combustion emissions +upstream natural gas emissions"))</f>
        <v/>
      </c>
      <c r="I81" s="450">
        <v>2</v>
      </c>
      <c r="J81" s="454"/>
      <c r="K81" s="455"/>
      <c r="L81" s="455"/>
      <c r="M81" s="328">
        <f>((K81/1000*'State eGrid factors'!$C$53/2204.62)+((K81/(1-EF!$E$30))*EF!$E$24)+(K81*EF!$H$3)+(L81*('CBECS IFs'!$M$38+'CBECS IFs'!$O$44)))/1000+N("electricity emissions + upstream losses on total generation + T&amp;D losses + natural gas combustion emissions +upstream natural gas emissions")</f>
        <v>0</v>
      </c>
    </row>
    <row r="82" spans="1:13" ht="14.5">
      <c r="A82" s="450">
        <v>3</v>
      </c>
      <c r="B82" s="454"/>
      <c r="C82" s="455"/>
      <c r="D82" s="456" t="str">
        <f>IF(C82="","",C82*'CBECS IFs'!$C$8)</f>
        <v/>
      </c>
      <c r="E82" s="456" t="str">
        <f>IF(C82="","",C82*'CBECS IFs'!$D$18)</f>
        <v/>
      </c>
      <c r="F82" s="328" t="str">
        <f>IF(C82="","",((D82/1000*'State eGrid factors'!$C$53/2204.62)+((D82/(1-EF!$E$30))*EF!$E$24)+(D82*EF!$H$3)+(E82*('CBECS IFs'!$M$38+'CBECS IFs'!$O$44)))/1000+N("electricity emissions + upstream losses on total generation + T&amp;D losses + natural gas combustion emissions +upstream natural gas emissions"))</f>
        <v/>
      </c>
      <c r="I82" s="450">
        <v>3</v>
      </c>
      <c r="J82" s="454"/>
      <c r="K82" s="455"/>
      <c r="L82" s="455"/>
      <c r="M82" s="328">
        <f>((K82/1000*'State eGrid factors'!$C$53/2204.62)+((K82/(1-EF!$E$30))*EF!$E$24)+(K82*EF!$H$3)+(L82*('CBECS IFs'!$M$38+'CBECS IFs'!$O$44)))/1000+N("electricity emissions + upstream losses on total generation + T&amp;D losses + natural gas combustion emissions +upstream natural gas emissions")</f>
        <v>0</v>
      </c>
    </row>
    <row r="83" spans="1:13" ht="14.5">
      <c r="A83" s="450">
        <v>4</v>
      </c>
      <c r="B83" s="454"/>
      <c r="C83" s="455"/>
      <c r="D83" s="456" t="str">
        <f>IF(C83="","",C83*'CBECS IFs'!$C$8)</f>
        <v/>
      </c>
      <c r="E83" s="456" t="str">
        <f>IF(C83="","",C83*'CBECS IFs'!$D$18)</f>
        <v/>
      </c>
      <c r="F83" s="328" t="str">
        <f>IF(C83="","",((D83/1000*'State eGrid factors'!$C$53/2204.62)+((D83/(1-EF!$E$30))*EF!$E$24)+(D83*EF!$H$3)+(E83*('CBECS IFs'!$M$38+'CBECS IFs'!$O$44)))/1000+N("electricity emissions + upstream losses on total generation + T&amp;D losses + natural gas combustion emissions +upstream natural gas emissions"))</f>
        <v/>
      </c>
      <c r="I83" s="450">
        <v>4</v>
      </c>
      <c r="J83" s="454"/>
      <c r="K83" s="455"/>
      <c r="L83" s="455"/>
      <c r="M83" s="328">
        <f>((K83/1000*'State eGrid factors'!$C$53/2204.62)+((K83/(1-EF!$E$30))*EF!$E$24)+(K83*EF!$H$3)+(L83*('CBECS IFs'!$M$38+'CBECS IFs'!$O$44)))/1000+N("electricity emissions + upstream losses on total generation + T&amp;D losses + natural gas combustion emissions +upstream natural gas emissions")</f>
        <v>0</v>
      </c>
    </row>
    <row r="84" spans="1:13" ht="14.5">
      <c r="A84" s="450">
        <v>5</v>
      </c>
      <c r="B84" s="454"/>
      <c r="C84" s="455"/>
      <c r="D84" s="456" t="str">
        <f>IF(C84="","",C84*'CBECS IFs'!$C$8)</f>
        <v/>
      </c>
      <c r="E84" s="456" t="str">
        <f>IF(C84="","",C84*'CBECS IFs'!$D$18)</f>
        <v/>
      </c>
      <c r="F84" s="328" t="str">
        <f>IF(C84="","",((D84/1000*'State eGrid factors'!$C$53/2204.62)+((D84/(1-EF!$E$30))*EF!$E$24)+(D84*EF!$H$3)+(E84*('CBECS IFs'!$M$38+'CBECS IFs'!$O$44)))/1000+N("electricity emissions + upstream losses on total generation + T&amp;D losses + natural gas combustion emissions +upstream natural gas emissions"))</f>
        <v/>
      </c>
      <c r="I84" s="450">
        <v>5</v>
      </c>
      <c r="J84" s="454"/>
      <c r="K84" s="455"/>
      <c r="L84" s="455"/>
      <c r="M84" s="328">
        <f>((K84/1000*'State eGrid factors'!$C$53/2204.62)+((K84/(1-EF!$E$30))*EF!$E$24)+(K84*EF!$H$3)+(L84*('CBECS IFs'!$M$38+'CBECS IFs'!$O$44)))/1000+N("electricity emissions + upstream losses on total generation + T&amp;D losses + natural gas combustion emissions +upstream natural gas emissions")</f>
        <v>0</v>
      </c>
    </row>
    <row r="85" spans="1:13" ht="14.5">
      <c r="A85" s="450">
        <v>6</v>
      </c>
      <c r="B85" s="454"/>
      <c r="C85" s="455"/>
      <c r="D85" s="456" t="str">
        <f>IF(C85="","",C85*'CBECS IFs'!$C$8)</f>
        <v/>
      </c>
      <c r="E85" s="456" t="str">
        <f>IF(C85="","",C85*'CBECS IFs'!$D$18)</f>
        <v/>
      </c>
      <c r="F85" s="328" t="str">
        <f>IF(C85="","",((D85/1000*'State eGrid factors'!$C$53/2204.62)+((D85/(1-EF!$E$30))*EF!$E$24)+(D85*EF!$H$3)+(E85*('CBECS IFs'!$M$38+'CBECS IFs'!$O$44)))/1000+N("electricity emissions + upstream losses on total generation + T&amp;D losses + natural gas combustion emissions +upstream natural gas emissions"))</f>
        <v/>
      </c>
      <c r="I85" s="450">
        <v>6</v>
      </c>
      <c r="J85" s="454"/>
      <c r="K85" s="455"/>
      <c r="L85" s="455"/>
      <c r="M85" s="328">
        <f>((K85/1000*'State eGrid factors'!$C$53/2204.62)+((K85/(1-EF!$E$30))*EF!$E$24)+(K85*EF!$H$3)+(L85*('CBECS IFs'!$M$38+'CBECS IFs'!$O$44)))/1000+N("electricity emissions + upstream losses on total generation + T&amp;D losses + natural gas combustion emissions +upstream natural gas emissions")</f>
        <v>0</v>
      </c>
    </row>
    <row r="86" spans="1:13" ht="14.5">
      <c r="A86" s="450">
        <v>7</v>
      </c>
      <c r="B86" s="454"/>
      <c r="C86" s="455"/>
      <c r="D86" s="456" t="str">
        <f>IF(C86="","",C86*'CBECS IFs'!$C$8)</f>
        <v/>
      </c>
      <c r="E86" s="456" t="str">
        <f>IF(C86="","",C86*'CBECS IFs'!$D$18)</f>
        <v/>
      </c>
      <c r="F86" s="328" t="str">
        <f>IF(C86="","",((D86/1000*'State eGrid factors'!$C$53/2204.62)+((D86/(1-EF!$E$30))*EF!$E$24)+(D86*EF!$H$3)+(E86*('CBECS IFs'!$M$38+'CBECS IFs'!$O$44)))/1000+N("electricity emissions + upstream losses on total generation + T&amp;D losses + natural gas combustion emissions +upstream natural gas emissions"))</f>
        <v/>
      </c>
      <c r="I86" s="450">
        <v>7</v>
      </c>
      <c r="J86" s="454"/>
      <c r="K86" s="455"/>
      <c r="L86" s="455"/>
      <c r="M86" s="328">
        <f>((K86/1000*'State eGrid factors'!$C$53/2204.62)+((K86/(1-EF!$E$30))*EF!$E$24)+(K86*EF!$H$3)+(L86*('CBECS IFs'!$M$38+'CBECS IFs'!$O$44)))/1000+N("electricity emissions + upstream losses on total generation + T&amp;D losses + natural gas combustion emissions +upstream natural gas emissions")</f>
        <v>0</v>
      </c>
    </row>
    <row r="87" spans="1:13" ht="14.5">
      <c r="A87" s="450">
        <v>8</v>
      </c>
      <c r="B87" s="454"/>
      <c r="C87" s="455"/>
      <c r="D87" s="456" t="str">
        <f>IF(C87="","",C87*'CBECS IFs'!$C$8)</f>
        <v/>
      </c>
      <c r="E87" s="456" t="str">
        <f>IF(C87="","",C87*'CBECS IFs'!$D$18)</f>
        <v/>
      </c>
      <c r="F87" s="328" t="str">
        <f>IF(C87="","",((D87/1000*'State eGrid factors'!$C$53/2204.62)+((D87/(1-EF!$E$30))*EF!$E$24)+(D87*EF!$H$3)+(E87*('CBECS IFs'!$M$38+'CBECS IFs'!$O$44)))/1000+N("electricity emissions + upstream losses on total generation + T&amp;D losses + natural gas combustion emissions +upstream natural gas emissions"))</f>
        <v/>
      </c>
      <c r="I87" s="450">
        <v>8</v>
      </c>
      <c r="J87" s="454"/>
      <c r="K87" s="455"/>
      <c r="L87" s="455"/>
      <c r="M87" s="328">
        <f>((K87/1000*'State eGrid factors'!$C$53/2204.62)+((K87/(1-EF!$E$30))*EF!$E$24)+(K87*EF!$H$3)+(L87*('CBECS IFs'!$M$38+'CBECS IFs'!$O$44)))/1000+N("electricity emissions + upstream losses on total generation + T&amp;D losses + natural gas combustion emissions +upstream natural gas emissions")</f>
        <v>0</v>
      </c>
    </row>
    <row r="88" spans="1:13" ht="14.5">
      <c r="A88" s="450">
        <v>9</v>
      </c>
      <c r="B88" s="454"/>
      <c r="C88" s="455"/>
      <c r="D88" s="456" t="str">
        <f>IF(C88="","",C88*'CBECS IFs'!$C$8)</f>
        <v/>
      </c>
      <c r="E88" s="456" t="str">
        <f>IF(C88="","",C88*'CBECS IFs'!$D$18)</f>
        <v/>
      </c>
      <c r="F88" s="328" t="str">
        <f>IF(C88="","",((D88/1000*'State eGrid factors'!$C$53/2204.62)+((D88/(1-EF!$E$30))*EF!$E$24)+(D88*EF!$H$3)+(E88*('CBECS IFs'!$M$38+'CBECS IFs'!$O$44)))/1000+N("electricity emissions + upstream losses on total generation + T&amp;D losses + natural gas combustion emissions +upstream natural gas emissions"))</f>
        <v/>
      </c>
      <c r="I88" s="450">
        <v>9</v>
      </c>
      <c r="J88" s="454"/>
      <c r="K88" s="455"/>
      <c r="L88" s="455"/>
      <c r="M88" s="328">
        <f>((K88/1000*'State eGrid factors'!$C$53/2204.62)+((K88/(1-EF!$E$30))*EF!$E$24)+(K88*EF!$H$3)+(L88*('CBECS IFs'!$M$38+'CBECS IFs'!$O$44)))/1000+N("electricity emissions + upstream losses on total generation + T&amp;D losses + natural gas combustion emissions +upstream natural gas emissions")</f>
        <v>0</v>
      </c>
    </row>
    <row r="89" spans="1:13" ht="14.5">
      <c r="A89" s="450">
        <v>10</v>
      </c>
      <c r="B89" s="454"/>
      <c r="C89" s="455"/>
      <c r="D89" s="456" t="str">
        <f>IF(C89="","",C89*'CBECS IFs'!$C$8)</f>
        <v/>
      </c>
      <c r="E89" s="456" t="str">
        <f>IF(C89="","",C89*'CBECS IFs'!$D$18)</f>
        <v/>
      </c>
      <c r="F89" s="328" t="str">
        <f>IF(C89="","",((D89/1000*'State eGrid factors'!$C$53/2204.62)+((D89/(1-EF!$E$30))*EF!$E$24)+(D89*EF!$H$3)+(E89*('CBECS IFs'!$M$38+'CBECS IFs'!$O$44)))/1000+N("electricity emissions + upstream losses on total generation + T&amp;D losses + natural gas combustion emissions +upstream natural gas emissions"))</f>
        <v/>
      </c>
      <c r="I89" s="450">
        <v>10</v>
      </c>
      <c r="J89" s="454"/>
      <c r="K89" s="455"/>
      <c r="L89" s="455"/>
      <c r="M89" s="328">
        <f>((K89/1000*'State eGrid factors'!$C$53/2204.62)+((K89/(1-EF!$E$30))*EF!$E$24)+(K89*EF!$H$3)+(L89*('CBECS IFs'!$M$38+'CBECS IFs'!$O$44)))/1000+N("electricity emissions + upstream losses on total generation + T&amp;D losses + natural gas combustion emissions +upstream natural gas emissions")</f>
        <v>0</v>
      </c>
    </row>
    <row r="90" spans="1:13" ht="14.5">
      <c r="A90" s="450">
        <v>11</v>
      </c>
      <c r="B90" s="454"/>
      <c r="C90" s="455"/>
      <c r="D90" s="456" t="str">
        <f>IF(C90="","",C90*'CBECS IFs'!$C$8)</f>
        <v/>
      </c>
      <c r="E90" s="456" t="str">
        <f>IF(C90="","",C90*'CBECS IFs'!$D$18)</f>
        <v/>
      </c>
      <c r="F90" s="328" t="str">
        <f>IF(C90="","",((D90/1000*'State eGrid factors'!$C$53/2204.62)+((D90/(1-EF!$E$30))*EF!$E$24)+(D90*EF!$H$3)+(E90*('CBECS IFs'!$M$38+'CBECS IFs'!$O$44)))/1000+N("electricity emissions + upstream losses on total generation + T&amp;D losses + natural gas combustion emissions +upstream natural gas emissions"))</f>
        <v/>
      </c>
      <c r="I90" s="450">
        <v>11</v>
      </c>
      <c r="J90" s="454"/>
      <c r="K90" s="455"/>
      <c r="L90" s="455"/>
      <c r="M90" s="328">
        <f>((K90/1000*'State eGrid factors'!$C$53/2204.62)+((K90/(1-EF!$E$30))*EF!$E$24)+(K90*EF!$H$3)+(L90*('CBECS IFs'!$M$38+'CBECS IFs'!$O$44)))/1000+N("electricity emissions + upstream losses on total generation + T&amp;D losses + natural gas combustion emissions +upstream natural gas emissions")</f>
        <v>0</v>
      </c>
    </row>
    <row r="91" spans="1:13" ht="14.5">
      <c r="A91" s="450">
        <v>12</v>
      </c>
      <c r="B91" s="454"/>
      <c r="C91" s="455"/>
      <c r="D91" s="456" t="str">
        <f>IF(C91="","",C91*'CBECS IFs'!$C$8)</f>
        <v/>
      </c>
      <c r="E91" s="456" t="str">
        <f>IF(C91="","",C91*'CBECS IFs'!$D$18)</f>
        <v/>
      </c>
      <c r="F91" s="328" t="str">
        <f>IF(C91="","",((D91/1000*'State eGrid factors'!$C$53/2204.62)+((D91/(1-EF!$E$30))*EF!$E$24)+(D91*EF!$H$3)+(E91*('CBECS IFs'!$M$38+'CBECS IFs'!$O$44)))/1000+N("electricity emissions + upstream losses on total generation + T&amp;D losses + natural gas combustion emissions +upstream natural gas emissions"))</f>
        <v/>
      </c>
      <c r="I91" s="450">
        <v>12</v>
      </c>
      <c r="J91" s="454"/>
      <c r="K91" s="455"/>
      <c r="L91" s="455"/>
      <c r="M91" s="328">
        <f>((K91/1000*'State eGrid factors'!$C$53/2204.62)+((K91/(1-EF!$E$30))*EF!$E$24)+(K91*EF!$H$3)+(L91*('CBECS IFs'!$M$38+'CBECS IFs'!$O$44)))/1000+N("electricity emissions + upstream losses on total generation + T&amp;D losses + natural gas combustion emissions +upstream natural gas emissions")</f>
        <v>0</v>
      </c>
    </row>
    <row r="92" spans="1:13" ht="14.5">
      <c r="A92" s="450">
        <v>13</v>
      </c>
      <c r="B92" s="454"/>
      <c r="C92" s="455"/>
      <c r="D92" s="456" t="str">
        <f>IF(C92="","",C92*'CBECS IFs'!$C$8)</f>
        <v/>
      </c>
      <c r="E92" s="456" t="str">
        <f>IF(C92="","",C92*'CBECS IFs'!$D$18)</f>
        <v/>
      </c>
      <c r="F92" s="328" t="str">
        <f>IF(C92="","",((D92/1000*'State eGrid factors'!$C$53/2204.62)+((D92/(1-EF!$E$30))*EF!$E$24)+(D92*EF!$H$3)+(E92*('CBECS IFs'!$M$38+'CBECS IFs'!$O$44)))/1000+N("electricity emissions + upstream losses on total generation + T&amp;D losses + natural gas combustion emissions +upstream natural gas emissions"))</f>
        <v/>
      </c>
      <c r="I92" s="450">
        <v>13</v>
      </c>
      <c r="J92" s="454"/>
      <c r="K92" s="455"/>
      <c r="L92" s="455"/>
      <c r="M92" s="328">
        <f>((K92/1000*'State eGrid factors'!$C$53/2204.62)+((K92/(1-EF!$E$30))*EF!$E$24)+(K92*EF!$H$3)+(L92*('CBECS IFs'!$M$38+'CBECS IFs'!$O$44)))/1000+N("electricity emissions + upstream losses on total generation + T&amp;D losses + natural gas combustion emissions +upstream natural gas emissions")</f>
        <v>0</v>
      </c>
    </row>
    <row r="93" spans="1:13" ht="14.5">
      <c r="A93" s="450">
        <v>14</v>
      </c>
      <c r="B93" s="454"/>
      <c r="C93" s="455"/>
      <c r="D93" s="456" t="str">
        <f>IF(C93="","",C93*'CBECS IFs'!$C$8)</f>
        <v/>
      </c>
      <c r="E93" s="456" t="str">
        <f>IF(C93="","",C93*'CBECS IFs'!$D$18)</f>
        <v/>
      </c>
      <c r="F93" s="328" t="str">
        <f>IF(C93="","",((D93/1000*'State eGrid factors'!$C$53/2204.62)+((D93/(1-EF!$E$30))*EF!$E$24)+(D93*EF!$H$3)+(E93*('CBECS IFs'!$M$38+'CBECS IFs'!$O$44)))/1000+N("electricity emissions + upstream losses on total generation + T&amp;D losses + natural gas combustion emissions +upstream natural gas emissions"))</f>
        <v/>
      </c>
      <c r="I93" s="450">
        <v>14</v>
      </c>
      <c r="J93" s="454"/>
      <c r="K93" s="455"/>
      <c r="L93" s="455"/>
      <c r="M93" s="328">
        <f>((K93/1000*'State eGrid factors'!$C$53/2204.62)+((K93/(1-EF!$E$30))*EF!$E$24)+(K93*EF!$H$3)+(L93*('CBECS IFs'!$M$38+'CBECS IFs'!$O$44)))/1000+N("electricity emissions + upstream losses on total generation + T&amp;D losses + natural gas combustion emissions +upstream natural gas emissions")</f>
        <v>0</v>
      </c>
    </row>
    <row r="94" spans="1:13" ht="14.5">
      <c r="A94" s="450">
        <v>15</v>
      </c>
      <c r="B94" s="454"/>
      <c r="C94" s="455"/>
      <c r="D94" s="456" t="str">
        <f>IF(C94="","",C94*'CBECS IFs'!$C$8)</f>
        <v/>
      </c>
      <c r="E94" s="456" t="str">
        <f>IF(C94="","",C94*'CBECS IFs'!$D$18)</f>
        <v/>
      </c>
      <c r="F94" s="328" t="str">
        <f>IF(C94="","",((D94/1000*'State eGrid factors'!$C$53/2204.62)+((D94/(1-EF!$E$30))*EF!$E$24)+(D94*EF!$H$3)+(E94*('CBECS IFs'!$M$38+'CBECS IFs'!$O$44)))/1000+N("electricity emissions + upstream losses on total generation + T&amp;D losses + natural gas combustion emissions +upstream natural gas emissions"))</f>
        <v/>
      </c>
      <c r="I94" s="450">
        <v>15</v>
      </c>
      <c r="J94" s="454"/>
      <c r="K94" s="455"/>
      <c r="L94" s="455"/>
      <c r="M94" s="328">
        <f>((K94/1000*'State eGrid factors'!$C$53/2204.62)+((K94/(1-EF!$E$30))*EF!$E$24)+(K94*EF!$H$3)+(L94*('CBECS IFs'!$M$38+'CBECS IFs'!$O$44)))/1000+N("electricity emissions + upstream losses on total generation + T&amp;D losses + natural gas combustion emissions +upstream natural gas emissions")</f>
        <v>0</v>
      </c>
    </row>
    <row r="95" spans="1:13" ht="14.5">
      <c r="A95" s="450">
        <v>16</v>
      </c>
      <c r="B95" s="454"/>
      <c r="C95" s="455"/>
      <c r="D95" s="456" t="str">
        <f>IF(C95="","",C95*'CBECS IFs'!$C$8)</f>
        <v/>
      </c>
      <c r="E95" s="456" t="str">
        <f>IF(C95="","",C95*'CBECS IFs'!$D$18)</f>
        <v/>
      </c>
      <c r="F95" s="328" t="str">
        <f>IF(C95="","",((D95/1000*'State eGrid factors'!$C$53/2204.62)+((D95/(1-EF!$E$30))*EF!$E$24)+(D95*EF!$H$3)+(E95*('CBECS IFs'!$M$38+'CBECS IFs'!$O$44)))/1000+N("electricity emissions + upstream losses on total generation + T&amp;D losses + natural gas combustion emissions +upstream natural gas emissions"))</f>
        <v/>
      </c>
      <c r="I95" s="450">
        <v>16</v>
      </c>
      <c r="J95" s="454"/>
      <c r="K95" s="455"/>
      <c r="L95" s="455"/>
      <c r="M95" s="328">
        <f>((K95/1000*'State eGrid factors'!$C$53/2204.62)+((K95/(1-EF!$E$30))*EF!$E$24)+(K95*EF!$H$3)+(L95*('CBECS IFs'!$M$38+'CBECS IFs'!$O$44)))/1000+N("electricity emissions + upstream losses on total generation + T&amp;D losses + natural gas combustion emissions +upstream natural gas emissions")</f>
        <v>0</v>
      </c>
    </row>
    <row r="96" spans="1:13" ht="14.5">
      <c r="A96" s="450">
        <v>17</v>
      </c>
      <c r="B96" s="454"/>
      <c r="C96" s="455"/>
      <c r="D96" s="456" t="str">
        <f>IF(C96="","",C96*'CBECS IFs'!$C$8)</f>
        <v/>
      </c>
      <c r="E96" s="456" t="str">
        <f>IF(C96="","",C96*'CBECS IFs'!$D$18)</f>
        <v/>
      </c>
      <c r="F96" s="328" t="str">
        <f>IF(C96="","",((D96/1000*'State eGrid factors'!$C$53/2204.62)+((D96/(1-EF!$E$30))*EF!$E$24)+(D96*EF!$H$3)+(E96*('CBECS IFs'!$M$38+'CBECS IFs'!$O$44)))/1000+N("electricity emissions + upstream losses on total generation + T&amp;D losses + natural gas combustion emissions +upstream natural gas emissions"))</f>
        <v/>
      </c>
      <c r="I96" s="450">
        <v>17</v>
      </c>
      <c r="J96" s="454"/>
      <c r="K96" s="455"/>
      <c r="L96" s="455"/>
      <c r="M96" s="328">
        <f>((K96/1000*'State eGrid factors'!$C$53/2204.62)+((K96/(1-EF!$E$30))*EF!$E$24)+(K96*EF!$H$3)+(L96*('CBECS IFs'!$M$38+'CBECS IFs'!$O$44)))/1000+N("electricity emissions + upstream losses on total generation + T&amp;D losses + natural gas combustion emissions +upstream natural gas emissions")</f>
        <v>0</v>
      </c>
    </row>
    <row r="97" spans="1:14" ht="14.5">
      <c r="A97" s="450">
        <v>18</v>
      </c>
      <c r="B97" s="454"/>
      <c r="C97" s="455"/>
      <c r="D97" s="456" t="str">
        <f>IF(C97="","",C97*'CBECS IFs'!$C$8)</f>
        <v/>
      </c>
      <c r="E97" s="456" t="str">
        <f>IF(C97="","",C97*'CBECS IFs'!$D$18)</f>
        <v/>
      </c>
      <c r="F97" s="328" t="str">
        <f>IF(C97="","",((D97/1000*'State eGrid factors'!$C$53/2204.62)+((D97/(1-EF!$E$30))*EF!$E$24)+(D97*EF!$H$3)+(E97*('CBECS IFs'!$M$38+'CBECS IFs'!$O$44)))/1000+N("electricity emissions + upstream losses on total generation + T&amp;D losses + natural gas combustion emissions +upstream natural gas emissions"))</f>
        <v/>
      </c>
      <c r="I97" s="450">
        <v>18</v>
      </c>
      <c r="J97" s="454"/>
      <c r="K97" s="455"/>
      <c r="L97" s="455"/>
      <c r="M97" s="328">
        <f>((K97/1000*'State eGrid factors'!$C$53/2204.62)+((K97/(1-EF!$E$30))*EF!$E$24)+(K97*EF!$H$3)+(L97*('CBECS IFs'!$M$38+'CBECS IFs'!$O$44)))/1000+N("electricity emissions + upstream losses on total generation + T&amp;D losses + natural gas combustion emissions +upstream natural gas emissions")</f>
        <v>0</v>
      </c>
    </row>
    <row r="98" spans="1:14" ht="14.5">
      <c r="A98" s="450">
        <v>19</v>
      </c>
      <c r="B98" s="454"/>
      <c r="C98" s="455"/>
      <c r="D98" s="456" t="str">
        <f>IF(C98="","",C98*'CBECS IFs'!$C$8)</f>
        <v/>
      </c>
      <c r="E98" s="456" t="str">
        <f>IF(C98="","",C98*'CBECS IFs'!$D$18)</f>
        <v/>
      </c>
      <c r="F98" s="328" t="str">
        <f>IF(C98="","",((D98/1000*'State eGrid factors'!$C$53/2204.62)+((D98/(1-EF!$E$30))*EF!$E$24)+(D98*EF!$H$3)+(E98*('CBECS IFs'!$M$38+'CBECS IFs'!$O$44)))/1000+N("electricity emissions + upstream losses on total generation + T&amp;D losses + natural gas combustion emissions +upstream natural gas emissions"))</f>
        <v/>
      </c>
      <c r="I98" s="450">
        <v>19</v>
      </c>
      <c r="J98" s="454"/>
      <c r="K98" s="455"/>
      <c r="L98" s="455"/>
      <c r="M98" s="328">
        <f>((K98/1000*'State eGrid factors'!$C$53/2204.62)+((K98/(1-EF!$E$30))*EF!$E$24)+(K98*EF!$H$3)+(L98*('CBECS IFs'!$M$38+'CBECS IFs'!$O$44)))/1000+N("electricity emissions + upstream losses on total generation + T&amp;D losses + natural gas combustion emissions +upstream natural gas emissions")</f>
        <v>0</v>
      </c>
    </row>
    <row r="99" spans="1:14" ht="15" thickBot="1">
      <c r="A99" s="450">
        <v>20</v>
      </c>
      <c r="B99" s="454"/>
      <c r="C99" s="455"/>
      <c r="D99" s="456" t="str">
        <f>IF(C99="","",C99*'CBECS IFs'!$C$8)</f>
        <v/>
      </c>
      <c r="E99" s="456" t="str">
        <f>IF(C99="","",C99*'CBECS IFs'!$D$18)</f>
        <v/>
      </c>
      <c r="F99" s="328" t="str">
        <f>IF(C99="","",((D99/1000*'State eGrid factors'!$C$53/2204.62)+((D99/(1-EF!$E$30))*EF!$E$24)+(D99*EF!$H$3)+(E99*('CBECS IFs'!$M$38+'CBECS IFs'!$O$44)))/1000+N("electricity emissions + upstream losses on total generation + T&amp;D losses + natural gas combustion emissions +upstream natural gas emissions"))</f>
        <v/>
      </c>
      <c r="I99" s="450">
        <v>20</v>
      </c>
      <c r="J99" s="454"/>
      <c r="K99" s="455"/>
      <c r="L99" s="455"/>
      <c r="M99" s="328">
        <f>((K99/1000*'State eGrid factors'!$C$53/2204.62)+((K99/(1-EF!$E$30))*EF!$E$24)+(K99*EF!$H$3)+(L99*('CBECS IFs'!$M$38+'CBECS IFs'!$O$44)))/1000+N("electricity emissions + upstream losses on total generation + T&amp;D losses + natural gas combustion emissions +upstream natural gas emissions")</f>
        <v>0</v>
      </c>
    </row>
    <row r="100" spans="1:14" ht="14.5" thickBot="1">
      <c r="E100" s="457" t="s">
        <v>1624</v>
      </c>
      <c r="F100" s="339">
        <f>SUM(F81:F99)</f>
        <v>0</v>
      </c>
      <c r="L100" s="457" t="s">
        <v>1624</v>
      </c>
      <c r="M100" s="339">
        <f>SUM(M81:M99)</f>
        <v>0</v>
      </c>
    </row>
    <row r="102" spans="1:14" ht="17.5">
      <c r="A102" s="444" t="s">
        <v>1801</v>
      </c>
      <c r="I102" s="444" t="s">
        <v>1801</v>
      </c>
    </row>
    <row r="103" spans="1:14">
      <c r="A103" s="445" t="s">
        <v>1592</v>
      </c>
      <c r="I103" s="445" t="s">
        <v>1592</v>
      </c>
    </row>
    <row r="104" spans="1:14" ht="22.5" customHeight="1">
      <c r="A104" s="445"/>
      <c r="C104" s="1206" t="s">
        <v>3444</v>
      </c>
      <c r="I104" s="445"/>
      <c r="K104" s="1206"/>
    </row>
    <row r="105" spans="1:14" ht="14.5">
      <c r="B105" s="447" t="s">
        <v>353</v>
      </c>
      <c r="C105" s="447" t="s">
        <v>353</v>
      </c>
      <c r="D105" s="447"/>
      <c r="E105" s="447"/>
      <c r="J105" s="447" t="s">
        <v>353</v>
      </c>
      <c r="K105" s="447" t="s">
        <v>353</v>
      </c>
      <c r="L105" s="447" t="s">
        <v>353</v>
      </c>
      <c r="M105" s="447" t="s">
        <v>353</v>
      </c>
    </row>
    <row r="106" spans="1:14">
      <c r="A106" s="448" t="s">
        <v>1593</v>
      </c>
      <c r="B106" s="449" t="s">
        <v>360</v>
      </c>
      <c r="C106" s="449" t="s">
        <v>3445</v>
      </c>
      <c r="D106" s="448" t="s">
        <v>1793</v>
      </c>
      <c r="E106" s="448" t="s">
        <v>1794</v>
      </c>
      <c r="F106" s="448" t="s">
        <v>1795</v>
      </c>
      <c r="G106" s="448" t="s">
        <v>363</v>
      </c>
      <c r="I106" s="448" t="s">
        <v>1593</v>
      </c>
      <c r="J106" s="449" t="s">
        <v>360</v>
      </c>
      <c r="K106" s="449" t="s">
        <v>2201</v>
      </c>
      <c r="L106" s="448" t="s">
        <v>1794</v>
      </c>
      <c r="M106" s="448" t="s">
        <v>1795</v>
      </c>
      <c r="N106" s="448" t="s">
        <v>363</v>
      </c>
    </row>
    <row r="107" spans="1:14" ht="14.5">
      <c r="A107" s="450">
        <v>1</v>
      </c>
      <c r="B107" s="451" t="s">
        <v>1796</v>
      </c>
      <c r="C107" s="451" t="s">
        <v>1802</v>
      </c>
      <c r="D107" s="452">
        <v>100</v>
      </c>
      <c r="E107" s="453">
        <f>IF(OR(C107="",D107=""),"",(D107*IF(C107='CBECS IFs'!$B$10,'CBECS IFs'!$C$10,'CBECS IFs'!$C$11)))</f>
        <v>1490</v>
      </c>
      <c r="F107" s="453">
        <f>IF(OR(C107="",D107=""),"",(D107*IF(C107='CBECS IFs'!$B$20,'CBECS IFs'!$D$20,'CBECS IFs'!$D$21)))</f>
        <v>19.855222337125127</v>
      </c>
      <c r="G107" s="328">
        <f>IF(OR(D107="",C107=""),"",((E107/1000*'State eGrid factors'!$C$53/2204.62)+((E107/(1-EF!$E$30))*EF!$E$24)+(E107*EF!$H$3)+(F107*('CBECS IFs'!$M$38+'CBECS IFs'!$O$44)))/1000+N("electricity emissions + upstream losses on total generation + T&amp;D losses + natural gas combustion emissions +upstream natural gas emissions"))</f>
        <v>0.25502508676608687</v>
      </c>
      <c r="I107" s="450">
        <v>1</v>
      </c>
      <c r="J107" s="451" t="s">
        <v>1796</v>
      </c>
      <c r="K107" s="451" t="s">
        <v>1802</v>
      </c>
      <c r="L107" s="452">
        <v>20000</v>
      </c>
      <c r="M107" s="452">
        <v>350</v>
      </c>
      <c r="N107" s="328">
        <f>((L107/1000*'State eGrid factors'!$C$53/2204.62)+((L107/(1-EF!$E$30))*EF!$E$24)+(L107*EF!$H$3)+(M107*('CBECS IFs'!$M$38+'CBECS IFs'!$O$44)))/1000+N("electricity emissions + upstream losses on total generation + T&amp;D losses + natural gas combustion emissions +upstream natural gas emissions")</f>
        <v>3.9447061587893599</v>
      </c>
    </row>
    <row r="108" spans="1:14" ht="14.5">
      <c r="A108" s="450">
        <v>2</v>
      </c>
      <c r="B108" s="454"/>
      <c r="C108" s="454"/>
      <c r="D108" s="455"/>
      <c r="E108" s="456" t="str">
        <f>IF(OR(C108="",D108=""),"",(D108*IF(C108='CBECS IFs'!$B$10,'CBECS IFs'!$C$10,'CBECS IFs'!$C$11)))</f>
        <v/>
      </c>
      <c r="F108" s="456" t="str">
        <f>IF(OR(C108="",D108=""),"",(D108*IF(C108='CBECS IFs'!$B$20,'CBECS IFs'!$D$20,'CBECS IFs'!$D$21)))</f>
        <v/>
      </c>
      <c r="G108" s="328" t="str">
        <f>IF(OR(D108="",C108=""),"",((E108/1000*'State eGrid factors'!$C$53/2204.62)+((E108/(1-EF!$E$30))*EF!$E$24)+(E108*EF!$H$3)+(F108*('CBECS IFs'!$M$38+'CBECS IFs'!$O$44)))/1000+N("electricity emissions + upstream losses on total generation + T&amp;D losses + natural gas combustion emissions +upstream natural gas emissions"))</f>
        <v/>
      </c>
      <c r="I108" s="450">
        <v>2</v>
      </c>
      <c r="J108" s="454"/>
      <c r="K108" s="454"/>
      <c r="L108" s="455"/>
      <c r="M108" s="455"/>
      <c r="N108" s="328">
        <f>((L108/1000*'State eGrid factors'!$C$53/2204.62)+((L108/(1-EF!$E$30))*EF!$E$24)+(L108*EF!$H$3)+(M108*('CBECS IFs'!$M$38+'CBECS IFs'!$O$44)))/1000+N("electricity emissions + upstream losses on total generation + T&amp;D losses + natural gas combustion emissions +upstream natural gas emissions")</f>
        <v>0</v>
      </c>
    </row>
    <row r="109" spans="1:14" ht="14.5">
      <c r="A109" s="450">
        <v>3</v>
      </c>
      <c r="B109" s="454"/>
      <c r="C109" s="454"/>
      <c r="D109" s="455"/>
      <c r="E109" s="456" t="str">
        <f>IF(OR(C109="",D109=""),"",(D109*IF(C109='CBECS IFs'!$B$10,'CBECS IFs'!$C$10,'CBECS IFs'!$C$11)))</f>
        <v/>
      </c>
      <c r="F109" s="456" t="str">
        <f>IF(OR(C109="",D109=""),"",(D109*IF(C109='CBECS IFs'!$B$20,'CBECS IFs'!$D$20,'CBECS IFs'!$D$21)))</f>
        <v/>
      </c>
      <c r="G109" s="328" t="str">
        <f>IF(OR(D109="",C109=""),"",((E109/1000*'State eGrid factors'!$C$53/2204.62)+((E109/(1-EF!$E$30))*EF!$E$24)+(E109*EF!$H$3)+(F109*('CBECS IFs'!$M$38+'CBECS IFs'!$O$44)))/1000+N("electricity emissions + upstream losses on total generation + T&amp;D losses + natural gas combustion emissions +upstream natural gas emissions"))</f>
        <v/>
      </c>
      <c r="I109" s="450">
        <v>3</v>
      </c>
      <c r="J109" s="454"/>
      <c r="K109" s="454"/>
      <c r="L109" s="455"/>
      <c r="M109" s="455"/>
      <c r="N109" s="328">
        <f>((L109/1000*'State eGrid factors'!$C$53/2204.62)+((L109/(1-EF!$E$30))*EF!$E$24)+(L109*EF!$H$3)+(M109*('CBECS IFs'!$M$38+'CBECS IFs'!$O$44)))/1000+N("electricity emissions + upstream losses on total generation + T&amp;D losses + natural gas combustion emissions +upstream natural gas emissions")</f>
        <v>0</v>
      </c>
    </row>
    <row r="110" spans="1:14" ht="14.5">
      <c r="A110" s="450">
        <v>4</v>
      </c>
      <c r="B110" s="454"/>
      <c r="C110" s="454"/>
      <c r="D110" s="455"/>
      <c r="E110" s="456" t="str">
        <f>IF(OR(C110="",D110=""),"",(D110*IF(C110='CBECS IFs'!$B$10,'CBECS IFs'!$C$10,'CBECS IFs'!$C$11)))</f>
        <v/>
      </c>
      <c r="F110" s="456" t="str">
        <f>IF(OR(C110="",D110=""),"",(D110*IF(C110='CBECS IFs'!$B$20,'CBECS IFs'!$D$20,'CBECS IFs'!$D$21)))</f>
        <v/>
      </c>
      <c r="G110" s="328" t="str">
        <f>IF(OR(D110="",C110=""),"",((E110/1000*'State eGrid factors'!$C$53/2204.62)+((E110/(1-EF!$E$30))*EF!$E$24)+(E110*EF!$H$3)+(F110*('CBECS IFs'!$M$38+'CBECS IFs'!$O$44)))/1000+N("electricity emissions + upstream losses on total generation + T&amp;D losses + natural gas combustion emissions +upstream natural gas emissions"))</f>
        <v/>
      </c>
      <c r="I110" s="450">
        <v>4</v>
      </c>
      <c r="J110" s="454"/>
      <c r="K110" s="454"/>
      <c r="L110" s="455"/>
      <c r="M110" s="455"/>
      <c r="N110" s="328">
        <f>((L110/1000*'State eGrid factors'!$C$53/2204.62)+((L110/(1-EF!$E$30))*EF!$E$24)+(L110*EF!$H$3)+(M110*('CBECS IFs'!$M$38+'CBECS IFs'!$O$44)))/1000+N("electricity emissions + upstream losses on total generation + T&amp;D losses + natural gas combustion emissions +upstream natural gas emissions")</f>
        <v>0</v>
      </c>
    </row>
    <row r="111" spans="1:14" ht="14.5">
      <c r="A111" s="450">
        <v>5</v>
      </c>
      <c r="B111" s="454"/>
      <c r="C111" s="454"/>
      <c r="D111" s="455"/>
      <c r="E111" s="456" t="str">
        <f>IF(OR(C111="",D111=""),"",(D111*IF(C111='CBECS IFs'!$B$10,'CBECS IFs'!$C$10,'CBECS IFs'!$C$11)))</f>
        <v/>
      </c>
      <c r="F111" s="456" t="str">
        <f>IF(OR(C111="",D111=""),"",(D111*IF(C111='CBECS IFs'!$B$20,'CBECS IFs'!$D$20,'CBECS IFs'!$D$21)))</f>
        <v/>
      </c>
      <c r="G111" s="328" t="str">
        <f>IF(OR(D111="",C111=""),"",((E111/1000*'State eGrid factors'!$C$53/2204.62)+((E111/(1-EF!$E$30))*EF!$E$24)+(E111*EF!$H$3)+(F111*('CBECS IFs'!$M$38+'CBECS IFs'!$O$44)))/1000+N("electricity emissions + upstream losses on total generation + T&amp;D losses + natural gas combustion emissions +upstream natural gas emissions"))</f>
        <v/>
      </c>
      <c r="I111" s="450">
        <v>5</v>
      </c>
      <c r="J111" s="454"/>
      <c r="K111" s="454"/>
      <c r="L111" s="455"/>
      <c r="M111" s="455"/>
      <c r="N111" s="328">
        <f>((L111/1000*'State eGrid factors'!$C$53/2204.62)+((L111/(1-EF!$E$30))*EF!$E$24)+(L111*EF!$H$3)+(M111*('CBECS IFs'!$M$38+'CBECS IFs'!$O$44)))/1000+N("electricity emissions + upstream losses on total generation + T&amp;D losses + natural gas combustion emissions +upstream natural gas emissions")</f>
        <v>0</v>
      </c>
    </row>
    <row r="112" spans="1:14" ht="14.5">
      <c r="A112" s="450">
        <v>6</v>
      </c>
      <c r="B112" s="454"/>
      <c r="C112" s="454"/>
      <c r="D112" s="455"/>
      <c r="E112" s="456" t="str">
        <f>IF(OR(C112="",D112=""),"",(D112*IF(C112='CBECS IFs'!$B$10,'CBECS IFs'!$C$10,'CBECS IFs'!$C$11)))</f>
        <v/>
      </c>
      <c r="F112" s="456" t="str">
        <f>IF(OR(C112="",D112=""),"",(D112*IF(C112='CBECS IFs'!$B$20,'CBECS IFs'!$D$20,'CBECS IFs'!$D$21)))</f>
        <v/>
      </c>
      <c r="G112" s="328" t="str">
        <f>IF(OR(D112="",C112=""),"",((E112/1000*'State eGrid factors'!$C$53/2204.62)+((E112/(1-EF!$E$30))*EF!$E$24)+(E112*EF!$H$3)+(F112*('CBECS IFs'!$M$38+'CBECS IFs'!$O$44)))/1000+N("electricity emissions + upstream losses on total generation + T&amp;D losses + natural gas combustion emissions +upstream natural gas emissions"))</f>
        <v/>
      </c>
      <c r="I112" s="450">
        <v>6</v>
      </c>
      <c r="J112" s="454"/>
      <c r="K112" s="454"/>
      <c r="L112" s="455"/>
      <c r="M112" s="455"/>
      <c r="N112" s="328">
        <f>((L112/1000*'State eGrid factors'!$C$53/2204.62)+((L112/(1-EF!$E$30))*EF!$E$24)+(L112*EF!$H$3)+(M112*('CBECS IFs'!$M$38+'CBECS IFs'!$O$44)))/1000+N("electricity emissions + upstream losses on total generation + T&amp;D losses + natural gas combustion emissions +upstream natural gas emissions")</f>
        <v>0</v>
      </c>
    </row>
    <row r="113" spans="1:14" ht="14.5">
      <c r="A113" s="450">
        <v>7</v>
      </c>
      <c r="B113" s="454"/>
      <c r="C113" s="454"/>
      <c r="D113" s="455"/>
      <c r="E113" s="456" t="str">
        <f>IF(OR(C113="",D113=""),"",(D113*IF(C113='CBECS IFs'!$B$10,'CBECS IFs'!$C$10,'CBECS IFs'!$C$11)))</f>
        <v/>
      </c>
      <c r="F113" s="456" t="str">
        <f>IF(OR(C113="",D113=""),"",(D113*IF(C113='CBECS IFs'!$B$20,'CBECS IFs'!$D$20,'CBECS IFs'!$D$21)))</f>
        <v/>
      </c>
      <c r="G113" s="328" t="str">
        <f>IF(OR(D113="",C113=""),"",((E113/1000*'State eGrid factors'!$C$53/2204.62)+((E113/(1-EF!$E$30))*EF!$E$24)+(E113*EF!$H$3)+(F113*('CBECS IFs'!$M$38+'CBECS IFs'!$O$44)))/1000+N("electricity emissions + upstream losses on total generation + T&amp;D losses + natural gas combustion emissions +upstream natural gas emissions"))</f>
        <v/>
      </c>
      <c r="I113" s="450">
        <v>7</v>
      </c>
      <c r="J113" s="454"/>
      <c r="K113" s="454"/>
      <c r="L113" s="455"/>
      <c r="M113" s="455"/>
      <c r="N113" s="328">
        <f>((L113/1000*'State eGrid factors'!$C$53/2204.62)+((L113/(1-EF!$E$30))*EF!$E$24)+(L113*EF!$H$3)+(M113*('CBECS IFs'!$M$38+'CBECS IFs'!$O$44)))/1000+N("electricity emissions + upstream losses on total generation + T&amp;D losses + natural gas combustion emissions +upstream natural gas emissions")</f>
        <v>0</v>
      </c>
    </row>
    <row r="114" spans="1:14" ht="14.5">
      <c r="A114" s="450">
        <v>8</v>
      </c>
      <c r="B114" s="454"/>
      <c r="C114" s="454"/>
      <c r="D114" s="455"/>
      <c r="E114" s="456" t="str">
        <f>IF(OR(C114="",D114=""),"",(D114*IF(C114='CBECS IFs'!$B$10,'CBECS IFs'!$C$10,'CBECS IFs'!$C$11)))</f>
        <v/>
      </c>
      <c r="F114" s="456" t="str">
        <f>IF(OR(C114="",D114=""),"",(D114*IF(C114='CBECS IFs'!$B$20,'CBECS IFs'!$D$20,'CBECS IFs'!$D$21)))</f>
        <v/>
      </c>
      <c r="G114" s="328" t="str">
        <f>IF(OR(D114="",C114=""),"",((E114/1000*'State eGrid factors'!$C$53/2204.62)+((E114/(1-EF!$E$30))*EF!$E$24)+(E114*EF!$H$3)+(F114*('CBECS IFs'!$M$38+'CBECS IFs'!$O$44)))/1000+N("electricity emissions + upstream losses on total generation + T&amp;D losses + natural gas combustion emissions +upstream natural gas emissions"))</f>
        <v/>
      </c>
      <c r="I114" s="450">
        <v>8</v>
      </c>
      <c r="J114" s="454"/>
      <c r="K114" s="454"/>
      <c r="L114" s="455"/>
      <c r="M114" s="455"/>
      <c r="N114" s="328">
        <f>((L114/1000*'State eGrid factors'!$C$53/2204.62)+((L114/(1-EF!$E$30))*EF!$E$24)+(L114*EF!$H$3)+(M114*('CBECS IFs'!$M$38+'CBECS IFs'!$O$44)))/1000+N("electricity emissions + upstream losses on total generation + T&amp;D losses + natural gas combustion emissions +upstream natural gas emissions")</f>
        <v>0</v>
      </c>
    </row>
    <row r="115" spans="1:14" ht="14.5">
      <c r="A115" s="450">
        <v>9</v>
      </c>
      <c r="B115" s="454"/>
      <c r="C115" s="454"/>
      <c r="D115" s="455"/>
      <c r="E115" s="456" t="str">
        <f>IF(OR(C115="",D115=""),"",(D115*IF(C115='CBECS IFs'!$B$10,'CBECS IFs'!$C$10,'CBECS IFs'!$C$11)))</f>
        <v/>
      </c>
      <c r="F115" s="456" t="str">
        <f>IF(OR(C115="",D115=""),"",(D115*IF(C115='CBECS IFs'!$B$20,'CBECS IFs'!$D$20,'CBECS IFs'!$D$21)))</f>
        <v/>
      </c>
      <c r="G115" s="328" t="str">
        <f>IF(OR(D115="",C115=""),"",((E115/1000*'State eGrid factors'!$C$53/2204.62)+((E115/(1-EF!$E$30))*EF!$E$24)+(E115*EF!$H$3)+(F115*('CBECS IFs'!$M$38+'CBECS IFs'!$O$44)))/1000+N("electricity emissions + upstream losses on total generation + T&amp;D losses + natural gas combustion emissions +upstream natural gas emissions"))</f>
        <v/>
      </c>
      <c r="I115" s="450">
        <v>9</v>
      </c>
      <c r="J115" s="454"/>
      <c r="K115" s="454"/>
      <c r="L115" s="455"/>
      <c r="M115" s="455"/>
      <c r="N115" s="328">
        <f>((L115/1000*'State eGrid factors'!$C$53/2204.62)+((L115/(1-EF!$E$30))*EF!$E$24)+(L115*EF!$H$3)+(M115*('CBECS IFs'!$M$38+'CBECS IFs'!$O$44)))/1000+N("electricity emissions + upstream losses on total generation + T&amp;D losses + natural gas combustion emissions +upstream natural gas emissions")</f>
        <v>0</v>
      </c>
    </row>
    <row r="116" spans="1:14" ht="14.5">
      <c r="A116" s="450">
        <v>10</v>
      </c>
      <c r="B116" s="454"/>
      <c r="C116" s="454"/>
      <c r="D116" s="455"/>
      <c r="E116" s="456" t="str">
        <f>IF(OR(C116="",D116=""),"",(D116*IF(C116='CBECS IFs'!$B$10,'CBECS IFs'!$C$10,'CBECS IFs'!$C$11)))</f>
        <v/>
      </c>
      <c r="F116" s="456" t="str">
        <f>IF(OR(C116="",D116=""),"",(D116*IF(C116='CBECS IFs'!$B$20,'CBECS IFs'!$D$20,'CBECS IFs'!$D$21)))</f>
        <v/>
      </c>
      <c r="G116" s="328" t="str">
        <f>IF(OR(D116="",C116=""),"",((E116/1000*'State eGrid factors'!$C$53/2204.62)+((E116/(1-EF!$E$30))*EF!$E$24)+(E116*EF!$H$3)+(F116*('CBECS IFs'!$M$38+'CBECS IFs'!$O$44)))/1000+N("electricity emissions + upstream losses on total generation + T&amp;D losses + natural gas combustion emissions +upstream natural gas emissions"))</f>
        <v/>
      </c>
      <c r="I116" s="450">
        <v>10</v>
      </c>
      <c r="J116" s="454"/>
      <c r="K116" s="454"/>
      <c r="L116" s="455"/>
      <c r="M116" s="455"/>
      <c r="N116" s="328">
        <f>((L116/1000*'State eGrid factors'!$C$53/2204.62)+((L116/(1-EF!$E$30))*EF!$E$24)+(L116*EF!$H$3)+(M116*('CBECS IFs'!$M$38+'CBECS IFs'!$O$44)))/1000+N("electricity emissions + upstream losses on total generation + T&amp;D losses + natural gas combustion emissions +upstream natural gas emissions")</f>
        <v>0</v>
      </c>
    </row>
    <row r="117" spans="1:14" ht="14.5">
      <c r="A117" s="450">
        <v>11</v>
      </c>
      <c r="B117" s="454"/>
      <c r="C117" s="454"/>
      <c r="D117" s="455"/>
      <c r="E117" s="456" t="str">
        <f>IF(OR(C117="",D117=""),"",(D117*IF(C117='CBECS IFs'!$B$10,'CBECS IFs'!$C$10,'CBECS IFs'!$C$11)))</f>
        <v/>
      </c>
      <c r="F117" s="456" t="str">
        <f>IF(OR(C117="",D117=""),"",(D117*IF(C117='CBECS IFs'!$B$20,'CBECS IFs'!$D$20,'CBECS IFs'!$D$21)))</f>
        <v/>
      </c>
      <c r="G117" s="328" t="str">
        <f>IF(OR(D117="",C117=""),"",((E117/1000*'State eGrid factors'!$C$53/2204.62)+((E117/(1-EF!$E$30))*EF!$E$24)+(E117*EF!$H$3)+(F117*('CBECS IFs'!$M$38+'CBECS IFs'!$O$44)))/1000+N("electricity emissions + upstream losses on total generation + T&amp;D losses + natural gas combustion emissions +upstream natural gas emissions"))</f>
        <v/>
      </c>
      <c r="I117" s="450">
        <v>11</v>
      </c>
      <c r="J117" s="454"/>
      <c r="K117" s="454"/>
      <c r="L117" s="455"/>
      <c r="M117" s="455"/>
      <c r="N117" s="328">
        <f>((L117/1000*'State eGrid factors'!$C$53/2204.62)+((L117/(1-EF!$E$30))*EF!$E$24)+(L117*EF!$H$3)+(M117*('CBECS IFs'!$M$38+'CBECS IFs'!$O$44)))/1000+N("electricity emissions + upstream losses on total generation + T&amp;D losses + natural gas combustion emissions +upstream natural gas emissions")</f>
        <v>0</v>
      </c>
    </row>
    <row r="118" spans="1:14" ht="14.5">
      <c r="A118" s="450">
        <v>12</v>
      </c>
      <c r="B118" s="454"/>
      <c r="C118" s="454"/>
      <c r="D118" s="455"/>
      <c r="E118" s="456" t="str">
        <f>IF(OR(C118="",D118=""),"",(D118*IF(C118='CBECS IFs'!$B$10,'CBECS IFs'!$C$10,'CBECS IFs'!$C$11)))</f>
        <v/>
      </c>
      <c r="F118" s="456" t="str">
        <f>IF(OR(C118="",D118=""),"",(D118*IF(C118='CBECS IFs'!$B$20,'CBECS IFs'!$D$20,'CBECS IFs'!$D$21)))</f>
        <v/>
      </c>
      <c r="G118" s="328" t="str">
        <f>IF(OR(D118="",C118=""),"",((E118/1000*'State eGrid factors'!$C$53/2204.62)+((E118/(1-EF!$E$30))*EF!$E$24)+(E118*EF!$H$3)+(F118*('CBECS IFs'!$M$38+'CBECS IFs'!$O$44)))/1000+N("electricity emissions + upstream losses on total generation + T&amp;D losses + natural gas combustion emissions +upstream natural gas emissions"))</f>
        <v/>
      </c>
      <c r="I118" s="450">
        <v>12</v>
      </c>
      <c r="J118" s="454"/>
      <c r="K118" s="454"/>
      <c r="L118" s="455"/>
      <c r="M118" s="455"/>
      <c r="N118" s="328">
        <f>((L118/1000*'State eGrid factors'!$C$53/2204.62)+((L118/(1-EF!$E$30))*EF!$E$24)+(L118*EF!$H$3)+(M118*('CBECS IFs'!$M$38+'CBECS IFs'!$O$44)))/1000+N("electricity emissions + upstream losses on total generation + T&amp;D losses + natural gas combustion emissions +upstream natural gas emissions")</f>
        <v>0</v>
      </c>
    </row>
    <row r="119" spans="1:14" ht="14.5">
      <c r="A119" s="450">
        <v>13</v>
      </c>
      <c r="B119" s="454"/>
      <c r="C119" s="454"/>
      <c r="D119" s="455"/>
      <c r="E119" s="456" t="str">
        <f>IF(OR(C119="",D119=""),"",(D119*IF(C119='CBECS IFs'!$B$10,'CBECS IFs'!$C$10,'CBECS IFs'!$C$11)))</f>
        <v/>
      </c>
      <c r="F119" s="456" t="str">
        <f>IF(OR(C119="",D119=""),"",(D119*IF(C119='CBECS IFs'!$B$20,'CBECS IFs'!$D$20,'CBECS IFs'!$D$21)))</f>
        <v/>
      </c>
      <c r="G119" s="328" t="str">
        <f>IF(OR(D119="",C119=""),"",((E119/1000*'State eGrid factors'!$C$53/2204.62)+((E119/(1-EF!$E$30))*EF!$E$24)+(E119*EF!$H$3)+(F119*('CBECS IFs'!$M$38+'CBECS IFs'!$O$44)))/1000+N("electricity emissions + upstream losses on total generation + T&amp;D losses + natural gas combustion emissions +upstream natural gas emissions"))</f>
        <v/>
      </c>
      <c r="I119" s="450">
        <v>13</v>
      </c>
      <c r="J119" s="454"/>
      <c r="K119" s="454"/>
      <c r="L119" s="455"/>
      <c r="M119" s="455"/>
      <c r="N119" s="328">
        <f>((L119/1000*'State eGrid factors'!$C$53/2204.62)+((L119/(1-EF!$E$30))*EF!$E$24)+(L119*EF!$H$3)+(M119*('CBECS IFs'!$M$38+'CBECS IFs'!$O$44)))/1000+N("electricity emissions + upstream losses on total generation + T&amp;D losses + natural gas combustion emissions +upstream natural gas emissions")</f>
        <v>0</v>
      </c>
    </row>
    <row r="120" spans="1:14" ht="14.5">
      <c r="A120" s="450">
        <v>14</v>
      </c>
      <c r="B120" s="454"/>
      <c r="C120" s="454"/>
      <c r="D120" s="455"/>
      <c r="E120" s="456" t="str">
        <f>IF(OR(C120="",D120=""),"",(D120*IF(C120='CBECS IFs'!$B$10,'CBECS IFs'!$C$10,'CBECS IFs'!$C$11)))</f>
        <v/>
      </c>
      <c r="F120" s="456" t="str">
        <f>IF(OR(C120="",D120=""),"",(D120*IF(C120='CBECS IFs'!$B$20,'CBECS IFs'!$D$20,'CBECS IFs'!$D$21)))</f>
        <v/>
      </c>
      <c r="G120" s="328" t="str">
        <f>IF(OR(D120="",C120=""),"",((E120/1000*'State eGrid factors'!$C$53/2204.62)+((E120/(1-EF!$E$30))*EF!$E$24)+(E120*EF!$H$3)+(F120*('CBECS IFs'!$M$38+'CBECS IFs'!$O$44)))/1000+N("electricity emissions + upstream losses on total generation + T&amp;D losses + natural gas combustion emissions +upstream natural gas emissions"))</f>
        <v/>
      </c>
      <c r="I120" s="450">
        <v>14</v>
      </c>
      <c r="J120" s="454"/>
      <c r="K120" s="454"/>
      <c r="L120" s="455"/>
      <c r="M120" s="455"/>
      <c r="N120" s="328">
        <f>((L120/1000*'State eGrid factors'!$C$53/2204.62)+((L120/(1-EF!$E$30))*EF!$E$24)+(L120*EF!$H$3)+(M120*('CBECS IFs'!$M$38+'CBECS IFs'!$O$44)))/1000+N("electricity emissions + upstream losses on total generation + T&amp;D losses + natural gas combustion emissions +upstream natural gas emissions")</f>
        <v>0</v>
      </c>
    </row>
    <row r="121" spans="1:14" ht="14.5">
      <c r="A121" s="450">
        <v>15</v>
      </c>
      <c r="B121" s="454"/>
      <c r="C121" s="454"/>
      <c r="D121" s="455"/>
      <c r="E121" s="456" t="str">
        <f>IF(OR(C121="",D121=""),"",(D121*IF(C121='CBECS IFs'!$B$10,'CBECS IFs'!$C$10,'CBECS IFs'!$C$11)))</f>
        <v/>
      </c>
      <c r="F121" s="456" t="str">
        <f>IF(OR(C121="",D121=""),"",(D121*IF(C121='CBECS IFs'!$B$20,'CBECS IFs'!$D$20,'CBECS IFs'!$D$21)))</f>
        <v/>
      </c>
      <c r="G121" s="328" t="str">
        <f>IF(OR(D121="",C121=""),"",((E121/1000*'State eGrid factors'!$C$53/2204.62)+((E121/(1-EF!$E$30))*EF!$E$24)+(E121*EF!$H$3)+(F121*('CBECS IFs'!$M$38+'CBECS IFs'!$O$44)))/1000+N("electricity emissions + upstream losses on total generation + T&amp;D losses + natural gas combustion emissions +upstream natural gas emissions"))</f>
        <v/>
      </c>
      <c r="I121" s="450">
        <v>15</v>
      </c>
      <c r="J121" s="454"/>
      <c r="K121" s="454"/>
      <c r="L121" s="455"/>
      <c r="M121" s="455"/>
      <c r="N121" s="328">
        <f>((L121/1000*'State eGrid factors'!$C$53/2204.62)+((L121/(1-EF!$E$30))*EF!$E$24)+(L121*EF!$H$3)+(M121*('CBECS IFs'!$M$38+'CBECS IFs'!$O$44)))/1000+N("electricity emissions + upstream losses on total generation + T&amp;D losses + natural gas combustion emissions +upstream natural gas emissions")</f>
        <v>0</v>
      </c>
    </row>
    <row r="122" spans="1:14" ht="14.5">
      <c r="A122" s="450">
        <v>16</v>
      </c>
      <c r="B122" s="454"/>
      <c r="C122" s="454"/>
      <c r="D122" s="455"/>
      <c r="E122" s="456" t="str">
        <f>IF(OR(C122="",D122=""),"",(D122*IF(C122='CBECS IFs'!$B$10,'CBECS IFs'!$C$10,'CBECS IFs'!$C$11)))</f>
        <v/>
      </c>
      <c r="F122" s="456" t="str">
        <f>IF(OR(C122="",D122=""),"",(D122*IF(C122='CBECS IFs'!$B$20,'CBECS IFs'!$D$20,'CBECS IFs'!$D$21)))</f>
        <v/>
      </c>
      <c r="G122" s="328" t="str">
        <f>IF(OR(D122="",C122=""),"",((E122/1000*'State eGrid factors'!$C$53/2204.62)+((E122/(1-EF!$E$30))*EF!$E$24)+(E122*EF!$H$3)+(F122*('CBECS IFs'!$M$38+'CBECS IFs'!$O$44)))/1000+N("electricity emissions + upstream losses on total generation + T&amp;D losses + natural gas combustion emissions +upstream natural gas emissions"))</f>
        <v/>
      </c>
      <c r="I122" s="450">
        <v>16</v>
      </c>
      <c r="J122" s="454"/>
      <c r="K122" s="454"/>
      <c r="L122" s="455"/>
      <c r="M122" s="455"/>
      <c r="N122" s="328">
        <f>((L122/1000*'State eGrid factors'!$C$53/2204.62)+((L122/(1-EF!$E$30))*EF!$E$24)+(L122*EF!$H$3)+(M122*('CBECS IFs'!$M$38+'CBECS IFs'!$O$44)))/1000+N("electricity emissions + upstream losses on total generation + T&amp;D losses + natural gas combustion emissions +upstream natural gas emissions")</f>
        <v>0</v>
      </c>
    </row>
    <row r="123" spans="1:14" ht="14.5">
      <c r="A123" s="450">
        <v>17</v>
      </c>
      <c r="B123" s="454"/>
      <c r="C123" s="454"/>
      <c r="D123" s="455"/>
      <c r="E123" s="456" t="str">
        <f>IF(OR(C123="",D123=""),"",(D123*IF(C123='CBECS IFs'!$B$10,'CBECS IFs'!$C$10,'CBECS IFs'!$C$11)))</f>
        <v/>
      </c>
      <c r="F123" s="456" t="str">
        <f>IF(OR(C123="",D123=""),"",(D123*IF(C123='CBECS IFs'!$B$20,'CBECS IFs'!$D$20,'CBECS IFs'!$D$21)))</f>
        <v/>
      </c>
      <c r="G123" s="328" t="str">
        <f>IF(OR(D123="",C123=""),"",((E123/1000*'State eGrid factors'!$C$53/2204.62)+((E123/(1-EF!$E$30))*EF!$E$24)+(E123*EF!$H$3)+(F123*('CBECS IFs'!$M$38+'CBECS IFs'!$O$44)))/1000+N("electricity emissions + upstream losses on total generation + T&amp;D losses + natural gas combustion emissions +upstream natural gas emissions"))</f>
        <v/>
      </c>
      <c r="I123" s="450">
        <v>17</v>
      </c>
      <c r="J123" s="454"/>
      <c r="K123" s="454"/>
      <c r="L123" s="455"/>
      <c r="M123" s="455"/>
      <c r="N123" s="328">
        <f>((L123/1000*'State eGrid factors'!$C$53/2204.62)+((L123/(1-EF!$E$30))*EF!$E$24)+(L123*EF!$H$3)+(M123*('CBECS IFs'!$M$38+'CBECS IFs'!$O$44)))/1000+N("electricity emissions + upstream losses on total generation + T&amp;D losses + natural gas combustion emissions +upstream natural gas emissions")</f>
        <v>0</v>
      </c>
    </row>
    <row r="124" spans="1:14" ht="14.5">
      <c r="A124" s="450">
        <v>18</v>
      </c>
      <c r="B124" s="454"/>
      <c r="C124" s="454"/>
      <c r="D124" s="455"/>
      <c r="E124" s="456" t="str">
        <f>IF(OR(C124="",D124=""),"",(D124*IF(C124='CBECS IFs'!$B$10,'CBECS IFs'!$C$10,'CBECS IFs'!$C$11)))</f>
        <v/>
      </c>
      <c r="F124" s="456" t="str">
        <f>IF(OR(C124="",D124=""),"",(D124*IF(C124='CBECS IFs'!$B$20,'CBECS IFs'!$D$20,'CBECS IFs'!$D$21)))</f>
        <v/>
      </c>
      <c r="G124" s="328" t="str">
        <f>IF(OR(D124="",C124=""),"",((E124/1000*'State eGrid factors'!$C$53/2204.62)+((E124/(1-EF!$E$30))*EF!$E$24)+(E124*EF!$H$3)+(F124*('CBECS IFs'!$M$38+'CBECS IFs'!$O$44)))/1000+N("electricity emissions + upstream losses on total generation + T&amp;D losses + natural gas combustion emissions +upstream natural gas emissions"))</f>
        <v/>
      </c>
      <c r="I124" s="450">
        <v>18</v>
      </c>
      <c r="J124" s="454"/>
      <c r="K124" s="454"/>
      <c r="L124" s="455"/>
      <c r="M124" s="455"/>
      <c r="N124" s="328">
        <f>((L124/1000*'State eGrid factors'!$C$53/2204.62)+((L124/(1-EF!$E$30))*EF!$E$24)+(L124*EF!$H$3)+(M124*('CBECS IFs'!$M$38+'CBECS IFs'!$O$44)))/1000+N("electricity emissions + upstream losses on total generation + T&amp;D losses + natural gas combustion emissions +upstream natural gas emissions")</f>
        <v>0</v>
      </c>
    </row>
    <row r="125" spans="1:14" ht="14.5">
      <c r="A125" s="450">
        <v>19</v>
      </c>
      <c r="B125" s="454"/>
      <c r="C125" s="454"/>
      <c r="D125" s="455"/>
      <c r="E125" s="456" t="str">
        <f>IF(OR(C125="",D125=""),"",(D125*IF(C125='CBECS IFs'!$B$10,'CBECS IFs'!$C$10,'CBECS IFs'!$C$11)))</f>
        <v/>
      </c>
      <c r="F125" s="456" t="str">
        <f>IF(OR(C125="",D125=""),"",(D125*IF(C125='CBECS IFs'!$B$20,'CBECS IFs'!$D$20,'CBECS IFs'!$D$21)))</f>
        <v/>
      </c>
      <c r="G125" s="328" t="str">
        <f>IF(OR(D125="",C125=""),"",((E125/1000*'State eGrid factors'!$C$53/2204.62)+((E125/(1-EF!$E$30))*EF!$E$24)+(E125*EF!$H$3)+(F125*('CBECS IFs'!$M$38+'CBECS IFs'!$O$44)))/1000+N("electricity emissions + upstream losses on total generation + T&amp;D losses + natural gas combustion emissions +upstream natural gas emissions"))</f>
        <v/>
      </c>
      <c r="I125" s="450">
        <v>19</v>
      </c>
      <c r="J125" s="454"/>
      <c r="K125" s="454"/>
      <c r="L125" s="455"/>
      <c r="M125" s="455"/>
      <c r="N125" s="328">
        <f>((L125/1000*'State eGrid factors'!$C$53/2204.62)+((L125/(1-EF!$E$30))*EF!$E$24)+(L125*EF!$H$3)+(M125*('CBECS IFs'!$M$38+'CBECS IFs'!$O$44)))/1000+N("electricity emissions + upstream losses on total generation + T&amp;D losses + natural gas combustion emissions +upstream natural gas emissions")</f>
        <v>0</v>
      </c>
    </row>
    <row r="126" spans="1:14" ht="15" thickBot="1">
      <c r="A126" s="450">
        <v>20</v>
      </c>
      <c r="B126" s="454"/>
      <c r="C126" s="454"/>
      <c r="D126" s="455"/>
      <c r="E126" s="456" t="str">
        <f>IF(OR(C126="",D126=""),"",(D126*IF(C126='CBECS IFs'!$B$10,'CBECS IFs'!$C$10,'CBECS IFs'!$C$11)))</f>
        <v/>
      </c>
      <c r="F126" s="456" t="str">
        <f>IF(OR(C126="",D126=""),"",(D126*IF(C126='CBECS IFs'!$B$20,'CBECS IFs'!$D$20,'CBECS IFs'!$D$21)))</f>
        <v/>
      </c>
      <c r="G126" s="328" t="str">
        <f>IF(OR(D126="",C126=""),"",((E126/1000*'State eGrid factors'!$C$53/2204.62)+((E126/(1-EF!$E$30))*EF!$E$24)+(E126*EF!$H$3)+(F126*('CBECS IFs'!$M$38+'CBECS IFs'!$O$44)))/1000+N("electricity emissions + upstream losses on total generation + T&amp;D losses + natural gas combustion emissions +upstream natural gas emissions"))</f>
        <v/>
      </c>
      <c r="I126" s="450">
        <v>20</v>
      </c>
      <c r="J126" s="454"/>
      <c r="K126" s="454"/>
      <c r="L126" s="455"/>
      <c r="M126" s="455"/>
      <c r="N126" s="328">
        <f>((L126/1000*'State eGrid factors'!$C$53/2204.62)+((L126/(1-EF!$E$30))*EF!$E$24)+(L126*EF!$H$3)+(M126*('CBECS IFs'!$M$38+'CBECS IFs'!$O$44)))/1000+N("electricity emissions + upstream losses on total generation + T&amp;D losses + natural gas combustion emissions +upstream natural gas emissions")</f>
        <v>0</v>
      </c>
    </row>
    <row r="127" spans="1:14" ht="14.5" thickBot="1">
      <c r="F127" s="457" t="s">
        <v>1624</v>
      </c>
      <c r="G127" s="339">
        <f>SUM(G108:G126)</f>
        <v>0</v>
      </c>
      <c r="M127" s="457" t="s">
        <v>1624</v>
      </c>
      <c r="N127" s="339">
        <f>SUM(N108:N126)</f>
        <v>0</v>
      </c>
    </row>
  </sheetData>
  <sheetProtection algorithmName="SHA-512" hashValue="0q5tTkn2NjEpWrxujAtlcqSGFKuEO+xkZqXY/uqmJNV3c/lyaEmP6v5SSnxGYRg2d/nhCy+U1q8+TijK6J6MlQ==" saltValue="y0mmtGhEHStt/Hs60GTfXw==" spinCount="100000" sheet="1" objects="1" scenarios="1"/>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8DF46A1-3A77-4EF0-9548-1C01016573E3}">
          <x14:formula1>
            <xm:f>'CBECS IFs'!$B$10:$B$11</xm:f>
          </x14:formula1>
          <xm:sqref>C54:C73 C107:C126 K54:K73 K107:K126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FCF7-3C3A-4DC5-B088-1927F6D118B2}">
  <sheetPr>
    <tabColor rgb="FF94E494"/>
  </sheetPr>
  <dimension ref="A1:G24"/>
  <sheetViews>
    <sheetView showGridLines="0" zoomScale="96" zoomScaleNormal="96" zoomScaleSheetLayoutView="100" workbookViewId="0">
      <selection activeCell="C8" sqref="C8"/>
    </sheetView>
  </sheetViews>
  <sheetFormatPr defaultColWidth="10.5" defaultRowHeight="14"/>
  <cols>
    <col min="1" max="1" width="21.5" style="4" customWidth="1"/>
    <col min="2" max="2" width="49.4140625" style="4" customWidth="1"/>
    <col min="3" max="3" width="65.9140625" style="4" bestFit="1" customWidth="1"/>
    <col min="4" max="4" width="14" style="4" bestFit="1" customWidth="1"/>
    <col min="5" max="6" width="13.08203125" style="4" customWidth="1"/>
    <col min="7" max="16384" width="10.5" style="4"/>
  </cols>
  <sheetData>
    <row r="1" spans="1:7" ht="102.9" customHeight="1">
      <c r="C1" s="746" t="str">
        <f>+Instructions!B2</f>
        <v>Health Care Emissions Impact Calculator-Facility</v>
      </c>
    </row>
    <row r="2" spans="1:7" ht="14.5" thickBot="1"/>
    <row r="3" spans="1:7" ht="18" customHeight="1">
      <c r="A3" s="1224" t="s">
        <v>2270</v>
      </c>
      <c r="B3" s="747" t="s">
        <v>2271</v>
      </c>
      <c r="C3" s="748" t="s">
        <v>2215</v>
      </c>
    </row>
    <row r="4" spans="1:7" ht="18" customHeight="1">
      <c r="A4" s="1225"/>
      <c r="B4" s="750" t="s">
        <v>2272</v>
      </c>
      <c r="C4" s="751"/>
    </row>
    <row r="5" spans="1:7" ht="18" customHeight="1">
      <c r="A5" s="1225"/>
      <c r="B5" s="750" t="s">
        <v>2273</v>
      </c>
      <c r="C5" s="751"/>
    </row>
    <row r="6" spans="1:7" ht="18" customHeight="1">
      <c r="A6" s="1225"/>
      <c r="B6" s="750" t="s">
        <v>2274</v>
      </c>
      <c r="C6" s="751"/>
    </row>
    <row r="7" spans="1:7" ht="18" customHeight="1">
      <c r="A7" s="1225"/>
      <c r="B7" s="750" t="s">
        <v>2275</v>
      </c>
      <c r="C7" s="751"/>
      <c r="D7"/>
    </row>
    <row r="8" spans="1:7" ht="18" customHeight="1">
      <c r="A8" s="1225"/>
      <c r="B8" s="750" t="s">
        <v>2276</v>
      </c>
      <c r="C8" s="751"/>
      <c r="D8"/>
    </row>
    <row r="9" spans="1:7" ht="18" customHeight="1">
      <c r="A9" s="1225"/>
      <c r="B9" s="750" t="s">
        <v>2277</v>
      </c>
      <c r="C9" s="751"/>
      <c r="D9"/>
    </row>
    <row r="10" spans="1:7" ht="63" customHeight="1">
      <c r="A10" s="749"/>
      <c r="B10" s="752" t="s">
        <v>2278</v>
      </c>
      <c r="C10" s="753"/>
      <c r="E10" s="1226" t="s">
        <v>2279</v>
      </c>
      <c r="F10" s="1226"/>
      <c r="G10" s="1226"/>
    </row>
    <row r="11" spans="1:7" ht="18" customHeight="1">
      <c r="A11" s="1225" t="s">
        <v>2280</v>
      </c>
      <c r="B11" s="750" t="s">
        <v>2281</v>
      </c>
      <c r="C11" s="754"/>
      <c r="D11"/>
    </row>
    <row r="12" spans="1:7" ht="18" customHeight="1">
      <c r="A12" s="1225"/>
      <c r="B12" s="750" t="s">
        <v>2282</v>
      </c>
      <c r="C12" s="754"/>
      <c r="D12" s="755" t="s">
        <v>2215</v>
      </c>
    </row>
    <row r="13" spans="1:7" ht="18" customHeight="1">
      <c r="A13" s="1225"/>
      <c r="B13" s="750" t="s">
        <v>2283</v>
      </c>
      <c r="C13" s="754"/>
      <c r="D13"/>
    </row>
    <row r="14" spans="1:7" ht="18" customHeight="1">
      <c r="A14" s="1225"/>
      <c r="B14" s="750" t="s">
        <v>2284</v>
      </c>
      <c r="C14" s="754"/>
      <c r="D14"/>
    </row>
    <row r="15" spans="1:7" ht="18" customHeight="1">
      <c r="A15" s="1225"/>
      <c r="B15" s="750" t="s">
        <v>2285</v>
      </c>
      <c r="C15" s="754"/>
      <c r="D15"/>
    </row>
    <row r="16" spans="1:7" ht="18" customHeight="1">
      <c r="A16" s="1225"/>
      <c r="B16" s="752" t="s">
        <v>2286</v>
      </c>
      <c r="C16" s="754"/>
      <c r="D16"/>
    </row>
    <row r="17" spans="1:4" ht="18" customHeight="1">
      <c r="A17" s="1225"/>
      <c r="B17" s="750" t="s">
        <v>2287</v>
      </c>
      <c r="C17" s="754"/>
      <c r="D17" t="s">
        <v>2215</v>
      </c>
    </row>
    <row r="18" spans="1:4" ht="18" customHeight="1" thickBot="1">
      <c r="A18" s="1227"/>
      <c r="B18" s="756" t="s">
        <v>2288</v>
      </c>
      <c r="C18" s="757"/>
      <c r="D18"/>
    </row>
    <row r="19" spans="1:4">
      <c r="A19" s="758"/>
      <c r="B19" s="730"/>
      <c r="C19" s="759"/>
      <c r="D19"/>
    </row>
    <row r="20" spans="1:4">
      <c r="A20" s="758"/>
      <c r="B20" s="730"/>
      <c r="C20" s="760"/>
      <c r="D20"/>
    </row>
    <row r="21" spans="1:4" ht="14.5">
      <c r="B21" s="725"/>
      <c r="C21" s="6"/>
    </row>
    <row r="22" spans="1:4">
      <c r="B22" s="761"/>
      <c r="C22" s="762"/>
    </row>
    <row r="23" spans="1:4">
      <c r="B23" s="763"/>
      <c r="C23" s="764"/>
    </row>
    <row r="24" spans="1:4" ht="14.5">
      <c r="B24" s="765"/>
    </row>
  </sheetData>
  <sheetProtection algorithmName="SHA-512" hashValue="26yVYGM4qJyTnV0kkY9aCsIRzod28eHYJVyDg/ifXsaV+dNKbEjCx3VvjgTxSWAefRbemdi5ecUle5Zhx7EG0g==" saltValue="aXyasDrUDFrCM2uSAC3KtA==" spinCount="100000" sheet="1" selectLockedCells="1"/>
  <mergeCells count="3">
    <mergeCell ref="A3:A9"/>
    <mergeCell ref="E10:G10"/>
    <mergeCell ref="A11:A18"/>
  </mergeCells>
  <dataValidations count="1">
    <dataValidation type="decimal" operator="greaterThanOrEqual" allowBlank="1" showInputMessage="1" showErrorMessage="1" sqref="C11:C17" xr:uid="{C9AE1D8A-480C-4ED6-A345-1AB0ECAF3308}">
      <formula1>0</formula1>
    </dataValidation>
  </dataValidations>
  <hyperlinks>
    <hyperlink ref="E10:G10" r:id="rId1" display="Click here for more information on determining an organizational boundary for GHG inventory" xr:uid="{4B8AC323-42EE-4CDF-9132-05F17F11B110}"/>
  </hyperlinks>
  <pageMargins left="0.7" right="0.7" top="0.75" bottom="0.75" header="0.3" footer="0.3"/>
  <pageSetup paperSize="9" orientation="landscape" r:id="rId2"/>
  <headerFooter>
    <oddHeader>&amp;L&amp;G&amp;R
&amp;"-,Negrita"&amp;8Herramienta para el cálculo de la huella de carbono en hospitales</oddHead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9638C8AA-7EF4-4AA9-8819-45B602B06549}">
          <x14:formula1>
            <xm:f>'S1&amp;2 Lists'!$AL$3:$AL$7</xm:f>
          </x14:formula1>
          <xm:sqref>C18</xm:sqref>
        </x14:dataValidation>
        <x14:dataValidation type="list" allowBlank="1" showInputMessage="1" showErrorMessage="1" xr:uid="{B197DAA2-E07B-4DA9-8386-5BD28B343E0B}">
          <x14:formula1>
            <xm:f>'S1&amp;2 Lists'!$DN$3:$DN$160</xm:f>
          </x14:formula1>
          <xm:sqref>C19</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0E48C-D45D-40C6-97AE-1A208A556341}">
  <sheetPr>
    <tabColor theme="3" tint="0.59999389629810485"/>
  </sheetPr>
  <dimension ref="A1:G88"/>
  <sheetViews>
    <sheetView showGridLines="0" zoomScale="85" zoomScaleNormal="85" workbookViewId="0">
      <selection activeCell="C25" sqref="C25"/>
    </sheetView>
  </sheetViews>
  <sheetFormatPr defaultColWidth="8.9140625" defaultRowHeight="14"/>
  <cols>
    <col min="2" max="2" width="29.1640625" customWidth="1"/>
    <col min="3" max="3" width="29.08203125" customWidth="1"/>
    <col min="4" max="4" width="26.4140625" bestFit="1" customWidth="1"/>
    <col min="5" max="5" width="23.5" customWidth="1"/>
    <col min="6" max="6" width="22.9140625" customWidth="1"/>
  </cols>
  <sheetData>
    <row r="1" spans="1:6" ht="25.65" customHeight="1">
      <c r="A1" s="154" t="s">
        <v>1803</v>
      </c>
      <c r="B1" s="154"/>
      <c r="C1" s="154"/>
      <c r="D1" s="154"/>
      <c r="E1" s="154"/>
    </row>
    <row r="2" spans="1:6" ht="15.9" customHeight="1">
      <c r="A2" s="359" t="s">
        <v>1765</v>
      </c>
      <c r="B2" s="261"/>
      <c r="C2" s="261"/>
      <c r="D2" s="261"/>
      <c r="E2" s="261"/>
    </row>
    <row r="3" spans="1:6" ht="15.9" customHeight="1">
      <c r="A3" s="263" t="s">
        <v>1699</v>
      </c>
      <c r="B3" s="261"/>
      <c r="C3" s="261"/>
      <c r="D3" s="261"/>
      <c r="E3" s="261"/>
      <c r="F3" s="264"/>
    </row>
    <row r="4" spans="1:6" s="419" customFormat="1" ht="15.9" customHeight="1">
      <c r="A4" s="263" t="s">
        <v>1804</v>
      </c>
      <c r="B4" s="263"/>
      <c r="C4" s="263"/>
      <c r="D4" s="263"/>
      <c r="E4" s="263"/>
    </row>
    <row r="5" spans="1:6" ht="15.9" customHeight="1">
      <c r="A5" s="263" t="s">
        <v>1767</v>
      </c>
      <c r="B5" s="261"/>
      <c r="C5" s="261"/>
      <c r="D5" s="261"/>
      <c r="E5" s="261"/>
      <c r="F5" s="264"/>
    </row>
    <row r="6" spans="1:6" ht="15.9" customHeight="1">
      <c r="A6" s="460" t="s">
        <v>1805</v>
      </c>
      <c r="B6" s="261"/>
      <c r="C6" s="261"/>
      <c r="D6" s="261"/>
      <c r="E6" s="261"/>
    </row>
    <row r="7" spans="1:6" ht="15.9" customHeight="1">
      <c r="A7" s="406" t="s">
        <v>1806</v>
      </c>
      <c r="B7" s="261"/>
      <c r="C7" s="261"/>
      <c r="D7" s="261"/>
      <c r="E7" s="261"/>
    </row>
    <row r="8" spans="1:6" ht="15.9" customHeight="1"/>
    <row r="9" spans="1:6" ht="15.9" customHeight="1"/>
    <row r="14" spans="1:6" ht="21.9" customHeight="1"/>
    <row r="15" spans="1:6" ht="21.9" customHeight="1"/>
    <row r="16" spans="1:6" ht="21.9" customHeight="1"/>
    <row r="17" spans="1:5" ht="21.9" customHeight="1"/>
    <row r="18" spans="1:5" ht="21.9" customHeight="1"/>
    <row r="19" spans="1:5" ht="21.9" customHeight="1"/>
    <row r="20" spans="1:5" ht="17.5">
      <c r="A20" s="364" t="s">
        <v>1807</v>
      </c>
    </row>
    <row r="21" spans="1:5">
      <c r="A21" s="365" t="s">
        <v>1592</v>
      </c>
    </row>
    <row r="22" spans="1:5" ht="14.5">
      <c r="B22" s="2" t="s">
        <v>353</v>
      </c>
      <c r="C22" s="2" t="s">
        <v>353</v>
      </c>
      <c r="D22" s="2" t="s">
        <v>353</v>
      </c>
    </row>
    <row r="23" spans="1:5">
      <c r="A23" s="366" t="s">
        <v>1593</v>
      </c>
      <c r="B23" s="367" t="s">
        <v>1659</v>
      </c>
      <c r="C23" s="378" t="s">
        <v>1770</v>
      </c>
      <c r="D23" s="366" t="s">
        <v>1808</v>
      </c>
      <c r="E23" s="366" t="s">
        <v>363</v>
      </c>
    </row>
    <row r="24" spans="1:5" ht="14.5">
      <c r="A24" s="368">
        <v>1</v>
      </c>
      <c r="B24" s="301" t="s">
        <v>1809</v>
      </c>
      <c r="C24" s="301" t="s">
        <v>1775</v>
      </c>
      <c r="D24" s="430">
        <v>1000000</v>
      </c>
      <c r="E24" s="412">
        <f>IFERROR(D24*VLOOKUP(C24,'Commute Calcs'!$F$6:$H$56,3,FALSE)*('Commute Calcs'!$X$19+'Commute Calcs'!$Y$19)/1000+N("number of visits x state-specific round trip commute distance x (weighted avg emissions for car &amp; SUV for different fuel types + weighted avg WTT emissions for car &amp; SUV for different fuel types)"),"")</f>
        <v>4937.7268994688684</v>
      </c>
    </row>
    <row r="25" spans="1:5" ht="14.5">
      <c r="A25" s="368">
        <v>2</v>
      </c>
      <c r="B25" s="313"/>
      <c r="C25" s="313"/>
      <c r="D25" s="323"/>
      <c r="E25" s="412" t="str">
        <f>IFERROR(D25*VLOOKUP(C25,'Commute Calcs'!$F$6:$H$56,3,FALSE)*('Commute Calcs'!$X$19+'Commute Calcs'!$Y$19)/1000+N("number of visits x state-specific round trip commute distance x (weighted avg emissions for car &amp; SUV for different fuel types + weighted avg WTT emissions for car &amp; SUV for different fuel types)"),"")</f>
        <v/>
      </c>
    </row>
    <row r="26" spans="1:5" ht="14.5">
      <c r="A26" s="368">
        <v>3</v>
      </c>
      <c r="B26" s="313"/>
      <c r="C26" s="313"/>
      <c r="D26" s="323"/>
      <c r="E26" s="412" t="str">
        <f>IFERROR(D26*VLOOKUP(C26,'Commute Calcs'!$F$6:$H$56,3,FALSE)*('Commute Calcs'!$X$19+'Commute Calcs'!$Y$19)/1000+N("number of visits x state-specific round trip commute distance x (weighted avg emissions for car &amp; SUV for different fuel types + weighted avg WTT emissions for car &amp; SUV for different fuel types)"),"")</f>
        <v/>
      </c>
    </row>
    <row r="27" spans="1:5" ht="14.5">
      <c r="A27" s="368">
        <v>4</v>
      </c>
      <c r="B27" s="313"/>
      <c r="C27" s="313"/>
      <c r="D27" s="323"/>
      <c r="E27" s="412" t="str">
        <f>IFERROR(D27*VLOOKUP(C27,'Commute Calcs'!$F$6:$H$56,3,FALSE)*('Commute Calcs'!$X$19+'Commute Calcs'!$Y$19)/1000+N("number of visits x state-specific round trip commute distance x (weighted avg emissions for car &amp; SUV for different fuel types + weighted avg WTT emissions for car &amp; SUV for different fuel types)"),"")</f>
        <v/>
      </c>
    </row>
    <row r="28" spans="1:5" ht="14.5">
      <c r="A28" s="368">
        <v>5</v>
      </c>
      <c r="B28" s="313"/>
      <c r="C28" s="313"/>
      <c r="D28" s="323"/>
      <c r="E28" s="412" t="str">
        <f>IFERROR(D28*VLOOKUP(C28,'Commute Calcs'!$F$6:$H$56,3,FALSE)*('Commute Calcs'!$X$19+'Commute Calcs'!$Y$19)/1000+N("number of visits x state-specific round trip commute distance x (weighted avg emissions for car &amp; SUV for different fuel types + weighted avg WTT emissions for car &amp; SUV for different fuel types)"),"")</f>
        <v/>
      </c>
    </row>
    <row r="29" spans="1:5" ht="14.5">
      <c r="A29" s="368">
        <v>6</v>
      </c>
      <c r="B29" s="313"/>
      <c r="C29" s="313"/>
      <c r="D29" s="323"/>
      <c r="E29" s="412" t="str">
        <f>IFERROR(D29*VLOOKUP(C29,'Commute Calcs'!$F$6:$H$56,3,FALSE)*('Commute Calcs'!$X$19+'Commute Calcs'!$Y$19)/1000+N("number of visits x state-specific round trip commute distance x (weighted avg emissions for car &amp; SUV for different fuel types + weighted avg WTT emissions for car &amp; SUV for different fuel types)"),"")</f>
        <v/>
      </c>
    </row>
    <row r="30" spans="1:5" ht="14.5">
      <c r="A30" s="368">
        <v>7</v>
      </c>
      <c r="B30" s="313"/>
      <c r="C30" s="313"/>
      <c r="D30" s="323"/>
      <c r="E30" s="412" t="str">
        <f>IFERROR(D30*VLOOKUP(C30,'Commute Calcs'!$F$6:$H$56,3,FALSE)*('Commute Calcs'!$X$19+'Commute Calcs'!$Y$19)/1000+N("number of visits x state-specific round trip commute distance x (weighted avg emissions for car &amp; SUV for different fuel types + weighted avg WTT emissions for car &amp; SUV for different fuel types)"),"")</f>
        <v/>
      </c>
    </row>
    <row r="31" spans="1:5" ht="14.5">
      <c r="A31" s="368">
        <v>8</v>
      </c>
      <c r="B31" s="313"/>
      <c r="C31" s="313"/>
      <c r="D31" s="323"/>
      <c r="E31" s="412" t="str">
        <f>IFERROR(D31*VLOOKUP(C31,'Commute Calcs'!$F$6:$H$56,3,FALSE)*('Commute Calcs'!$X$19+'Commute Calcs'!$Y$19)/1000+N("number of visits x state-specific round trip commute distance x (weighted avg emissions for car &amp; SUV for different fuel types + weighted avg WTT emissions for car &amp; SUV for different fuel types)"),"")</f>
        <v/>
      </c>
    </row>
    <row r="32" spans="1:5" ht="14.5">
      <c r="A32" s="368">
        <v>9</v>
      </c>
      <c r="B32" s="313"/>
      <c r="C32" s="313"/>
      <c r="D32" s="323"/>
      <c r="E32" s="412" t="str">
        <f>IFERROR(D32*VLOOKUP(C32,'Commute Calcs'!$F$6:$H$56,3,FALSE)*('Commute Calcs'!$X$19+'Commute Calcs'!$Y$19)/1000+N("number of visits x state-specific round trip commute distance x (weighted avg emissions for car &amp; SUV for different fuel types + weighted avg WTT emissions for car &amp; SUV for different fuel types)"),"")</f>
        <v/>
      </c>
    </row>
    <row r="33" spans="1:6" ht="14.5">
      <c r="A33" s="368">
        <v>10</v>
      </c>
      <c r="B33" s="313"/>
      <c r="C33" s="313"/>
      <c r="D33" s="323"/>
      <c r="E33" s="412" t="str">
        <f>IFERROR(D33*VLOOKUP(C33,'Commute Calcs'!$F$6:$H$56,3,FALSE)*('Commute Calcs'!$X$19+'Commute Calcs'!$Y$19)/1000+N("number of visits x state-specific round trip commute distance x (weighted avg emissions for car &amp; SUV for different fuel types + weighted avg WTT emissions for car &amp; SUV for different fuel types)"),"")</f>
        <v/>
      </c>
    </row>
    <row r="34" spans="1:6" ht="14.5">
      <c r="A34" s="368">
        <v>11</v>
      </c>
      <c r="B34" s="313"/>
      <c r="C34" s="313"/>
      <c r="D34" s="323"/>
      <c r="E34" s="412" t="str">
        <f>IFERROR(D34*VLOOKUP(C34,'Commute Calcs'!$F$6:$H$56,3,FALSE)*('Commute Calcs'!$X$19+'Commute Calcs'!$Y$19)/1000+N("number of visits x state-specific round trip commute distance x (weighted avg emissions for car &amp; SUV for different fuel types + weighted avg WTT emissions for car &amp; SUV for different fuel types)"),"")</f>
        <v/>
      </c>
    </row>
    <row r="35" spans="1:6" ht="14.5">
      <c r="A35" s="368">
        <v>12</v>
      </c>
      <c r="B35" s="313"/>
      <c r="C35" s="313"/>
      <c r="D35" s="323"/>
      <c r="E35" s="412" t="str">
        <f>IFERROR(D35*VLOOKUP(C35,'Commute Calcs'!$F$6:$H$56,3,FALSE)*('Commute Calcs'!$X$19+'Commute Calcs'!$Y$19)/1000+N("number of visits x state-specific round trip commute distance x (weighted avg emissions for car &amp; SUV for different fuel types + weighted avg WTT emissions for car &amp; SUV for different fuel types)"),"")</f>
        <v/>
      </c>
    </row>
    <row r="36" spans="1:6" ht="14.5">
      <c r="A36" s="368">
        <v>13</v>
      </c>
      <c r="B36" s="313"/>
      <c r="C36" s="313"/>
      <c r="D36" s="323"/>
      <c r="E36" s="412" t="str">
        <f>IFERROR(D36*VLOOKUP(C36,'Commute Calcs'!$F$6:$H$56,3,FALSE)*('Commute Calcs'!$X$19+'Commute Calcs'!$Y$19)/1000+N("number of visits x state-specific round trip commute distance x (weighted avg emissions for car &amp; SUV for different fuel types + weighted avg WTT emissions for car &amp; SUV for different fuel types)"),"")</f>
        <v/>
      </c>
    </row>
    <row r="37" spans="1:6" ht="14.5">
      <c r="A37" s="368">
        <v>14</v>
      </c>
      <c r="B37" s="313"/>
      <c r="C37" s="313"/>
      <c r="D37" s="323"/>
      <c r="E37" s="412" t="str">
        <f>IFERROR(D37*VLOOKUP(C37,'Commute Calcs'!$F$6:$H$56,3,FALSE)*('Commute Calcs'!$X$19+'Commute Calcs'!$Y$19)/1000+N("number of visits x state-specific round trip commute distance x (weighted avg emissions for car &amp; SUV for different fuel types + weighted avg WTT emissions for car &amp; SUV for different fuel types)"),"")</f>
        <v/>
      </c>
    </row>
    <row r="38" spans="1:6" ht="14.5">
      <c r="A38" s="368">
        <v>15</v>
      </c>
      <c r="B38" s="313"/>
      <c r="C38" s="313"/>
      <c r="D38" s="323"/>
      <c r="E38" s="412" t="str">
        <f>IFERROR(D38*VLOOKUP(C38,'Commute Calcs'!$F$6:$H$56,3,FALSE)*('Commute Calcs'!$X$19+'Commute Calcs'!$Y$19)/1000+N("number of visits x state-specific round trip commute distance x (weighted avg emissions for car &amp; SUV for different fuel types + weighted avg WTT emissions for car &amp; SUV for different fuel types)"),"")</f>
        <v/>
      </c>
    </row>
    <row r="39" spans="1:6" ht="14.5">
      <c r="A39" s="368">
        <v>16</v>
      </c>
      <c r="B39" s="313"/>
      <c r="C39" s="313"/>
      <c r="D39" s="323"/>
      <c r="E39" s="412" t="str">
        <f>IFERROR(D39*VLOOKUP(C39,'Commute Calcs'!$F$6:$H$56,3,FALSE)*('Commute Calcs'!$X$19+'Commute Calcs'!$Y$19)/1000+N("number of visits x state-specific round trip commute distance x (weighted avg emissions for car &amp; SUV for different fuel types + weighted avg WTT emissions for car &amp; SUV for different fuel types)"),"")</f>
        <v/>
      </c>
    </row>
    <row r="40" spans="1:6" ht="14.5">
      <c r="A40" s="368">
        <v>17</v>
      </c>
      <c r="B40" s="313"/>
      <c r="C40" s="313"/>
      <c r="D40" s="323"/>
      <c r="E40" s="412" t="str">
        <f>IFERROR(D40*VLOOKUP(C40,'Commute Calcs'!$F$6:$H$56,3,FALSE)*('Commute Calcs'!$X$19+'Commute Calcs'!$Y$19)/1000+N("number of visits x state-specific round trip commute distance x (weighted avg emissions for car &amp; SUV for different fuel types + weighted avg WTT emissions for car &amp; SUV for different fuel types)"),"")</f>
        <v/>
      </c>
    </row>
    <row r="41" spans="1:6" ht="14.5">
      <c r="A41" s="368">
        <v>18</v>
      </c>
      <c r="B41" s="313"/>
      <c r="C41" s="313"/>
      <c r="D41" s="323"/>
      <c r="E41" s="412" t="str">
        <f>IFERROR(D41*VLOOKUP(C41,'Commute Calcs'!$F$6:$H$56,3,FALSE)*('Commute Calcs'!$X$19+'Commute Calcs'!$Y$19)/1000+N("number of visits x state-specific round trip commute distance x (weighted avg emissions for car &amp; SUV for different fuel types + weighted avg WTT emissions for car &amp; SUV for different fuel types)"),"")</f>
        <v/>
      </c>
    </row>
    <row r="42" spans="1:6" ht="14.5">
      <c r="A42" s="368">
        <v>19</v>
      </c>
      <c r="B42" s="313"/>
      <c r="C42" s="313"/>
      <c r="D42" s="323"/>
      <c r="E42" s="412" t="str">
        <f>IFERROR(D42*VLOOKUP(C42,'Commute Calcs'!$F$6:$H$56,3,FALSE)*('Commute Calcs'!$X$19+'Commute Calcs'!$Y$19)/1000+N("number of visits x state-specific round trip commute distance x (weighted avg emissions for car &amp; SUV for different fuel types + weighted avg WTT emissions for car &amp; SUV for different fuel types)"),"")</f>
        <v/>
      </c>
    </row>
    <row r="43" spans="1:6" ht="15" thickBot="1">
      <c r="A43" s="368">
        <v>20</v>
      </c>
      <c r="B43" s="313"/>
      <c r="C43" s="313"/>
      <c r="D43" s="323"/>
      <c r="E43" s="412" t="str">
        <f>IFERROR(D43*VLOOKUP(C43,'Commute Calcs'!$F$6:$H$56,3,FALSE)*('Commute Calcs'!$X$19+'Commute Calcs'!$Y$19)/1000+N("number of visits x state-specific round trip commute distance x (weighted avg emissions for car &amp; SUV for different fuel types + weighted avg WTT emissions for car &amp; SUV for different fuel types)"),"")</f>
        <v/>
      </c>
    </row>
    <row r="44" spans="1:6" ht="14.5" thickBot="1">
      <c r="D44" s="386" t="s">
        <v>1624</v>
      </c>
      <c r="E44" s="339">
        <f>SUM(E25:E43)</f>
        <v>0</v>
      </c>
    </row>
    <row r="45" spans="1:6" ht="14.5" thickBot="1">
      <c r="D45" s="433" t="s">
        <v>1624</v>
      </c>
      <c r="E45" s="434"/>
      <c r="F45" s="407" t="s">
        <v>1777</v>
      </c>
    </row>
    <row r="47" spans="1:6" ht="17.5">
      <c r="A47" s="364" t="s">
        <v>1810</v>
      </c>
    </row>
    <row r="48" spans="1:6">
      <c r="A48" s="365" t="s">
        <v>1592</v>
      </c>
    </row>
    <row r="49" spans="1:5" ht="14.5">
      <c r="B49" s="2" t="s">
        <v>353</v>
      </c>
      <c r="C49" s="2" t="s">
        <v>353</v>
      </c>
      <c r="D49" s="2" t="s">
        <v>353</v>
      </c>
    </row>
    <row r="50" spans="1:5">
      <c r="A50" s="366" t="s">
        <v>1593</v>
      </c>
      <c r="B50" s="367" t="s">
        <v>1659</v>
      </c>
      <c r="C50" s="378" t="s">
        <v>1770</v>
      </c>
      <c r="D50" s="366" t="s">
        <v>1808</v>
      </c>
      <c r="E50" s="366" t="s">
        <v>363</v>
      </c>
    </row>
    <row r="51" spans="1:5" ht="14.5">
      <c r="A51" s="368">
        <v>1</v>
      </c>
      <c r="B51" s="301" t="s">
        <v>1811</v>
      </c>
      <c r="C51" s="301" t="s">
        <v>1775</v>
      </c>
      <c r="D51" s="430">
        <v>1000000</v>
      </c>
      <c r="E51" s="461">
        <f>IFERROR(D51*VLOOKUP(C51,'Commute Calcs'!$F$6:$H$56,3,FALSE)*('Commute Calcs'!$X$19+'Commute Calcs'!$Y$19)/1000+N("number of visits x state-specific round trip commute distance x (weighted avg emissions for car &amp; SUV for different fuel types + weighted avg WTT emissions for car &amp; SUV for different fuel types)"),"")</f>
        <v>4937.7268994688684</v>
      </c>
    </row>
    <row r="52" spans="1:5" ht="14.5">
      <c r="A52" s="368">
        <v>2</v>
      </c>
      <c r="B52" s="313"/>
      <c r="C52" s="313"/>
      <c r="D52" s="323"/>
      <c r="E52" s="461" t="str">
        <f>IFERROR(D52*VLOOKUP(C52,'Commute Calcs'!$F$6:$H$56,3,FALSE)*('Commute Calcs'!$X$19+'Commute Calcs'!$Y$19)/1000+N("number of visits x state-specific round trip commute distance x (weighted avg emissions for car &amp; SUV for different fuel types + weighted avg WTT emissions for car &amp; SUV for different fuel types)"),"")</f>
        <v/>
      </c>
    </row>
    <row r="53" spans="1:5" ht="14.5">
      <c r="A53" s="368">
        <v>3</v>
      </c>
      <c r="B53" s="313"/>
      <c r="C53" s="313"/>
      <c r="D53" s="323"/>
      <c r="E53" s="461" t="str">
        <f>IFERROR(D53*VLOOKUP(C53,'Commute Calcs'!$F$6:$H$56,3,FALSE)*('Commute Calcs'!$X$19+'Commute Calcs'!$Y$19)/1000+N("number of visits x state-specific round trip commute distance x (weighted avg emissions for car &amp; SUV for different fuel types + weighted avg WTT emissions for car &amp; SUV for different fuel types)"),"")</f>
        <v/>
      </c>
    </row>
    <row r="54" spans="1:5" ht="14.5">
      <c r="A54" s="368">
        <v>4</v>
      </c>
      <c r="B54" s="313"/>
      <c r="C54" s="313"/>
      <c r="D54" s="323"/>
      <c r="E54" s="461" t="str">
        <f>IFERROR(D54*VLOOKUP(C54,'Commute Calcs'!$F$6:$H$56,3,FALSE)*('Commute Calcs'!$X$19+'Commute Calcs'!$Y$19)/1000+N("number of visits x state-specific round trip commute distance x (weighted avg emissions for car &amp; SUV for different fuel types + weighted avg WTT emissions for car &amp; SUV for different fuel types)"),"")</f>
        <v/>
      </c>
    </row>
    <row r="55" spans="1:5" ht="14.5">
      <c r="A55" s="368">
        <v>5</v>
      </c>
      <c r="B55" s="313"/>
      <c r="C55" s="313"/>
      <c r="D55" s="323"/>
      <c r="E55" s="461" t="str">
        <f>IFERROR(D55*VLOOKUP(C55,'Commute Calcs'!$F$6:$H$56,3,FALSE)*('Commute Calcs'!$X$19+'Commute Calcs'!$Y$19)/1000+N("number of visits x state-specific round trip commute distance x (weighted avg emissions for car &amp; SUV for different fuel types + weighted avg WTT emissions for car &amp; SUV for different fuel types)"),"")</f>
        <v/>
      </c>
    </row>
    <row r="56" spans="1:5" ht="14.5">
      <c r="A56" s="368">
        <v>6</v>
      </c>
      <c r="B56" s="313"/>
      <c r="C56" s="313"/>
      <c r="D56" s="323"/>
      <c r="E56" s="461" t="str">
        <f>IFERROR(D56*VLOOKUP(C56,'Commute Calcs'!$F$6:$H$56,3,FALSE)*('Commute Calcs'!$X$19+'Commute Calcs'!$Y$19)/1000+N("number of visits x state-specific round trip commute distance x (weighted avg emissions for car &amp; SUV for different fuel types + weighted avg WTT emissions for car &amp; SUV for different fuel types)"),"")</f>
        <v/>
      </c>
    </row>
    <row r="57" spans="1:5" ht="14.5">
      <c r="A57" s="368">
        <v>7</v>
      </c>
      <c r="B57" s="313"/>
      <c r="C57" s="313"/>
      <c r="D57" s="323"/>
      <c r="E57" s="461" t="str">
        <f>IFERROR(D57*VLOOKUP(C57,'Commute Calcs'!$F$6:$H$56,3,FALSE)*('Commute Calcs'!$X$19+'Commute Calcs'!$Y$19)/1000+N("number of visits x state-specific round trip commute distance x (weighted avg emissions for car &amp; SUV for different fuel types + weighted avg WTT emissions for car &amp; SUV for different fuel types)"),"")</f>
        <v/>
      </c>
    </row>
    <row r="58" spans="1:5" ht="14.5">
      <c r="A58" s="368">
        <v>8</v>
      </c>
      <c r="B58" s="313"/>
      <c r="C58" s="313"/>
      <c r="D58" s="323"/>
      <c r="E58" s="461" t="str">
        <f>IFERROR(D58*VLOOKUP(C58,'Commute Calcs'!$F$6:$H$56,3,FALSE)*('Commute Calcs'!$X$19+'Commute Calcs'!$Y$19)/1000+N("number of visits x state-specific round trip commute distance x (weighted avg emissions for car &amp; SUV for different fuel types + weighted avg WTT emissions for car &amp; SUV for different fuel types)"),"")</f>
        <v/>
      </c>
    </row>
    <row r="59" spans="1:5" ht="14.5">
      <c r="A59" s="368">
        <v>9</v>
      </c>
      <c r="B59" s="313"/>
      <c r="C59" s="313"/>
      <c r="D59" s="323"/>
      <c r="E59" s="461" t="str">
        <f>IFERROR(D59*VLOOKUP(C59,'Commute Calcs'!$F$6:$H$56,3,FALSE)*('Commute Calcs'!$X$19+'Commute Calcs'!$Y$19)/1000+N("number of visits x state-specific round trip commute distance x (weighted avg emissions for car &amp; SUV for different fuel types + weighted avg WTT emissions for car &amp; SUV for different fuel types)"),"")</f>
        <v/>
      </c>
    </row>
    <row r="60" spans="1:5" ht="14.5">
      <c r="A60" s="368">
        <v>10</v>
      </c>
      <c r="B60" s="313"/>
      <c r="C60" s="313"/>
      <c r="D60" s="323"/>
      <c r="E60" s="461" t="str">
        <f>IFERROR(D60*VLOOKUP(C60,'Commute Calcs'!$F$6:$H$56,3,FALSE)*('Commute Calcs'!$X$19+'Commute Calcs'!$Y$19)/1000+N("number of visits x state-specific round trip commute distance x (weighted avg emissions for car &amp; SUV for different fuel types + weighted avg WTT emissions for car &amp; SUV for different fuel types)"),"")</f>
        <v/>
      </c>
    </row>
    <row r="61" spans="1:5" ht="14.5">
      <c r="A61" s="368">
        <v>11</v>
      </c>
      <c r="B61" s="313"/>
      <c r="C61" s="313"/>
      <c r="D61" s="323"/>
      <c r="E61" s="461" t="str">
        <f>IFERROR(D61*VLOOKUP(C61,'Commute Calcs'!$F$6:$H$56,3,FALSE)*('Commute Calcs'!$X$19+'Commute Calcs'!$Y$19)/1000+N("number of visits x state-specific round trip commute distance x (weighted avg emissions for car &amp; SUV for different fuel types + weighted avg WTT emissions for car &amp; SUV for different fuel types)"),"")</f>
        <v/>
      </c>
    </row>
    <row r="62" spans="1:5" ht="14.5">
      <c r="A62" s="368">
        <v>12</v>
      </c>
      <c r="B62" s="313"/>
      <c r="C62" s="313"/>
      <c r="D62" s="323"/>
      <c r="E62" s="461" t="str">
        <f>IFERROR(D62*VLOOKUP(C62,'Commute Calcs'!$F$6:$H$56,3,FALSE)*('Commute Calcs'!$X$19+'Commute Calcs'!$Y$19)/1000+N("number of visits x state-specific round trip commute distance x (weighted avg emissions for car &amp; SUV for different fuel types + weighted avg WTT emissions for car &amp; SUV for different fuel types)"),"")</f>
        <v/>
      </c>
    </row>
    <row r="63" spans="1:5" ht="14.5">
      <c r="A63" s="368">
        <v>13</v>
      </c>
      <c r="B63" s="313"/>
      <c r="C63" s="313"/>
      <c r="D63" s="323"/>
      <c r="E63" s="461" t="str">
        <f>IFERROR(D63*VLOOKUP(C63,'Commute Calcs'!$F$6:$H$56,3,FALSE)*('Commute Calcs'!$X$19+'Commute Calcs'!$Y$19)/1000+N("number of visits x state-specific round trip commute distance x (weighted avg emissions for car &amp; SUV for different fuel types + weighted avg WTT emissions for car &amp; SUV for different fuel types)"),"")</f>
        <v/>
      </c>
    </row>
    <row r="64" spans="1:5" ht="14.5">
      <c r="A64" s="368">
        <v>14</v>
      </c>
      <c r="B64" s="313"/>
      <c r="C64" s="313"/>
      <c r="D64" s="323"/>
      <c r="E64" s="461" t="str">
        <f>IFERROR(D64*VLOOKUP(C64,'Commute Calcs'!$F$6:$H$56,3,FALSE)*('Commute Calcs'!$X$19+'Commute Calcs'!$Y$19)/1000+N("number of visits x state-specific round trip commute distance x (weighted avg emissions for car &amp; SUV for different fuel types + weighted avg WTT emissions for car &amp; SUV for different fuel types)"),"")</f>
        <v/>
      </c>
    </row>
    <row r="65" spans="1:6" ht="14.5">
      <c r="A65" s="368">
        <v>15</v>
      </c>
      <c r="B65" s="313"/>
      <c r="C65" s="313"/>
      <c r="D65" s="323"/>
      <c r="E65" s="461" t="str">
        <f>IFERROR(D65*VLOOKUP(C65,'Commute Calcs'!$F$6:$H$56,3,FALSE)*('Commute Calcs'!$X$19+'Commute Calcs'!$Y$19)/1000+N("number of visits x state-specific round trip commute distance x (weighted avg emissions for car &amp; SUV for different fuel types + weighted avg WTT emissions for car &amp; SUV for different fuel types)"),"")</f>
        <v/>
      </c>
    </row>
    <row r="66" spans="1:6" ht="14.5">
      <c r="A66" s="368">
        <v>16</v>
      </c>
      <c r="B66" s="313"/>
      <c r="C66" s="313"/>
      <c r="D66" s="323"/>
      <c r="E66" s="461" t="str">
        <f>IFERROR(D66*VLOOKUP(C66,'Commute Calcs'!$F$6:$H$56,3,FALSE)*('Commute Calcs'!$X$19+'Commute Calcs'!$Y$19)/1000+N("number of visits x state-specific round trip commute distance x (weighted avg emissions for car &amp; SUV for different fuel types + weighted avg WTT emissions for car &amp; SUV for different fuel types)"),"")</f>
        <v/>
      </c>
    </row>
    <row r="67" spans="1:6" ht="14.5">
      <c r="A67" s="368">
        <v>17</v>
      </c>
      <c r="B67" s="313"/>
      <c r="C67" s="313"/>
      <c r="D67" s="323"/>
      <c r="E67" s="461" t="str">
        <f>IFERROR(D67*VLOOKUP(C67,'Commute Calcs'!$F$6:$H$56,3,FALSE)*('Commute Calcs'!$X$19+'Commute Calcs'!$Y$19)/1000+N("number of visits x state-specific round trip commute distance x (weighted avg emissions for car &amp; SUV for different fuel types + weighted avg WTT emissions for car &amp; SUV for different fuel types)"),"")</f>
        <v/>
      </c>
    </row>
    <row r="68" spans="1:6" ht="14.5">
      <c r="A68" s="368">
        <v>18</v>
      </c>
      <c r="B68" s="313"/>
      <c r="C68" s="313"/>
      <c r="D68" s="323"/>
      <c r="E68" s="461" t="str">
        <f>IFERROR(D68*VLOOKUP(C68,'Commute Calcs'!$F$6:$H$56,3,FALSE)*('Commute Calcs'!$X$19+'Commute Calcs'!$Y$19)/1000+N("number of visits x state-specific round trip commute distance x (weighted avg emissions for car &amp; SUV for different fuel types + weighted avg WTT emissions for car &amp; SUV for different fuel types)"),"")</f>
        <v/>
      </c>
    </row>
    <row r="69" spans="1:6" ht="14.5">
      <c r="A69" s="368">
        <v>19</v>
      </c>
      <c r="B69" s="313"/>
      <c r="C69" s="313"/>
      <c r="D69" s="323"/>
      <c r="E69" s="461" t="str">
        <f>IFERROR(D69*VLOOKUP(C69,'Commute Calcs'!$F$6:$H$56,3,FALSE)*('Commute Calcs'!$X$19+'Commute Calcs'!$Y$19)/1000+N("number of visits x state-specific round trip commute distance x (weighted avg emissions for car &amp; SUV for different fuel types + weighted avg WTT emissions for car &amp; SUV for different fuel types)"),"")</f>
        <v/>
      </c>
    </row>
    <row r="70" spans="1:6" ht="15" thickBot="1">
      <c r="A70" s="368">
        <v>20</v>
      </c>
      <c r="B70" s="313"/>
      <c r="C70" s="313"/>
      <c r="D70" s="323"/>
      <c r="E70" s="461" t="str">
        <f>IFERROR(D70*VLOOKUP(C70,'Commute Calcs'!$F$6:$H$56,3,FALSE)*('Commute Calcs'!$X$19+'Commute Calcs'!$Y$19)/1000+N("number of visits x state-specific round trip commute distance x (weighted avg emissions for car &amp; SUV for different fuel types + weighted avg WTT emissions for car &amp; SUV for different fuel types)"),"")</f>
        <v/>
      </c>
    </row>
    <row r="71" spans="1:6" ht="14.5" thickBot="1">
      <c r="D71" s="386" t="s">
        <v>1624</v>
      </c>
      <c r="E71" s="339">
        <f>SUM(E52:E70)</f>
        <v>0</v>
      </c>
    </row>
    <row r="72" spans="1:6" ht="14.5" thickBot="1">
      <c r="D72" s="433" t="s">
        <v>1624</v>
      </c>
      <c r="E72" s="434"/>
      <c r="F72" s="407" t="s">
        <v>1777</v>
      </c>
    </row>
    <row r="74" spans="1:6" ht="17.5">
      <c r="A74" s="364" t="s">
        <v>1812</v>
      </c>
    </row>
    <row r="75" spans="1:6">
      <c r="A75" s="365" t="s">
        <v>1592</v>
      </c>
    </row>
    <row r="76" spans="1:6" ht="14.5">
      <c r="B76" s="2" t="s">
        <v>353</v>
      </c>
      <c r="C76" s="2"/>
      <c r="D76" s="2" t="s">
        <v>353</v>
      </c>
    </row>
    <row r="77" spans="1:6" ht="28">
      <c r="A77" s="366" t="s">
        <v>1593</v>
      </c>
      <c r="B77" s="367" t="s">
        <v>1659</v>
      </c>
      <c r="C77" s="378" t="s">
        <v>1770</v>
      </c>
      <c r="D77" s="366" t="s">
        <v>1813</v>
      </c>
      <c r="E77" s="379" t="s">
        <v>1814</v>
      </c>
      <c r="F77" s="366" t="s">
        <v>363</v>
      </c>
    </row>
    <row r="78" spans="1:6" ht="14.5">
      <c r="A78" s="368">
        <v>1</v>
      </c>
      <c r="B78" s="301" t="s">
        <v>1815</v>
      </c>
      <c r="C78" s="301" t="s">
        <v>1775</v>
      </c>
      <c r="D78" s="431">
        <v>400</v>
      </c>
      <c r="E78" s="462">
        <v>50</v>
      </c>
      <c r="F78" s="463">
        <f>IFERROR(('State eGrid factors'!$F$3/1000)*D78*(E78/60)*VLOOKUP(C78,'State eGrid factors'!$A$2:$D$53,4,FALSE)/1000,"")</f>
        <v>2.6356651032831052E-2</v>
      </c>
    </row>
    <row r="79" spans="1:6" ht="14.5">
      <c r="A79" s="368">
        <v>2</v>
      </c>
      <c r="B79" s="313"/>
      <c r="C79" s="304"/>
      <c r="D79" s="432"/>
      <c r="E79" s="462">
        <v>20</v>
      </c>
      <c r="F79" s="463" t="str">
        <f>IFERROR(('State eGrid factors'!$F$3/1000)*D79*(E79/60)*VLOOKUP(C79,'State eGrid factors'!$A$2:$D$53,4,FALSE)/1000,"")</f>
        <v/>
      </c>
    </row>
    <row r="80" spans="1:6" ht="14.5">
      <c r="A80" s="368">
        <v>3</v>
      </c>
      <c r="B80" s="313"/>
      <c r="C80" s="304"/>
      <c r="D80" s="432"/>
      <c r="E80" s="462"/>
      <c r="F80" s="463" t="str">
        <f>IFERROR(('State eGrid factors'!$F$3/1000)*D80*(E80/60)*VLOOKUP(C80,'State eGrid factors'!$A$2:$D$53,4,FALSE)/1000,"")</f>
        <v/>
      </c>
    </row>
    <row r="81" spans="1:7" ht="14.5">
      <c r="A81" s="368">
        <v>4</v>
      </c>
      <c r="B81" s="313"/>
      <c r="C81" s="304"/>
      <c r="D81" s="432"/>
      <c r="E81" s="462"/>
      <c r="F81" s="463" t="str">
        <f>IFERROR(('State eGrid factors'!$F$3/1000)*D81*(E81/60)*VLOOKUP(C81,'State eGrid factors'!$A$2:$D$53,4,FALSE)/1000,"")</f>
        <v/>
      </c>
    </row>
    <row r="82" spans="1:7" ht="14.5">
      <c r="A82" s="368">
        <v>5</v>
      </c>
      <c r="B82" s="313"/>
      <c r="C82" s="304"/>
      <c r="D82" s="432"/>
      <c r="E82" s="462"/>
      <c r="F82" s="463" t="str">
        <f>IFERROR(('State eGrid factors'!$F$3/1000)*D82*(E82/60)*VLOOKUP(C82,'State eGrid factors'!$A$2:$D$53,4,FALSE)/1000,"")</f>
        <v/>
      </c>
    </row>
    <row r="83" spans="1:7" ht="14.5">
      <c r="A83" s="368">
        <v>6</v>
      </c>
      <c r="B83" s="313"/>
      <c r="C83" s="304"/>
      <c r="D83" s="432"/>
      <c r="E83" s="462"/>
      <c r="F83" s="463" t="str">
        <f>IFERROR(('State eGrid factors'!$F$3/1000)*D83*(E83/60)*VLOOKUP(C83,'State eGrid factors'!$A$2:$D$53,4,FALSE)/1000,"")</f>
        <v/>
      </c>
    </row>
    <row r="84" spans="1:7" ht="14.5">
      <c r="A84" s="368">
        <v>7</v>
      </c>
      <c r="B84" s="313"/>
      <c r="C84" s="304"/>
      <c r="D84" s="432"/>
      <c r="E84" s="462"/>
      <c r="F84" s="463" t="str">
        <f>IFERROR(('State eGrid factors'!$F$3/1000)*D84*(E84/60)*VLOOKUP(C84,'State eGrid factors'!$A$2:$D$53,4,FALSE)/1000,"")</f>
        <v/>
      </c>
    </row>
    <row r="85" spans="1:7" ht="14.5">
      <c r="A85" s="368">
        <v>8</v>
      </c>
      <c r="B85" s="313"/>
      <c r="C85" s="304"/>
      <c r="D85" s="432"/>
      <c r="E85" s="462"/>
      <c r="F85" s="463" t="str">
        <f>IFERROR(('State eGrid factors'!$F$3/1000)*D85*(E85/60)*VLOOKUP(C85,'State eGrid factors'!$A$2:$D$53,4,FALSE)/1000,"")</f>
        <v/>
      </c>
    </row>
    <row r="86" spans="1:7" ht="15" thickBot="1">
      <c r="A86" s="368">
        <v>9</v>
      </c>
      <c r="B86" s="313"/>
      <c r="C86" s="304"/>
      <c r="D86" s="432"/>
      <c r="E86" s="462"/>
      <c r="F86" s="463" t="str">
        <f>IFERROR(('State eGrid factors'!$F$3/1000)*D86*(E86/60)*VLOOKUP(C86,'State eGrid factors'!$A$2:$D$53,4,FALSE)/1000,"")</f>
        <v/>
      </c>
    </row>
    <row r="87" spans="1:7" ht="14.5" thickBot="1">
      <c r="D87" s="438"/>
      <c r="E87" s="386" t="s">
        <v>1624</v>
      </c>
      <c r="F87" s="339">
        <f>SUM(F79:F86)</f>
        <v>0</v>
      </c>
    </row>
    <row r="88" spans="1:7" ht="14.5" thickBot="1">
      <c r="E88" s="433" t="s">
        <v>1624</v>
      </c>
      <c r="F88" s="434"/>
      <c r="G88" s="407" t="s">
        <v>1777</v>
      </c>
    </row>
  </sheetData>
  <sheetProtection algorithmName="SHA-512" hashValue="cZFMN0h4g4ViNb/qQbstc+QupiH0JQIjBbHMQTQjJcplzcAE0wfLIJESQ05nW0Wq9Hv4nMlAfS0B2DNek7hKZg==" saltValue="zsifdOtLIiyeAhl7XCsUoA==" spinCount="100000" sheet="1" objects="1" scenarios="1"/>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40CA9A5-FAC1-41C0-BAC6-E157D4156573}">
          <x14:formula1>
            <xm:f>'Commute Calcs'!$F$6:$F$56</xm:f>
          </x14:formula1>
          <xm:sqref>C24:C43 C51:C70 C78:C86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68D51-88DC-46FB-9A45-CD3C98EC2A15}">
  <sheetPr>
    <tabColor theme="3" tint="0.59999389629810485"/>
  </sheetPr>
  <dimension ref="A1:F66"/>
  <sheetViews>
    <sheetView showGridLines="0" zoomScale="85" zoomScaleNormal="85" workbookViewId="0">
      <selection activeCell="D47" sqref="D47:E47"/>
    </sheetView>
  </sheetViews>
  <sheetFormatPr defaultColWidth="8.9140625" defaultRowHeight="14"/>
  <cols>
    <col min="1" max="1" width="7.5" style="104" customWidth="1"/>
    <col min="2" max="2" width="43.5" style="104" customWidth="1"/>
    <col min="3" max="3" width="42.4140625" style="104" customWidth="1"/>
    <col min="4" max="4" width="17.6640625" style="104" customWidth="1"/>
    <col min="5" max="5" width="18.4140625" style="104" customWidth="1"/>
    <col min="6" max="6" width="30.5" style="104" customWidth="1"/>
    <col min="7" max="16384" width="8.9140625" style="104"/>
  </cols>
  <sheetData>
    <row r="1" spans="1:6" ht="24.75" customHeight="1">
      <c r="A1" s="97" t="s">
        <v>1524</v>
      </c>
      <c r="B1" s="98"/>
      <c r="C1" s="98"/>
      <c r="D1" s="98"/>
      <c r="E1" s="98"/>
      <c r="F1" s="98"/>
    </row>
    <row r="2" spans="1:6">
      <c r="A2" s="439" t="s">
        <v>1765</v>
      </c>
      <c r="B2" s="106"/>
      <c r="C2" s="106"/>
      <c r="D2" s="106"/>
      <c r="E2" s="106"/>
      <c r="F2" s="106"/>
    </row>
    <row r="3" spans="1:6">
      <c r="A3" s="112" t="s">
        <v>1739</v>
      </c>
      <c r="B3" s="106"/>
      <c r="C3" s="106"/>
      <c r="D3" s="106"/>
      <c r="E3" s="106"/>
      <c r="F3" s="106"/>
    </row>
    <row r="4" spans="1:6" ht="18.75" customHeight="1">
      <c r="A4" s="112" t="s">
        <v>2043</v>
      </c>
      <c r="B4" s="106"/>
      <c r="C4" s="106"/>
      <c r="D4" s="106"/>
      <c r="E4" s="106"/>
      <c r="F4" s="106"/>
    </row>
    <row r="5" spans="1:6">
      <c r="A5" s="440" t="s">
        <v>2044</v>
      </c>
      <c r="B5" s="106"/>
      <c r="C5" s="106"/>
      <c r="D5" s="106"/>
      <c r="E5" s="106"/>
      <c r="F5" s="106"/>
    </row>
    <row r="6" spans="1:6">
      <c r="A6" s="573" t="s">
        <v>2045</v>
      </c>
      <c r="B6" s="106"/>
      <c r="C6" s="106"/>
      <c r="D6" s="106"/>
      <c r="E6" s="106"/>
      <c r="F6" s="106"/>
    </row>
    <row r="7" spans="1:6">
      <c r="A7" s="440" t="s">
        <v>2046</v>
      </c>
      <c r="B7" s="106"/>
      <c r="C7" s="106"/>
      <c r="D7" s="106"/>
      <c r="E7" s="106"/>
      <c r="F7" s="106"/>
    </row>
    <row r="8" spans="1:6">
      <c r="A8" s="573" t="s">
        <v>2047</v>
      </c>
      <c r="B8" s="106"/>
      <c r="C8" s="106"/>
      <c r="D8" s="106"/>
      <c r="E8" s="106"/>
      <c r="F8" s="106"/>
    </row>
    <row r="17" spans="1:6" ht="17.5">
      <c r="A17" s="444" t="s">
        <v>2048</v>
      </c>
    </row>
    <row r="18" spans="1:6">
      <c r="A18" s="445" t="s">
        <v>1592</v>
      </c>
    </row>
    <row r="19" spans="1:6" ht="14.5">
      <c r="B19" s="447" t="s">
        <v>353</v>
      </c>
      <c r="C19" s="447" t="s">
        <v>353</v>
      </c>
      <c r="D19" s="447" t="s">
        <v>353</v>
      </c>
      <c r="E19" s="447" t="s">
        <v>353</v>
      </c>
    </row>
    <row r="20" spans="1:6" ht="42">
      <c r="A20" s="448" t="s">
        <v>1593</v>
      </c>
      <c r="B20" s="449" t="s">
        <v>2049</v>
      </c>
      <c r="C20" s="449" t="s">
        <v>2050</v>
      </c>
      <c r="D20" s="574" t="s">
        <v>2051</v>
      </c>
      <c r="E20" s="574" t="s">
        <v>2052</v>
      </c>
      <c r="F20" s="448" t="s">
        <v>363</v>
      </c>
    </row>
    <row r="21" spans="1:6" ht="14.5">
      <c r="A21" s="450">
        <v>1</v>
      </c>
      <c r="B21" s="301" t="s">
        <v>2053</v>
      </c>
      <c r="C21" s="301"/>
      <c r="D21" s="431">
        <v>500</v>
      </c>
      <c r="E21" s="431">
        <v>12</v>
      </c>
      <c r="F21" s="372">
        <f>IF(OR(ISBLANK(D21),ISBLANK(E21)),"",(D21*E21*GWPs!$C$7/1000000)+N("number of units x mass of GHG in each unit (grams) x GWP of HFC-227ea / 1,000,000 grams per MT"))</f>
        <v>21.6</v>
      </c>
    </row>
    <row r="22" spans="1:6" ht="14.5">
      <c r="A22" s="450">
        <v>2</v>
      </c>
      <c r="B22" s="313"/>
      <c r="C22" s="313"/>
      <c r="D22" s="432"/>
      <c r="E22" s="432"/>
      <c r="F22" s="372" t="str">
        <f>IF(OR(ISBLANK(D22),ISBLANK(E22)),"",(D22*E22*GWPs!$C$7/1000000)+N("number of units x mass of GHG in each unit (grams) x GWP of HFC-227ea / 1,000,000 grams per MT"))</f>
        <v/>
      </c>
    </row>
    <row r="23" spans="1:6" ht="14.5">
      <c r="A23" s="450">
        <v>3</v>
      </c>
      <c r="B23" s="313"/>
      <c r="C23" s="313"/>
      <c r="D23" s="432"/>
      <c r="E23" s="432"/>
      <c r="F23" s="372" t="str">
        <f>IF(OR(ISBLANK(D23),ISBLANK(E23)),"",(D23*E23*GWPs!$C$7/1000000)+N("number of units x mass of GHG in each unit (grams) x GWP of HFC-227ea / 1,000,000 grams per MT"))</f>
        <v/>
      </c>
    </row>
    <row r="24" spans="1:6" ht="14.5">
      <c r="A24" s="450">
        <v>4</v>
      </c>
      <c r="B24" s="313"/>
      <c r="C24" s="313"/>
      <c r="D24" s="432"/>
      <c r="E24" s="432"/>
      <c r="F24" s="372" t="str">
        <f>IF(OR(ISBLANK(D24),ISBLANK(E24)),"",(D24*E24*GWPs!$C$7/1000000)+N("number of units x mass of GHG in each unit (grams) x GWP of HFC-227ea / 1,000,000 grams per MT"))</f>
        <v/>
      </c>
    </row>
    <row r="25" spans="1:6" ht="14.5">
      <c r="A25" s="450">
        <v>5</v>
      </c>
      <c r="B25" s="313"/>
      <c r="C25" s="313"/>
      <c r="D25" s="432"/>
      <c r="E25" s="432"/>
      <c r="F25" s="372" t="str">
        <f>IF(OR(ISBLANK(D25),ISBLANK(E25)),"",(D25*E25*GWPs!$C$7/1000000)+N("number of units x mass of GHG in each unit (grams) x GWP of HFC-227ea / 1,000,000 grams per MT"))</f>
        <v/>
      </c>
    </row>
    <row r="26" spans="1:6" ht="14.5">
      <c r="A26" s="450">
        <v>6</v>
      </c>
      <c r="B26" s="313"/>
      <c r="C26" s="313"/>
      <c r="D26" s="432"/>
      <c r="E26" s="432"/>
      <c r="F26" s="372" t="str">
        <f>IF(OR(ISBLANK(D26),ISBLANK(E26)),"",(D26*E26*GWPs!$C$7/1000000)+N("number of units x mass of GHG in each unit (grams) x GWP of HFC-227ea / 1,000,000 grams per MT"))</f>
        <v/>
      </c>
    </row>
    <row r="27" spans="1:6" ht="14.5">
      <c r="A27" s="450">
        <v>7</v>
      </c>
      <c r="B27" s="313"/>
      <c r="C27" s="313"/>
      <c r="D27" s="432"/>
      <c r="E27" s="432"/>
      <c r="F27" s="372" t="str">
        <f>IF(OR(ISBLANK(D27),ISBLANK(E27)),"",(D27*E27*GWPs!$C$7/1000000)+N("number of units x mass of GHG in each unit (grams) x GWP of HFC-227ea / 1,000,000 grams per MT"))</f>
        <v/>
      </c>
    </row>
    <row r="28" spans="1:6" ht="14.5">
      <c r="A28" s="450">
        <v>8</v>
      </c>
      <c r="B28" s="313"/>
      <c r="C28" s="313"/>
      <c r="D28" s="432"/>
      <c r="E28" s="432"/>
      <c r="F28" s="372" t="str">
        <f>IF(OR(ISBLANK(D28),ISBLANK(E28)),"",(D28*E28*GWPs!$C$7/1000000)+N("number of units x mass of GHG in each unit (grams) x GWP of HFC-227ea / 1,000,000 grams per MT"))</f>
        <v/>
      </c>
    </row>
    <row r="29" spans="1:6" ht="14.5">
      <c r="A29" s="450">
        <v>9</v>
      </c>
      <c r="B29" s="313"/>
      <c r="C29" s="313"/>
      <c r="D29" s="432"/>
      <c r="E29" s="432"/>
      <c r="F29" s="372" t="str">
        <f>IF(OR(ISBLANK(D29),ISBLANK(E29)),"",(D29*E29*GWPs!$C$7/1000000)+N("number of units x mass of GHG in each unit (grams) x GWP of HFC-227ea / 1,000,000 grams per MT"))</f>
        <v/>
      </c>
    </row>
    <row r="30" spans="1:6" ht="14.5">
      <c r="A30" s="450">
        <v>10</v>
      </c>
      <c r="B30" s="313"/>
      <c r="C30" s="313"/>
      <c r="D30" s="432"/>
      <c r="E30" s="432"/>
      <c r="F30" s="372" t="str">
        <f>IF(OR(ISBLANK(D30),ISBLANK(E30)),"",(D30*E30*GWPs!$C$7/1000000)+N("number of units x mass of GHG in each unit (grams) x GWP of HFC-227ea / 1,000,000 grams per MT"))</f>
        <v/>
      </c>
    </row>
    <row r="31" spans="1:6" ht="14.5">
      <c r="A31" s="450">
        <v>11</v>
      </c>
      <c r="B31" s="313"/>
      <c r="C31" s="313"/>
      <c r="D31" s="432"/>
      <c r="E31" s="432"/>
      <c r="F31" s="372" t="str">
        <f>IF(OR(ISBLANK(D31),ISBLANK(E31)),"",(D31*E31*GWPs!$C$7/1000000)+N("number of units x mass of GHG in each unit (grams) x GWP of HFC-227ea / 1,000,000 grams per MT"))</f>
        <v/>
      </c>
    </row>
    <row r="32" spans="1:6" ht="14.5">
      <c r="A32" s="450">
        <v>12</v>
      </c>
      <c r="B32" s="313"/>
      <c r="C32" s="313"/>
      <c r="D32" s="432"/>
      <c r="E32" s="432"/>
      <c r="F32" s="372" t="str">
        <f>IF(OR(ISBLANK(D32),ISBLANK(E32)),"",(D32*E32*GWPs!$C$7/1000000)+N("number of units x mass of GHG in each unit (grams) x GWP of HFC-227ea / 1,000,000 grams per MT"))</f>
        <v/>
      </c>
    </row>
    <row r="33" spans="1:6" ht="14.5">
      <c r="A33" s="450">
        <v>13</v>
      </c>
      <c r="B33" s="313"/>
      <c r="C33" s="313"/>
      <c r="D33" s="432"/>
      <c r="E33" s="432"/>
      <c r="F33" s="372" t="str">
        <f>IF(OR(ISBLANK(D33),ISBLANK(E33)),"",(D33*E33*GWPs!$C$7/1000000)+N("number of units x mass of GHG in each unit (grams) x GWP of HFC-227ea / 1,000,000 grams per MT"))</f>
        <v/>
      </c>
    </row>
    <row r="34" spans="1:6" ht="14.5">
      <c r="A34" s="450">
        <v>14</v>
      </c>
      <c r="B34" s="313"/>
      <c r="C34" s="313"/>
      <c r="D34" s="432"/>
      <c r="E34" s="432"/>
      <c r="F34" s="372" t="str">
        <f>IF(OR(ISBLANK(D34),ISBLANK(E34)),"",(D34*E34*GWPs!$C$7/1000000)+N("number of units x mass of GHG in each unit (grams) x GWP of HFC-227ea / 1,000,000 grams per MT"))</f>
        <v/>
      </c>
    </row>
    <row r="35" spans="1:6" ht="14.5">
      <c r="A35" s="450">
        <v>15</v>
      </c>
      <c r="B35" s="313"/>
      <c r="C35" s="313"/>
      <c r="D35" s="432"/>
      <c r="E35" s="432"/>
      <c r="F35" s="372" t="str">
        <f>IF(OR(ISBLANK(D35),ISBLANK(E35)),"",(D35*E35*GWPs!$C$7/1000000)+N("number of units x mass of GHG in each unit (grams) x GWP of HFC-227ea / 1,000,000 grams per MT"))</f>
        <v/>
      </c>
    </row>
    <row r="36" spans="1:6" ht="14.5">
      <c r="A36" s="450">
        <v>16</v>
      </c>
      <c r="B36" s="313"/>
      <c r="C36" s="313"/>
      <c r="D36" s="432"/>
      <c r="E36" s="432"/>
      <c r="F36" s="372" t="str">
        <f>IF(OR(ISBLANK(D36),ISBLANK(E36)),"",(D36*E36*GWPs!$C$7/1000000)+N("number of units x mass of GHG in each unit (grams) x GWP of HFC-227ea / 1,000,000 grams per MT"))</f>
        <v/>
      </c>
    </row>
    <row r="37" spans="1:6" ht="14.5">
      <c r="A37" s="450">
        <v>17</v>
      </c>
      <c r="B37" s="313"/>
      <c r="C37" s="313"/>
      <c r="D37" s="432"/>
      <c r="E37" s="432"/>
      <c r="F37" s="372" t="str">
        <f>IF(OR(ISBLANK(D37),ISBLANK(E37)),"",(D37*E37*GWPs!$C$7/1000000)+N("number of units x mass of GHG in each unit (grams) x GWP of HFC-227ea / 1,000,000 grams per MT"))</f>
        <v/>
      </c>
    </row>
    <row r="38" spans="1:6" ht="14.5">
      <c r="A38" s="450">
        <v>18</v>
      </c>
      <c r="B38" s="313"/>
      <c r="C38" s="313"/>
      <c r="D38" s="432"/>
      <c r="E38" s="432"/>
      <c r="F38" s="372" t="str">
        <f>IF(OR(ISBLANK(D38),ISBLANK(E38)),"",(D38*E38*GWPs!$C$7/1000000)+N("number of units x mass of GHG in each unit (grams) x GWP of HFC-227ea / 1,000,000 grams per MT"))</f>
        <v/>
      </c>
    </row>
    <row r="39" spans="1:6" ht="14.5">
      <c r="A39" s="450">
        <v>19</v>
      </c>
      <c r="B39" s="313"/>
      <c r="C39" s="313"/>
      <c r="D39" s="432"/>
      <c r="E39" s="432"/>
      <c r="F39" s="372" t="str">
        <f>IF(OR(ISBLANK(D39),ISBLANK(E39)),"",(D39*E39*GWPs!$C$7/1000000)+N("number of units x mass of GHG in each unit (grams) x GWP of HFC-227ea / 1,000,000 grams per MT"))</f>
        <v/>
      </c>
    </row>
    <row r="40" spans="1:6" ht="15" thickBot="1">
      <c r="A40" s="450">
        <v>20</v>
      </c>
      <c r="B40" s="313"/>
      <c r="C40" s="313"/>
      <c r="D40" s="432"/>
      <c r="E40" s="575"/>
      <c r="F40" s="372" t="str">
        <f>IF(OR(ISBLANK(D40),ISBLANK(E40)),"",(D40*E40*GWPs!$C$7/1000000)+N("number of units x mass of GHG in each unit (grams) x GWP of HFC-227ea / 1,000,000 grams per MT"))</f>
        <v/>
      </c>
    </row>
    <row r="41" spans="1:6" ht="14.5" thickBot="1">
      <c r="E41" s="457" t="s">
        <v>1624</v>
      </c>
      <c r="F41" s="576">
        <f>SUM(F22:F40)</f>
        <v>0</v>
      </c>
    </row>
    <row r="42" spans="1:6" ht="17.5">
      <c r="A42" s="444" t="s">
        <v>2054</v>
      </c>
    </row>
    <row r="43" spans="1:6">
      <c r="A43" s="445" t="s">
        <v>1592</v>
      </c>
    </row>
    <row r="44" spans="1:6" ht="14.5">
      <c r="B44" s="447" t="s">
        <v>353</v>
      </c>
      <c r="C44" s="447" t="s">
        <v>353</v>
      </c>
      <c r="D44" s="447" t="s">
        <v>353</v>
      </c>
      <c r="E44" s="447" t="s">
        <v>353</v>
      </c>
    </row>
    <row r="45" spans="1:6" ht="42">
      <c r="A45" s="448" t="s">
        <v>1593</v>
      </c>
      <c r="B45" s="449" t="s">
        <v>2049</v>
      </c>
      <c r="C45" s="449" t="s">
        <v>2050</v>
      </c>
      <c r="D45" s="574" t="s">
        <v>2051</v>
      </c>
      <c r="E45" s="574" t="s">
        <v>2052</v>
      </c>
      <c r="F45" s="448" t="s">
        <v>363</v>
      </c>
    </row>
    <row r="46" spans="1:6" ht="14.5">
      <c r="A46" s="450">
        <v>1</v>
      </c>
      <c r="B46" s="301" t="s">
        <v>2055</v>
      </c>
      <c r="C46" s="301"/>
      <c r="D46" s="431">
        <v>1000</v>
      </c>
      <c r="E46" s="431">
        <v>18</v>
      </c>
      <c r="F46" s="372">
        <f>IF(OR(ISBLANK(D46),ISBLANK(E46)),"",(D46*E46*GWPs!$C$8/1000000)+N("number of units x mass of GHG in each unit (grams) x GWP of HFC-134a / 1,000,000 grams per MT"))</f>
        <v>27.54</v>
      </c>
    </row>
    <row r="47" spans="1:6" ht="14.5">
      <c r="A47" s="450">
        <v>2</v>
      </c>
      <c r="B47" s="313"/>
      <c r="C47" s="313"/>
      <c r="D47" s="432"/>
      <c r="E47" s="432"/>
      <c r="F47" s="372" t="str">
        <f>IF(OR(ISBLANK(D47),ISBLANK(E47)),"",(D47*E47*GWPs!$C$8/1000000)+N("number of units x mass of GHG in each unit (grams) x GWP of HFC-134a / 1,000,000 grams per MT"))</f>
        <v/>
      </c>
    </row>
    <row r="48" spans="1:6" ht="14.5">
      <c r="A48" s="450">
        <v>3</v>
      </c>
      <c r="B48" s="313"/>
      <c r="C48" s="313"/>
      <c r="D48" s="432"/>
      <c r="E48" s="432"/>
      <c r="F48" s="372" t="str">
        <f>IF(OR(ISBLANK(D48),ISBLANK(E48)),"",(D48*E48*GWPs!$C$8/1000000)+N("number of units x mass of GHG in each unit (grams) x GWP of HFC-134a / 1,000,000 grams per MT"))</f>
        <v/>
      </c>
    </row>
    <row r="49" spans="1:6" ht="14.5">
      <c r="A49" s="450">
        <v>4</v>
      </c>
      <c r="B49" s="313"/>
      <c r="C49" s="313"/>
      <c r="D49" s="432"/>
      <c r="E49" s="432"/>
      <c r="F49" s="372" t="str">
        <f>IF(OR(ISBLANK(D49),ISBLANK(E49)),"",(D49*E49*GWPs!$C$8/1000000)+N("number of units x mass of GHG in each unit (grams) x GWP of HFC-134a / 1,000,000 grams per MT"))</f>
        <v/>
      </c>
    </row>
    <row r="50" spans="1:6" ht="14.5">
      <c r="A50" s="450">
        <v>5</v>
      </c>
      <c r="B50" s="313"/>
      <c r="C50" s="313"/>
      <c r="D50" s="432"/>
      <c r="E50" s="432"/>
      <c r="F50" s="372" t="str">
        <f>IF(OR(ISBLANK(D50),ISBLANK(E50)),"",(D50*E50*GWPs!$C$8/1000000)+N("number of units x mass of GHG in each unit (grams) x GWP of HFC-134a / 1,000,000 grams per MT"))</f>
        <v/>
      </c>
    </row>
    <row r="51" spans="1:6" ht="14.5">
      <c r="A51" s="450">
        <v>6</v>
      </c>
      <c r="B51" s="313"/>
      <c r="C51" s="313"/>
      <c r="D51" s="432"/>
      <c r="E51" s="432"/>
      <c r="F51" s="372" t="str">
        <f>IF(OR(ISBLANK(D51),ISBLANK(E51)),"",(D51*E51*GWPs!$C$8/1000000)+N("number of units x mass of GHG in each unit (grams) x GWP of HFC-134a / 1,000,000 grams per MT"))</f>
        <v/>
      </c>
    </row>
    <row r="52" spans="1:6" ht="14.5">
      <c r="A52" s="450">
        <v>7</v>
      </c>
      <c r="B52" s="313"/>
      <c r="C52" s="313"/>
      <c r="D52" s="432"/>
      <c r="E52" s="432"/>
      <c r="F52" s="372" t="str">
        <f>IF(OR(ISBLANK(D52),ISBLANK(E52)),"",(D52*E52*GWPs!$C$8/1000000)+N("number of units x mass of GHG in each unit (grams) x GWP of HFC-134a / 1,000,000 grams per MT"))</f>
        <v/>
      </c>
    </row>
    <row r="53" spans="1:6" ht="14.5">
      <c r="A53" s="450">
        <v>8</v>
      </c>
      <c r="B53" s="313"/>
      <c r="C53" s="313"/>
      <c r="D53" s="432"/>
      <c r="E53" s="432"/>
      <c r="F53" s="372" t="str">
        <f>IF(OR(ISBLANK(D53),ISBLANK(E53)),"",(D53*E53*GWPs!$C$8/1000000)+N("number of units x mass of GHG in each unit (grams) x GWP of HFC-134a / 1,000,000 grams per MT"))</f>
        <v/>
      </c>
    </row>
    <row r="54" spans="1:6" ht="14.5">
      <c r="A54" s="450">
        <v>9</v>
      </c>
      <c r="B54" s="313"/>
      <c r="C54" s="313"/>
      <c r="D54" s="432"/>
      <c r="E54" s="432"/>
      <c r="F54" s="372" t="str">
        <f>IF(OR(ISBLANK(D54),ISBLANK(E54)),"",(D54*E54*GWPs!$C$8/1000000)+N("number of units x mass of GHG in each unit (grams) x GWP of HFC-134a / 1,000,000 grams per MT"))</f>
        <v/>
      </c>
    </row>
    <row r="55" spans="1:6" ht="14.5">
      <c r="A55" s="450">
        <v>10</v>
      </c>
      <c r="B55" s="313"/>
      <c r="C55" s="313"/>
      <c r="D55" s="432"/>
      <c r="E55" s="432"/>
      <c r="F55" s="372" t="str">
        <f>IF(OR(ISBLANK(D55),ISBLANK(E55)),"",(D55*E55*GWPs!$C$8/1000000)+N("number of units x mass of GHG in each unit (grams) x GWP of HFC-134a / 1,000,000 grams per MT"))</f>
        <v/>
      </c>
    </row>
    <row r="56" spans="1:6" ht="14.5">
      <c r="A56" s="450">
        <v>11</v>
      </c>
      <c r="B56" s="313"/>
      <c r="C56" s="313"/>
      <c r="D56" s="432"/>
      <c r="E56" s="432"/>
      <c r="F56" s="372" t="str">
        <f>IF(OR(ISBLANK(D56),ISBLANK(E56)),"",(D56*E56*GWPs!$C$8/1000000)+N("number of units x mass of GHG in each unit (grams) x GWP of HFC-134a / 1,000,000 grams per MT"))</f>
        <v/>
      </c>
    </row>
    <row r="57" spans="1:6" ht="14.5">
      <c r="A57" s="450">
        <v>12</v>
      </c>
      <c r="B57" s="313"/>
      <c r="C57" s="313"/>
      <c r="D57" s="432"/>
      <c r="E57" s="432"/>
      <c r="F57" s="372" t="str">
        <f>IF(OR(ISBLANK(D57),ISBLANK(E57)),"",(D57*E57*GWPs!$C$8/1000000)+N("number of units x mass of GHG in each unit (grams) x GWP of HFC-134a / 1,000,000 grams per MT"))</f>
        <v/>
      </c>
    </row>
    <row r="58" spans="1:6" ht="14.5">
      <c r="A58" s="450">
        <v>13</v>
      </c>
      <c r="B58" s="313"/>
      <c r="C58" s="313"/>
      <c r="D58" s="432"/>
      <c r="E58" s="432"/>
      <c r="F58" s="372" t="str">
        <f>IF(OR(ISBLANK(D58),ISBLANK(E58)),"",(D58*E58*GWPs!$C$8/1000000)+N("number of units x mass of GHG in each unit (grams) x GWP of HFC-134a / 1,000,000 grams per MT"))</f>
        <v/>
      </c>
    </row>
    <row r="59" spans="1:6" ht="14.5">
      <c r="A59" s="450">
        <v>14</v>
      </c>
      <c r="B59" s="313"/>
      <c r="C59" s="313"/>
      <c r="D59" s="432"/>
      <c r="E59" s="432"/>
      <c r="F59" s="372" t="str">
        <f>IF(OR(ISBLANK(D59),ISBLANK(E59)),"",(D59*E59*GWPs!$C$8/1000000)+N("number of units x mass of GHG in each unit (grams) x GWP of HFC-134a / 1,000,000 grams per MT"))</f>
        <v/>
      </c>
    </row>
    <row r="60" spans="1:6" ht="14.5">
      <c r="A60" s="450">
        <v>15</v>
      </c>
      <c r="B60" s="313"/>
      <c r="C60" s="313"/>
      <c r="D60" s="432"/>
      <c r="E60" s="432"/>
      <c r="F60" s="372" t="str">
        <f>IF(OR(ISBLANK(D60),ISBLANK(E60)),"",(D60*E60*GWPs!$C$8/1000000)+N("number of units x mass of GHG in each unit (grams) x GWP of HFC-134a / 1,000,000 grams per MT"))</f>
        <v/>
      </c>
    </row>
    <row r="61" spans="1:6" ht="14.5">
      <c r="A61" s="450">
        <v>16</v>
      </c>
      <c r="B61" s="313"/>
      <c r="C61" s="313"/>
      <c r="D61" s="432"/>
      <c r="E61" s="432"/>
      <c r="F61" s="372" t="str">
        <f>IF(OR(ISBLANK(D61),ISBLANK(E61)),"",(D61*E61*GWPs!$C$8/1000000)+N("number of units x mass of GHG in each unit (grams) x GWP of HFC-134a / 1,000,000 grams per MT"))</f>
        <v/>
      </c>
    </row>
    <row r="62" spans="1:6" ht="14.5">
      <c r="A62" s="450">
        <v>17</v>
      </c>
      <c r="B62" s="313"/>
      <c r="C62" s="313"/>
      <c r="D62" s="432"/>
      <c r="E62" s="432"/>
      <c r="F62" s="372" t="str">
        <f>IF(OR(ISBLANK(D62),ISBLANK(E62)),"",(D62*E62*GWPs!$C$8/1000000)+N("number of units x mass of GHG in each unit (grams) x GWP of HFC-134a / 1,000,000 grams per MT"))</f>
        <v/>
      </c>
    </row>
    <row r="63" spans="1:6" ht="14.5">
      <c r="A63" s="450">
        <v>18</v>
      </c>
      <c r="B63" s="313"/>
      <c r="C63" s="313"/>
      <c r="D63" s="432"/>
      <c r="E63" s="432"/>
      <c r="F63" s="372" t="str">
        <f>IF(OR(ISBLANK(D63),ISBLANK(E63)),"",(D63*E63*GWPs!$C$8/1000000)+N("number of units x mass of GHG in each unit (grams) x GWP of HFC-134a / 1,000,000 grams per MT"))</f>
        <v/>
      </c>
    </row>
    <row r="64" spans="1:6" ht="14.5">
      <c r="A64" s="450">
        <v>19</v>
      </c>
      <c r="B64" s="313"/>
      <c r="C64" s="313"/>
      <c r="D64" s="432"/>
      <c r="E64" s="432"/>
      <c r="F64" s="372" t="str">
        <f>IF(OR(ISBLANK(D64),ISBLANK(E64)),"",(D64*E64*GWPs!$C$8/1000000)+N("number of units x mass of GHG in each unit (grams) x GWP of HFC-134a / 1,000,000 grams per MT"))</f>
        <v/>
      </c>
    </row>
    <row r="65" spans="1:6" ht="15" thickBot="1">
      <c r="A65" s="450">
        <v>20</v>
      </c>
      <c r="B65" s="313"/>
      <c r="C65" s="313"/>
      <c r="D65" s="432"/>
      <c r="E65" s="432"/>
      <c r="F65" s="372" t="str">
        <f>IF(OR(ISBLANK(D65),ISBLANK(E65)),"",(D65*E65*GWPs!$C$8/1000000)+N("number of units x mass of GHG in each unit (grams) x GWP of HFC-134a / 1,000,000 grams per MT"))</f>
        <v/>
      </c>
    </row>
    <row r="66" spans="1:6" ht="14.5" thickBot="1">
      <c r="E66" s="457" t="s">
        <v>1624</v>
      </c>
      <c r="F66" s="576">
        <f>SUM(F47:F65)</f>
        <v>0</v>
      </c>
    </row>
  </sheetData>
  <sheetProtection algorithmName="SHA-512" hashValue="9tWZeI9FIGSOV+pQ+tzi2s12ggCZ980B+PDqyv4FxYIurvZ9Kxp3sSNjhQSp77T5ffo6veSX3DkdbtULxLHhhA==" saltValue="LLBjGz7j8W9uHWUxKjrQ1Q==" spinCount="100000" sheet="1" objects="1" scenarios="1"/>
  <pageMargins left="0.7" right="0.7" top="0.75" bottom="0.75" header="0.3" footer="0.3"/>
  <pageSetup orientation="portrait" horizontalDpi="1200" verticalDpi="12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9139D-A533-4831-B767-0FE228F44D8A}">
  <dimension ref="A1:AE369"/>
  <sheetViews>
    <sheetView zoomScale="90" zoomScaleNormal="90" workbookViewId="0">
      <selection activeCell="N26" sqref="N26"/>
    </sheetView>
  </sheetViews>
  <sheetFormatPr defaultColWidth="8.9140625" defaultRowHeight="14"/>
  <cols>
    <col min="1" max="1" width="23" customWidth="1"/>
    <col min="2" max="2" width="23.1640625" customWidth="1"/>
    <col min="3" max="3" width="15.6640625" customWidth="1"/>
    <col min="4" max="4" width="32.08203125" customWidth="1"/>
    <col min="5" max="5" width="8.5" bestFit="1" customWidth="1"/>
    <col min="6" max="6" width="18.08203125" bestFit="1" customWidth="1"/>
    <col min="7" max="7" width="28.1640625" bestFit="1" customWidth="1"/>
    <col min="8" max="8" width="16.9140625" customWidth="1"/>
    <col min="9" max="9" width="21.58203125" customWidth="1"/>
    <col min="10" max="10" width="3.4140625" customWidth="1"/>
    <col min="11" max="11" width="24.58203125" customWidth="1"/>
    <col min="12" max="12" width="25.08203125" customWidth="1"/>
    <col min="13" max="13" width="46.9140625" customWidth="1"/>
    <col min="14" max="14" width="17.08203125" customWidth="1"/>
    <col min="15" max="15" width="14.5" customWidth="1"/>
    <col min="16" max="16" width="11.5" customWidth="1"/>
    <col min="20" max="20" width="11.5" bestFit="1" customWidth="1"/>
    <col min="21" max="21" width="7.08203125" bestFit="1" customWidth="1"/>
    <col min="22" max="22" width="8.6640625" bestFit="1" customWidth="1"/>
    <col min="23" max="23" width="15.5" bestFit="1" customWidth="1"/>
    <col min="24" max="24" width="14.5" bestFit="1" customWidth="1"/>
    <col min="25" max="25" width="13.4140625" customWidth="1"/>
    <col min="28" max="28" width="14.58203125" bestFit="1" customWidth="1"/>
    <col min="29" max="29" width="31.1640625" customWidth="1"/>
    <col min="30" max="30" width="15.58203125" bestFit="1" customWidth="1"/>
  </cols>
  <sheetData>
    <row r="1" spans="1:31">
      <c r="D1" s="464"/>
    </row>
    <row r="2" spans="1:31" s="466" customFormat="1" ht="42.75" customHeight="1">
      <c r="A2" s="1360" t="s">
        <v>1816</v>
      </c>
      <c r="B2" s="1360"/>
      <c r="C2" s="1360"/>
      <c r="D2" s="465"/>
      <c r="F2" s="467" t="s">
        <v>1817</v>
      </c>
      <c r="G2" s="467"/>
      <c r="H2" s="467"/>
    </row>
    <row r="3" spans="1:31" ht="15" customHeight="1">
      <c r="A3" s="2" t="s">
        <v>195</v>
      </c>
      <c r="B3" s="9" t="s">
        <v>1818</v>
      </c>
      <c r="F3" s="2" t="s">
        <v>195</v>
      </c>
      <c r="G3" s="468" t="s">
        <v>1819</v>
      </c>
      <c r="H3" s="468"/>
    </row>
    <row r="4" spans="1:31">
      <c r="L4" s="7"/>
      <c r="M4" s="7"/>
    </row>
    <row r="5" spans="1:31" ht="57.75" customHeight="1">
      <c r="A5" s="469" t="s">
        <v>1820</v>
      </c>
      <c r="B5" s="470" t="s">
        <v>1821</v>
      </c>
      <c r="C5" s="471" t="s">
        <v>1822</v>
      </c>
      <c r="D5" s="472" t="s">
        <v>1823</v>
      </c>
      <c r="F5" s="473" t="s">
        <v>1824</v>
      </c>
      <c r="G5" s="474" t="s">
        <v>1825</v>
      </c>
      <c r="H5" s="475" t="s">
        <v>1826</v>
      </c>
      <c r="I5" s="476" t="s">
        <v>1827</v>
      </c>
      <c r="J5" s="477"/>
      <c r="K5" s="478" t="s">
        <v>1828</v>
      </c>
      <c r="L5" s="479" t="s">
        <v>1829</v>
      </c>
      <c r="M5" s="480" t="s">
        <v>1830</v>
      </c>
      <c r="N5" t="s">
        <v>1831</v>
      </c>
      <c r="O5" t="s">
        <v>1832</v>
      </c>
      <c r="P5" t="s">
        <v>1833</v>
      </c>
      <c r="Q5" t="s">
        <v>1834</v>
      </c>
      <c r="R5" t="s">
        <v>1835</v>
      </c>
      <c r="S5" t="s">
        <v>1836</v>
      </c>
      <c r="T5" s="481" t="s">
        <v>1837</v>
      </c>
      <c r="U5" s="12" t="s">
        <v>1838</v>
      </c>
      <c r="V5" s="12" t="s">
        <v>1839</v>
      </c>
      <c r="W5" s="12" t="s">
        <v>1840</v>
      </c>
      <c r="X5" s="482" t="s">
        <v>1841</v>
      </c>
      <c r="Y5" s="483" t="s">
        <v>1842</v>
      </c>
      <c r="AB5" s="484" t="s">
        <v>1843</v>
      </c>
      <c r="AC5" s="484" t="s">
        <v>1844</v>
      </c>
    </row>
    <row r="6" spans="1:31" ht="14.25" customHeight="1">
      <c r="A6" s="485" t="s">
        <v>1845</v>
      </c>
      <c r="B6" s="486" t="s">
        <v>1846</v>
      </c>
      <c r="C6" s="487">
        <v>0.80544205899999999</v>
      </c>
      <c r="D6" s="488">
        <f>C6*VLOOKUP($B6,$K$6:$L$12,2,FALSE)</f>
        <v>0.2678184039913481</v>
      </c>
      <c r="F6" s="489" t="s">
        <v>1847</v>
      </c>
      <c r="G6" s="489">
        <v>7.8</v>
      </c>
      <c r="H6" s="489">
        <f>$G6*2</f>
        <v>15.6</v>
      </c>
      <c r="I6" s="490">
        <f>(H6*SUMIFS($D$6:$D$369,$A$6:$A$369,F6,$B$6:$B$369,"&lt;&gt;worked at home"))+SUMIFS($D$6:$D$369,$A$6:$A$369,F6,$B$6:$B$369,"worked at home")</f>
        <v>4.4520341544182687</v>
      </c>
      <c r="J6" s="477"/>
      <c r="K6" s="491" t="s">
        <v>1846</v>
      </c>
      <c r="L6" s="8">
        <v>0.33251107388638129</v>
      </c>
      <c r="M6" s="492" t="s">
        <v>1848</v>
      </c>
      <c r="N6" t="s">
        <v>1849</v>
      </c>
      <c r="O6" t="s">
        <v>1850</v>
      </c>
      <c r="P6" t="s">
        <v>299</v>
      </c>
      <c r="Q6" t="s">
        <v>1851</v>
      </c>
      <c r="R6" t="s">
        <v>304</v>
      </c>
      <c r="S6" t="s">
        <v>1852</v>
      </c>
      <c r="T6" s="493">
        <v>0</v>
      </c>
      <c r="U6" s="494">
        <v>0</v>
      </c>
      <c r="V6" s="495">
        <v>0</v>
      </c>
      <c r="W6" s="495">
        <v>0</v>
      </c>
      <c r="X6" s="494">
        <v>2.1749999999999999E-2</v>
      </c>
      <c r="Y6" s="494">
        <v>0</v>
      </c>
      <c r="Z6" s="496">
        <f>$AD$15</f>
        <v>8.6145413373120427E-3</v>
      </c>
    </row>
    <row r="7" spans="1:31" ht="29">
      <c r="A7" s="485" t="s">
        <v>1845</v>
      </c>
      <c r="B7" s="486" t="s">
        <v>1853</v>
      </c>
      <c r="C7" s="487">
        <v>7.9235025000000001E-2</v>
      </c>
      <c r="D7" s="488">
        <f>C7*VLOOKUP($B7,$K$6:$L$12,2,FALSE)</f>
        <v>1.1709565889850785E-2</v>
      </c>
      <c r="F7" s="489" t="s">
        <v>1854</v>
      </c>
      <c r="G7" s="497" t="s">
        <v>1855</v>
      </c>
      <c r="H7" s="498">
        <f>H56</f>
        <v>14.408333333333337</v>
      </c>
      <c r="I7" s="490">
        <f t="shared" ref="I7" si="0">(H7*SUMIFS($D$6:$D$369,$A$6:$A$369,F7,$B$6:$B$369,"&lt;&gt;worked at home"))+SUMIFS($D$6:$D$369,$A$6:$A$369,F7,$B$6:$B$369,"worked at home")</f>
        <v>3.6058101042006445</v>
      </c>
      <c r="K7" s="491" t="s">
        <v>1853</v>
      </c>
      <c r="L7" s="8">
        <v>0.14778269950505835</v>
      </c>
      <c r="M7" s="499" t="s">
        <v>1856</v>
      </c>
      <c r="N7" t="s">
        <v>1849</v>
      </c>
      <c r="O7" t="s">
        <v>1850</v>
      </c>
      <c r="P7" t="s">
        <v>299</v>
      </c>
      <c r="Q7" t="s">
        <v>1851</v>
      </c>
      <c r="R7" t="s">
        <v>16</v>
      </c>
      <c r="S7" t="s">
        <v>1852</v>
      </c>
      <c r="T7" s="493">
        <v>0</v>
      </c>
      <c r="U7" s="494">
        <v>0.32229999999999998</v>
      </c>
      <c r="V7" s="495">
        <v>4.0000000000000003E-7</v>
      </c>
      <c r="W7" s="495">
        <v>1.0167785234899328E-5</v>
      </c>
      <c r="X7" s="494">
        <v>7.9439999999999997E-2</v>
      </c>
      <c r="Y7" s="494">
        <v>0.3250877253691275</v>
      </c>
      <c r="Z7" s="496">
        <f>$AD$8</f>
        <v>3.415411856413729E-2</v>
      </c>
      <c r="AB7" s="484" t="s">
        <v>1857</v>
      </c>
      <c r="AC7" s="484" t="s">
        <v>1858</v>
      </c>
      <c r="AD7" s="484" t="s">
        <v>1859</v>
      </c>
      <c r="AE7" s="484"/>
    </row>
    <row r="8" spans="1:31" ht="72.5">
      <c r="A8" s="485" t="s">
        <v>1845</v>
      </c>
      <c r="B8" s="486" t="s">
        <v>1860</v>
      </c>
      <c r="C8" s="487">
        <v>8.8629940000000004E-2</v>
      </c>
      <c r="D8" s="488">
        <f>C8*8*0.15*VLOOKUP(A8,'State eGrid factors'!$A$2:$D$53,4,FALSE)+N("pct WFH x 8 hours/day x 150 Watts converted to kW x eGRID state-based EFs kg CO2e/kWh")</f>
        <v>3.9921463807168586E-2</v>
      </c>
      <c r="F8" s="489" t="s">
        <v>1861</v>
      </c>
      <c r="G8" s="489">
        <v>7.6</v>
      </c>
      <c r="H8" s="489">
        <f t="shared" ref="H8:H56" si="1">$G8*2</f>
        <v>15.2</v>
      </c>
      <c r="I8" s="490">
        <f>(H8*SUMIFS($D$6:$D$369,$A$6:$A$369,F8,$B$6:$B$369,"&lt;&gt;worked at home"))+SUMIFS($D$6:$D$369,$A$6:$A$369,F8,$B$6:$B$369,"worked at home")</f>
        <v>3.7274424583574031</v>
      </c>
      <c r="K8" s="491" t="s">
        <v>1860</v>
      </c>
      <c r="L8" s="500" t="s">
        <v>1862</v>
      </c>
      <c r="M8" s="16" t="s">
        <v>1863</v>
      </c>
      <c r="N8" t="s">
        <v>1849</v>
      </c>
      <c r="O8" t="s">
        <v>1850</v>
      </c>
      <c r="P8" t="s">
        <v>299</v>
      </c>
      <c r="Q8" t="s">
        <v>1851</v>
      </c>
      <c r="R8" t="s">
        <v>1864</v>
      </c>
      <c r="S8" t="s">
        <v>1852</v>
      </c>
      <c r="T8" s="493">
        <v>0</v>
      </c>
      <c r="U8" s="494">
        <v>0.32729999999999998</v>
      </c>
      <c r="V8" s="495">
        <v>2.0400000000000005E-5</v>
      </c>
      <c r="W8" s="495">
        <v>1.9463087248322147E-6</v>
      </c>
      <c r="X8" s="494">
        <v>9.1259999999999994E-2</v>
      </c>
      <c r="Y8" s="494">
        <v>0.32843926228187914</v>
      </c>
      <c r="Z8" s="496">
        <f>$AD$9</f>
        <v>0.92511913202050022</v>
      </c>
      <c r="AB8" s="484" t="s">
        <v>1865</v>
      </c>
      <c r="AC8" t="s">
        <v>16</v>
      </c>
      <c r="AD8" s="496">
        <v>3.415411856413729E-2</v>
      </c>
    </row>
    <row r="9" spans="1:31" ht="29">
      <c r="A9" s="485" t="s">
        <v>1845</v>
      </c>
      <c r="B9" s="486" t="s">
        <v>1866</v>
      </c>
      <c r="C9" s="487">
        <v>2.9547739999999999E-3</v>
      </c>
      <c r="D9" s="488">
        <f>C9*VLOOKUP($B9,$K$6:$L$12,2,FALSE)</f>
        <v>3.8787925812532091E-4</v>
      </c>
      <c r="F9" s="489" t="s">
        <v>1867</v>
      </c>
      <c r="G9" s="489">
        <v>7</v>
      </c>
      <c r="H9" s="489">
        <f t="shared" si="1"/>
        <v>14</v>
      </c>
      <c r="I9" s="490">
        <f t="shared" ref="I9:I56" si="2">(H9*SUMIFS($D$6:$D$369,$A$6:$A$369,F9,$B$6:$B$369,"&lt;&gt;worked at home"))+SUMIFS($D$6:$D$369,$A$6:$A$369,F9,$B$6:$B$369,"worked at home")</f>
        <v>3.986216497088324</v>
      </c>
      <c r="K9" s="491" t="s">
        <v>1866</v>
      </c>
      <c r="L9" s="8">
        <v>0.13127205604398878</v>
      </c>
      <c r="M9" s="501" t="s">
        <v>1868</v>
      </c>
      <c r="N9" t="s">
        <v>1849</v>
      </c>
      <c r="O9" t="s">
        <v>1850</v>
      </c>
      <c r="P9" t="s">
        <v>299</v>
      </c>
      <c r="Q9" t="s">
        <v>1851</v>
      </c>
      <c r="R9" t="s">
        <v>303</v>
      </c>
      <c r="S9" t="s">
        <v>1852</v>
      </c>
      <c r="T9" s="493">
        <v>0</v>
      </c>
      <c r="U9" s="494">
        <v>0.11342000000000001</v>
      </c>
      <c r="V9" s="495">
        <v>1.6000000000000003E-5</v>
      </c>
      <c r="W9" s="495">
        <v>1.2751677852348994E-6</v>
      </c>
      <c r="X9" s="494">
        <v>4.3059999999999994E-2</v>
      </c>
      <c r="Y9" s="494">
        <v>0.11424492080536913</v>
      </c>
      <c r="Z9" s="496">
        <f>$AD$14</f>
        <v>3.5709624738544457E-3</v>
      </c>
      <c r="AB9" s="484" t="s">
        <v>1869</v>
      </c>
      <c r="AC9" t="s">
        <v>1864</v>
      </c>
      <c r="AD9" s="496">
        <v>0.92511913202050022</v>
      </c>
    </row>
    <row r="10" spans="1:31" ht="29">
      <c r="A10" s="485" t="s">
        <v>1845</v>
      </c>
      <c r="B10" s="486" t="s">
        <v>1870</v>
      </c>
      <c r="C10" s="487">
        <v>1.1430111E-2</v>
      </c>
      <c r="D10" s="488">
        <f t="shared" ref="D10:D14" si="3">C10*VLOOKUP($B10,$K$6:$L$12,2,FALSE)</f>
        <v>3.0236796791849878E-3</v>
      </c>
      <c r="F10" s="489" t="s">
        <v>1871</v>
      </c>
      <c r="G10" s="489">
        <v>6.6</v>
      </c>
      <c r="H10" s="489">
        <f t="shared" si="1"/>
        <v>13.2</v>
      </c>
      <c r="I10" s="490">
        <f t="shared" si="2"/>
        <v>3.2134202208102285</v>
      </c>
      <c r="K10" s="491" t="s">
        <v>1870</v>
      </c>
      <c r="L10" s="8">
        <v>0.26453633557757994</v>
      </c>
      <c r="M10" s="499" t="s">
        <v>1872</v>
      </c>
      <c r="N10" t="s">
        <v>1849</v>
      </c>
      <c r="O10" t="s">
        <v>1850</v>
      </c>
      <c r="P10" t="s">
        <v>299</v>
      </c>
      <c r="Q10" t="s">
        <v>1851</v>
      </c>
      <c r="R10" t="s">
        <v>302</v>
      </c>
      <c r="S10" t="s">
        <v>1852</v>
      </c>
      <c r="T10" s="493">
        <v>0</v>
      </c>
      <c r="U10" s="494">
        <v>0.32394000000000001</v>
      </c>
      <c r="V10" s="495">
        <v>5.5999999999999997E-6</v>
      </c>
      <c r="W10" s="495">
        <v>7.9865771812080533E-6</v>
      </c>
      <c r="X10" s="494">
        <v>8.3320000000000005E-2</v>
      </c>
      <c r="Y10" s="494">
        <v>0.3262872155704698</v>
      </c>
      <c r="Z10" s="496">
        <f>$AD$13</f>
        <v>6.1825197789135439E-3</v>
      </c>
      <c r="AB10" s="484" t="s">
        <v>1873</v>
      </c>
      <c r="AC10" t="s">
        <v>1874</v>
      </c>
      <c r="AD10" s="496">
        <v>2.2192593533185895E-2</v>
      </c>
    </row>
    <row r="11" spans="1:31" ht="14.5">
      <c r="A11" s="485" t="s">
        <v>1845</v>
      </c>
      <c r="B11" s="486" t="s">
        <v>1875</v>
      </c>
      <c r="C11" s="487">
        <v>1.1598272999999999E-2</v>
      </c>
      <c r="D11" s="488">
        <f t="shared" si="3"/>
        <v>0</v>
      </c>
      <c r="F11" s="489" t="s">
        <v>1876</v>
      </c>
      <c r="G11" s="489">
        <v>6.9</v>
      </c>
      <c r="H11" s="489">
        <f t="shared" si="1"/>
        <v>13.8</v>
      </c>
      <c r="I11" s="490">
        <f>(H11*SUMIFS($D$6:$D$369,$A$6:$A$369,F11,$B$6:$B$369,"&lt;&gt;worked at home"))+SUMIFS($D$6:$D$369,$A$6:$A$369,F11,$B$6:$B$369,"worked at home")</f>
        <v>3.3340430119013287</v>
      </c>
      <c r="K11" s="491" t="s">
        <v>1875</v>
      </c>
      <c r="L11" s="8">
        <v>0</v>
      </c>
      <c r="N11" t="s">
        <v>1849</v>
      </c>
      <c r="O11" t="s">
        <v>1877</v>
      </c>
      <c r="P11" t="s">
        <v>1878</v>
      </c>
      <c r="Q11" t="s">
        <v>1851</v>
      </c>
      <c r="R11" t="s">
        <v>304</v>
      </c>
      <c r="S11" t="s">
        <v>1852</v>
      </c>
      <c r="T11" s="493">
        <v>0</v>
      </c>
      <c r="U11" s="494">
        <v>0</v>
      </c>
      <c r="V11" s="495">
        <v>0</v>
      </c>
      <c r="W11" s="495">
        <v>0</v>
      </c>
      <c r="X11" s="494">
        <v>1.9550000000000001E-2</v>
      </c>
      <c r="Y11" s="494">
        <v>0</v>
      </c>
      <c r="Z11" s="496">
        <f>$AD$15</f>
        <v>8.6145413373120427E-3</v>
      </c>
      <c r="AB11" s="484" t="s">
        <v>271</v>
      </c>
      <c r="AC11" t="s">
        <v>271</v>
      </c>
      <c r="AD11" s="496">
        <v>9.0296957063091475E-5</v>
      </c>
      <c r="AE11" s="484" t="s">
        <v>1879</v>
      </c>
    </row>
    <row r="12" spans="1:31" ht="14.5">
      <c r="A12" s="485" t="s">
        <v>1845</v>
      </c>
      <c r="B12" s="486" t="s">
        <v>1880</v>
      </c>
      <c r="C12" s="487">
        <v>7.0981799999999997E-4</v>
      </c>
      <c r="D12" s="488">
        <f t="shared" si="3"/>
        <v>0</v>
      </c>
      <c r="F12" s="489" t="s">
        <v>1881</v>
      </c>
      <c r="G12" s="489">
        <v>6.5</v>
      </c>
      <c r="H12" s="489">
        <f t="shared" si="1"/>
        <v>13</v>
      </c>
      <c r="I12" s="490">
        <f t="shared" si="2"/>
        <v>3.2739647516940944</v>
      </c>
      <c r="K12" s="491" t="s">
        <v>1880</v>
      </c>
      <c r="L12" s="8">
        <v>0</v>
      </c>
      <c r="N12" t="s">
        <v>1849</v>
      </c>
      <c r="O12" t="s">
        <v>1877</v>
      </c>
      <c r="P12" t="s">
        <v>1878</v>
      </c>
      <c r="Q12" t="s">
        <v>1851</v>
      </c>
      <c r="R12" t="s">
        <v>16</v>
      </c>
      <c r="S12" t="s">
        <v>1852</v>
      </c>
      <c r="T12" s="493">
        <v>0</v>
      </c>
      <c r="U12" s="494">
        <v>0.27061000000000002</v>
      </c>
      <c r="V12" s="495">
        <v>4.0000000000000003E-7</v>
      </c>
      <c r="W12" s="495">
        <v>1.0167785234899328E-5</v>
      </c>
      <c r="X12" s="494">
        <v>6.6699999999999995E-2</v>
      </c>
      <c r="Y12" s="494">
        <v>0.27339772536912754</v>
      </c>
      <c r="Z12" s="496">
        <f>$AD$8</f>
        <v>3.415411856413729E-2</v>
      </c>
      <c r="AB12" s="484" t="s">
        <v>41</v>
      </c>
      <c r="AC12" t="s">
        <v>263</v>
      </c>
      <c r="AD12" s="496">
        <v>2.3279684242828269E-5</v>
      </c>
      <c r="AE12" s="484" t="s">
        <v>1879</v>
      </c>
    </row>
    <row r="13" spans="1:31" ht="14.5">
      <c r="A13" s="485" t="s">
        <v>1847</v>
      </c>
      <c r="B13" s="486" t="s">
        <v>1846</v>
      </c>
      <c r="C13" s="487">
        <v>0.80544205899999999</v>
      </c>
      <c r="D13" s="488">
        <f t="shared" si="3"/>
        <v>0.2678184039913481</v>
      </c>
      <c r="F13" s="489" t="s">
        <v>1882</v>
      </c>
      <c r="G13" s="489">
        <v>8</v>
      </c>
      <c r="H13" s="489">
        <f t="shared" si="1"/>
        <v>16</v>
      </c>
      <c r="I13" s="490">
        <f t="shared" si="2"/>
        <v>4.1916523583913987</v>
      </c>
      <c r="M13" s="2"/>
      <c r="N13" t="s">
        <v>1849</v>
      </c>
      <c r="O13" t="s">
        <v>1877</v>
      </c>
      <c r="P13" t="s">
        <v>1878</v>
      </c>
      <c r="Q13" t="s">
        <v>1851</v>
      </c>
      <c r="R13" t="s">
        <v>1874</v>
      </c>
      <c r="S13" t="s">
        <v>1852</v>
      </c>
      <c r="T13" s="493">
        <v>0</v>
      </c>
      <c r="U13" s="494">
        <v>0.18959999999999999</v>
      </c>
      <c r="V13" s="495">
        <v>1.0800000000000002E-5</v>
      </c>
      <c r="W13" s="495">
        <v>5.9060402684563761E-6</v>
      </c>
      <c r="X13" s="494">
        <v>5.0029999999999998E-2</v>
      </c>
      <c r="Y13" s="494">
        <v>0.19153418899328858</v>
      </c>
      <c r="Z13" s="496">
        <f>$AD$10</f>
        <v>2.2192593533185895E-2</v>
      </c>
      <c r="AB13" s="484" t="s">
        <v>302</v>
      </c>
      <c r="AC13" t="s">
        <v>302</v>
      </c>
      <c r="AD13" s="496">
        <v>6.1825197789135439E-3</v>
      </c>
    </row>
    <row r="14" spans="1:31" ht="14.5">
      <c r="A14" s="485" t="str">
        <f t="shared" ref="A14:A19" si="4">A13</f>
        <v>Alabama</v>
      </c>
      <c r="B14" s="486" t="s">
        <v>1853</v>
      </c>
      <c r="C14" s="487">
        <v>7.9235025000000001E-2</v>
      </c>
      <c r="D14" s="488">
        <f t="shared" si="3"/>
        <v>1.1709565889850785E-2</v>
      </c>
      <c r="F14" s="489" t="s">
        <v>1781</v>
      </c>
      <c r="G14" s="489">
        <v>6</v>
      </c>
      <c r="H14" s="489">
        <f t="shared" si="1"/>
        <v>12</v>
      </c>
      <c r="I14" s="490">
        <f t="shared" si="2"/>
        <v>3.0921657799577935</v>
      </c>
      <c r="K14" s="502" t="s">
        <v>1883</v>
      </c>
      <c r="N14" t="s">
        <v>1849</v>
      </c>
      <c r="O14" t="s">
        <v>1877</v>
      </c>
      <c r="P14" t="s">
        <v>1878</v>
      </c>
      <c r="Q14" t="s">
        <v>1851</v>
      </c>
      <c r="R14" t="s">
        <v>1864</v>
      </c>
      <c r="S14" t="s">
        <v>1852</v>
      </c>
      <c r="T14" s="493">
        <v>0</v>
      </c>
      <c r="U14" s="494">
        <v>0.26269999999999999</v>
      </c>
      <c r="V14" s="495">
        <v>2.0400000000000005E-5</v>
      </c>
      <c r="W14" s="495">
        <v>1.9463087248322147E-6</v>
      </c>
      <c r="X14" s="494">
        <v>7.3249999999999996E-2</v>
      </c>
      <c r="Y14" s="494">
        <v>0.26383926228187915</v>
      </c>
      <c r="Z14" s="496">
        <f>$AD$9</f>
        <v>0.92511913202050022</v>
      </c>
      <c r="AB14" s="484" t="s">
        <v>1884</v>
      </c>
      <c r="AC14" t="s">
        <v>303</v>
      </c>
      <c r="AD14" s="496">
        <v>3.5709624738544457E-3</v>
      </c>
    </row>
    <row r="15" spans="1:31" ht="14.5">
      <c r="A15" s="485" t="str">
        <f t="shared" si="4"/>
        <v>Alabama</v>
      </c>
      <c r="B15" s="486" t="s">
        <v>1860</v>
      </c>
      <c r="C15" s="487">
        <v>8.8629940000000004E-2</v>
      </c>
      <c r="D15" s="488">
        <f>C15*8*0.15*VLOOKUP(A15,'State eGrid factors'!$A$2:$D$53,4,FALSE)+N("pct WFH x 8 hours/day x 150 Watts converted to kW x eGRID state-based EFs kg CO2e/kWh")</f>
        <v>3.8177504849525097E-2</v>
      </c>
      <c r="F15" s="489" t="s">
        <v>5</v>
      </c>
      <c r="G15" s="489">
        <v>7.4</v>
      </c>
      <c r="H15" s="489">
        <f t="shared" si="1"/>
        <v>14.8</v>
      </c>
      <c r="I15" s="490">
        <f t="shared" si="2"/>
        <v>3.8175104355811285</v>
      </c>
      <c r="K15" s="9" t="s">
        <v>1885</v>
      </c>
      <c r="N15" t="s">
        <v>1849</v>
      </c>
      <c r="O15" t="s">
        <v>1877</v>
      </c>
      <c r="P15" t="s">
        <v>1878</v>
      </c>
      <c r="Q15" t="s">
        <v>1851</v>
      </c>
      <c r="R15" t="s">
        <v>303</v>
      </c>
      <c r="S15" t="s">
        <v>1852</v>
      </c>
      <c r="T15" s="493">
        <v>0</v>
      </c>
      <c r="U15" s="494">
        <v>0.10528</v>
      </c>
      <c r="V15" s="495">
        <v>1.4800000000000002E-5</v>
      </c>
      <c r="W15" s="495">
        <v>1.2080536912751679E-6</v>
      </c>
      <c r="X15" s="494">
        <v>3.9269999999999999E-2</v>
      </c>
      <c r="Y15" s="494">
        <v>0.10605083865771812</v>
      </c>
      <c r="Z15" s="496">
        <f>$AD$14</f>
        <v>3.5709624738544457E-3</v>
      </c>
      <c r="AB15" s="484" t="s">
        <v>1886</v>
      </c>
      <c r="AC15" t="s">
        <v>304</v>
      </c>
      <c r="AD15" s="496">
        <v>8.6145413373120427E-3</v>
      </c>
    </row>
    <row r="16" spans="1:31" ht="14.5">
      <c r="A16" s="485" t="str">
        <f t="shared" si="4"/>
        <v>Alabama</v>
      </c>
      <c r="B16" s="486" t="s">
        <v>1866</v>
      </c>
      <c r="C16" s="487">
        <v>2.9547739999999999E-3</v>
      </c>
      <c r="D16" s="488">
        <f t="shared" ref="D16:D21" si="5">C16*VLOOKUP($B16,$K$6:$L$12,2,FALSE)</f>
        <v>3.8787925812532091E-4</v>
      </c>
      <c r="F16" s="489" t="s">
        <v>1887</v>
      </c>
      <c r="G16" s="497" t="s">
        <v>1855</v>
      </c>
      <c r="H16" s="498">
        <f>H56</f>
        <v>14.408333333333337</v>
      </c>
      <c r="I16" s="490">
        <f t="shared" si="2"/>
        <v>3.6273340038030764</v>
      </c>
      <c r="K16" s="9" t="s">
        <v>1888</v>
      </c>
      <c r="N16" t="s">
        <v>1849</v>
      </c>
      <c r="O16" t="s">
        <v>1877</v>
      </c>
      <c r="P16" t="s">
        <v>1878</v>
      </c>
      <c r="Q16" t="s">
        <v>1851</v>
      </c>
      <c r="R16" t="s">
        <v>302</v>
      </c>
      <c r="S16" t="s">
        <v>1852</v>
      </c>
      <c r="T16" s="493">
        <v>0</v>
      </c>
      <c r="U16" s="494">
        <v>0.26629999999999998</v>
      </c>
      <c r="V16" s="495">
        <v>1.0800000000000002E-5</v>
      </c>
      <c r="W16" s="495">
        <v>5.9060402684563761E-6</v>
      </c>
      <c r="X16" s="494">
        <v>7.0269999999999999E-2</v>
      </c>
      <c r="Y16" s="494">
        <v>0.2682341889932886</v>
      </c>
      <c r="Z16" s="496">
        <f>$AD$13</f>
        <v>6.1825197789135439E-3</v>
      </c>
    </row>
    <row r="17" spans="1:25" ht="14.5">
      <c r="A17" s="485" t="str">
        <f t="shared" si="4"/>
        <v>Alabama</v>
      </c>
      <c r="B17" s="486" t="s">
        <v>1870</v>
      </c>
      <c r="C17" s="487">
        <v>1.1430111E-2</v>
      </c>
      <c r="D17" s="488">
        <f t="shared" si="5"/>
        <v>3.0236796791849878E-3</v>
      </c>
      <c r="F17" s="489" t="s">
        <v>1889</v>
      </c>
      <c r="G17" s="489">
        <v>6.2</v>
      </c>
      <c r="H17" s="489">
        <f t="shared" si="1"/>
        <v>12.4</v>
      </c>
      <c r="I17" s="490">
        <f t="shared" si="2"/>
        <v>3.2189505850904774</v>
      </c>
    </row>
    <row r="18" spans="1:25" ht="14.5">
      <c r="A18" s="485" t="str">
        <f t="shared" si="4"/>
        <v>Alabama</v>
      </c>
      <c r="B18" s="486" t="s">
        <v>1875</v>
      </c>
      <c r="C18" s="487">
        <v>1.1598272999999999E-2</v>
      </c>
      <c r="D18" s="488">
        <f t="shared" si="5"/>
        <v>0</v>
      </c>
      <c r="F18" s="489" t="s">
        <v>1890</v>
      </c>
      <c r="G18" s="489">
        <v>6.5</v>
      </c>
      <c r="H18" s="489">
        <f t="shared" si="1"/>
        <v>13</v>
      </c>
      <c r="I18" s="490">
        <f t="shared" si="2"/>
        <v>3.2024290400125022</v>
      </c>
      <c r="X18" t="s">
        <v>1891</v>
      </c>
      <c r="Y18" t="s">
        <v>1892</v>
      </c>
    </row>
    <row r="19" spans="1:25" ht="14.5">
      <c r="A19" s="485" t="str">
        <f t="shared" si="4"/>
        <v>Alabama</v>
      </c>
      <c r="B19" s="486" t="s">
        <v>1880</v>
      </c>
      <c r="C19" s="487">
        <v>7.0981799999999997E-4</v>
      </c>
      <c r="D19" s="488">
        <f t="shared" si="5"/>
        <v>0</v>
      </c>
      <c r="F19" s="489" t="s">
        <v>1893</v>
      </c>
      <c r="G19" s="489">
        <v>6.9</v>
      </c>
      <c r="H19" s="489">
        <f t="shared" si="1"/>
        <v>13.8</v>
      </c>
      <c r="I19" s="490">
        <f t="shared" si="2"/>
        <v>3.8146333250581792</v>
      </c>
      <c r="W19" s="421" t="s">
        <v>1894</v>
      </c>
      <c r="X19" s="68">
        <f>AVERAGE(SUMPRODUCT($X$6:$X$10,$Z$6:$Z$10),SUMPRODUCT($X$11:$X$16,$Z$11:$Z$16))</f>
        <v>7.9946138930333782E-2</v>
      </c>
      <c r="Y19" s="68">
        <f>AVERAGE(SUMPRODUCT($Y$6:$Y$10,$Z$6:$Z$10),SUMPRODUCT($Y$11:$Y$16,$Z$11:$Z$16))</f>
        <v>0.28854094311958173</v>
      </c>
    </row>
    <row r="20" spans="1:25" ht="14.5">
      <c r="A20" s="485" t="s">
        <v>1854</v>
      </c>
      <c r="B20" s="486" t="s">
        <v>1846</v>
      </c>
      <c r="C20" s="487">
        <v>0.642374899</v>
      </c>
      <c r="D20" s="488">
        <f t="shared" si="5"/>
        <v>0.21359676750414572</v>
      </c>
      <c r="F20" s="489" t="s">
        <v>1895</v>
      </c>
      <c r="G20" s="489">
        <v>7</v>
      </c>
      <c r="H20" s="489">
        <f t="shared" si="1"/>
        <v>14</v>
      </c>
      <c r="I20" s="490">
        <f t="shared" si="2"/>
        <v>3.7912978236436516</v>
      </c>
    </row>
    <row r="21" spans="1:25" ht="14.5">
      <c r="A21" s="485" t="str">
        <f t="shared" ref="A21:A26" si="6">A20</f>
        <v>Alaska</v>
      </c>
      <c r="B21" s="486" t="s">
        <v>1853</v>
      </c>
      <c r="C21" s="487">
        <v>0.122715695</v>
      </c>
      <c r="D21" s="488">
        <f t="shared" si="5"/>
        <v>1.813525667873939E-2</v>
      </c>
      <c r="F21" s="489" t="s">
        <v>1896</v>
      </c>
      <c r="G21" s="489">
        <v>6.4</v>
      </c>
      <c r="H21" s="489">
        <f t="shared" si="1"/>
        <v>12.8</v>
      </c>
      <c r="I21" s="490">
        <f t="shared" si="2"/>
        <v>3.4682726262507337</v>
      </c>
    </row>
    <row r="22" spans="1:25" ht="14.5">
      <c r="A22" s="485" t="str">
        <f t="shared" si="6"/>
        <v>Alaska</v>
      </c>
      <c r="B22" s="486" t="s">
        <v>1860</v>
      </c>
      <c r="C22" s="487">
        <v>9.4561602999999994E-2</v>
      </c>
      <c r="D22" s="488">
        <f>C22*8*0.15*VLOOKUP(A22,'State eGrid factors'!$A$2:$D$53,4,FALSE)+N("pct WFH x 8 hours/day x 150 Watts converted to kW x eGRID state-based EFs kg CO2e/kWh")</f>
        <v>4.7222193225404281E-2</v>
      </c>
      <c r="F22" s="489" t="s">
        <v>1897</v>
      </c>
      <c r="G22" s="489">
        <v>7</v>
      </c>
      <c r="H22" s="489">
        <f t="shared" si="1"/>
        <v>14</v>
      </c>
      <c r="I22" s="490">
        <f t="shared" si="2"/>
        <v>3.8935774582237577</v>
      </c>
    </row>
    <row r="23" spans="1:25" ht="14.5">
      <c r="A23" s="485" t="str">
        <f t="shared" si="6"/>
        <v>Alaska</v>
      </c>
      <c r="B23" s="486" t="s">
        <v>1866</v>
      </c>
      <c r="C23" s="487">
        <v>1.2354433E-2</v>
      </c>
      <c r="D23" s="488">
        <f t="shared" ref="D23:D28" si="7">C23*VLOOKUP($B23,$K$6:$L$12,2,FALSE)</f>
        <v>1.6217918211677044E-3</v>
      </c>
      <c r="F23" s="489" t="s">
        <v>1898</v>
      </c>
      <c r="G23" s="489">
        <v>7.2</v>
      </c>
      <c r="H23" s="489">
        <f t="shared" si="1"/>
        <v>14.4</v>
      </c>
      <c r="I23" s="490">
        <f t="shared" si="2"/>
        <v>4.0526017949626114</v>
      </c>
    </row>
    <row r="24" spans="1:25" ht="14.5">
      <c r="A24" s="485" t="str">
        <f t="shared" si="6"/>
        <v>Alaska</v>
      </c>
      <c r="B24" s="486" t="s">
        <v>1870</v>
      </c>
      <c r="C24" s="487">
        <v>5.1514342999999997E-2</v>
      </c>
      <c r="D24" s="488">
        <f t="shared" si="7"/>
        <v>1.3627415526906555E-2</v>
      </c>
      <c r="F24" s="489" t="s">
        <v>1899</v>
      </c>
      <c r="G24" s="489">
        <v>9.8000000000000007</v>
      </c>
      <c r="H24" s="489">
        <f t="shared" si="1"/>
        <v>19.600000000000001</v>
      </c>
      <c r="I24" s="490">
        <f t="shared" si="2"/>
        <v>4.9140573325935168</v>
      </c>
      <c r="J24" s="503"/>
    </row>
    <row r="25" spans="1:25" ht="14.5">
      <c r="A25" s="485" t="str">
        <f t="shared" si="6"/>
        <v>Alaska</v>
      </c>
      <c r="B25" s="486" t="s">
        <v>1875</v>
      </c>
      <c r="C25" s="487">
        <v>7.2725149000000003E-2</v>
      </c>
      <c r="D25" s="488">
        <f t="shared" si="7"/>
        <v>0</v>
      </c>
      <c r="F25" s="489" t="s">
        <v>1900</v>
      </c>
      <c r="G25" s="489">
        <v>7.9</v>
      </c>
      <c r="H25" s="489">
        <f t="shared" si="1"/>
        <v>15.8</v>
      </c>
      <c r="I25" s="490">
        <f t="shared" si="2"/>
        <v>3.8265337212781465</v>
      </c>
    </row>
    <row r="26" spans="1:25" ht="14.5">
      <c r="A26" s="485" t="str">
        <f t="shared" si="6"/>
        <v>Alaska</v>
      </c>
      <c r="B26" s="486" t="s">
        <v>1880</v>
      </c>
      <c r="C26" s="487">
        <v>3.7538789999999999E-3</v>
      </c>
      <c r="D26" s="488">
        <f t="shared" si="7"/>
        <v>0</v>
      </c>
      <c r="F26" s="489" t="s">
        <v>1901</v>
      </c>
      <c r="G26" s="489">
        <v>6.4</v>
      </c>
      <c r="H26" s="489">
        <f t="shared" si="1"/>
        <v>12.8</v>
      </c>
      <c r="I26" s="490">
        <f t="shared" si="2"/>
        <v>3.0083061316775872</v>
      </c>
    </row>
    <row r="27" spans="1:25" ht="14.5">
      <c r="A27" s="485" t="s">
        <v>1861</v>
      </c>
      <c r="B27" s="486" t="s">
        <v>1846</v>
      </c>
      <c r="C27" s="487">
        <v>0.66108323800000002</v>
      </c>
      <c r="D27" s="488">
        <f t="shared" si="7"/>
        <v>0.21981749739566619</v>
      </c>
      <c r="F27" s="489" t="s">
        <v>1902</v>
      </c>
      <c r="G27" s="489">
        <v>8</v>
      </c>
      <c r="H27" s="489">
        <f t="shared" si="1"/>
        <v>16</v>
      </c>
      <c r="I27" s="490">
        <f t="shared" si="2"/>
        <v>4.2695247978216457</v>
      </c>
    </row>
    <row r="28" spans="1:25" ht="14.5">
      <c r="A28" s="485" t="str">
        <f t="shared" ref="A28:A33" si="8">A27</f>
        <v>Arizona</v>
      </c>
      <c r="B28" s="486" t="s">
        <v>1853</v>
      </c>
      <c r="C28" s="487">
        <v>9.8295673E-2</v>
      </c>
      <c r="D28" s="488">
        <f t="shared" si="7"/>
        <v>1.4526399905606478E-2</v>
      </c>
      <c r="F28" s="489" t="s">
        <v>1903</v>
      </c>
      <c r="G28" s="489">
        <v>8.6999999999999993</v>
      </c>
      <c r="H28" s="489">
        <f t="shared" si="1"/>
        <v>17.399999999999999</v>
      </c>
      <c r="I28" s="490">
        <f t="shared" si="2"/>
        <v>4.3706974719642524</v>
      </c>
    </row>
    <row r="29" spans="1:25" ht="14.5">
      <c r="A29" s="485" t="str">
        <f t="shared" si="8"/>
        <v>Arizona</v>
      </c>
      <c r="B29" s="486" t="s">
        <v>1860</v>
      </c>
      <c r="C29" s="487">
        <v>0.19150543</v>
      </c>
      <c r="D29" s="488">
        <f>C29*8*0.15*VLOOKUP(A29,'State eGrid factors'!$A$2:$D$53,4,FALSE)+N("pct WFH x 8 hours/day x 150 Watts converted to kW x eGRID state-based EFs kg CO2e/kWh")</f>
        <v>7.420913157127125E-2</v>
      </c>
      <c r="F29" s="489" t="s">
        <v>1904</v>
      </c>
      <c r="G29" s="489">
        <v>8.5</v>
      </c>
      <c r="H29" s="489">
        <f t="shared" si="1"/>
        <v>17</v>
      </c>
      <c r="I29" s="490">
        <f t="shared" si="2"/>
        <v>4.9548716980562322</v>
      </c>
    </row>
    <row r="30" spans="1:25" ht="14.5">
      <c r="A30" s="485" t="str">
        <f t="shared" si="8"/>
        <v>Arizona</v>
      </c>
      <c r="B30" s="486" t="s">
        <v>1866</v>
      </c>
      <c r="C30" s="487">
        <v>8.3425240000000005E-3</v>
      </c>
      <c r="D30" s="488">
        <f t="shared" ref="D30:D35" si="9">C30*VLOOKUP($B30,$K$6:$L$12,2,FALSE)</f>
        <v>1.0951402780763216E-3</v>
      </c>
      <c r="F30" s="489" t="s">
        <v>1905</v>
      </c>
      <c r="G30" s="489">
        <v>7.9</v>
      </c>
      <c r="H30" s="489">
        <f t="shared" si="1"/>
        <v>15.8</v>
      </c>
      <c r="I30" s="490">
        <f t="shared" si="2"/>
        <v>4.3175058991373172</v>
      </c>
    </row>
    <row r="31" spans="1:25" ht="14.5">
      <c r="A31" s="485" t="str">
        <f t="shared" si="8"/>
        <v>Arizona</v>
      </c>
      <c r="B31" s="486" t="s">
        <v>1870</v>
      </c>
      <c r="C31" s="487">
        <v>1.8542860000000001E-2</v>
      </c>
      <c r="D31" s="488">
        <f t="shared" si="9"/>
        <v>4.9052602355280847E-3</v>
      </c>
      <c r="F31" s="489" t="s">
        <v>1906</v>
      </c>
      <c r="G31" s="489">
        <v>6.5</v>
      </c>
      <c r="H31" s="489">
        <f t="shared" si="1"/>
        <v>13</v>
      </c>
      <c r="I31" s="490">
        <f t="shared" si="2"/>
        <v>3.3329403392445678</v>
      </c>
    </row>
    <row r="32" spans="1:25" ht="14.5">
      <c r="A32" s="485" t="str">
        <f t="shared" si="8"/>
        <v>Arizona</v>
      </c>
      <c r="B32" s="486" t="s">
        <v>1875</v>
      </c>
      <c r="C32" s="487">
        <v>1.7211359999999998E-2</v>
      </c>
      <c r="D32" s="488">
        <f t="shared" si="9"/>
        <v>0</v>
      </c>
      <c r="F32" s="489" t="s">
        <v>1907</v>
      </c>
      <c r="G32" s="489">
        <v>6.2</v>
      </c>
      <c r="H32" s="489">
        <f t="shared" si="1"/>
        <v>12.4</v>
      </c>
      <c r="I32" s="490">
        <f t="shared" si="2"/>
        <v>3.4178786180092593</v>
      </c>
    </row>
    <row r="33" spans="1:20" ht="15" customHeight="1">
      <c r="A33" s="485" t="str">
        <f t="shared" si="8"/>
        <v>Arizona</v>
      </c>
      <c r="B33" s="486" t="s">
        <v>1880</v>
      </c>
      <c r="C33" s="487">
        <v>5.0189149999999997E-3</v>
      </c>
      <c r="D33" s="488">
        <f t="shared" si="9"/>
        <v>0</v>
      </c>
      <c r="F33" s="489" t="s">
        <v>1908</v>
      </c>
      <c r="G33" s="489">
        <v>5.9</v>
      </c>
      <c r="H33" s="489">
        <f t="shared" si="1"/>
        <v>11.8</v>
      </c>
      <c r="I33" s="490">
        <f t="shared" si="2"/>
        <v>3.1031931762750204</v>
      </c>
    </row>
    <row r="34" spans="1:20" ht="14.5">
      <c r="A34" s="485" t="s">
        <v>1867</v>
      </c>
      <c r="B34" s="486" t="s">
        <v>1846</v>
      </c>
      <c r="C34" s="487">
        <v>0.79798434399999996</v>
      </c>
      <c r="D34" s="488">
        <f t="shared" si="9"/>
        <v>0.26533863116795947</v>
      </c>
      <c r="F34" s="489" t="s">
        <v>1909</v>
      </c>
      <c r="G34" s="489">
        <v>9.6</v>
      </c>
      <c r="H34" s="489">
        <f t="shared" si="1"/>
        <v>19.2</v>
      </c>
      <c r="I34" s="490">
        <f t="shared" si="2"/>
        <v>4.8529121858101645</v>
      </c>
    </row>
    <row r="35" spans="1:20" ht="14.5">
      <c r="A35" s="485" t="str">
        <f t="shared" ref="A35:A40" si="10">A34</f>
        <v>Arkansas</v>
      </c>
      <c r="B35" s="486" t="s">
        <v>1853</v>
      </c>
      <c r="C35" s="487">
        <v>8.2866620000000002E-2</v>
      </c>
      <c r="D35" s="488">
        <f t="shared" si="9"/>
        <v>1.2246252802459858E-2</v>
      </c>
      <c r="F35" s="489" t="s">
        <v>1910</v>
      </c>
      <c r="G35" s="489">
        <v>7</v>
      </c>
      <c r="H35" s="489">
        <f t="shared" si="1"/>
        <v>14</v>
      </c>
      <c r="I35" s="490">
        <f t="shared" si="2"/>
        <v>3.3087269105194603</v>
      </c>
      <c r="N35" s="504"/>
      <c r="O35" s="504"/>
      <c r="P35" s="504"/>
      <c r="Q35" s="504"/>
      <c r="R35" s="504"/>
      <c r="S35" s="504"/>
      <c r="T35" s="504"/>
    </row>
    <row r="36" spans="1:20" ht="14.5">
      <c r="A36" s="485" t="str">
        <f t="shared" si="10"/>
        <v>Arkansas</v>
      </c>
      <c r="B36" s="486" t="s">
        <v>1860</v>
      </c>
      <c r="C36" s="487">
        <v>8.7731500000000004E-2</v>
      </c>
      <c r="D36" s="488">
        <f>C36*8*0.15*VLOOKUP(A36,'State eGrid factors'!$A$2:$D$53,4,FALSE)+N("pct WFH x 8 hours/day x 150 Watts converted to kW x eGRID state-based EFs kg CO2e/kWh")</f>
        <v>5.0691569663615509E-2</v>
      </c>
      <c r="F36" s="489" t="s">
        <v>1911</v>
      </c>
      <c r="G36" s="489">
        <v>7.3</v>
      </c>
      <c r="H36" s="489">
        <f t="shared" si="1"/>
        <v>14.6</v>
      </c>
      <c r="I36" s="490">
        <f t="shared" si="2"/>
        <v>3.9042693619787188</v>
      </c>
      <c r="Q36" s="505"/>
      <c r="R36" s="505"/>
    </row>
    <row r="37" spans="1:20" ht="14.5">
      <c r="A37" s="485" t="str">
        <f t="shared" si="10"/>
        <v>Arkansas</v>
      </c>
      <c r="B37" s="486" t="s">
        <v>1866</v>
      </c>
      <c r="C37" s="487">
        <v>2.7737619999999999E-3</v>
      </c>
      <c r="D37" s="488">
        <f t="shared" ref="D37:D42" si="11">C37*VLOOKUP($B37,$K$6:$L$12,2,FALSE)</f>
        <v>3.6411744071668641E-4</v>
      </c>
      <c r="F37" s="489" t="s">
        <v>1912</v>
      </c>
      <c r="G37" s="489">
        <v>6</v>
      </c>
      <c r="H37" s="489">
        <f t="shared" si="1"/>
        <v>12</v>
      </c>
      <c r="I37" s="490">
        <f t="shared" si="2"/>
        <v>2.5147226243979186</v>
      </c>
      <c r="K37" s="504"/>
      <c r="L37" s="504"/>
      <c r="M37" s="504"/>
      <c r="Q37" s="505"/>
      <c r="R37" s="505"/>
    </row>
    <row r="38" spans="1:20" ht="14.5">
      <c r="A38" s="485" t="str">
        <f t="shared" si="10"/>
        <v>Arkansas</v>
      </c>
      <c r="B38" s="486" t="s">
        <v>1870</v>
      </c>
      <c r="C38" s="487">
        <v>1.1945134E-2</v>
      </c>
      <c r="D38" s="488">
        <f t="shared" si="11"/>
        <v>3.1599219763431595E-3</v>
      </c>
      <c r="F38" s="489" t="s">
        <v>1913</v>
      </c>
      <c r="G38" s="489">
        <v>7.5</v>
      </c>
      <c r="H38" s="489">
        <f t="shared" si="1"/>
        <v>15</v>
      </c>
      <c r="I38" s="490">
        <f t="shared" si="2"/>
        <v>3.8571830145123931</v>
      </c>
      <c r="Q38" s="505"/>
      <c r="R38" s="505"/>
    </row>
    <row r="39" spans="1:20" ht="14.5">
      <c r="A39" s="485" t="str">
        <f t="shared" si="10"/>
        <v>Arkansas</v>
      </c>
      <c r="B39" s="486" t="s">
        <v>1875</v>
      </c>
      <c r="C39" s="487">
        <v>1.546291E-2</v>
      </c>
      <c r="D39" s="488">
        <f t="shared" si="11"/>
        <v>0</v>
      </c>
      <c r="F39" s="489" t="s">
        <v>1914</v>
      </c>
      <c r="G39" s="489">
        <v>6.8</v>
      </c>
      <c r="H39" s="489">
        <f t="shared" si="1"/>
        <v>13.6</v>
      </c>
      <c r="I39" s="490">
        <f t="shared" si="2"/>
        <v>3.8286530679990363</v>
      </c>
      <c r="Q39" s="505"/>
      <c r="R39" s="505"/>
    </row>
    <row r="40" spans="1:20" ht="14.5">
      <c r="A40" s="485" t="str">
        <f t="shared" si="10"/>
        <v>Arkansas</v>
      </c>
      <c r="B40" s="486" t="s">
        <v>1880</v>
      </c>
      <c r="C40" s="487">
        <v>1.23573E-3</v>
      </c>
      <c r="D40" s="488">
        <f t="shared" si="11"/>
        <v>0</v>
      </c>
      <c r="F40" s="489" t="s">
        <v>1775</v>
      </c>
      <c r="G40" s="489">
        <v>6.7</v>
      </c>
      <c r="H40" s="489">
        <f t="shared" si="1"/>
        <v>13.4</v>
      </c>
      <c r="I40" s="490">
        <f t="shared" si="2"/>
        <v>3.6281486032184311</v>
      </c>
    </row>
    <row r="41" spans="1:20" ht="14.5">
      <c r="A41" s="485" t="s">
        <v>1871</v>
      </c>
      <c r="B41" s="486" t="s">
        <v>1846</v>
      </c>
      <c r="C41" s="487">
        <v>0.65480239500000004</v>
      </c>
      <c r="D41" s="488">
        <f t="shared" si="11"/>
        <v>0.21772904754482444</v>
      </c>
      <c r="F41" s="489" t="s">
        <v>1915</v>
      </c>
      <c r="G41" s="489">
        <v>7.3</v>
      </c>
      <c r="H41" s="489">
        <f t="shared" si="1"/>
        <v>14.6</v>
      </c>
      <c r="I41" s="490">
        <f t="shared" si="2"/>
        <v>4.0653890932769476</v>
      </c>
    </row>
    <row r="42" spans="1:20" ht="14.5">
      <c r="A42" s="485" t="str">
        <f t="shared" ref="A42:A47" si="12">A41</f>
        <v>California</v>
      </c>
      <c r="B42" s="486" t="s">
        <v>1853</v>
      </c>
      <c r="C42" s="487">
        <v>9.8407175E-2</v>
      </c>
      <c r="D42" s="488">
        <f t="shared" si="11"/>
        <v>1.454287797216669E-2</v>
      </c>
      <c r="F42" s="489" t="s">
        <v>1916</v>
      </c>
      <c r="G42" s="489">
        <v>6.3</v>
      </c>
      <c r="H42" s="489">
        <f t="shared" si="1"/>
        <v>12.6</v>
      </c>
      <c r="I42" s="490">
        <f t="shared" si="2"/>
        <v>2.9578225133132832</v>
      </c>
    </row>
    <row r="43" spans="1:20" ht="14.5">
      <c r="A43" s="485" t="str">
        <f t="shared" si="12"/>
        <v>California</v>
      </c>
      <c r="B43" s="486" t="s">
        <v>1860</v>
      </c>
      <c r="C43" s="487">
        <v>0.171978143</v>
      </c>
      <c r="D43" s="488">
        <f>C43*8*0.15*VLOOKUP(A43,'State eGrid factors'!$A$2:$D$53,4,FALSE)+N("pct WFH x 8 hours/day x 150 Watts converted to kW x eGRID state-based EFs kg CO2e/kWh")</f>
        <v>4.28250242220546E-2</v>
      </c>
      <c r="F43" s="489" t="s">
        <v>1917</v>
      </c>
      <c r="G43" s="489">
        <v>6.7</v>
      </c>
      <c r="H43" s="489">
        <f t="shared" si="1"/>
        <v>13.4</v>
      </c>
      <c r="I43" s="490">
        <f t="shared" si="2"/>
        <v>3.3822041300674326</v>
      </c>
    </row>
    <row r="44" spans="1:20" ht="14.5">
      <c r="A44" s="485" t="str">
        <f t="shared" si="12"/>
        <v>California</v>
      </c>
      <c r="B44" s="486" t="s">
        <v>1866</v>
      </c>
      <c r="C44" s="487">
        <v>2.6579931000000001E-2</v>
      </c>
      <c r="D44" s="488">
        <f t="shared" ref="D44:D49" si="13">C44*VLOOKUP($B44,$K$6:$L$12,2,FALSE)</f>
        <v>3.489202191877355E-3</v>
      </c>
      <c r="F44" s="489" t="s">
        <v>1918</v>
      </c>
      <c r="G44" s="489">
        <v>5.9</v>
      </c>
      <c r="H44" s="489">
        <f t="shared" si="1"/>
        <v>11.8</v>
      </c>
      <c r="I44" s="490">
        <f t="shared" si="2"/>
        <v>3.1114162075642069</v>
      </c>
    </row>
    <row r="45" spans="1:20" ht="14.5">
      <c r="A45" s="485" t="str">
        <f t="shared" si="12"/>
        <v>California</v>
      </c>
      <c r="B45" s="486" t="s">
        <v>1870</v>
      </c>
      <c r="C45" s="487">
        <v>1.6766989999999999E-2</v>
      </c>
      <c r="D45" s="488">
        <f t="shared" si="13"/>
        <v>4.4354780932659267E-3</v>
      </c>
      <c r="F45" s="489" t="s">
        <v>1919</v>
      </c>
      <c r="G45" s="489">
        <v>7.6</v>
      </c>
      <c r="H45" s="489">
        <f t="shared" si="1"/>
        <v>15.2</v>
      </c>
      <c r="I45" s="490">
        <f t="shared" si="2"/>
        <v>4.1535798165778024</v>
      </c>
    </row>
    <row r="46" spans="1:20" ht="14.5">
      <c r="A46" s="485" t="str">
        <f t="shared" si="12"/>
        <v>California</v>
      </c>
      <c r="B46" s="486" t="s">
        <v>1875</v>
      </c>
      <c r="C46" s="487">
        <v>2.411137E-2</v>
      </c>
      <c r="D46" s="488">
        <f t="shared" si="13"/>
        <v>0</v>
      </c>
      <c r="F46" s="489" t="s">
        <v>1920</v>
      </c>
      <c r="G46" s="489">
        <v>7.3</v>
      </c>
      <c r="H46" s="489">
        <f t="shared" si="1"/>
        <v>14.6</v>
      </c>
      <c r="I46" s="490">
        <f t="shared" si="2"/>
        <v>4.0393541926551189</v>
      </c>
    </row>
    <row r="47" spans="1:20" ht="14.5">
      <c r="A47" s="485" t="str">
        <f t="shared" si="12"/>
        <v>California</v>
      </c>
      <c r="B47" s="486" t="s">
        <v>1880</v>
      </c>
      <c r="C47" s="487">
        <v>7.3539970000000001E-3</v>
      </c>
      <c r="D47" s="488">
        <f t="shared" si="13"/>
        <v>0</v>
      </c>
      <c r="F47" s="489" t="s">
        <v>1921</v>
      </c>
      <c r="G47" s="489">
        <v>7.4</v>
      </c>
      <c r="H47" s="489">
        <f t="shared" si="1"/>
        <v>14.8</v>
      </c>
      <c r="I47" s="490">
        <f t="shared" si="2"/>
        <v>3.9895437353598737</v>
      </c>
    </row>
    <row r="48" spans="1:20" ht="14.5">
      <c r="A48" s="485" t="s">
        <v>1876</v>
      </c>
      <c r="B48" s="486" t="s">
        <v>1846</v>
      </c>
      <c r="C48" s="487">
        <v>0.646984004</v>
      </c>
      <c r="D48" s="488">
        <f t="shared" si="13"/>
        <v>0.21512934595735081</v>
      </c>
      <c r="F48" s="489" t="s">
        <v>1922</v>
      </c>
      <c r="G48" s="489">
        <v>7.3</v>
      </c>
      <c r="H48" s="489">
        <f t="shared" si="1"/>
        <v>14.6</v>
      </c>
      <c r="I48" s="490">
        <f t="shared" si="2"/>
        <v>3.8196686543530083</v>
      </c>
    </row>
    <row r="49" spans="1:9" ht="14.5">
      <c r="A49" s="485" t="str">
        <f t="shared" ref="A49:A54" si="14">A48</f>
        <v>Colorado</v>
      </c>
      <c r="B49" s="486" t="s">
        <v>1853</v>
      </c>
      <c r="C49" s="487">
        <v>7.8873402999999995E-2</v>
      </c>
      <c r="D49" s="488">
        <f t="shared" si="13"/>
        <v>1.1656124414490366E-2</v>
      </c>
      <c r="F49" s="489" t="s">
        <v>1923</v>
      </c>
      <c r="G49" s="489">
        <v>6.7</v>
      </c>
      <c r="H49" s="489">
        <f t="shared" si="1"/>
        <v>13.4</v>
      </c>
      <c r="I49" s="490">
        <f t="shared" si="2"/>
        <v>3.4070177860525184</v>
      </c>
    </row>
    <row r="50" spans="1:9" ht="14.5">
      <c r="A50" s="485" t="str">
        <f t="shared" si="14"/>
        <v>Colorado</v>
      </c>
      <c r="B50" s="486" t="s">
        <v>1860</v>
      </c>
      <c r="C50" s="487">
        <v>0.211679809</v>
      </c>
      <c r="D50" s="488">
        <f>C50*8*0.15*VLOOKUP(A50,'State eGrid factors'!$A$2:$D$53,4,FALSE)+N("pct WFH x 8 hours/day x 150 Watts converted to kW x eGRID state-based EFs kg CO2e/kWh")</f>
        <v>0.1351698222289911</v>
      </c>
      <c r="F50" s="489" t="s">
        <v>1924</v>
      </c>
      <c r="G50" s="489">
        <v>9.5</v>
      </c>
      <c r="H50" s="489">
        <f t="shared" si="1"/>
        <v>19</v>
      </c>
      <c r="I50" s="490">
        <f t="shared" si="2"/>
        <v>4.6768812613227784</v>
      </c>
    </row>
    <row r="51" spans="1:9" ht="14.5">
      <c r="A51" s="485" t="str">
        <f t="shared" si="14"/>
        <v>Colorado</v>
      </c>
      <c r="B51" s="486" t="s">
        <v>1866</v>
      </c>
      <c r="C51" s="487">
        <v>1.6347198E-2</v>
      </c>
      <c r="D51" s="488">
        <f t="shared" ref="D51:D56" si="15">C51*VLOOKUP($B51,$K$6:$L$12,2,FALSE)</f>
        <v>2.1459302920181812E-3</v>
      </c>
      <c r="F51" s="489" t="s">
        <v>1925</v>
      </c>
      <c r="G51" s="489">
        <v>7.5</v>
      </c>
      <c r="H51" s="489">
        <f t="shared" si="1"/>
        <v>15</v>
      </c>
      <c r="I51" s="490">
        <f t="shared" si="2"/>
        <v>3.7223363393612949</v>
      </c>
    </row>
    <row r="52" spans="1:9" ht="14.5">
      <c r="A52" s="485" t="str">
        <f t="shared" si="14"/>
        <v>Colorado</v>
      </c>
      <c r="B52" s="486" t="s">
        <v>1870</v>
      </c>
      <c r="C52" s="487">
        <v>1.0852967999999999E-2</v>
      </c>
      <c r="D52" s="488">
        <f t="shared" si="15"/>
        <v>2.8710043848607365E-3</v>
      </c>
      <c r="F52" s="489" t="s">
        <v>1926</v>
      </c>
      <c r="G52" s="489">
        <v>7</v>
      </c>
      <c r="H52" s="489">
        <f t="shared" si="1"/>
        <v>14</v>
      </c>
      <c r="I52" s="490">
        <f t="shared" si="2"/>
        <v>3.2250267384783275</v>
      </c>
    </row>
    <row r="53" spans="1:9" ht="14.5">
      <c r="A53" s="485" t="str">
        <f t="shared" si="14"/>
        <v>Colorado</v>
      </c>
      <c r="B53" s="486" t="s">
        <v>1875</v>
      </c>
      <c r="C53" s="487">
        <v>2.5333095E-2</v>
      </c>
      <c r="D53" s="488">
        <f t="shared" si="15"/>
        <v>0</v>
      </c>
      <c r="F53" s="489" t="s">
        <v>1927</v>
      </c>
      <c r="G53" s="489">
        <v>7.8</v>
      </c>
      <c r="H53" s="489">
        <f t="shared" si="1"/>
        <v>15.6</v>
      </c>
      <c r="I53" s="490">
        <f t="shared" si="2"/>
        <v>4.4161631537206221</v>
      </c>
    </row>
    <row r="54" spans="1:9" ht="14.5">
      <c r="A54" s="485" t="str">
        <f t="shared" si="14"/>
        <v>Colorado</v>
      </c>
      <c r="B54" s="486" t="s">
        <v>1880</v>
      </c>
      <c r="C54" s="487">
        <v>9.9295230000000009E-3</v>
      </c>
      <c r="D54" s="488">
        <f t="shared" si="15"/>
        <v>0</v>
      </c>
      <c r="F54" s="489" t="s">
        <v>1928</v>
      </c>
      <c r="G54" s="489">
        <v>8.1</v>
      </c>
      <c r="H54" s="489">
        <f t="shared" si="1"/>
        <v>16.2</v>
      </c>
      <c r="I54" s="490">
        <f t="shared" si="2"/>
        <v>4.3198404276869757</v>
      </c>
    </row>
    <row r="55" spans="1:9" ht="14.5">
      <c r="A55" s="485" t="s">
        <v>1881</v>
      </c>
      <c r="B55" s="486" t="s">
        <v>1846</v>
      </c>
      <c r="C55" s="487">
        <v>0.68961971899999996</v>
      </c>
      <c r="D55" s="488">
        <f t="shared" si="15"/>
        <v>0.22930619333791449</v>
      </c>
      <c r="F55" s="489" t="s">
        <v>1929</v>
      </c>
      <c r="G55" s="489">
        <v>5.7</v>
      </c>
      <c r="H55" s="489">
        <f t="shared" si="1"/>
        <v>11.4</v>
      </c>
      <c r="I55" s="490">
        <f t="shared" si="2"/>
        <v>3.1650585756184717</v>
      </c>
    </row>
    <row r="56" spans="1:9" ht="14.5">
      <c r="A56" s="485" t="str">
        <f t="shared" ref="A56:A61" si="16">A55</f>
        <v>Connecticut</v>
      </c>
      <c r="B56" s="486" t="s">
        <v>1853</v>
      </c>
      <c r="C56" s="487">
        <v>7.6661986000000001E-2</v>
      </c>
      <c r="D56" s="488">
        <f t="shared" si="15"/>
        <v>1.132931524049899E-2</v>
      </c>
      <c r="F56" s="489" t="s">
        <v>1845</v>
      </c>
      <c r="G56" s="506">
        <f>AVERAGE(G6:G55)</f>
        <v>7.2041666666666684</v>
      </c>
      <c r="H56" s="506">
        <f t="shared" si="1"/>
        <v>14.408333333333337</v>
      </c>
      <c r="I56" s="490">
        <f t="shared" si="2"/>
        <v>4.1166085082005228</v>
      </c>
    </row>
    <row r="57" spans="1:9" ht="14.5">
      <c r="A57" s="485" t="str">
        <f t="shared" si="16"/>
        <v>Connecticut</v>
      </c>
      <c r="B57" s="486" t="s">
        <v>1860</v>
      </c>
      <c r="C57" s="487">
        <v>0.15884778599999999</v>
      </c>
      <c r="D57" s="488">
        <f>C57*8*0.15*VLOOKUP(A57,'State eGrid factors'!$A$2:$D$53,4,FALSE)+N("pct WFH x 8 hours/day x 150 Watts converted to kW x eGRID state-based EFs kg CO2e/kWh")</f>
        <v>4.5245658591743891E-2</v>
      </c>
    </row>
    <row r="58" spans="1:9" ht="14.5">
      <c r="A58" s="485" t="str">
        <f t="shared" si="16"/>
        <v>Connecticut</v>
      </c>
      <c r="B58" s="486" t="s">
        <v>1866</v>
      </c>
      <c r="C58" s="487">
        <v>3.2882965E-2</v>
      </c>
      <c r="D58" s="488">
        <f t="shared" ref="D58:D63" si="17">C58*VLOOKUP($B58,$K$6:$L$12,2,FALSE)</f>
        <v>4.3166144243725214E-3</v>
      </c>
    </row>
    <row r="59" spans="1:9" ht="14.5">
      <c r="A59" s="485" t="str">
        <f t="shared" si="16"/>
        <v>Connecticut</v>
      </c>
      <c r="B59" s="486" t="s">
        <v>1870</v>
      </c>
      <c r="C59" s="487">
        <v>1.2893821E-2</v>
      </c>
      <c r="D59" s="488">
        <f t="shared" si="17"/>
        <v>3.4108841589332471E-3</v>
      </c>
    </row>
    <row r="60" spans="1:9" ht="14.5">
      <c r="A60" s="485" t="str">
        <f t="shared" si="16"/>
        <v>Connecticut</v>
      </c>
      <c r="B60" s="486" t="s">
        <v>1875</v>
      </c>
      <c r="C60" s="487">
        <v>2.7470231000000001E-2</v>
      </c>
      <c r="D60" s="488">
        <f t="shared" si="17"/>
        <v>0</v>
      </c>
    </row>
    <row r="61" spans="1:9" ht="14.5">
      <c r="A61" s="485" t="str">
        <f t="shared" si="16"/>
        <v>Connecticut</v>
      </c>
      <c r="B61" s="486" t="s">
        <v>1880</v>
      </c>
      <c r="C61" s="487">
        <v>1.623492E-3</v>
      </c>
      <c r="D61" s="488">
        <f t="shared" si="17"/>
        <v>0</v>
      </c>
    </row>
    <row r="62" spans="1:9" ht="14.5">
      <c r="A62" s="485" t="s">
        <v>1882</v>
      </c>
      <c r="B62" s="486" t="s">
        <v>1846</v>
      </c>
      <c r="C62" s="487">
        <v>0.72769180700000002</v>
      </c>
      <c r="D62" s="488">
        <f t="shared" si="17"/>
        <v>0.24196558420389133</v>
      </c>
    </row>
    <row r="63" spans="1:9" ht="14.5">
      <c r="A63" s="485" t="str">
        <f t="shared" ref="A63:A68" si="18">A62</f>
        <v>Delaware</v>
      </c>
      <c r="B63" s="486" t="s">
        <v>1853</v>
      </c>
      <c r="C63" s="487">
        <v>7.1336194000000006E-2</v>
      </c>
      <c r="D63" s="488">
        <f t="shared" si="17"/>
        <v>1.0542255321736548E-2</v>
      </c>
    </row>
    <row r="64" spans="1:9" ht="14.5">
      <c r="A64" s="485" t="str">
        <f t="shared" si="18"/>
        <v>Delaware</v>
      </c>
      <c r="B64" s="486" t="s">
        <v>1860</v>
      </c>
      <c r="C64" s="487">
        <v>0.150584623</v>
      </c>
      <c r="D64" s="488">
        <f>C64*8*0.15*VLOOKUP(A64,'State eGrid factors'!$A$2:$D$53,4,FALSE)+N("pct WFH x 8 hours/day x 150 Watts converted to kW x eGRID state-based EFs kg CO2e/kWh")</f>
        <v>7.383369073667552E-2</v>
      </c>
    </row>
    <row r="65" spans="1:4" ht="14.5">
      <c r="A65" s="485" t="str">
        <f t="shared" si="18"/>
        <v>Delaware</v>
      </c>
      <c r="B65" s="486" t="s">
        <v>1866</v>
      </c>
      <c r="C65" s="487">
        <v>1.4350204E-2</v>
      </c>
      <c r="D65" s="488">
        <f t="shared" ref="D65:D70" si="19">C65*VLOOKUP($B65,$K$6:$L$12,2,FALSE)</f>
        <v>1.883780783730672E-3</v>
      </c>
    </row>
    <row r="66" spans="1:4" ht="14.5">
      <c r="A66" s="485" t="str">
        <f t="shared" si="18"/>
        <v>Delaware</v>
      </c>
      <c r="B66" s="486" t="s">
        <v>1870</v>
      </c>
      <c r="C66" s="487">
        <v>1.1234927E-2</v>
      </c>
      <c r="D66" s="488">
        <f t="shared" si="19"/>
        <v>2.9720464190616134E-3</v>
      </c>
    </row>
    <row r="67" spans="1:4" ht="14.5">
      <c r="A67" s="485" t="str">
        <f t="shared" si="18"/>
        <v>Delaware</v>
      </c>
      <c r="B67" s="486" t="s">
        <v>1875</v>
      </c>
      <c r="C67" s="487">
        <v>2.0920349000000001E-2</v>
      </c>
      <c r="D67" s="488">
        <f t="shared" si="19"/>
        <v>0</v>
      </c>
    </row>
    <row r="68" spans="1:4" ht="14.5">
      <c r="A68" s="485" t="str">
        <f t="shared" si="18"/>
        <v>Delaware</v>
      </c>
      <c r="B68" s="486" t="s">
        <v>1880</v>
      </c>
      <c r="C68" s="487">
        <v>3.8818960000000001E-3</v>
      </c>
      <c r="D68" s="488">
        <f t="shared" si="19"/>
        <v>0</v>
      </c>
    </row>
    <row r="69" spans="1:4" ht="14.5">
      <c r="A69" s="485" t="s">
        <v>1930</v>
      </c>
      <c r="B69" s="486" t="s">
        <v>1846</v>
      </c>
      <c r="C69" s="487">
        <v>0.28430803599999999</v>
      </c>
      <c r="D69" s="488">
        <f t="shared" si="19"/>
        <v>9.4535570364887953E-2</v>
      </c>
    </row>
    <row r="70" spans="1:4" ht="14.5">
      <c r="A70" s="485" t="str">
        <f t="shared" ref="A70:A75" si="20">A69</f>
        <v>District of Columbia</v>
      </c>
      <c r="B70" s="486" t="s">
        <v>1853</v>
      </c>
      <c r="C70" s="487">
        <v>3.7540481000000001E-2</v>
      </c>
      <c r="D70" s="488">
        <f t="shared" si="19"/>
        <v>5.5478336228983521E-3</v>
      </c>
    </row>
    <row r="71" spans="1:4" ht="14.5">
      <c r="A71" s="485" t="str">
        <f t="shared" si="20"/>
        <v>District of Columbia</v>
      </c>
      <c r="B71" s="486" t="s">
        <v>1860</v>
      </c>
      <c r="C71" s="487">
        <v>0.33764236800000003</v>
      </c>
      <c r="D71" s="488">
        <f>C71*8*0.15*VLOOKUP(A71,'State eGrid factors'!$A$2:$D$53,4,FALSE)+N("pct WFH x 8 hours/day x 150 Watts converted to kW x eGRID state-based EFs kg CO2e/kWh")</f>
        <v>0.10198005740201577</v>
      </c>
    </row>
    <row r="72" spans="1:4" ht="14.5">
      <c r="A72" s="485" t="str">
        <f t="shared" si="20"/>
        <v>District of Columbia</v>
      </c>
      <c r="B72" s="486" t="s">
        <v>1866</v>
      </c>
      <c r="C72" s="487">
        <v>0.18666748699999999</v>
      </c>
      <c r="D72" s="488">
        <f t="shared" ref="D72:D77" si="21">C72*VLOOKUP($B72,$K$6:$L$12,2,FALSE)</f>
        <v>2.4504224815054546E-2</v>
      </c>
    </row>
    <row r="73" spans="1:4" ht="14.5">
      <c r="A73" s="485" t="str">
        <f t="shared" si="20"/>
        <v>District of Columbia</v>
      </c>
      <c r="B73" s="486" t="s">
        <v>1870</v>
      </c>
      <c r="C73" s="487">
        <v>2.6939935000000002E-2</v>
      </c>
      <c r="D73" s="488">
        <f t="shared" si="21"/>
        <v>7.1265916855981918E-3</v>
      </c>
    </row>
    <row r="74" spans="1:4" ht="14.5">
      <c r="A74" s="485" t="str">
        <f t="shared" si="20"/>
        <v>District of Columbia</v>
      </c>
      <c r="B74" s="486" t="s">
        <v>1875</v>
      </c>
      <c r="C74" s="487">
        <v>9.6659116000000003E-2</v>
      </c>
      <c r="D74" s="488">
        <f t="shared" si="21"/>
        <v>0</v>
      </c>
    </row>
    <row r="75" spans="1:4" ht="14.5">
      <c r="A75" s="485" t="str">
        <f t="shared" si="20"/>
        <v>District of Columbia</v>
      </c>
      <c r="B75" s="486" t="s">
        <v>1880</v>
      </c>
      <c r="C75" s="487">
        <v>3.0242577E-2</v>
      </c>
      <c r="D75" s="488">
        <f t="shared" si="21"/>
        <v>0</v>
      </c>
    </row>
    <row r="76" spans="1:4" ht="14.5">
      <c r="A76" s="485" t="s">
        <v>1781</v>
      </c>
      <c r="B76" s="486" t="s">
        <v>1846</v>
      </c>
      <c r="C76" s="487">
        <v>0.697136333</v>
      </c>
      <c r="D76" s="488">
        <f t="shared" si="21"/>
        <v>0.23180555073104392</v>
      </c>
    </row>
    <row r="77" spans="1:4" ht="14.5">
      <c r="A77" s="485" t="str">
        <f t="shared" ref="A77:A82" si="22">A76</f>
        <v>Florida</v>
      </c>
      <c r="B77" s="486" t="s">
        <v>1853</v>
      </c>
      <c r="C77" s="487">
        <v>8.9895272999999998E-2</v>
      </c>
      <c r="D77" s="488">
        <f t="shared" si="21"/>
        <v>1.3284966116684185E-2</v>
      </c>
    </row>
    <row r="78" spans="1:4" ht="14.5">
      <c r="A78" s="485" t="str">
        <f t="shared" si="22"/>
        <v>Florida</v>
      </c>
      <c r="B78" s="486" t="s">
        <v>1860</v>
      </c>
      <c r="C78" s="487">
        <v>0.163930246</v>
      </c>
      <c r="D78" s="488">
        <f>C78*8*0.15*VLOOKUP(A78,'State eGrid factors'!$A$2:$D$53,4,FALSE)+N("pct WFH x 8 hours/day x 150 Watts converted to kW x eGRID state-based EFs kg CO2e/kWh")</f>
        <v>7.3039564202221893E-2</v>
      </c>
    </row>
    <row r="79" spans="1:4" ht="14.5">
      <c r="A79" s="485" t="str">
        <f t="shared" si="22"/>
        <v>Florida</v>
      </c>
      <c r="B79" s="486" t="s">
        <v>1866</v>
      </c>
      <c r="C79" s="487">
        <v>1.1937680000000001E-2</v>
      </c>
      <c r="D79" s="488">
        <f t="shared" ref="D79:D84" si="23">C79*VLOOKUP($B79,$K$6:$L$12,2,FALSE)</f>
        <v>1.5670837979952041E-3</v>
      </c>
    </row>
    <row r="80" spans="1:4" ht="14.5">
      <c r="A80" s="485" t="str">
        <f t="shared" si="22"/>
        <v>Florida</v>
      </c>
      <c r="B80" s="486" t="s">
        <v>1870</v>
      </c>
      <c r="C80" s="487">
        <v>1.8660010000000001E-2</v>
      </c>
      <c r="D80" s="488">
        <f t="shared" si="23"/>
        <v>4.9362506672409974E-3</v>
      </c>
    </row>
    <row r="81" spans="1:4" ht="14.5">
      <c r="A81" s="485" t="str">
        <f t="shared" si="22"/>
        <v>Florida</v>
      </c>
      <c r="B81" s="486" t="s">
        <v>1875</v>
      </c>
      <c r="C81" s="487">
        <v>1.3686571E-2</v>
      </c>
      <c r="D81" s="488">
        <f t="shared" si="23"/>
        <v>0</v>
      </c>
    </row>
    <row r="82" spans="1:4" ht="14.5">
      <c r="A82" s="485" t="str">
        <f t="shared" si="22"/>
        <v>Florida</v>
      </c>
      <c r="B82" s="486" t="s">
        <v>1880</v>
      </c>
      <c r="C82" s="487">
        <v>4.7538880000000004E-3</v>
      </c>
      <c r="D82" s="488">
        <f t="shared" si="23"/>
        <v>0</v>
      </c>
    </row>
    <row r="83" spans="1:4" ht="14.5">
      <c r="A83" s="485" t="s">
        <v>5</v>
      </c>
      <c r="B83" s="486" t="s">
        <v>1846</v>
      </c>
      <c r="C83" s="487">
        <v>0.70526188400000001</v>
      </c>
      <c r="D83" s="488">
        <f t="shared" si="23"/>
        <v>0.23450738641997249</v>
      </c>
    </row>
    <row r="84" spans="1:4" ht="14.5">
      <c r="A84" s="485" t="str">
        <f t="shared" ref="A84:A89" si="24">A83</f>
        <v>Georgia</v>
      </c>
      <c r="B84" s="486" t="s">
        <v>1853</v>
      </c>
      <c r="C84" s="487">
        <v>8.9678059000000004E-2</v>
      </c>
      <c r="D84" s="488">
        <f t="shared" si="23"/>
        <v>1.3252865645393894E-2</v>
      </c>
    </row>
    <row r="85" spans="1:4" ht="14.5">
      <c r="A85" s="485" t="str">
        <f t="shared" si="24"/>
        <v>Georgia</v>
      </c>
      <c r="B85" s="486" t="s">
        <v>1860</v>
      </c>
      <c r="C85" s="487">
        <v>0.16336388299999999</v>
      </c>
      <c r="D85" s="488">
        <f>C85*8*0.15*VLOOKUP(A85,'State eGrid factors'!$A$2:$D$53,4,FALSE)+N("pct WFH x 8 hours/day x 150 Watts converted to kW x eGRID state-based EFs kg CO2e/kWh")</f>
        <v>6.5907592181674121E-2</v>
      </c>
    </row>
    <row r="86" spans="1:4" ht="14.5">
      <c r="A86" s="485" t="str">
        <f t="shared" si="24"/>
        <v>Georgia</v>
      </c>
      <c r="B86" s="486" t="s">
        <v>1866</v>
      </c>
      <c r="C86" s="487">
        <v>1.0573473E-2</v>
      </c>
      <c r="D86" s="488">
        <f t="shared" ref="D86:D91" si="25">C86*VLOOKUP($B86,$K$6:$L$12,2,FALSE)</f>
        <v>1.3880015402356022E-3</v>
      </c>
    </row>
    <row r="87" spans="1:4" ht="14.5">
      <c r="A87" s="485" t="str">
        <f t="shared" si="24"/>
        <v>Georgia</v>
      </c>
      <c r="B87" s="486" t="s">
        <v>1870</v>
      </c>
      <c r="C87" s="487">
        <v>1.6400109999999999E-2</v>
      </c>
      <c r="D87" s="488">
        <f t="shared" si="25"/>
        <v>4.3384250024692244E-3</v>
      </c>
    </row>
    <row r="88" spans="1:4" ht="14.5">
      <c r="A88" s="485" t="str">
        <f t="shared" si="24"/>
        <v>Georgia</v>
      </c>
      <c r="B88" s="486" t="s">
        <v>1875</v>
      </c>
      <c r="C88" s="487">
        <v>1.3174893E-2</v>
      </c>
      <c r="D88" s="488">
        <f t="shared" si="25"/>
        <v>0</v>
      </c>
    </row>
    <row r="89" spans="1:4" ht="14.5">
      <c r="A89" s="485" t="str">
        <f t="shared" si="24"/>
        <v>Georgia</v>
      </c>
      <c r="B89" s="486" t="s">
        <v>1880</v>
      </c>
      <c r="C89" s="487">
        <v>1.5476979999999999E-3</v>
      </c>
      <c r="D89" s="488">
        <f t="shared" si="25"/>
        <v>0</v>
      </c>
    </row>
    <row r="90" spans="1:4" ht="14.5">
      <c r="A90" s="485" t="s">
        <v>1887</v>
      </c>
      <c r="B90" s="486" t="s">
        <v>1846</v>
      </c>
      <c r="C90" s="487">
        <v>0.64081809599999995</v>
      </c>
      <c r="D90" s="488">
        <f t="shared" si="25"/>
        <v>0.21307911326678616</v>
      </c>
    </row>
    <row r="91" spans="1:4" ht="14.5">
      <c r="A91" s="485" t="str">
        <f t="shared" ref="A91:A96" si="26">A90</f>
        <v>Hawaii</v>
      </c>
      <c r="B91" s="486" t="s">
        <v>1853</v>
      </c>
      <c r="C91" s="487">
        <v>0.14976298199999999</v>
      </c>
      <c r="D91" s="488">
        <f t="shared" si="25"/>
        <v>2.2132377765887459E-2</v>
      </c>
    </row>
    <row r="92" spans="1:4" ht="14.5">
      <c r="A92" s="485" t="str">
        <f t="shared" si="26"/>
        <v>Hawaii</v>
      </c>
      <c r="B92" s="486" t="s">
        <v>1860</v>
      </c>
      <c r="C92" s="487">
        <v>9.5036279000000001E-2</v>
      </c>
      <c r="D92" s="488">
        <f>C92*8*0.15*VLOOKUP(A92,'State eGrid factors'!$A$2:$D$53,4,FALSE)+N("pct WFH x 8 hours/day x 150 Watts converted to kW x eGRID state-based EFs kg CO2e/kWh")</f>
        <v>7.5709301400285228E-2</v>
      </c>
    </row>
    <row r="93" spans="1:4" ht="14.5">
      <c r="A93" s="485" t="str">
        <f t="shared" si="26"/>
        <v>Hawaii</v>
      </c>
      <c r="B93" s="486" t="s">
        <v>1866</v>
      </c>
      <c r="C93" s="487">
        <v>3.5247269999999997E-2</v>
      </c>
      <c r="D93" s="488">
        <f t="shared" ref="D93:D98" si="27">C93*VLOOKUP($B93,$K$6:$L$12,2,FALSE)</f>
        <v>4.6269816028376041E-3</v>
      </c>
    </row>
    <row r="94" spans="1:4" ht="14.5">
      <c r="A94" s="485" t="str">
        <f t="shared" si="26"/>
        <v>Hawaii</v>
      </c>
      <c r="B94" s="486" t="s">
        <v>1870</v>
      </c>
      <c r="C94" s="487">
        <v>2.5174169E-2</v>
      </c>
      <c r="D94" s="488">
        <f t="shared" si="27"/>
        <v>6.6594824184707099E-3</v>
      </c>
    </row>
    <row r="95" spans="1:4" ht="14.5">
      <c r="A95" s="485" t="str">
        <f t="shared" si="26"/>
        <v>Hawaii</v>
      </c>
      <c r="B95" s="486" t="s">
        <v>1875</v>
      </c>
      <c r="C95" s="487">
        <v>4.5347558000000003E-2</v>
      </c>
      <c r="D95" s="488">
        <f t="shared" si="27"/>
        <v>0</v>
      </c>
    </row>
    <row r="96" spans="1:4" ht="14.5">
      <c r="A96" s="485" t="str">
        <f t="shared" si="26"/>
        <v>Hawaii</v>
      </c>
      <c r="B96" s="486" t="s">
        <v>1880</v>
      </c>
      <c r="C96" s="487">
        <v>8.6136460000000008E-3</v>
      </c>
      <c r="D96" s="488">
        <f t="shared" si="27"/>
        <v>0</v>
      </c>
    </row>
    <row r="97" spans="1:4" ht="14.5">
      <c r="A97" s="485" t="s">
        <v>1889</v>
      </c>
      <c r="B97" s="486" t="s">
        <v>1846</v>
      </c>
      <c r="C97" s="487">
        <v>0.72371618299999996</v>
      </c>
      <c r="D97" s="488">
        <f t="shared" si="27"/>
        <v>0.24064364519828282</v>
      </c>
    </row>
    <row r="98" spans="1:4" ht="14.5">
      <c r="A98" s="485" t="str">
        <f t="shared" ref="A98:A103" si="28">A97</f>
        <v>Idaho</v>
      </c>
      <c r="B98" s="486" t="s">
        <v>1853</v>
      </c>
      <c r="C98" s="487">
        <v>8.7607056000000003E-2</v>
      </c>
      <c r="D98" s="488">
        <f t="shared" si="27"/>
        <v>1.2946807231370819E-2</v>
      </c>
    </row>
    <row r="99" spans="1:4" ht="14.5">
      <c r="A99" s="485" t="str">
        <f t="shared" si="28"/>
        <v>Idaho</v>
      </c>
      <c r="B99" s="486" t="s">
        <v>1860</v>
      </c>
      <c r="C99" s="487">
        <v>0.131459401</v>
      </c>
      <c r="D99" s="488">
        <f>C99*8*0.15*VLOOKUP(A99,'State eGrid factors'!$A$2:$D$53,4,FALSE)+N("pct WFH x 8 hours/day x 150 Watts converted to kW x eGRID state-based EFs kg CO2e/kWh")</f>
        <v>1.7776660736834832E-2</v>
      </c>
    </row>
    <row r="100" spans="1:4" ht="14.5">
      <c r="A100" s="485" t="str">
        <f t="shared" si="28"/>
        <v>Idaho</v>
      </c>
      <c r="B100" s="486" t="s">
        <v>1866</v>
      </c>
      <c r="C100" s="487">
        <v>6.4713310000000003E-3</v>
      </c>
      <c r="D100" s="488">
        <f t="shared" ref="D100:D105" si="29">C100*VLOOKUP($B100,$K$6:$L$12,2,FALSE)</f>
        <v>8.4950492571120198E-4</v>
      </c>
    </row>
    <row r="101" spans="1:4" ht="14.5">
      <c r="A101" s="485" t="str">
        <f t="shared" si="28"/>
        <v>Idaho</v>
      </c>
      <c r="B101" s="486" t="s">
        <v>1870</v>
      </c>
      <c r="C101" s="487">
        <v>1.4059429999999999E-2</v>
      </c>
      <c r="D101" s="488">
        <f t="shared" si="29"/>
        <v>3.7192300925094944E-3</v>
      </c>
    </row>
    <row r="102" spans="1:4" ht="14.5">
      <c r="A102" s="485" t="str">
        <f t="shared" si="28"/>
        <v>Idaho</v>
      </c>
      <c r="B102" s="486" t="s">
        <v>1875</v>
      </c>
      <c r="C102" s="487">
        <v>2.9266344999999999E-2</v>
      </c>
      <c r="D102" s="488">
        <f t="shared" si="29"/>
        <v>0</v>
      </c>
    </row>
    <row r="103" spans="1:4" ht="14.5">
      <c r="A103" s="485" t="str">
        <f t="shared" si="28"/>
        <v>Idaho</v>
      </c>
      <c r="B103" s="486" t="s">
        <v>1880</v>
      </c>
      <c r="C103" s="487">
        <v>7.4202549999999997E-3</v>
      </c>
      <c r="D103" s="488">
        <f t="shared" si="29"/>
        <v>0</v>
      </c>
    </row>
    <row r="104" spans="1:4" ht="14.5">
      <c r="A104" s="485" t="s">
        <v>1890</v>
      </c>
      <c r="B104" s="486" t="s">
        <v>1846</v>
      </c>
      <c r="C104" s="487">
        <v>0.66055257899999997</v>
      </c>
      <c r="D104" s="488">
        <f t="shared" si="29"/>
        <v>0.2196410474017087</v>
      </c>
    </row>
    <row r="105" spans="1:4" ht="14.5">
      <c r="A105" s="485" t="str">
        <f t="shared" ref="A105:A110" si="30">A104</f>
        <v>Illinois</v>
      </c>
      <c r="B105" s="486" t="s">
        <v>1853</v>
      </c>
      <c r="C105" s="487">
        <v>7.9286264999999995E-2</v>
      </c>
      <c r="D105" s="488">
        <f t="shared" si="29"/>
        <v>1.1717138275373424E-2</v>
      </c>
    </row>
    <row r="106" spans="1:4" ht="14.5">
      <c r="A106" s="485" t="str">
        <f t="shared" si="30"/>
        <v>Illinois</v>
      </c>
      <c r="B106" s="486" t="s">
        <v>1860</v>
      </c>
      <c r="C106" s="487">
        <v>0.158239346</v>
      </c>
      <c r="D106" s="488">
        <f>C106*8*0.15*VLOOKUP(A106,'State eGrid factors'!$A$2:$D$53,4,FALSE)+N("pct WFH x 8 hours/day x 150 Watts converted to kW x eGRID state-based EFs kg CO2e/kWh")</f>
        <v>5.1023780497858502E-2</v>
      </c>
    </row>
    <row r="107" spans="1:4" ht="14.5">
      <c r="A107" s="485" t="str">
        <f t="shared" si="30"/>
        <v>Illinois</v>
      </c>
      <c r="B107" s="486" t="s">
        <v>1866</v>
      </c>
      <c r="C107" s="487">
        <v>5.5866775E-2</v>
      </c>
      <c r="D107" s="488">
        <f t="shared" ref="D107:D112" si="31">C107*VLOOKUP($B107,$K$6:$L$12,2,FALSE)</f>
        <v>7.3337464187969116E-3</v>
      </c>
    </row>
    <row r="108" spans="1:4" ht="14.5">
      <c r="A108" s="485" t="str">
        <f t="shared" si="30"/>
        <v>Illinois</v>
      </c>
      <c r="B108" s="486" t="s">
        <v>1870</v>
      </c>
      <c r="C108" s="487">
        <v>1.4076920999999999E-2</v>
      </c>
      <c r="D108" s="488">
        <f t="shared" si="31"/>
        <v>3.7238570975550818E-3</v>
      </c>
    </row>
    <row r="109" spans="1:4" ht="14.5">
      <c r="A109" s="485" t="str">
        <f t="shared" si="30"/>
        <v>Illinois</v>
      </c>
      <c r="B109" s="486" t="s">
        <v>1875</v>
      </c>
      <c r="C109" s="487">
        <v>2.631091E-2</v>
      </c>
      <c r="D109" s="488">
        <f t="shared" si="31"/>
        <v>0</v>
      </c>
    </row>
    <row r="110" spans="1:4" ht="14.5">
      <c r="A110" s="485" t="str">
        <f t="shared" si="30"/>
        <v>Illinois</v>
      </c>
      <c r="B110" s="486" t="s">
        <v>1880</v>
      </c>
      <c r="C110" s="487">
        <v>5.6672040000000003E-3</v>
      </c>
      <c r="D110" s="488">
        <f t="shared" si="31"/>
        <v>0</v>
      </c>
    </row>
    <row r="111" spans="1:4" ht="14.5">
      <c r="A111" s="485" t="s">
        <v>1893</v>
      </c>
      <c r="B111" s="486" t="s">
        <v>1846</v>
      </c>
      <c r="C111" s="487">
        <v>0.75747493200000005</v>
      </c>
      <c r="D111" s="488">
        <f t="shared" si="31"/>
        <v>0.25186880308133364</v>
      </c>
    </row>
    <row r="112" spans="1:4" ht="14.5">
      <c r="A112" s="485" t="str">
        <f t="shared" ref="A112:A117" si="32">A111</f>
        <v>Indiana</v>
      </c>
      <c r="B112" s="486" t="s">
        <v>1853</v>
      </c>
      <c r="C112" s="487">
        <v>9.6508185999999996E-2</v>
      </c>
      <c r="D112" s="488">
        <f t="shared" si="31"/>
        <v>1.4262240251416277E-2</v>
      </c>
    </row>
    <row r="113" spans="1:4" ht="14.5">
      <c r="A113" s="485" t="str">
        <f t="shared" si="32"/>
        <v>Indiana</v>
      </c>
      <c r="B113" s="486" t="s">
        <v>1860</v>
      </c>
      <c r="C113" s="487">
        <v>0.104874234</v>
      </c>
      <c r="D113" s="488">
        <f>C113*8*0.15*VLOOKUP(A113,'State eGrid factors'!$A$2:$D$53,4,FALSE)+N("pct WFH x 8 hours/day x 150 Watts converted to kW x eGRID state-based EFs kg CO2e/kWh")</f>
        <v>8.9999029669185618E-2</v>
      </c>
    </row>
    <row r="114" spans="1:4" ht="14.5">
      <c r="A114" s="485" t="str">
        <f t="shared" si="32"/>
        <v>Indiana</v>
      </c>
      <c r="B114" s="486" t="s">
        <v>1866</v>
      </c>
      <c r="C114" s="487">
        <v>6.5018580000000001E-3</v>
      </c>
      <c r="D114" s="488">
        <f t="shared" ref="D114:D119" si="33">C114*VLOOKUP($B114,$K$6:$L$12,2,FALSE)</f>
        <v>8.5351226776605679E-4</v>
      </c>
    </row>
    <row r="115" spans="1:4" ht="14.5">
      <c r="A115" s="485" t="str">
        <f t="shared" si="32"/>
        <v>Indiana</v>
      </c>
      <c r="B115" s="486" t="s">
        <v>1870</v>
      </c>
      <c r="C115" s="487">
        <v>1.1024875999999999E-2</v>
      </c>
      <c r="D115" s="488">
        <f t="shared" si="33"/>
        <v>2.916480297237207E-3</v>
      </c>
    </row>
    <row r="116" spans="1:4" ht="14.5">
      <c r="A116" s="485" t="str">
        <f t="shared" si="32"/>
        <v>Indiana</v>
      </c>
      <c r="B116" s="486" t="s">
        <v>1875</v>
      </c>
      <c r="C116" s="487">
        <v>1.9397310000000001E-2</v>
      </c>
      <c r="D116" s="488">
        <f t="shared" si="33"/>
        <v>0</v>
      </c>
    </row>
    <row r="117" spans="1:4" ht="14.5">
      <c r="A117" s="485" t="str">
        <f t="shared" si="32"/>
        <v>Indiana</v>
      </c>
      <c r="B117" s="486" t="s">
        <v>1880</v>
      </c>
      <c r="C117" s="487">
        <v>4.2186050000000003E-3</v>
      </c>
      <c r="D117" s="488">
        <f t="shared" si="33"/>
        <v>0</v>
      </c>
    </row>
    <row r="118" spans="1:4" ht="14.5">
      <c r="A118" s="485" t="s">
        <v>1895</v>
      </c>
      <c r="B118" s="486" t="s">
        <v>1846</v>
      </c>
      <c r="C118" s="487">
        <v>0.76080344099999997</v>
      </c>
      <c r="D118" s="488">
        <f t="shared" si="33"/>
        <v>0.25297556918336411</v>
      </c>
    </row>
    <row r="119" spans="1:4" ht="14.5">
      <c r="A119" s="485" t="str">
        <f t="shared" ref="A119:A124" si="34">A118</f>
        <v>Iowa</v>
      </c>
      <c r="B119" s="486" t="s">
        <v>1853</v>
      </c>
      <c r="C119" s="487">
        <v>8.0154630000000004E-2</v>
      </c>
      <c r="D119" s="488">
        <f t="shared" si="33"/>
        <v>1.1845467599229135E-2</v>
      </c>
    </row>
    <row r="120" spans="1:4" ht="14.5">
      <c r="A120" s="485" t="str">
        <f t="shared" si="34"/>
        <v>Iowa</v>
      </c>
      <c r="B120" s="486" t="s">
        <v>1860</v>
      </c>
      <c r="C120" s="487">
        <v>0.10972817</v>
      </c>
      <c r="D120" s="488">
        <f>C120*8*0.15*VLOOKUP(A120,'State eGrid factors'!$A$2:$D$53,4,FALSE)+N("pct WFH x 8 hours/day x 150 Watts converted to kW x eGRID state-based EFs kg CO2e/kWh")</f>
        <v>3.712389950688464E-2</v>
      </c>
    </row>
    <row r="121" spans="1:4" ht="14.5">
      <c r="A121" s="485" t="str">
        <f t="shared" si="34"/>
        <v>Iowa</v>
      </c>
      <c r="B121" s="486" t="s">
        <v>1866</v>
      </c>
      <c r="C121" s="487">
        <v>7.6358759999999998E-3</v>
      </c>
      <c r="D121" s="488">
        <f t="shared" ref="D121:D126" si="35">C121*VLOOKUP($B121,$K$6:$L$12,2,FALSE)</f>
        <v>1.0023771422169488E-3</v>
      </c>
    </row>
    <row r="122" spans="1:4" ht="14.5">
      <c r="A122" s="485" t="str">
        <f t="shared" si="34"/>
        <v>Iowa</v>
      </c>
      <c r="B122" s="486" t="s">
        <v>1870</v>
      </c>
      <c r="C122" s="487">
        <v>8.8149189999999992E-3</v>
      </c>
      <c r="D122" s="488">
        <f t="shared" si="35"/>
        <v>2.331866370673185E-3</v>
      </c>
    </row>
    <row r="123" spans="1:4" ht="14.5">
      <c r="A123" s="485" t="str">
        <f t="shared" si="34"/>
        <v>Iowa</v>
      </c>
      <c r="B123" s="486" t="s">
        <v>1875</v>
      </c>
      <c r="C123" s="487">
        <v>2.8959800000000001E-2</v>
      </c>
      <c r="D123" s="488">
        <f t="shared" si="35"/>
        <v>0</v>
      </c>
    </row>
    <row r="124" spans="1:4" ht="14.5">
      <c r="A124" s="485" t="str">
        <f t="shared" si="34"/>
        <v>Iowa</v>
      </c>
      <c r="B124" s="486" t="s">
        <v>1880</v>
      </c>
      <c r="C124" s="487">
        <v>3.9031629999999999E-3</v>
      </c>
      <c r="D124" s="488">
        <f t="shared" si="35"/>
        <v>0</v>
      </c>
    </row>
    <row r="125" spans="1:4" ht="14.5">
      <c r="A125" s="485" t="s">
        <v>1896</v>
      </c>
      <c r="B125" s="486" t="s">
        <v>1846</v>
      </c>
      <c r="C125" s="487">
        <v>0.75309764199999996</v>
      </c>
      <c r="D125" s="488">
        <f t="shared" si="35"/>
        <v>0.25041330568272152</v>
      </c>
    </row>
    <row r="126" spans="1:4" ht="14.5">
      <c r="A126" s="485" t="str">
        <f t="shared" ref="A126:A131" si="36">A125</f>
        <v>Kansas</v>
      </c>
      <c r="B126" s="486" t="s">
        <v>1853</v>
      </c>
      <c r="C126" s="487">
        <v>8.3068381999999996E-2</v>
      </c>
      <c r="D126" s="488">
        <f t="shared" si="35"/>
        <v>1.2276069735477397E-2</v>
      </c>
    </row>
    <row r="127" spans="1:4" ht="14.5">
      <c r="A127" s="485" t="str">
        <f t="shared" si="36"/>
        <v>Kansas</v>
      </c>
      <c r="B127" s="486" t="s">
        <v>1860</v>
      </c>
      <c r="C127" s="487">
        <v>0.12090530400000001</v>
      </c>
      <c r="D127" s="488">
        <f>C127*8*0.15*VLOOKUP(A127,'State eGrid factors'!$A$2:$D$53,4,FALSE)+N("pct WFH x 8 hours/day x 150 Watts converted to kW x eGRID state-based EFs kg CO2e/kWh")</f>
        <v>5.4375172733371932E-2</v>
      </c>
    </row>
    <row r="128" spans="1:4" ht="14.5">
      <c r="A128" s="485" t="str">
        <f t="shared" si="36"/>
        <v>Kansas</v>
      </c>
      <c r="B128" s="486" t="s">
        <v>1866</v>
      </c>
      <c r="C128" s="487">
        <v>4.7584519999999998E-3</v>
      </c>
      <c r="D128" s="488">
        <f t="shared" ref="D128:D133" si="37">C128*VLOOKUP($B128,$K$6:$L$12,2,FALSE)</f>
        <v>6.2465177762663045E-4</v>
      </c>
    </row>
    <row r="129" spans="1:4" ht="14.5">
      <c r="A129" s="485" t="str">
        <f t="shared" si="36"/>
        <v>Kansas</v>
      </c>
      <c r="B129" s="486" t="s">
        <v>1870</v>
      </c>
      <c r="C129" s="487">
        <v>1.2840245E-2</v>
      </c>
      <c r="D129" s="488">
        <f t="shared" si="37"/>
        <v>3.3967113602183432E-3</v>
      </c>
    </row>
    <row r="130" spans="1:4" ht="14.5">
      <c r="A130" s="485" t="str">
        <f t="shared" si="36"/>
        <v>Kansas</v>
      </c>
      <c r="B130" s="486" t="s">
        <v>1875</v>
      </c>
      <c r="C130" s="487">
        <v>2.2463885999999999E-2</v>
      </c>
      <c r="D130" s="488">
        <f t="shared" si="37"/>
        <v>0</v>
      </c>
    </row>
    <row r="131" spans="1:4" ht="14.5">
      <c r="A131" s="485" t="str">
        <f t="shared" si="36"/>
        <v>Kansas</v>
      </c>
      <c r="B131" s="486" t="s">
        <v>1880</v>
      </c>
      <c r="C131" s="487">
        <v>2.866089E-3</v>
      </c>
      <c r="D131" s="488">
        <f t="shared" si="37"/>
        <v>0</v>
      </c>
    </row>
    <row r="132" spans="1:4" ht="14.5">
      <c r="A132" s="485" t="s">
        <v>1897</v>
      </c>
      <c r="B132" s="486" t="s">
        <v>1846</v>
      </c>
      <c r="C132" s="487">
        <v>0.75969172799999996</v>
      </c>
      <c r="D132" s="488">
        <f t="shared" si="37"/>
        <v>0.25260591229988066</v>
      </c>
    </row>
    <row r="133" spans="1:4" ht="14.5">
      <c r="A133" s="485" t="str">
        <f t="shared" ref="A133:A138" si="38">A132</f>
        <v>Kentucky</v>
      </c>
      <c r="B133" s="486" t="s">
        <v>1853</v>
      </c>
      <c r="C133" s="487">
        <v>9.8763010999999998E-2</v>
      </c>
      <c r="D133" s="488">
        <f t="shared" si="37"/>
        <v>1.4595464376827771E-2</v>
      </c>
    </row>
    <row r="134" spans="1:4" ht="14.5">
      <c r="A134" s="485" t="str">
        <f t="shared" si="38"/>
        <v>Kentucky</v>
      </c>
      <c r="B134" s="486" t="s">
        <v>1860</v>
      </c>
      <c r="C134" s="487">
        <v>0.10462579499999999</v>
      </c>
      <c r="D134" s="488">
        <f>C134*8*0.15*VLOOKUP(A134,'State eGrid factors'!$A$2:$D$53,4,FALSE)+N("pct WFH x 8 hours/day x 150 Watts converted to kW x eGRID state-based EFs kg CO2e/kWh")</f>
        <v>9.8650228983348617E-2</v>
      </c>
    </row>
    <row r="135" spans="1:4" ht="14.5">
      <c r="A135" s="485" t="str">
        <f t="shared" si="38"/>
        <v>Kentucky</v>
      </c>
      <c r="B135" s="486" t="s">
        <v>1866</v>
      </c>
      <c r="C135" s="487">
        <v>4.5962570000000003E-3</v>
      </c>
      <c r="D135" s="488">
        <f t="shared" ref="D135:D140" si="39">C135*VLOOKUP($B135,$K$6:$L$12,2,FALSE)</f>
        <v>6.0336010649657582E-4</v>
      </c>
    </row>
    <row r="136" spans="1:4" ht="14.5">
      <c r="A136" s="485" t="str">
        <f t="shared" si="38"/>
        <v>Kentucky</v>
      </c>
      <c r="B136" s="486" t="s">
        <v>1870</v>
      </c>
      <c r="C136" s="487">
        <v>1.2329095999999999E-2</v>
      </c>
      <c r="D136" s="488">
        <f t="shared" si="39"/>
        <v>3.2614938768241982E-3</v>
      </c>
    </row>
    <row r="137" spans="1:4" ht="14.5">
      <c r="A137" s="485" t="str">
        <f t="shared" si="38"/>
        <v>Kentucky</v>
      </c>
      <c r="B137" s="486" t="s">
        <v>1875</v>
      </c>
      <c r="C137" s="487">
        <v>1.8718739000000002E-2</v>
      </c>
      <c r="D137" s="488">
        <f t="shared" si="39"/>
        <v>0</v>
      </c>
    </row>
    <row r="138" spans="1:4" ht="14.5">
      <c r="A138" s="485" t="str">
        <f t="shared" si="38"/>
        <v>Kentucky</v>
      </c>
      <c r="B138" s="486" t="s">
        <v>1880</v>
      </c>
      <c r="C138" s="487">
        <v>1.275373E-3</v>
      </c>
      <c r="D138" s="488">
        <f t="shared" si="39"/>
        <v>0</v>
      </c>
    </row>
    <row r="139" spans="1:4" ht="14.5">
      <c r="A139" s="485" t="s">
        <v>1898</v>
      </c>
      <c r="B139" s="486" t="s">
        <v>1846</v>
      </c>
      <c r="C139" s="487">
        <v>0.78529847399999997</v>
      </c>
      <c r="D139" s="488">
        <f t="shared" si="39"/>
        <v>0.26112043891107645</v>
      </c>
    </row>
    <row r="140" spans="1:4" ht="14.5">
      <c r="A140" s="485" t="str">
        <f t="shared" ref="A140:A145" si="40">A139</f>
        <v>Louisiana</v>
      </c>
      <c r="B140" s="486" t="s">
        <v>1853</v>
      </c>
      <c r="C140" s="487">
        <v>8.5246921000000003E-2</v>
      </c>
      <c r="D140" s="488">
        <f t="shared" si="39"/>
        <v>1.2598020109874448E-2</v>
      </c>
    </row>
    <row r="141" spans="1:4" ht="14.5">
      <c r="A141" s="485" t="str">
        <f t="shared" si="40"/>
        <v>Louisiana</v>
      </c>
      <c r="B141" s="486" t="s">
        <v>1860</v>
      </c>
      <c r="C141" s="487">
        <v>8.1888804999999995E-2</v>
      </c>
      <c r="D141" s="488">
        <f>C141*8*0.15*VLOOKUP(A141,'State eGrid factors'!$A$2:$D$53,4,FALSE)+N("pct WFH x 8 hours/day x 150 Watts converted to kW x eGRID state-based EFs kg CO2e/kWh")</f>
        <v>3.6579069735705017E-2</v>
      </c>
    </row>
    <row r="142" spans="1:4" ht="14.5">
      <c r="A142" s="485" t="str">
        <f t="shared" si="40"/>
        <v>Louisiana</v>
      </c>
      <c r="B142" s="486" t="s">
        <v>1866</v>
      </c>
      <c r="C142" s="487">
        <v>7.6249689999999997E-3</v>
      </c>
      <c r="D142" s="488">
        <f t="shared" ref="D142:D147" si="41">C142*VLOOKUP($B142,$K$6:$L$12,2,FALSE)</f>
        <v>1.0009453579016771E-3</v>
      </c>
    </row>
    <row r="143" spans="1:4" ht="14.5">
      <c r="A143" s="485" t="str">
        <f t="shared" si="40"/>
        <v>Louisiana</v>
      </c>
      <c r="B143" s="486" t="s">
        <v>1870</v>
      </c>
      <c r="C143" s="487">
        <v>1.5767447E-2</v>
      </c>
      <c r="D143" s="488">
        <f t="shared" si="41"/>
        <v>4.1710626507937059E-3</v>
      </c>
    </row>
    <row r="144" spans="1:4" ht="14.5">
      <c r="A144" s="485" t="str">
        <f t="shared" si="40"/>
        <v>Louisiana</v>
      </c>
      <c r="B144" s="486" t="s">
        <v>1875</v>
      </c>
      <c r="C144" s="487">
        <v>2.1432812999999998E-2</v>
      </c>
      <c r="D144" s="488">
        <f t="shared" si="41"/>
        <v>0</v>
      </c>
    </row>
    <row r="145" spans="1:4" ht="14.5">
      <c r="A145" s="485" t="str">
        <f t="shared" si="40"/>
        <v>Louisiana</v>
      </c>
      <c r="B145" s="486" t="s">
        <v>1880</v>
      </c>
      <c r="C145" s="487">
        <v>2.7405709999999998E-3</v>
      </c>
      <c r="D145" s="488">
        <f t="shared" si="41"/>
        <v>0</v>
      </c>
    </row>
    <row r="146" spans="1:4" ht="14.5">
      <c r="A146" s="485" t="s">
        <v>1899</v>
      </c>
      <c r="B146" s="486" t="s">
        <v>1846</v>
      </c>
      <c r="C146" s="487">
        <v>0.70005918700000003</v>
      </c>
      <c r="D146" s="488">
        <f t="shared" si="41"/>
        <v>0.23277743205339702</v>
      </c>
    </row>
    <row r="147" spans="1:4" ht="14.5">
      <c r="A147" s="485" t="str">
        <f t="shared" ref="A147:A152" si="42">A146</f>
        <v>Maine</v>
      </c>
      <c r="B147" s="486" t="s">
        <v>1853</v>
      </c>
      <c r="C147" s="487">
        <v>8.1519158999999994E-2</v>
      </c>
      <c r="D147" s="488">
        <f t="shared" si="41"/>
        <v>1.2047121378402071E-2</v>
      </c>
    </row>
    <row r="148" spans="1:4" ht="14.5">
      <c r="A148" s="485" t="str">
        <f t="shared" si="42"/>
        <v>Maine</v>
      </c>
      <c r="B148" s="486" t="s">
        <v>1860</v>
      </c>
      <c r="C148" s="487">
        <v>0.15694826200000001</v>
      </c>
      <c r="D148" s="488">
        <f>C148*8*0.15*VLOOKUP(A148,'State eGrid factors'!$A$2:$D$53,4,FALSE)+N("pct WFH x 8 hours/day x 150 Watts converted to kW x eGRID state-based EFs kg CO2e/kWh")</f>
        <v>2.9277113501735091E-2</v>
      </c>
    </row>
    <row r="149" spans="1:4" ht="14.5">
      <c r="A149" s="485" t="str">
        <f t="shared" si="42"/>
        <v>Maine</v>
      </c>
      <c r="B149" s="486" t="s">
        <v>1866</v>
      </c>
      <c r="C149" s="487">
        <v>5.0059479999999996E-3</v>
      </c>
      <c r="D149" s="488">
        <f t="shared" ref="D149:D154" si="43">C149*VLOOKUP($B149,$K$6:$L$12,2,FALSE)</f>
        <v>6.5714108640929354E-4</v>
      </c>
    </row>
    <row r="150" spans="1:4" ht="14.5">
      <c r="A150" s="485" t="str">
        <f t="shared" si="42"/>
        <v>Maine</v>
      </c>
      <c r="B150" s="486" t="s">
        <v>1870</v>
      </c>
      <c r="C150" s="487">
        <v>1.4144696E-2</v>
      </c>
      <c r="D150" s="488">
        <f t="shared" si="43"/>
        <v>3.7417860476988527E-3</v>
      </c>
    </row>
    <row r="151" spans="1:4" ht="14.5">
      <c r="A151" s="485" t="str">
        <f t="shared" si="42"/>
        <v>Maine</v>
      </c>
      <c r="B151" s="486" t="s">
        <v>1875</v>
      </c>
      <c r="C151" s="487">
        <v>3.7598082999999997E-2</v>
      </c>
      <c r="D151" s="488">
        <f t="shared" si="43"/>
        <v>0</v>
      </c>
    </row>
    <row r="152" spans="1:4" ht="14.5">
      <c r="A152" s="485" t="str">
        <f t="shared" si="42"/>
        <v>Maine</v>
      </c>
      <c r="B152" s="486" t="s">
        <v>1880</v>
      </c>
      <c r="C152" s="487">
        <v>4.7246659999999998E-3</v>
      </c>
      <c r="D152" s="488">
        <f t="shared" si="43"/>
        <v>0</v>
      </c>
    </row>
    <row r="153" spans="1:4" ht="14.5">
      <c r="A153" s="485" t="s">
        <v>1900</v>
      </c>
      <c r="B153" s="486" t="s">
        <v>1846</v>
      </c>
      <c r="C153" s="487">
        <v>0.65119720999999997</v>
      </c>
      <c r="D153" s="488">
        <f t="shared" si="43"/>
        <v>0.21653028360891535</v>
      </c>
    </row>
    <row r="154" spans="1:4" ht="14.5">
      <c r="A154" s="485" t="str">
        <f t="shared" ref="A154:A159" si="44">A153</f>
        <v>Maryland</v>
      </c>
      <c r="B154" s="486" t="s">
        <v>1853</v>
      </c>
      <c r="C154" s="487">
        <v>7.9107071000000001E-2</v>
      </c>
      <c r="D154" s="488">
        <f t="shared" si="43"/>
        <v>1.1690656502318316E-2</v>
      </c>
    </row>
    <row r="155" spans="1:4" ht="14.5">
      <c r="A155" s="485" t="str">
        <f t="shared" si="44"/>
        <v>Maryland</v>
      </c>
      <c r="B155" s="486" t="s">
        <v>1860</v>
      </c>
      <c r="C155" s="487">
        <v>0.19190228500000001</v>
      </c>
      <c r="D155" s="488">
        <f>C155*8*0.15*VLOOKUP(A155,'State eGrid factors'!$A$2:$D$53,4,FALSE)+N("pct WFH x 8 hours/day x 150 Watts converted to kW x eGRID state-based EFs kg CO2e/kWh")</f>
        <v>6.6903183428890248E-2</v>
      </c>
    </row>
    <row r="156" spans="1:4" ht="14.5">
      <c r="A156" s="485" t="str">
        <f t="shared" si="44"/>
        <v>Maryland</v>
      </c>
      <c r="B156" s="486" t="s">
        <v>1866</v>
      </c>
      <c r="C156" s="487">
        <v>3.9520765999999999E-2</v>
      </c>
      <c r="D156" s="488">
        <f t="shared" ref="D156:D161" si="45">C156*VLOOKUP($B156,$K$6:$L$12,2,FALSE)</f>
        <v>5.1879722092533663E-3</v>
      </c>
    </row>
    <row r="157" spans="1:4" ht="14.5">
      <c r="A157" s="485" t="str">
        <f t="shared" si="44"/>
        <v>Maryland</v>
      </c>
      <c r="B157" s="486" t="s">
        <v>1870</v>
      </c>
      <c r="C157" s="487">
        <v>1.7171129E-2</v>
      </c>
      <c r="D157" s="488">
        <f t="shared" si="45"/>
        <v>4.5423875433899148E-3</v>
      </c>
    </row>
    <row r="158" spans="1:4" ht="14.5">
      <c r="A158" s="485" t="str">
        <f t="shared" si="44"/>
        <v>Maryland</v>
      </c>
      <c r="B158" s="486" t="s">
        <v>1875</v>
      </c>
      <c r="C158" s="487">
        <v>1.8328872E-2</v>
      </c>
      <c r="D158" s="488">
        <f t="shared" si="45"/>
        <v>0</v>
      </c>
    </row>
    <row r="159" spans="1:4" ht="14.5">
      <c r="A159" s="485" t="str">
        <f t="shared" si="44"/>
        <v>Maryland</v>
      </c>
      <c r="B159" s="486" t="s">
        <v>1880</v>
      </c>
      <c r="C159" s="487">
        <v>2.7726669999999999E-3</v>
      </c>
      <c r="D159" s="488">
        <f t="shared" si="45"/>
        <v>0</v>
      </c>
    </row>
    <row r="160" spans="1:4" ht="14.5">
      <c r="A160" s="485" t="s">
        <v>1901</v>
      </c>
      <c r="B160" s="486" t="s">
        <v>1846</v>
      </c>
      <c r="C160" s="487">
        <v>0.61542892400000004</v>
      </c>
      <c r="D160" s="488">
        <f t="shared" si="45"/>
        <v>0.20463693241998016</v>
      </c>
    </row>
    <row r="161" spans="1:4" ht="14.5">
      <c r="A161" s="485" t="str">
        <f t="shared" ref="A161:A166" si="46">A160</f>
        <v>Massachusetts</v>
      </c>
      <c r="B161" s="486" t="s">
        <v>1853</v>
      </c>
      <c r="C161" s="487">
        <v>7.1292140000000004E-2</v>
      </c>
      <c r="D161" s="488">
        <f t="shared" si="45"/>
        <v>1.0535744902692551E-2</v>
      </c>
    </row>
    <row r="162" spans="1:4" ht="14.5">
      <c r="A162" s="485" t="str">
        <f t="shared" si="46"/>
        <v>Massachusetts</v>
      </c>
      <c r="B162" s="486" t="s">
        <v>1860</v>
      </c>
      <c r="C162" s="487">
        <v>0.18429041199999999</v>
      </c>
      <c r="D162" s="488">
        <f>C162*8*0.15*VLOOKUP(A162,'State eGrid factors'!$A$2:$D$53,4,FALSE)+N("pct WFH x 8 hours/day x 150 Watts converted to kW x eGRID state-based EFs kg CO2e/kWh")</f>
        <v>8.6189451338495343E-2</v>
      </c>
    </row>
    <row r="163" spans="1:4" ht="14.5">
      <c r="A163" s="485" t="str">
        <f t="shared" si="46"/>
        <v>Massachusetts</v>
      </c>
      <c r="B163" s="486" t="s">
        <v>1866</v>
      </c>
      <c r="C163" s="487">
        <v>6.2053438000000002E-2</v>
      </c>
      <c r="D163" s="488">
        <f t="shared" ref="D163:D168" si="47">C163*VLOOKUP($B163,$K$6:$L$12,2,FALSE)</f>
        <v>8.1458823908581827E-3</v>
      </c>
    </row>
    <row r="164" spans="1:4" ht="14.5">
      <c r="A164" s="485" t="str">
        <f t="shared" si="46"/>
        <v>Massachusetts</v>
      </c>
      <c r="B164" s="486" t="s">
        <v>1870</v>
      </c>
      <c r="C164" s="487">
        <v>1.8794416000000001E-2</v>
      </c>
      <c r="D164" s="488">
        <f t="shared" si="47"/>
        <v>4.9718059379606381E-3</v>
      </c>
    </row>
    <row r="165" spans="1:4" ht="14.5">
      <c r="A165" s="485" t="str">
        <f t="shared" si="46"/>
        <v>Massachusetts</v>
      </c>
      <c r="B165" s="486" t="s">
        <v>1875</v>
      </c>
      <c r="C165" s="487">
        <v>4.0144445000000001E-2</v>
      </c>
      <c r="D165" s="488">
        <f t="shared" si="47"/>
        <v>0</v>
      </c>
    </row>
    <row r="166" spans="1:4" ht="14.5">
      <c r="A166" s="485" t="str">
        <f t="shared" si="46"/>
        <v>Massachusetts</v>
      </c>
      <c r="B166" s="486" t="s">
        <v>1880</v>
      </c>
      <c r="C166" s="487">
        <v>7.9962260000000004E-3</v>
      </c>
      <c r="D166" s="488">
        <f t="shared" si="47"/>
        <v>0</v>
      </c>
    </row>
    <row r="167" spans="1:4" ht="14.5">
      <c r="A167" s="485" t="s">
        <v>1902</v>
      </c>
      <c r="B167" s="486" t="s">
        <v>1846</v>
      </c>
      <c r="C167" s="487">
        <v>0.74047442600000002</v>
      </c>
      <c r="D167" s="488">
        <f t="shared" si="47"/>
        <v>0.24621594657466178</v>
      </c>
    </row>
    <row r="168" spans="1:4" ht="14.5">
      <c r="A168" s="485" t="str">
        <f t="shared" ref="A168:A173" si="48">A167</f>
        <v>Michigan</v>
      </c>
      <c r="B168" s="486" t="s">
        <v>1853</v>
      </c>
      <c r="C168" s="487">
        <v>7.8572600000000006E-2</v>
      </c>
      <c r="D168" s="488">
        <f t="shared" si="47"/>
        <v>1.1611670935131149E-2</v>
      </c>
    </row>
    <row r="169" spans="1:4" ht="14.5">
      <c r="A169" s="485" t="str">
        <f t="shared" si="48"/>
        <v>Michigan</v>
      </c>
      <c r="B169" s="486" t="s">
        <v>1860</v>
      </c>
      <c r="C169" s="487">
        <v>0.136576012</v>
      </c>
      <c r="D169" s="488">
        <f>C169*8*0.15*VLOOKUP(A169,'State eGrid factors'!$A$2:$D$53,4,FALSE)+N("pct WFH x 8 hours/day x 150 Watts converted to kW x eGRID state-based EFs kg CO2e/kWh")</f>
        <v>7.5509036264239993E-2</v>
      </c>
    </row>
    <row r="170" spans="1:4" ht="14.5">
      <c r="A170" s="485" t="str">
        <f t="shared" si="48"/>
        <v>Michigan</v>
      </c>
      <c r="B170" s="486" t="s">
        <v>1866</v>
      </c>
      <c r="C170" s="487">
        <v>8.3566579999999994E-3</v>
      </c>
      <c r="D170" s="488">
        <f t="shared" ref="D170:D175" si="49">C170*VLOOKUP($B170,$K$6:$L$12,2,FALSE)</f>
        <v>1.0969956773164472E-3</v>
      </c>
    </row>
    <row r="171" spans="1:4" ht="14.5">
      <c r="A171" s="485" t="str">
        <f t="shared" si="48"/>
        <v>Michigan</v>
      </c>
      <c r="B171" s="486" t="s">
        <v>1870</v>
      </c>
      <c r="C171" s="487">
        <v>1.2101822999999999E-2</v>
      </c>
      <c r="D171" s="488">
        <f t="shared" si="49"/>
        <v>3.2013719102284752E-3</v>
      </c>
    </row>
    <row r="172" spans="1:4" ht="14.5">
      <c r="A172" s="485" t="str">
        <f t="shared" si="48"/>
        <v>Michigan</v>
      </c>
      <c r="B172" s="486" t="s">
        <v>1875</v>
      </c>
      <c r="C172" s="487">
        <v>2.0289761999999999E-2</v>
      </c>
      <c r="D172" s="488">
        <f t="shared" si="49"/>
        <v>0</v>
      </c>
    </row>
    <row r="173" spans="1:4" ht="14.5">
      <c r="A173" s="485" t="str">
        <f t="shared" si="48"/>
        <v>Michigan</v>
      </c>
      <c r="B173" s="486" t="s">
        <v>1880</v>
      </c>
      <c r="C173" s="487">
        <v>3.6287189999999999E-3</v>
      </c>
      <c r="D173" s="488">
        <f t="shared" si="49"/>
        <v>0</v>
      </c>
    </row>
    <row r="174" spans="1:4" ht="14.5">
      <c r="A174" s="485" t="s">
        <v>1903</v>
      </c>
      <c r="B174" s="486" t="s">
        <v>1846</v>
      </c>
      <c r="C174" s="487">
        <v>0.692709083</v>
      </c>
      <c r="D174" s="488">
        <f t="shared" si="49"/>
        <v>0.23033344107918044</v>
      </c>
    </row>
    <row r="175" spans="1:4" ht="14.5">
      <c r="A175" s="485" t="str">
        <f t="shared" ref="A175:A180" si="50">A174</f>
        <v>Minnesota</v>
      </c>
      <c r="B175" s="486" t="s">
        <v>1853</v>
      </c>
      <c r="C175" s="487">
        <v>7.6844098E-2</v>
      </c>
      <c r="D175" s="488">
        <f t="shared" si="49"/>
        <v>1.1356228243471255E-2</v>
      </c>
    </row>
    <row r="176" spans="1:4" ht="14.5">
      <c r="A176" s="485" t="str">
        <f t="shared" si="50"/>
        <v>Minnesota</v>
      </c>
      <c r="B176" s="486" t="s">
        <v>1860</v>
      </c>
      <c r="C176" s="487">
        <v>0.17159453299999999</v>
      </c>
      <c r="D176" s="488">
        <f>C176*8*0.15*VLOOKUP(A176,'State eGrid factors'!$A$2:$D$53,4,FALSE)+N("pct WFH x 8 hours/day x 150 Watts converted to kW x eGRID state-based EFs kg CO2e/kWh")</f>
        <v>7.2274625382295191E-2</v>
      </c>
    </row>
    <row r="177" spans="1:4" ht="14.5">
      <c r="A177" s="485" t="str">
        <f t="shared" si="50"/>
        <v>Minnesota</v>
      </c>
      <c r="B177" s="486" t="s">
        <v>1866</v>
      </c>
      <c r="C177" s="487">
        <v>1.6292768999999999E-2</v>
      </c>
      <c r="D177" s="488">
        <f t="shared" ref="D177:D182" si="51">C177*VLOOKUP($B177,$K$6:$L$12,2,FALSE)</f>
        <v>2.1387852852797627E-3</v>
      </c>
    </row>
    <row r="178" spans="1:4" ht="14.5">
      <c r="A178" s="485" t="str">
        <f t="shared" si="50"/>
        <v>Minnesota</v>
      </c>
      <c r="B178" s="486" t="s">
        <v>1870</v>
      </c>
      <c r="C178" s="487">
        <v>1.2124388E-2</v>
      </c>
      <c r="D178" s="488">
        <f t="shared" si="51"/>
        <v>3.2073411726407835E-3</v>
      </c>
    </row>
    <row r="179" spans="1:4" ht="14.5">
      <c r="A179" s="485" t="str">
        <f t="shared" si="50"/>
        <v>Minnesota</v>
      </c>
      <c r="B179" s="486" t="s">
        <v>1875</v>
      </c>
      <c r="C179" s="487">
        <v>2.5637673E-2</v>
      </c>
      <c r="D179" s="488">
        <f t="shared" si="51"/>
        <v>0</v>
      </c>
    </row>
    <row r="180" spans="1:4" ht="14.5">
      <c r="A180" s="485" t="str">
        <f t="shared" si="50"/>
        <v>Minnesota</v>
      </c>
      <c r="B180" s="486" t="s">
        <v>1880</v>
      </c>
      <c r="C180" s="487">
        <v>4.7974560000000003E-3</v>
      </c>
      <c r="D180" s="488">
        <f t="shared" si="51"/>
        <v>0</v>
      </c>
    </row>
    <row r="181" spans="1:4" ht="14.5">
      <c r="A181" s="485" t="s">
        <v>1904</v>
      </c>
      <c r="B181" s="486" t="s">
        <v>1846</v>
      </c>
      <c r="C181" s="487">
        <v>0.81881575399999995</v>
      </c>
      <c r="D181" s="488">
        <f t="shared" si="51"/>
        <v>0.27226530567762697</v>
      </c>
    </row>
    <row r="182" spans="1:4" ht="14.5">
      <c r="A182" s="485" t="str">
        <f t="shared" ref="A182:A187" si="52">A181</f>
        <v>Mississippi</v>
      </c>
      <c r="B182" s="486" t="s">
        <v>1853</v>
      </c>
      <c r="C182" s="487">
        <v>9.5872866000000001E-2</v>
      </c>
      <c r="D182" s="488">
        <f t="shared" si="51"/>
        <v>1.4168350946766725E-2</v>
      </c>
    </row>
    <row r="183" spans="1:4" ht="14.5">
      <c r="A183" s="485" t="str">
        <f t="shared" si="52"/>
        <v>Mississippi</v>
      </c>
      <c r="B183" s="486" t="s">
        <v>1860</v>
      </c>
      <c r="C183" s="487">
        <v>5.5209147E-2</v>
      </c>
      <c r="D183" s="488">
        <f>C183*8*0.15*VLOOKUP(A183,'State eGrid factors'!$A$2:$D$53,4,FALSE)+N("pct WFH x 8 hours/day x 150 Watts converted to kW x eGRID state-based EFs kg CO2e/kWh")</f>
        <v>2.6706299827943137E-2</v>
      </c>
    </row>
    <row r="184" spans="1:4" ht="14.5">
      <c r="A184" s="485" t="str">
        <f t="shared" si="52"/>
        <v>Mississippi</v>
      </c>
      <c r="B184" s="486" t="s">
        <v>1866</v>
      </c>
      <c r="C184" s="487">
        <v>2.8662319999999998E-3</v>
      </c>
      <c r="D184" s="488">
        <f t="shared" ref="D184:D189" si="53">C184*VLOOKUP($B184,$K$6:$L$12,2,FALSE)</f>
        <v>3.7625616773907404E-4</v>
      </c>
    </row>
    <row r="185" spans="1:4" ht="14.5">
      <c r="A185" s="485" t="str">
        <f t="shared" si="52"/>
        <v>Mississippi</v>
      </c>
      <c r="B185" s="486" t="s">
        <v>1870</v>
      </c>
      <c r="C185" s="487">
        <v>1.1651214E-2</v>
      </c>
      <c r="D185" s="488">
        <f t="shared" si="53"/>
        <v>3.0821694565901976E-3</v>
      </c>
    </row>
    <row r="186" spans="1:4" ht="14.5">
      <c r="A186" s="485" t="str">
        <f t="shared" si="52"/>
        <v>Mississippi</v>
      </c>
      <c r="B186" s="486" t="s">
        <v>1875</v>
      </c>
      <c r="C186" s="487">
        <v>1.4864432E-2</v>
      </c>
      <c r="D186" s="488">
        <f t="shared" si="53"/>
        <v>0</v>
      </c>
    </row>
    <row r="187" spans="1:4" ht="14.5">
      <c r="A187" s="485" t="str">
        <f t="shared" si="52"/>
        <v>Mississippi</v>
      </c>
      <c r="B187" s="486" t="s">
        <v>1880</v>
      </c>
      <c r="C187" s="487">
        <v>7.2035600000000001E-4</v>
      </c>
      <c r="D187" s="488">
        <f t="shared" si="53"/>
        <v>0</v>
      </c>
    </row>
    <row r="188" spans="1:4" ht="14.5">
      <c r="A188" s="485" t="s">
        <v>1905</v>
      </c>
      <c r="B188" s="486" t="s">
        <v>1846</v>
      </c>
      <c r="C188" s="487">
        <v>0.754295359</v>
      </c>
      <c r="D188" s="488">
        <f t="shared" si="53"/>
        <v>0.25081155984860348</v>
      </c>
    </row>
    <row r="189" spans="1:4" ht="14.5">
      <c r="A189" s="485" t="str">
        <f t="shared" ref="A189:A194" si="54">A188</f>
        <v>Missouri</v>
      </c>
      <c r="B189" s="486" t="s">
        <v>1853</v>
      </c>
      <c r="C189" s="487">
        <v>7.9309630000000006E-2</v>
      </c>
      <c r="D189" s="488">
        <f t="shared" si="53"/>
        <v>1.1720591218147362E-2</v>
      </c>
    </row>
    <row r="190" spans="1:4" ht="14.5">
      <c r="A190" s="485" t="str">
        <f t="shared" si="54"/>
        <v>Missouri</v>
      </c>
      <c r="B190" s="486" t="s">
        <v>1860</v>
      </c>
      <c r="C190" s="487">
        <v>0.12905718799999999</v>
      </c>
      <c r="D190" s="488">
        <f>C190*8*0.15*VLOOKUP(A190,'State eGrid factors'!$A$2:$D$53,4,FALSE)+N("pct WFH x 8 hours/day x 150 Watts converted to kW x eGRID state-based EFs kg CO2e/kWh")</f>
        <v>0.10661904966435722</v>
      </c>
    </row>
    <row r="191" spans="1:4" ht="14.5">
      <c r="A191" s="485" t="str">
        <f t="shared" si="54"/>
        <v>Missouri</v>
      </c>
      <c r="B191" s="486" t="s">
        <v>1866</v>
      </c>
      <c r="C191" s="487">
        <v>8.1736759999999995E-3</v>
      </c>
      <c r="D191" s="488">
        <f t="shared" ref="D191:D196" si="55">C191*VLOOKUP($B191,$K$6:$L$12,2,FALSE)</f>
        <v>1.072975253957406E-3</v>
      </c>
    </row>
    <row r="192" spans="1:4" ht="14.5">
      <c r="A192" s="485" t="str">
        <f t="shared" si="54"/>
        <v>Missouri</v>
      </c>
      <c r="B192" s="486" t="s">
        <v>1870</v>
      </c>
      <c r="C192" s="487">
        <v>1.0987903E-2</v>
      </c>
      <c r="D192" s="488">
        <f t="shared" si="55"/>
        <v>2.9066995953018976E-3</v>
      </c>
    </row>
    <row r="193" spans="1:4" ht="14.5">
      <c r="A193" s="485" t="str">
        <f t="shared" si="54"/>
        <v>Missouri</v>
      </c>
      <c r="B193" s="486" t="s">
        <v>1875</v>
      </c>
      <c r="C193" s="487">
        <v>1.6370023000000001E-2</v>
      </c>
      <c r="D193" s="488">
        <f t="shared" si="55"/>
        <v>0</v>
      </c>
    </row>
    <row r="194" spans="1:4" ht="14.5">
      <c r="A194" s="485" t="str">
        <f t="shared" si="54"/>
        <v>Missouri</v>
      </c>
      <c r="B194" s="486" t="s">
        <v>1880</v>
      </c>
      <c r="C194" s="487">
        <v>1.806221E-3</v>
      </c>
      <c r="D194" s="488">
        <f t="shared" si="55"/>
        <v>0</v>
      </c>
    </row>
    <row r="195" spans="1:4" ht="14.5">
      <c r="A195" s="485" t="s">
        <v>1906</v>
      </c>
      <c r="B195" s="486" t="s">
        <v>1846</v>
      </c>
      <c r="C195" s="487">
        <v>0.693783382</v>
      </c>
      <c r="D195" s="488">
        <f t="shared" si="55"/>
        <v>0.23069065739334549</v>
      </c>
    </row>
    <row r="196" spans="1:4" ht="14.5">
      <c r="A196" s="485" t="str">
        <f t="shared" ref="A196:A201" si="56">A195</f>
        <v>Montana</v>
      </c>
      <c r="B196" s="486" t="s">
        <v>1853</v>
      </c>
      <c r="C196" s="487">
        <v>0.10900694700000001</v>
      </c>
      <c r="D196" s="488">
        <f t="shared" si="55"/>
        <v>1.6109340892464824E-2</v>
      </c>
    </row>
    <row r="197" spans="1:4" ht="14.5">
      <c r="A197" s="485" t="str">
        <f t="shared" si="56"/>
        <v>Montana</v>
      </c>
      <c r="B197" s="486" t="s">
        <v>1860</v>
      </c>
      <c r="C197" s="487">
        <v>0.12594719099999999</v>
      </c>
      <c r="D197" s="488">
        <f>C197*8*0.15*VLOOKUP(A197,'State eGrid factors'!$A$2:$D$53,4,FALSE)+N("pct WFH x 8 hours/day x 150 Watts converted to kW x eGRID state-based EFs kg CO2e/kWh")</f>
        <v>7.0703961259508133E-2</v>
      </c>
    </row>
    <row r="198" spans="1:4" ht="14.5">
      <c r="A198" s="485" t="str">
        <f t="shared" si="56"/>
        <v>Montana</v>
      </c>
      <c r="B198" s="486" t="s">
        <v>1866</v>
      </c>
      <c r="C198" s="487">
        <v>4.9405270000000001E-3</v>
      </c>
      <c r="D198" s="488">
        <f t="shared" ref="D198:D203" si="57">C198*VLOOKUP($B198,$K$6:$L$12,2,FALSE)</f>
        <v>6.4855313723083982E-4</v>
      </c>
    </row>
    <row r="199" spans="1:4" ht="14.5">
      <c r="A199" s="485" t="str">
        <f t="shared" si="56"/>
        <v>Montana</v>
      </c>
      <c r="B199" s="486" t="s">
        <v>1870</v>
      </c>
      <c r="C199" s="487">
        <v>1.3203133000000001E-2</v>
      </c>
      <c r="D199" s="488">
        <f t="shared" si="57"/>
        <v>3.4927084219634201E-3</v>
      </c>
    </row>
    <row r="200" spans="1:4" ht="14.5">
      <c r="A200" s="485" t="str">
        <f t="shared" si="56"/>
        <v>Montana</v>
      </c>
      <c r="B200" s="486" t="s">
        <v>1875</v>
      </c>
      <c r="C200" s="487">
        <v>4.3560369000000002E-2</v>
      </c>
      <c r="D200" s="488">
        <f t="shared" si="57"/>
        <v>0</v>
      </c>
    </row>
    <row r="201" spans="1:4" ht="14.5">
      <c r="A201" s="485" t="str">
        <f t="shared" si="56"/>
        <v>Montana</v>
      </c>
      <c r="B201" s="486" t="s">
        <v>1880</v>
      </c>
      <c r="C201" s="487">
        <v>9.5584520000000003E-3</v>
      </c>
      <c r="D201" s="488">
        <f t="shared" si="57"/>
        <v>0</v>
      </c>
    </row>
    <row r="202" spans="1:4" ht="14.5">
      <c r="A202" s="485" t="s">
        <v>1907</v>
      </c>
      <c r="B202" s="486" t="s">
        <v>1846</v>
      </c>
      <c r="C202" s="487">
        <v>0.76463442599999998</v>
      </c>
      <c r="D202" s="488">
        <f t="shared" si="57"/>
        <v>0.25424941411975677</v>
      </c>
    </row>
    <row r="203" spans="1:4" ht="14.5">
      <c r="A203" s="485" t="str">
        <f t="shared" ref="A203:A208" si="58">A202</f>
        <v>Nebraska</v>
      </c>
      <c r="B203" s="486" t="s">
        <v>1853</v>
      </c>
      <c r="C203" s="487">
        <v>8.7261688000000004E-2</v>
      </c>
      <c r="D203" s="488">
        <f t="shared" si="57"/>
        <v>1.2895767816008156E-2</v>
      </c>
    </row>
    <row r="204" spans="1:4" ht="14.5">
      <c r="A204" s="485" t="str">
        <f t="shared" si="58"/>
        <v>Nebraska</v>
      </c>
      <c r="B204" s="486" t="s">
        <v>1860</v>
      </c>
      <c r="C204" s="487">
        <v>0.108376212</v>
      </c>
      <c r="D204" s="488">
        <f>C204*8*0.15*VLOOKUP(A204,'State eGrid factors'!$A$2:$D$53,4,FALSE)+N("pct WFH x 8 hours/day x 150 Watts converted to kW x eGRID state-based EFs kg CO2e/kWh")</f>
        <v>6.5223345098885083E-2</v>
      </c>
    </row>
    <row r="205" spans="1:4" ht="14.5">
      <c r="A205" s="485" t="str">
        <f t="shared" si="58"/>
        <v>Nebraska</v>
      </c>
      <c r="B205" s="486" t="s">
        <v>1866</v>
      </c>
      <c r="C205" s="487">
        <v>4.0793790000000002E-3</v>
      </c>
      <c r="D205" s="488">
        <f t="shared" ref="D205:D210" si="59">C205*VLOOKUP($B205,$K$6:$L$12,2,FALSE)</f>
        <v>5.3550846871267097E-4</v>
      </c>
    </row>
    <row r="206" spans="1:4" ht="14.5">
      <c r="A206" s="485" t="str">
        <f t="shared" si="58"/>
        <v>Nebraska</v>
      </c>
      <c r="B206" s="486" t="s">
        <v>1870</v>
      </c>
      <c r="C206" s="487">
        <v>1.0186634E-2</v>
      </c>
      <c r="D206" s="488">
        <f t="shared" si="59"/>
        <v>2.6947348302299853E-3</v>
      </c>
    </row>
    <row r="207" spans="1:4" ht="14.5">
      <c r="A207" s="485" t="str">
        <f t="shared" si="58"/>
        <v>Nebraska</v>
      </c>
      <c r="B207" s="486" t="s">
        <v>1875</v>
      </c>
      <c r="C207" s="487">
        <v>2.2670870999999999E-2</v>
      </c>
      <c r="D207" s="488">
        <f t="shared" si="59"/>
        <v>0</v>
      </c>
    </row>
    <row r="208" spans="1:4" ht="14.5">
      <c r="A208" s="485" t="str">
        <f t="shared" si="58"/>
        <v>Nebraska</v>
      </c>
      <c r="B208" s="486" t="s">
        <v>1880</v>
      </c>
      <c r="C208" s="487">
        <v>2.7907909999999999E-3</v>
      </c>
      <c r="D208" s="488">
        <f t="shared" si="59"/>
        <v>0</v>
      </c>
    </row>
    <row r="209" spans="1:4" ht="14.5">
      <c r="A209" s="485" t="s">
        <v>1908</v>
      </c>
      <c r="B209" s="486" t="s">
        <v>1846</v>
      </c>
      <c r="C209" s="487">
        <v>0.69956309999999999</v>
      </c>
      <c r="D209" s="488">
        <f t="shared" si="59"/>
        <v>0.23261247763228593</v>
      </c>
    </row>
    <row r="210" spans="1:4" ht="14.5">
      <c r="A210" s="485" t="str">
        <f t="shared" ref="A210:A215" si="60">A209</f>
        <v>Nevada</v>
      </c>
      <c r="B210" s="486" t="s">
        <v>1853</v>
      </c>
      <c r="C210" s="487">
        <v>0.11234866</v>
      </c>
      <c r="D210" s="488">
        <f t="shared" si="59"/>
        <v>1.6603188260575968E-2</v>
      </c>
    </row>
    <row r="211" spans="1:4" ht="14.5">
      <c r="A211" s="485" t="str">
        <f t="shared" si="60"/>
        <v>Nevada</v>
      </c>
      <c r="B211" s="486" t="s">
        <v>1860</v>
      </c>
      <c r="C211" s="487">
        <v>0.121780424</v>
      </c>
      <c r="D211" s="488">
        <f>C211*8*0.15*VLOOKUP(A211,'State eGrid factors'!$A$2:$D$53,4,FALSE)+N("pct WFH x 8 hours/day x 150 Watts converted to kW x eGRID state-based EFs kg CO2e/kWh")</f>
        <v>4.4991619719251384E-2</v>
      </c>
    </row>
    <row r="212" spans="1:4" ht="14.5">
      <c r="A212" s="485" t="str">
        <f t="shared" si="60"/>
        <v>Nevada</v>
      </c>
      <c r="B212" s="486" t="s">
        <v>1866</v>
      </c>
      <c r="C212" s="487">
        <v>2.2354880000000001E-2</v>
      </c>
      <c r="D212" s="488">
        <f t="shared" ref="D212:D217" si="61">C212*VLOOKUP($B212,$K$6:$L$12,2,FALSE)</f>
        <v>2.9345710602166441E-3</v>
      </c>
    </row>
    <row r="213" spans="1:4" ht="14.5">
      <c r="A213" s="485" t="str">
        <f t="shared" si="60"/>
        <v>Nevada</v>
      </c>
      <c r="B213" s="486" t="s">
        <v>1870</v>
      </c>
      <c r="C213" s="487">
        <v>2.6534677999999999E-2</v>
      </c>
      <c r="D213" s="488">
        <f t="shared" si="61"/>
        <v>7.0193864838510277E-3</v>
      </c>
    </row>
    <row r="214" spans="1:4" ht="14.5">
      <c r="A214" s="485" t="str">
        <f t="shared" si="60"/>
        <v>Nevada</v>
      </c>
      <c r="B214" s="486" t="s">
        <v>1875</v>
      </c>
      <c r="C214" s="487">
        <v>1.4165903000000001E-2</v>
      </c>
      <c r="D214" s="488">
        <f t="shared" si="61"/>
        <v>0</v>
      </c>
    </row>
    <row r="215" spans="1:4" ht="14.5">
      <c r="A215" s="485" t="str">
        <f t="shared" si="60"/>
        <v>Nevada</v>
      </c>
      <c r="B215" s="486" t="s">
        <v>1880</v>
      </c>
      <c r="C215" s="487">
        <v>3.2523550000000002E-3</v>
      </c>
      <c r="D215" s="488">
        <f t="shared" si="61"/>
        <v>0</v>
      </c>
    </row>
    <row r="216" spans="1:4" ht="14.5">
      <c r="A216" s="485" t="s">
        <v>1909</v>
      </c>
      <c r="B216" s="486" t="s">
        <v>1846</v>
      </c>
      <c r="C216" s="487">
        <v>0.71051408199999999</v>
      </c>
      <c r="D216" s="488">
        <f t="shared" si="61"/>
        <v>0.23625380041721639</v>
      </c>
    </row>
    <row r="217" spans="1:4" ht="14.5">
      <c r="A217" s="485" t="str">
        <f t="shared" ref="A217:A222" si="62">A216</f>
        <v>New Hampshire</v>
      </c>
      <c r="B217" s="486" t="s">
        <v>1853</v>
      </c>
      <c r="C217" s="487">
        <v>7.8552346999999995E-2</v>
      </c>
      <c r="D217" s="488">
        <f t="shared" si="61"/>
        <v>1.160867789211807E-2</v>
      </c>
    </row>
    <row r="218" spans="1:4" ht="14.5">
      <c r="A218" s="485" t="str">
        <f t="shared" si="62"/>
        <v>New Hampshire</v>
      </c>
      <c r="B218" s="486" t="s">
        <v>1860</v>
      </c>
      <c r="C218" s="487">
        <v>0.17276338699999999</v>
      </c>
      <c r="D218" s="488">
        <f>C218*8*0.15*VLOOKUP(A218,'State eGrid factors'!$A$2:$D$53,4,FALSE)+N("pct WFH x 8 hours/day x 150 Watts converted to kW x eGRID state-based EFs kg CO2e/kWh")</f>
        <v>2.881842061847175E-2</v>
      </c>
    </row>
    <row r="219" spans="1:4" ht="14.5">
      <c r="A219" s="485" t="str">
        <f t="shared" si="62"/>
        <v>New Hampshire</v>
      </c>
      <c r="B219" s="486" t="s">
        <v>1866</v>
      </c>
      <c r="C219" s="487">
        <v>2.8666270000000001E-3</v>
      </c>
      <c r="D219" s="488">
        <f t="shared" ref="D219:D224" si="63">C219*VLOOKUP($B219,$K$6:$L$12,2,FALSE)</f>
        <v>3.7630802020121142E-4</v>
      </c>
    </row>
    <row r="220" spans="1:4" ht="14.5">
      <c r="A220" s="485" t="str">
        <f t="shared" si="62"/>
        <v>New Hampshire</v>
      </c>
      <c r="B220" s="486" t="s">
        <v>1870</v>
      </c>
      <c r="C220" s="487">
        <v>1.1401448E-2</v>
      </c>
      <c r="D220" s="488">
        <f t="shared" si="63"/>
        <v>3.0160972741983278E-3</v>
      </c>
    </row>
    <row r="221" spans="1:4" ht="14.5">
      <c r="A221" s="485" t="str">
        <f t="shared" si="62"/>
        <v>New Hampshire</v>
      </c>
      <c r="B221" s="486" t="s">
        <v>1875</v>
      </c>
      <c r="C221" s="487">
        <v>2.1356706999999999E-2</v>
      </c>
      <c r="D221" s="488">
        <f t="shared" si="63"/>
        <v>0</v>
      </c>
    </row>
    <row r="222" spans="1:4" ht="14.5">
      <c r="A222" s="485" t="str">
        <f t="shared" si="62"/>
        <v>New Hampshire</v>
      </c>
      <c r="B222" s="486" t="s">
        <v>1880</v>
      </c>
      <c r="C222" s="487">
        <v>2.545402E-3</v>
      </c>
      <c r="D222" s="488">
        <f t="shared" si="63"/>
        <v>0</v>
      </c>
    </row>
    <row r="223" spans="1:4" ht="14.5">
      <c r="A223" s="485" t="s">
        <v>1910</v>
      </c>
      <c r="B223" s="486" t="s">
        <v>1846</v>
      </c>
      <c r="C223" s="487">
        <v>0.61546419399999996</v>
      </c>
      <c r="D223" s="488">
        <f t="shared" si="63"/>
        <v>0.2046486600855561</v>
      </c>
    </row>
    <row r="224" spans="1:4" ht="14.5">
      <c r="A224" s="485" t="str">
        <f t="shared" ref="A224:A229" si="64">A223</f>
        <v>New Jersey</v>
      </c>
      <c r="B224" s="486" t="s">
        <v>1853</v>
      </c>
      <c r="C224" s="487">
        <v>8.2843756000000005E-2</v>
      </c>
      <c r="D224" s="488">
        <f t="shared" si="63"/>
        <v>1.2242873898818375E-2</v>
      </c>
    </row>
    <row r="225" spans="1:4" ht="14.5">
      <c r="A225" s="485" t="str">
        <f t="shared" si="64"/>
        <v>New Jersey</v>
      </c>
      <c r="B225" s="486" t="s">
        <v>1860</v>
      </c>
      <c r="C225" s="487">
        <v>0.16675670500000001</v>
      </c>
      <c r="D225" s="488">
        <f>C225*8*0.15*VLOOKUP(A225,'State eGrid factors'!$A$2:$D$53,4,FALSE)+N("pct WFH x 8 hours/day x 150 Watts converted to kW x eGRID state-based EFs kg CO2e/kWh")</f>
        <v>4.4346503365800913E-2</v>
      </c>
    </row>
    <row r="226" spans="1:4" ht="14.5">
      <c r="A226" s="485" t="str">
        <f t="shared" si="64"/>
        <v>New Jersey</v>
      </c>
      <c r="B226" s="486" t="s">
        <v>1866</v>
      </c>
      <c r="C226" s="487">
        <v>7.9825790999999993E-2</v>
      </c>
      <c r="D226" s="488">
        <f t="shared" ref="D226:D231" si="65">C226*VLOOKUP($B226,$K$6:$L$12,2,FALSE)</f>
        <v>1.0478895709907735E-2</v>
      </c>
    </row>
    <row r="227" spans="1:4" ht="14.5">
      <c r="A227" s="485" t="str">
        <f t="shared" si="64"/>
        <v>New Jersey</v>
      </c>
      <c r="B227" s="486" t="s">
        <v>1870</v>
      </c>
      <c r="C227" s="487">
        <v>2.1923640000000001E-2</v>
      </c>
      <c r="D227" s="488">
        <f t="shared" si="65"/>
        <v>5.7995993881220552E-3</v>
      </c>
    </row>
    <row r="228" spans="1:4" ht="14.5">
      <c r="A228" s="485" t="str">
        <f t="shared" si="64"/>
        <v>New Jersey</v>
      </c>
      <c r="B228" s="486" t="s">
        <v>1875</v>
      </c>
      <c r="C228" s="487">
        <v>3.0129375999999999E-2</v>
      </c>
      <c r="D228" s="488">
        <f t="shared" si="65"/>
        <v>0</v>
      </c>
    </row>
    <row r="229" spans="1:4" ht="14.5">
      <c r="A229" s="485" t="str">
        <f t="shared" si="64"/>
        <v>New Jersey</v>
      </c>
      <c r="B229" s="486" t="s">
        <v>1880</v>
      </c>
      <c r="C229" s="487">
        <v>3.0565369999999998E-3</v>
      </c>
      <c r="D229" s="488">
        <f t="shared" si="65"/>
        <v>0</v>
      </c>
    </row>
    <row r="230" spans="1:4" ht="14.5">
      <c r="A230" s="485" t="s">
        <v>1911</v>
      </c>
      <c r="B230" s="486" t="s">
        <v>1846</v>
      </c>
      <c r="C230" s="487">
        <v>0.73293146799999997</v>
      </c>
      <c r="D230" s="488">
        <f t="shared" si="65"/>
        <v>0.24370782950980191</v>
      </c>
    </row>
    <row r="231" spans="1:4" ht="14.5">
      <c r="A231" s="485" t="str">
        <f t="shared" ref="A231:A236" si="66">A230</f>
        <v>New Mexico</v>
      </c>
      <c r="B231" s="486" t="s">
        <v>1853</v>
      </c>
      <c r="C231" s="487">
        <v>0.100702394</v>
      </c>
      <c r="D231" s="488">
        <f t="shared" si="65"/>
        <v>1.488207163194199E-2</v>
      </c>
    </row>
    <row r="232" spans="1:4" ht="14.5">
      <c r="A232" s="485" t="str">
        <f t="shared" si="66"/>
        <v>New Mexico</v>
      </c>
      <c r="B232" s="486" t="s">
        <v>1860</v>
      </c>
      <c r="C232" s="487">
        <v>0.119830282</v>
      </c>
      <c r="D232" s="488">
        <f>C232*8*0.15*VLOOKUP(A232,'State eGrid factors'!$A$2:$D$53,4,FALSE)+N("pct WFH x 8 hours/day x 150 Watts converted to kW x eGRID state-based EFs kg CO2e/kWh")</f>
        <v>6.4678740130226536E-2</v>
      </c>
    </row>
    <row r="233" spans="1:4" ht="14.5">
      <c r="A233" s="485" t="str">
        <f t="shared" si="66"/>
        <v>New Mexico</v>
      </c>
      <c r="B233" s="486" t="s">
        <v>1866</v>
      </c>
      <c r="C233" s="487">
        <v>6.893845E-3</v>
      </c>
      <c r="D233" s="488">
        <f t="shared" ref="D233:D238" si="67">C233*VLOOKUP($B233,$K$6:$L$12,2,FALSE)</f>
        <v>9.0496920719857182E-4</v>
      </c>
    </row>
    <row r="234" spans="1:4" ht="14.5">
      <c r="A234" s="485" t="str">
        <f t="shared" si="66"/>
        <v>New Mexico</v>
      </c>
      <c r="B234" s="486" t="s">
        <v>1870</v>
      </c>
      <c r="C234" s="487">
        <v>1.3195876E-2</v>
      </c>
      <c r="D234" s="488">
        <f t="shared" si="67"/>
        <v>3.4907886817761333E-3</v>
      </c>
    </row>
    <row r="235" spans="1:4" ht="14.5">
      <c r="A235" s="485" t="str">
        <f t="shared" si="66"/>
        <v>New Mexico</v>
      </c>
      <c r="B235" s="486" t="s">
        <v>1875</v>
      </c>
      <c r="C235" s="487">
        <v>2.1674293000000001E-2</v>
      </c>
      <c r="D235" s="488">
        <f t="shared" si="67"/>
        <v>0</v>
      </c>
    </row>
    <row r="236" spans="1:4" ht="14.5">
      <c r="A236" s="485" t="str">
        <f t="shared" si="66"/>
        <v>New Mexico</v>
      </c>
      <c r="B236" s="486" t="s">
        <v>1880</v>
      </c>
      <c r="C236" s="487">
        <v>4.7718420000000001E-3</v>
      </c>
      <c r="D236" s="488">
        <f t="shared" si="67"/>
        <v>0</v>
      </c>
    </row>
    <row r="237" spans="1:4" ht="14.5">
      <c r="A237" s="485" t="s">
        <v>1912</v>
      </c>
      <c r="B237" s="486" t="s">
        <v>1846</v>
      </c>
      <c r="C237" s="487">
        <v>0.49035488700000002</v>
      </c>
      <c r="D237" s="488">
        <f t="shared" si="67"/>
        <v>0.16304843006180517</v>
      </c>
    </row>
    <row r="238" spans="1:4" ht="14.5">
      <c r="A238" s="485" t="str">
        <f t="shared" ref="A238:A243" si="68">A237</f>
        <v>New York</v>
      </c>
      <c r="B238" s="486" t="s">
        <v>1853</v>
      </c>
      <c r="C238" s="487">
        <v>6.5281828E-2</v>
      </c>
      <c r="D238" s="488">
        <f t="shared" si="67"/>
        <v>9.6475247704649048E-3</v>
      </c>
    </row>
    <row r="239" spans="1:4" ht="14.5">
      <c r="A239" s="485" t="str">
        <f t="shared" si="68"/>
        <v>New York</v>
      </c>
      <c r="B239" s="486" t="s">
        <v>1860</v>
      </c>
      <c r="C239" s="487">
        <v>0.14463562899999999</v>
      </c>
      <c r="D239" s="488">
        <f>C239*8*0.15*VLOOKUP(A239,'State eGrid factors'!$A$2:$D$53,4,FALSE)+N("pct WFH x 8 hours/day x 150 Watts converted to kW x eGRID state-based EFs kg CO2e/kWh")</f>
        <v>3.8682272883975646E-2</v>
      </c>
    </row>
    <row r="240" spans="1:4" ht="14.5">
      <c r="A240" s="485" t="str">
        <f t="shared" si="68"/>
        <v>New York</v>
      </c>
      <c r="B240" s="486" t="s">
        <v>1866</v>
      </c>
      <c r="C240" s="487">
        <v>0.21469612900000001</v>
      </c>
      <c r="D240" s="488">
        <f t="shared" ref="D240:D245" si="69">C240*VLOOKUP($B240,$K$6:$L$12,2,FALSE)</f>
        <v>2.8183602278515449E-2</v>
      </c>
    </row>
    <row r="241" spans="1:4" ht="14.5">
      <c r="A241" s="485" t="str">
        <f t="shared" si="68"/>
        <v>New York</v>
      </c>
      <c r="B241" s="486" t="s">
        <v>1870</v>
      </c>
      <c r="C241" s="487">
        <v>2.0629070999999999E-2</v>
      </c>
      <c r="D241" s="488">
        <f t="shared" si="69"/>
        <v>5.4571388487097226E-3</v>
      </c>
    </row>
    <row r="242" spans="1:4" ht="14.5">
      <c r="A242" s="485" t="str">
        <f t="shared" si="68"/>
        <v>New York</v>
      </c>
      <c r="B242" s="486" t="s">
        <v>1875</v>
      </c>
      <c r="C242" s="487">
        <v>5.5931717999999998E-2</v>
      </c>
      <c r="D242" s="488">
        <f t="shared" si="69"/>
        <v>0</v>
      </c>
    </row>
    <row r="243" spans="1:4" ht="14.5">
      <c r="A243" s="485" t="str">
        <f t="shared" si="68"/>
        <v>New York</v>
      </c>
      <c r="B243" s="486" t="s">
        <v>1880</v>
      </c>
      <c r="C243" s="487">
        <v>8.4707370000000008E-3</v>
      </c>
      <c r="D243" s="488">
        <f t="shared" si="69"/>
        <v>0</v>
      </c>
    </row>
    <row r="244" spans="1:4" ht="14.5">
      <c r="A244" s="485" t="s">
        <v>1913</v>
      </c>
      <c r="B244" s="486" t="s">
        <v>1846</v>
      </c>
      <c r="C244" s="487">
        <v>0.71212524899999996</v>
      </c>
      <c r="D244" s="488">
        <f t="shared" si="69"/>
        <v>0.23678953128659666</v>
      </c>
    </row>
    <row r="245" spans="1:4" ht="14.5">
      <c r="A245" s="485" t="str">
        <f t="shared" ref="A245:A250" si="70">A244</f>
        <v>North Carolina</v>
      </c>
      <c r="B245" s="486" t="s">
        <v>1853</v>
      </c>
      <c r="C245" s="487">
        <v>8.4706728999999995E-2</v>
      </c>
      <c r="D245" s="488">
        <f t="shared" si="69"/>
        <v>1.2518189077863411E-2</v>
      </c>
    </row>
    <row r="246" spans="1:4" ht="14.5">
      <c r="A246" s="485" t="str">
        <f t="shared" si="70"/>
        <v>North Carolina</v>
      </c>
      <c r="B246" s="486" t="s">
        <v>1860</v>
      </c>
      <c r="C246" s="487">
        <v>0.168238002</v>
      </c>
      <c r="D246" s="488">
        <f>C246*8*0.15*VLOOKUP(A246,'State eGrid factors'!$A$2:$D$53,4,FALSE)+N("pct WFH x 8 hours/day x 150 Watts converted to kW x eGRID state-based EFs kg CO2e/kWh")</f>
        <v>6.0174202392551279E-2</v>
      </c>
    </row>
    <row r="247" spans="1:4" ht="14.5">
      <c r="A247" s="485" t="str">
        <f t="shared" si="70"/>
        <v>North Carolina</v>
      </c>
      <c r="B247" s="486" t="s">
        <v>1866</v>
      </c>
      <c r="C247" s="487">
        <v>4.9705959999999999E-3</v>
      </c>
      <c r="D247" s="488">
        <f t="shared" ref="D247:D252" si="71">C247*VLOOKUP($B247,$K$6:$L$12,2,FALSE)</f>
        <v>6.5250035668402648E-4</v>
      </c>
    </row>
    <row r="248" spans="1:4" ht="14.5">
      <c r="A248" s="485" t="str">
        <f t="shared" si="70"/>
        <v>North Carolina</v>
      </c>
      <c r="B248" s="486" t="s">
        <v>1870</v>
      </c>
      <c r="C248" s="487">
        <v>1.1997218E-2</v>
      </c>
      <c r="D248" s="488">
        <f t="shared" si="71"/>
        <v>3.1737000868453827E-3</v>
      </c>
    </row>
    <row r="249" spans="1:4" ht="14.5">
      <c r="A249" s="485" t="str">
        <f t="shared" si="70"/>
        <v>North Carolina</v>
      </c>
      <c r="B249" s="486" t="s">
        <v>1875</v>
      </c>
      <c r="C249" s="487">
        <v>1.6384471000000001E-2</v>
      </c>
      <c r="D249" s="488">
        <f t="shared" si="71"/>
        <v>0</v>
      </c>
    </row>
    <row r="250" spans="1:4" ht="14.5">
      <c r="A250" s="485" t="str">
        <f t="shared" si="70"/>
        <v>North Carolina</v>
      </c>
      <c r="B250" s="486" t="s">
        <v>1880</v>
      </c>
      <c r="C250" s="487">
        <v>1.577735E-3</v>
      </c>
      <c r="D250" s="488">
        <f t="shared" si="71"/>
        <v>0</v>
      </c>
    </row>
    <row r="251" spans="1:4" ht="14.5">
      <c r="A251" s="485" t="s">
        <v>1914</v>
      </c>
      <c r="B251" s="486" t="s">
        <v>1846</v>
      </c>
      <c r="C251" s="487">
        <v>0.78765652600000002</v>
      </c>
      <c r="D251" s="488">
        <f t="shared" si="71"/>
        <v>0.26190451731387643</v>
      </c>
    </row>
    <row r="252" spans="1:4" ht="14.5">
      <c r="A252" s="485" t="str">
        <f t="shared" ref="A252:A257" si="72">A251</f>
        <v>North Dakota</v>
      </c>
      <c r="B252" s="486" t="s">
        <v>1853</v>
      </c>
      <c r="C252" s="487">
        <v>8.7705814000000007E-2</v>
      </c>
      <c r="D252" s="488">
        <f t="shared" si="71"/>
        <v>1.296140195520854E-2</v>
      </c>
    </row>
    <row r="253" spans="1:4" ht="14.5">
      <c r="A253" s="485" t="str">
        <f t="shared" si="72"/>
        <v>North Dakota</v>
      </c>
      <c r="B253" s="486" t="s">
        <v>1860</v>
      </c>
      <c r="C253" s="487">
        <v>7.6245131999999993E-2</v>
      </c>
      <c r="D253" s="488">
        <f>C253*8*0.15*VLOOKUP(A253,'State eGrid factors'!$A$2:$D$53,4,FALSE)+N("pct WFH x 8 hours/day x 150 Watts converted to kW x eGRID state-based EFs kg CO2e/kWh")</f>
        <v>5.4841049568389276E-2</v>
      </c>
    </row>
    <row r="254" spans="1:4" ht="14.5">
      <c r="A254" s="485" t="str">
        <f t="shared" si="72"/>
        <v>North Dakota</v>
      </c>
      <c r="B254" s="486" t="s">
        <v>1866</v>
      </c>
      <c r="C254" s="487">
        <v>2.9377600000000002E-3</v>
      </c>
      <c r="D254" s="488">
        <f t="shared" ref="D254:D259" si="73">C254*VLOOKUP($B254,$K$6:$L$12,2,FALSE)</f>
        <v>3.856457953637885E-4</v>
      </c>
    </row>
    <row r="255" spans="1:4" ht="14.5">
      <c r="A255" s="485" t="str">
        <f t="shared" si="72"/>
        <v>North Dakota</v>
      </c>
      <c r="B255" s="486" t="s">
        <v>1870</v>
      </c>
      <c r="C255" s="487">
        <v>8.4472809999999992E-3</v>
      </c>
      <c r="D255" s="488">
        <f t="shared" si="73"/>
        <v>2.2346127613341146E-3</v>
      </c>
    </row>
    <row r="256" spans="1:4" ht="14.5">
      <c r="A256" s="485" t="str">
        <f t="shared" si="72"/>
        <v>North Dakota</v>
      </c>
      <c r="B256" s="486" t="s">
        <v>1875</v>
      </c>
      <c r="C256" s="487">
        <v>3.4189285E-2</v>
      </c>
      <c r="D256" s="488">
        <f t="shared" si="73"/>
        <v>0</v>
      </c>
    </row>
    <row r="257" spans="1:4" ht="14.5">
      <c r="A257" s="485" t="str">
        <f t="shared" si="72"/>
        <v>North Dakota</v>
      </c>
      <c r="B257" s="486" t="s">
        <v>1880</v>
      </c>
      <c r="C257" s="487">
        <v>2.8181999999999999E-3</v>
      </c>
      <c r="D257" s="488">
        <f t="shared" si="73"/>
        <v>0</v>
      </c>
    </row>
    <row r="258" spans="1:4" ht="14.5">
      <c r="A258" s="485" t="s">
        <v>1775</v>
      </c>
      <c r="B258" s="486" t="s">
        <v>1846</v>
      </c>
      <c r="C258" s="487">
        <v>0.74808116400000002</v>
      </c>
      <c r="D258" s="488">
        <f t="shared" si="73"/>
        <v>0.24874527119581413</v>
      </c>
    </row>
    <row r="259" spans="1:4" ht="14.5">
      <c r="A259" s="485" t="str">
        <f t="shared" ref="A259:A264" si="74">A258</f>
        <v>Ohio</v>
      </c>
      <c r="B259" s="486" t="s">
        <v>1853</v>
      </c>
      <c r="C259" s="487">
        <v>7.7706378000000007E-2</v>
      </c>
      <c r="D259" s="488">
        <f t="shared" si="73"/>
        <v>1.1483658309600478E-2</v>
      </c>
    </row>
    <row r="260" spans="1:4" ht="14.5">
      <c r="A260" s="485" t="str">
        <f t="shared" si="74"/>
        <v>Ohio</v>
      </c>
      <c r="B260" s="486" t="s">
        <v>1860</v>
      </c>
      <c r="C260" s="487">
        <v>0.13026763499999999</v>
      </c>
      <c r="D260" s="488">
        <f>C260*8*0.15*VLOOKUP(A260,'State eGrid factors'!$A$2:$D$53,4,FALSE)+N("pct WFH x 8 hours/day x 150 Watts converted to kW x eGRID state-based EFs kg CO2e/kWh")</f>
        <v>8.2402046317612998E-2</v>
      </c>
    </row>
    <row r="261" spans="1:4" ht="14.5">
      <c r="A261" s="485" t="str">
        <f t="shared" si="74"/>
        <v>Ohio</v>
      </c>
      <c r="B261" s="486" t="s">
        <v>1866</v>
      </c>
      <c r="C261" s="487">
        <v>9.9044920000000009E-3</v>
      </c>
      <c r="D261" s="488">
        <f t="shared" ref="D261:D266" si="75">C261*VLOOKUP($B261,$K$6:$L$12,2,FALSE)</f>
        <v>1.3001830289112387E-3</v>
      </c>
    </row>
    <row r="262" spans="1:4" ht="14.5">
      <c r="A262" s="485" t="str">
        <f t="shared" si="74"/>
        <v>Ohio</v>
      </c>
      <c r="B262" s="486" t="s">
        <v>1870</v>
      </c>
      <c r="C262" s="487">
        <v>1.1638625999999999E-2</v>
      </c>
      <c r="D262" s="488">
        <f t="shared" si="75"/>
        <v>3.0788394731979469E-3</v>
      </c>
    </row>
    <row r="263" spans="1:4" ht="14.5">
      <c r="A263" s="485" t="str">
        <f t="shared" si="74"/>
        <v>Ohio</v>
      </c>
      <c r="B263" s="486" t="s">
        <v>1875</v>
      </c>
      <c r="C263" s="487">
        <v>1.9484805000000001E-2</v>
      </c>
      <c r="D263" s="488">
        <f t="shared" si="75"/>
        <v>0</v>
      </c>
    </row>
    <row r="264" spans="1:4" ht="14.5">
      <c r="A264" s="485" t="str">
        <f t="shared" si="74"/>
        <v>Ohio</v>
      </c>
      <c r="B264" s="486" t="s">
        <v>1880</v>
      </c>
      <c r="C264" s="487">
        <v>2.9169E-3</v>
      </c>
      <c r="D264" s="488">
        <f t="shared" si="75"/>
        <v>0</v>
      </c>
    </row>
    <row r="265" spans="1:4" ht="14.5">
      <c r="A265" s="485" t="s">
        <v>1915</v>
      </c>
      <c r="B265" s="486" t="s">
        <v>1846</v>
      </c>
      <c r="C265" s="487">
        <v>0.77792392499999996</v>
      </c>
      <c r="D265" s="488">
        <f t="shared" si="75"/>
        <v>0.25866831970365872</v>
      </c>
    </row>
    <row r="266" spans="1:4" ht="14.5">
      <c r="A266" s="485" t="str">
        <f t="shared" ref="A266:A271" si="76">A265</f>
        <v>Oklahoma</v>
      </c>
      <c r="B266" s="486" t="s">
        <v>1853</v>
      </c>
      <c r="C266" s="487">
        <v>9.3654586999999997E-2</v>
      </c>
      <c r="D266" s="488">
        <f t="shared" si="75"/>
        <v>1.3840527687891343E-2</v>
      </c>
    </row>
    <row r="267" spans="1:4" ht="14.5">
      <c r="A267" s="485" t="str">
        <f t="shared" si="76"/>
        <v>Oklahoma</v>
      </c>
      <c r="B267" s="486" t="s">
        <v>1860</v>
      </c>
      <c r="C267" s="487">
        <v>9.4292566999999994E-2</v>
      </c>
      <c r="D267" s="488">
        <f>C267*8*0.15*VLOOKUP(A267,'State eGrid factors'!$A$2:$D$53,4,FALSE)+N("pct WFH x 8 hours/day x 150 Watts converted to kW x eGRID state-based EFs kg CO2e/kWh")</f>
        <v>3.5369117844712833E-2</v>
      </c>
    </row>
    <row r="268" spans="1:4" ht="14.5">
      <c r="A268" s="485" t="str">
        <f t="shared" si="76"/>
        <v>Oklahoma</v>
      </c>
      <c r="B268" s="486" t="s">
        <v>1866</v>
      </c>
      <c r="C268" s="487">
        <v>2.8361950000000001E-3</v>
      </c>
      <c r="D268" s="488">
        <f t="shared" ref="D268:D273" si="77">C268*VLOOKUP($B268,$K$6:$L$12,2,FALSE)</f>
        <v>3.7231314899168079E-4</v>
      </c>
    </row>
    <row r="269" spans="1:4" ht="14.5">
      <c r="A269" s="485" t="str">
        <f t="shared" si="76"/>
        <v>Oklahoma</v>
      </c>
      <c r="B269" s="486" t="s">
        <v>1870</v>
      </c>
      <c r="C269" s="487">
        <v>1.1898573000000001E-2</v>
      </c>
      <c r="D269" s="488">
        <f t="shared" si="77"/>
        <v>3.1476049000223323E-3</v>
      </c>
    </row>
    <row r="270" spans="1:4" ht="14.5">
      <c r="A270" s="485" t="str">
        <f t="shared" si="76"/>
        <v>Oklahoma</v>
      </c>
      <c r="B270" s="486" t="s">
        <v>1875</v>
      </c>
      <c r="C270" s="487">
        <v>1.7411879000000002E-2</v>
      </c>
      <c r="D270" s="488">
        <f t="shared" si="77"/>
        <v>0</v>
      </c>
    </row>
    <row r="271" spans="1:4" ht="14.5">
      <c r="A271" s="485" t="str">
        <f t="shared" si="76"/>
        <v>Oklahoma</v>
      </c>
      <c r="B271" s="486" t="s">
        <v>1880</v>
      </c>
      <c r="C271" s="487">
        <v>1.9822749999999999E-3</v>
      </c>
      <c r="D271" s="488">
        <f t="shared" si="77"/>
        <v>0</v>
      </c>
    </row>
    <row r="272" spans="1:4" ht="14.5">
      <c r="A272" s="485" t="s">
        <v>1916</v>
      </c>
      <c r="B272" s="486" t="s">
        <v>1846</v>
      </c>
      <c r="C272" s="487">
        <v>0.64124519499999999</v>
      </c>
      <c r="D272" s="488">
        <f t="shared" si="77"/>
        <v>0.21322112841393198</v>
      </c>
    </row>
    <row r="273" spans="1:4" ht="14.5">
      <c r="A273" s="485" t="str">
        <f t="shared" ref="A273:A278" si="78">A272</f>
        <v>Oregon</v>
      </c>
      <c r="B273" s="486" t="s">
        <v>1853</v>
      </c>
      <c r="C273" s="487">
        <v>8.5738407000000003E-2</v>
      </c>
      <c r="D273" s="488">
        <f t="shared" si="77"/>
        <v>1.2670653237723392E-2</v>
      </c>
    </row>
    <row r="274" spans="1:4" ht="14.5">
      <c r="A274" s="485" t="str">
        <f t="shared" si="78"/>
        <v>Oregon</v>
      </c>
      <c r="B274" s="486" t="s">
        <v>1860</v>
      </c>
      <c r="C274" s="487">
        <v>0.189632621</v>
      </c>
      <c r="D274" s="488">
        <f>C274*8*0.15*VLOOKUP(A274,'State eGrid factors'!$A$2:$D$53,4,FALSE)+N("pct WFH x 8 hours/day x 150 Watts converted to kW x eGRID state-based EFs kg CO2e/kWh")</f>
        <v>3.0869254456204694E-2</v>
      </c>
    </row>
    <row r="275" spans="1:4" ht="14.5">
      <c r="A275" s="485" t="str">
        <f t="shared" si="78"/>
        <v>Oregon</v>
      </c>
      <c r="B275" s="486" t="s">
        <v>1866</v>
      </c>
      <c r="C275" s="487">
        <v>2.09401E-2</v>
      </c>
      <c r="D275" s="488">
        <f t="shared" ref="D275:D280" si="79">C275*VLOOKUP($B275,$K$6:$L$12,2,FALSE)</f>
        <v>2.7488499807667294E-3</v>
      </c>
    </row>
    <row r="276" spans="1:4" ht="14.5">
      <c r="A276" s="485" t="str">
        <f t="shared" si="78"/>
        <v>Oregon</v>
      </c>
      <c r="B276" s="486" t="s">
        <v>1870</v>
      </c>
      <c r="C276" s="487">
        <v>1.3825118000000001E-2</v>
      </c>
      <c r="D276" s="488">
        <f t="shared" si="79"/>
        <v>3.6572460546476409E-3</v>
      </c>
    </row>
    <row r="277" spans="1:4" ht="14.5">
      <c r="A277" s="485" t="str">
        <f t="shared" si="78"/>
        <v>Oregon</v>
      </c>
      <c r="B277" s="486" t="s">
        <v>1875</v>
      </c>
      <c r="C277" s="487">
        <v>3.6021604999999998E-2</v>
      </c>
      <c r="D277" s="488">
        <f t="shared" si="79"/>
        <v>0</v>
      </c>
    </row>
    <row r="278" spans="1:4" ht="14.5">
      <c r="A278" s="485" t="str">
        <f t="shared" si="78"/>
        <v>Oregon</v>
      </c>
      <c r="B278" s="486" t="s">
        <v>1880</v>
      </c>
      <c r="C278" s="487">
        <v>1.2596954E-2</v>
      </c>
      <c r="D278" s="488">
        <f t="shared" si="79"/>
        <v>0</v>
      </c>
    </row>
    <row r="279" spans="1:4" ht="14.5">
      <c r="A279" s="485" t="s">
        <v>1917</v>
      </c>
      <c r="B279" s="486" t="s">
        <v>1846</v>
      </c>
      <c r="C279" s="487">
        <v>0.68778673300000004</v>
      </c>
      <c r="D279" s="488">
        <f t="shared" si="79"/>
        <v>0.22869670519463581</v>
      </c>
    </row>
    <row r="280" spans="1:4" ht="14.5">
      <c r="A280" s="485" t="str">
        <f t="shared" ref="A280:A285" si="80">A279</f>
        <v>Pennsylvania</v>
      </c>
      <c r="B280" s="486" t="s">
        <v>1853</v>
      </c>
      <c r="C280" s="487">
        <v>7.4635947999999994E-2</v>
      </c>
      <c r="D280" s="488">
        <f t="shared" si="79"/>
        <v>1.102990187555916E-2</v>
      </c>
    </row>
    <row r="281" spans="1:4" ht="14.5">
      <c r="A281" s="485" t="str">
        <f t="shared" si="80"/>
        <v>Pennsylvania</v>
      </c>
      <c r="B281" s="486" t="s">
        <v>1860</v>
      </c>
      <c r="C281" s="487">
        <v>0.152334789</v>
      </c>
      <c r="D281" s="488">
        <f>C281*8*0.15*VLOOKUP(A281,'State eGrid factors'!$A$2:$D$53,4,FALSE)+N("pct WFH x 8 hours/day x 150 Watts converted to kW x eGRID state-based EFs kg CO2e/kWh")</f>
        <v>5.9222137518128846E-2</v>
      </c>
    </row>
    <row r="282" spans="1:4" ht="14.5">
      <c r="A282" s="485" t="str">
        <f t="shared" si="80"/>
        <v>Pennsylvania</v>
      </c>
      <c r="B282" s="486" t="s">
        <v>1866</v>
      </c>
      <c r="C282" s="487">
        <v>3.3519157000000001E-2</v>
      </c>
      <c r="D282" s="488">
        <f t="shared" ref="D282:D287" si="81">C282*VLOOKUP($B282,$K$6:$L$12,2,FALSE)</f>
        <v>4.4001286562512587E-3</v>
      </c>
    </row>
    <row r="283" spans="1:4" ht="14.5">
      <c r="A283" s="485" t="str">
        <f t="shared" si="80"/>
        <v>Pennsylvania</v>
      </c>
      <c r="B283" s="486" t="s">
        <v>1870</v>
      </c>
      <c r="C283" s="487">
        <v>1.4580209E-2</v>
      </c>
      <c r="D283" s="488">
        <f t="shared" si="81"/>
        <v>3.8569950608152515E-3</v>
      </c>
    </row>
    <row r="284" spans="1:4" ht="14.5">
      <c r="A284" s="485" t="str">
        <f t="shared" si="80"/>
        <v>Pennsylvania</v>
      </c>
      <c r="B284" s="486" t="s">
        <v>1875</v>
      </c>
      <c r="C284" s="487">
        <v>3.1982857000000003E-2</v>
      </c>
      <c r="D284" s="488">
        <f t="shared" si="81"/>
        <v>0</v>
      </c>
    </row>
    <row r="285" spans="1:4" ht="14.5">
      <c r="A285" s="485" t="str">
        <f t="shared" si="80"/>
        <v>Pennsylvania</v>
      </c>
      <c r="B285" s="486" t="s">
        <v>1880</v>
      </c>
      <c r="C285" s="487">
        <v>5.1603070000000003E-3</v>
      </c>
      <c r="D285" s="488">
        <f t="shared" si="81"/>
        <v>0</v>
      </c>
    </row>
    <row r="286" spans="1:4" ht="14.5">
      <c r="A286" s="485" t="s">
        <v>1918</v>
      </c>
      <c r="B286" s="486" t="s">
        <v>1846</v>
      </c>
      <c r="C286" s="487">
        <v>0.72445060500000003</v>
      </c>
      <c r="D286" s="488">
        <f t="shared" si="81"/>
        <v>0.24088784864618865</v>
      </c>
    </row>
    <row r="287" spans="1:4" ht="14.5">
      <c r="A287" s="485" t="str">
        <f t="shared" ref="A287:A292" si="82">A286</f>
        <v>Rhode Island</v>
      </c>
      <c r="B287" s="486" t="s">
        <v>1853</v>
      </c>
      <c r="C287" s="487">
        <v>7.7193217999999994E-2</v>
      </c>
      <c r="D287" s="488">
        <f t="shared" si="81"/>
        <v>1.1407822139522459E-2</v>
      </c>
    </row>
    <row r="288" spans="1:4" ht="14.5">
      <c r="A288" s="485" t="str">
        <f t="shared" si="82"/>
        <v>Rhode Island</v>
      </c>
      <c r="B288" s="486" t="s">
        <v>1860</v>
      </c>
      <c r="C288" s="487">
        <v>0.13414386</v>
      </c>
      <c r="D288" s="488">
        <f>C288*8*0.15*VLOOKUP(A288,'State eGrid factors'!$A$2:$D$53,4,FALSE)+N("pct WFH x 8 hours/day x 150 Watts converted to kW x eGRID state-based EFs kg CO2e/kWh")</f>
        <v>5.9302536092805107E-2</v>
      </c>
    </row>
    <row r="289" spans="1:4" ht="14.5">
      <c r="A289" s="485" t="str">
        <f t="shared" si="82"/>
        <v>Rhode Island</v>
      </c>
      <c r="B289" s="486" t="s">
        <v>1866</v>
      </c>
      <c r="C289" s="487">
        <v>1.3880208999999999E-2</v>
      </c>
      <c r="D289" s="488">
        <f t="shared" ref="D289:D294" si="83">C289*VLOOKUP($B289,$K$6:$L$12,2,FALSE)</f>
        <v>1.8220835737502775E-3</v>
      </c>
    </row>
    <row r="290" spans="1:4" ht="14.5">
      <c r="A290" s="485" t="str">
        <f t="shared" si="82"/>
        <v>Rhode Island</v>
      </c>
      <c r="B290" s="486" t="s">
        <v>1870</v>
      </c>
      <c r="C290" s="487">
        <v>1.7146781E-2</v>
      </c>
      <c r="D290" s="488">
        <f t="shared" si="83"/>
        <v>4.5359466126912718E-3</v>
      </c>
    </row>
    <row r="291" spans="1:4" ht="14.5">
      <c r="A291" s="485" t="str">
        <f t="shared" si="82"/>
        <v>Rhode Island</v>
      </c>
      <c r="B291" s="486" t="s">
        <v>1875</v>
      </c>
      <c r="C291" s="487">
        <v>2.8983110999999999E-2</v>
      </c>
      <c r="D291" s="488">
        <f t="shared" si="83"/>
        <v>0</v>
      </c>
    </row>
    <row r="292" spans="1:4" ht="14.5">
      <c r="A292" s="485" t="str">
        <f t="shared" si="82"/>
        <v>Rhode Island</v>
      </c>
      <c r="B292" s="486" t="s">
        <v>1880</v>
      </c>
      <c r="C292" s="487">
        <v>4.2022149999999996E-3</v>
      </c>
      <c r="D292" s="488">
        <f t="shared" si="83"/>
        <v>0</v>
      </c>
    </row>
    <row r="293" spans="1:4" ht="14.5">
      <c r="A293" s="485" t="s">
        <v>1919</v>
      </c>
      <c r="B293" s="486" t="s">
        <v>1846</v>
      </c>
      <c r="C293" s="487">
        <v>0.76369959099999996</v>
      </c>
      <c r="D293" s="488">
        <f t="shared" si="83"/>
        <v>0.25393857113000018</v>
      </c>
    </row>
    <row r="294" spans="1:4" ht="14.5">
      <c r="A294" s="485" t="str">
        <f t="shared" ref="A294:A299" si="84">A293</f>
        <v>South Carolina</v>
      </c>
      <c r="B294" s="486" t="s">
        <v>1853</v>
      </c>
      <c r="C294" s="487">
        <v>8.5118549000000002E-2</v>
      </c>
      <c r="D294" s="488">
        <f t="shared" si="83"/>
        <v>1.2579048949173584E-2</v>
      </c>
    </row>
    <row r="295" spans="1:4" ht="14.5">
      <c r="A295" s="485" t="str">
        <f t="shared" si="84"/>
        <v>South Carolina</v>
      </c>
      <c r="B295" s="486" t="s">
        <v>1860</v>
      </c>
      <c r="C295" s="487">
        <v>0.114438858</v>
      </c>
      <c r="D295" s="488">
        <f>C295*8*0.15*VLOOKUP(A295,'State eGrid factors'!$A$2:$D$53,4,FALSE)+N("pct WFH x 8 hours/day x 150 Watts converted to kW x eGRID state-based EFs kg CO2e/kWh")</f>
        <v>3.4878504693981918E-2</v>
      </c>
    </row>
    <row r="296" spans="1:4" ht="14.5">
      <c r="A296" s="485" t="str">
        <f t="shared" si="84"/>
        <v>South Carolina</v>
      </c>
      <c r="B296" s="486" t="s">
        <v>1866</v>
      </c>
      <c r="C296" s="487">
        <v>3.7846619999999998E-3</v>
      </c>
      <c r="D296" s="488">
        <f t="shared" ref="D296:D301" si="85">C296*VLOOKUP($B296,$K$6:$L$12,2,FALSE)</f>
        <v>4.968203621715546E-4</v>
      </c>
    </row>
    <row r="297" spans="1:4" ht="14.5">
      <c r="A297" s="485" t="str">
        <f t="shared" si="84"/>
        <v>South Carolina</v>
      </c>
      <c r="B297" s="486" t="s">
        <v>1870</v>
      </c>
      <c r="C297" s="487">
        <v>1.4942186E-2</v>
      </c>
      <c r="D297" s="488">
        <f t="shared" si="85"/>
        <v>3.9527511299586168E-3</v>
      </c>
    </row>
    <row r="298" spans="1:4" ht="14.5">
      <c r="A298" s="485" t="str">
        <f t="shared" si="84"/>
        <v>South Carolina</v>
      </c>
      <c r="B298" s="486" t="s">
        <v>1875</v>
      </c>
      <c r="C298" s="487">
        <v>1.5642263E-2</v>
      </c>
      <c r="D298" s="488">
        <f t="shared" si="85"/>
        <v>0</v>
      </c>
    </row>
    <row r="299" spans="1:4" ht="14.5">
      <c r="A299" s="485" t="str">
        <f t="shared" si="84"/>
        <v>South Carolina</v>
      </c>
      <c r="B299" s="486" t="s">
        <v>1880</v>
      </c>
      <c r="C299" s="487">
        <v>2.3738890000000001E-3</v>
      </c>
      <c r="D299" s="488">
        <f t="shared" si="85"/>
        <v>0</v>
      </c>
    </row>
    <row r="300" spans="1:4" ht="14.5">
      <c r="A300" s="485" t="s">
        <v>1920</v>
      </c>
      <c r="B300" s="486" t="s">
        <v>1846</v>
      </c>
      <c r="C300" s="487">
        <v>0.78546958200000006</v>
      </c>
      <c r="D300" s="488">
        <f t="shared" si="85"/>
        <v>0.26117733421590705</v>
      </c>
    </row>
    <row r="301" spans="1:4" ht="14.5">
      <c r="A301" s="485" t="str">
        <f t="shared" ref="A301:A306" si="86">A300</f>
        <v>South Dakota</v>
      </c>
      <c r="B301" s="486" t="s">
        <v>1853</v>
      </c>
      <c r="C301" s="487">
        <v>7.1397031999999999E-2</v>
      </c>
      <c r="D301" s="488">
        <f t="shared" si="85"/>
        <v>1.0551246125609036E-2</v>
      </c>
    </row>
    <row r="302" spans="1:4" ht="14.5">
      <c r="A302" s="485" t="str">
        <f t="shared" si="86"/>
        <v>South Dakota</v>
      </c>
      <c r="B302" s="486" t="s">
        <v>1860</v>
      </c>
      <c r="C302" s="487">
        <v>9.8947445999999994E-2</v>
      </c>
      <c r="D302" s="488">
        <f>C302*8*0.15*VLOOKUP(A302,'State eGrid factors'!$A$2:$D$53,4,FALSE)+N("pct WFH x 8 hours/day x 150 Watts converted to kW x eGRID state-based EFs kg CO2e/kWh")</f>
        <v>1.7608141044539196E-2</v>
      </c>
    </row>
    <row r="303" spans="1:4" ht="14.5">
      <c r="A303" s="485" t="str">
        <f t="shared" si="86"/>
        <v>South Dakota</v>
      </c>
      <c r="B303" s="486" t="s">
        <v>1866</v>
      </c>
      <c r="C303" s="487">
        <v>4.9506350000000001E-3</v>
      </c>
      <c r="D303" s="488">
        <f t="shared" ref="D303:D308" si="87">C303*VLOOKUP($B303,$K$6:$L$12,2,FALSE)</f>
        <v>6.4988003517333238E-4</v>
      </c>
    </row>
    <row r="304" spans="1:4" ht="14.5">
      <c r="A304" s="485" t="str">
        <f t="shared" si="86"/>
        <v>South Dakota</v>
      </c>
      <c r="B304" s="486" t="s">
        <v>1870</v>
      </c>
      <c r="C304" s="487">
        <v>1.1656613999999999E-2</v>
      </c>
      <c r="D304" s="488">
        <f t="shared" si="87"/>
        <v>3.0835979528023162E-3</v>
      </c>
    </row>
    <row r="305" spans="1:4" ht="14.5">
      <c r="A305" s="485" t="str">
        <f t="shared" si="86"/>
        <v>South Dakota</v>
      </c>
      <c r="B305" s="486" t="s">
        <v>1875</v>
      </c>
      <c r="C305" s="487">
        <v>2.5379618E-2</v>
      </c>
      <c r="D305" s="488">
        <f t="shared" si="87"/>
        <v>0</v>
      </c>
    </row>
    <row r="306" spans="1:4" ht="14.5">
      <c r="A306" s="485" t="str">
        <f t="shared" si="86"/>
        <v>South Dakota</v>
      </c>
      <c r="B306" s="486" t="s">
        <v>1880</v>
      </c>
      <c r="C306" s="487">
        <v>2.1990740000000001E-3</v>
      </c>
      <c r="D306" s="488">
        <f t="shared" si="87"/>
        <v>0</v>
      </c>
    </row>
    <row r="307" spans="1:4" ht="14.5">
      <c r="A307" s="485" t="s">
        <v>1921</v>
      </c>
      <c r="B307" s="486" t="s">
        <v>1846</v>
      </c>
      <c r="C307" s="487">
        <v>0.74956356899999999</v>
      </c>
      <c r="D307" s="488">
        <f t="shared" si="87"/>
        <v>0.24923818727429867</v>
      </c>
    </row>
    <row r="308" spans="1:4" ht="14.5">
      <c r="A308" s="485" t="str">
        <f t="shared" ref="A308:A313" si="88">A307</f>
        <v>Tennessee</v>
      </c>
      <c r="B308" s="486" t="s">
        <v>1853</v>
      </c>
      <c r="C308" s="487">
        <v>8.6063397E-2</v>
      </c>
      <c r="D308" s="488">
        <f t="shared" si="87"/>
        <v>1.271868113723554E-2</v>
      </c>
    </row>
    <row r="309" spans="1:4" ht="14.5">
      <c r="A309" s="485" t="str">
        <f t="shared" si="88"/>
        <v>Tennessee</v>
      </c>
      <c r="B309" s="486" t="s">
        <v>1860</v>
      </c>
      <c r="C309" s="487">
        <v>0.13336721700000001</v>
      </c>
      <c r="D309" s="488">
        <f>C309*8*0.15*VLOOKUP(A309,'State eGrid factors'!$A$2:$D$53,4,FALSE)+N("pct WFH x 8 hours/day x 150 Watts converted to kW x eGRID state-based EFs kg CO2e/kWh")</f>
        <v>5.0649948587787832E-2</v>
      </c>
    </row>
    <row r="310" spans="1:4" ht="14.5">
      <c r="A310" s="485" t="str">
        <f t="shared" si="88"/>
        <v>Tennessee</v>
      </c>
      <c r="B310" s="486" t="s">
        <v>1866</v>
      </c>
      <c r="C310" s="487">
        <v>3.9782919999999996E-3</v>
      </c>
      <c r="D310" s="488">
        <f t="shared" ref="D310:D315" si="89">C310*VLOOKUP($B310,$K$6:$L$12,2,FALSE)</f>
        <v>5.2223857038335216E-4</v>
      </c>
    </row>
    <row r="311" spans="1:4" ht="14.5">
      <c r="A311" s="485" t="str">
        <f t="shared" si="88"/>
        <v>Tennessee</v>
      </c>
      <c r="B311" s="486" t="s">
        <v>1870</v>
      </c>
      <c r="C311" s="487">
        <v>1.3844469E-2</v>
      </c>
      <c r="D311" s="488">
        <f t="shared" si="89"/>
        <v>3.6623650972774026E-3</v>
      </c>
    </row>
    <row r="312" spans="1:4" ht="14.5">
      <c r="A312" s="485" t="str">
        <f t="shared" si="88"/>
        <v>Tennessee</v>
      </c>
      <c r="B312" s="486" t="s">
        <v>1875</v>
      </c>
      <c r="C312" s="487">
        <v>1.1933093000000001E-2</v>
      </c>
      <c r="D312" s="488">
        <f t="shared" si="89"/>
        <v>0</v>
      </c>
    </row>
    <row r="313" spans="1:4" ht="14.5">
      <c r="A313" s="485" t="str">
        <f t="shared" si="88"/>
        <v>Tennessee</v>
      </c>
      <c r="B313" s="486" t="s">
        <v>1880</v>
      </c>
      <c r="C313" s="487">
        <v>1.2499639999999999E-3</v>
      </c>
      <c r="D313" s="488">
        <f t="shared" si="89"/>
        <v>0</v>
      </c>
    </row>
    <row r="314" spans="1:4" ht="14.5">
      <c r="A314" s="485" t="s">
        <v>1922</v>
      </c>
      <c r="B314" s="486" t="s">
        <v>1846</v>
      </c>
      <c r="C314" s="487">
        <v>0.71173635800000001</v>
      </c>
      <c r="D314" s="488">
        <f t="shared" si="89"/>
        <v>0.23666022072256193</v>
      </c>
    </row>
    <row r="315" spans="1:4" ht="14.5">
      <c r="A315" s="485" t="str">
        <f t="shared" ref="A315:A320" si="90">A314</f>
        <v>Texas</v>
      </c>
      <c r="B315" s="486" t="s">
        <v>1853</v>
      </c>
      <c r="C315" s="487">
        <v>0.100440102</v>
      </c>
      <c r="D315" s="488">
        <f t="shared" si="89"/>
        <v>1.4843309412123411E-2</v>
      </c>
    </row>
    <row r="316" spans="1:4" ht="14.5">
      <c r="A316" s="485" t="str">
        <f t="shared" si="90"/>
        <v>Texas</v>
      </c>
      <c r="B316" s="486" t="s">
        <v>1860</v>
      </c>
      <c r="C316" s="487">
        <v>0.14516568099999999</v>
      </c>
      <c r="D316" s="488">
        <f>C316*8*0.15*VLOOKUP(A316,'State eGrid factors'!$A$2:$D$53,4,FALSE)+N("pct WFH x 8 hours/day x 150 Watts converted to kW x eGRID state-based EFs kg CO2e/kWh")</f>
        <v>6.4946349485295068E-2</v>
      </c>
    </row>
    <row r="317" spans="1:4" ht="14.5">
      <c r="A317" s="485" t="str">
        <f t="shared" si="90"/>
        <v>Texas</v>
      </c>
      <c r="B317" s="486" t="s">
        <v>1866</v>
      </c>
      <c r="C317" s="487">
        <v>8.4446799999999995E-3</v>
      </c>
      <c r="D317" s="488">
        <f t="shared" ref="D317:D322" si="91">C317*VLOOKUP($B317,$K$6:$L$12,2,FALSE)</f>
        <v>1.1085505062335512E-3</v>
      </c>
    </row>
    <row r="318" spans="1:4" ht="14.5">
      <c r="A318" s="485" t="str">
        <f t="shared" si="90"/>
        <v>Texas</v>
      </c>
      <c r="B318" s="486" t="s">
        <v>1870</v>
      </c>
      <c r="C318" s="487">
        <v>1.7240278000000001E-2</v>
      </c>
      <c r="D318" s="488">
        <f t="shared" si="91"/>
        <v>4.5606799664587687E-3</v>
      </c>
    </row>
    <row r="319" spans="1:4" ht="14.5">
      <c r="A319" s="485" t="str">
        <f t="shared" si="90"/>
        <v>Texas</v>
      </c>
      <c r="B319" s="486" t="s">
        <v>1875</v>
      </c>
      <c r="C319" s="487">
        <v>1.4940481E-2</v>
      </c>
      <c r="D319" s="488">
        <f t="shared" si="91"/>
        <v>0</v>
      </c>
    </row>
    <row r="320" spans="1:4" ht="14.5">
      <c r="A320" s="485" t="str">
        <f t="shared" si="90"/>
        <v>Texas</v>
      </c>
      <c r="B320" s="486" t="s">
        <v>1880</v>
      </c>
      <c r="C320" s="487">
        <v>2.032421E-3</v>
      </c>
      <c r="D320" s="488">
        <f t="shared" si="91"/>
        <v>0</v>
      </c>
    </row>
    <row r="321" spans="1:4" ht="14.5">
      <c r="A321" s="485" t="s">
        <v>1923</v>
      </c>
      <c r="B321" s="486" t="s">
        <v>1846</v>
      </c>
      <c r="C321" s="487">
        <v>0.67353108299999997</v>
      </c>
      <c r="D321" s="488">
        <f t="shared" si="91"/>
        <v>0.22395654370418741</v>
      </c>
    </row>
    <row r="322" spans="1:4" ht="14.5">
      <c r="A322" s="485" t="str">
        <f t="shared" ref="A322:A327" si="92">A321</f>
        <v>Utah</v>
      </c>
      <c r="B322" s="486" t="s">
        <v>1853</v>
      </c>
      <c r="C322" s="487">
        <v>9.9322924000000007E-2</v>
      </c>
      <c r="D322" s="488">
        <f t="shared" si="91"/>
        <v>1.4678209831455749E-2</v>
      </c>
    </row>
    <row r="323" spans="1:4" ht="14.5">
      <c r="A323" s="485" t="str">
        <f t="shared" si="92"/>
        <v>Utah</v>
      </c>
      <c r="B323" s="486" t="s">
        <v>1860</v>
      </c>
      <c r="C323" s="487">
        <v>0.17969355200000001</v>
      </c>
      <c r="D323" s="488">
        <f>C323*8*0.15*VLOOKUP(A323,'State eGrid factors'!$A$2:$D$53,4,FALSE)+N("pct WFH x 8 hours/day x 150 Watts converted to kW x eGRID state-based EFs kg CO2e/kWh")</f>
        <v>0.14908596820664097</v>
      </c>
    </row>
    <row r="324" spans="1:4" ht="14.5">
      <c r="A324" s="485" t="str">
        <f t="shared" si="92"/>
        <v>Utah</v>
      </c>
      <c r="B324" s="486" t="s">
        <v>1866</v>
      </c>
      <c r="C324" s="487">
        <v>1.3647612E-2</v>
      </c>
      <c r="D324" s="488">
        <f t="shared" ref="D324:D329" si="93">C324*VLOOKUP($B324,$K$6:$L$12,2,FALSE)</f>
        <v>1.7915500873306139E-3</v>
      </c>
    </row>
    <row r="325" spans="1:4" ht="14.5">
      <c r="A325" s="485" t="str">
        <f t="shared" si="92"/>
        <v>Utah</v>
      </c>
      <c r="B325" s="486" t="s">
        <v>1870</v>
      </c>
      <c r="C325" s="487">
        <v>1.0217637999999999E-2</v>
      </c>
      <c r="D325" s="488">
        <f t="shared" si="93"/>
        <v>2.7029365147782326E-3</v>
      </c>
    </row>
    <row r="326" spans="1:4" ht="14.5">
      <c r="A326" s="485" t="str">
        <f t="shared" si="92"/>
        <v>Utah</v>
      </c>
      <c r="B326" s="486" t="s">
        <v>1875</v>
      </c>
      <c r="C326" s="487">
        <v>1.8471377000000001E-2</v>
      </c>
      <c r="D326" s="488">
        <f t="shared" si="93"/>
        <v>0</v>
      </c>
    </row>
    <row r="327" spans="1:4" ht="14.5">
      <c r="A327" s="485" t="str">
        <f t="shared" si="92"/>
        <v>Utah</v>
      </c>
      <c r="B327" s="486" t="s">
        <v>1880</v>
      </c>
      <c r="C327" s="487">
        <v>5.1158139999999998E-3</v>
      </c>
      <c r="D327" s="488">
        <f t="shared" si="93"/>
        <v>0</v>
      </c>
    </row>
    <row r="328" spans="1:4" ht="14.5">
      <c r="A328" s="485" t="s">
        <v>1924</v>
      </c>
      <c r="B328" s="486" t="s">
        <v>1846</v>
      </c>
      <c r="C328" s="487">
        <v>0.698298631</v>
      </c>
      <c r="D328" s="488">
        <f t="shared" si="93"/>
        <v>0.2321920276871999</v>
      </c>
    </row>
    <row r="329" spans="1:4" ht="14.5">
      <c r="A329" s="485" t="str">
        <f t="shared" ref="A329:A334" si="94">A328</f>
        <v>Vermont</v>
      </c>
      <c r="B329" s="486" t="s">
        <v>1853</v>
      </c>
      <c r="C329" s="487">
        <v>7.2685712E-2</v>
      </c>
      <c r="D329" s="488">
        <f t="shared" si="93"/>
        <v>1.0741690734807213E-2</v>
      </c>
    </row>
    <row r="330" spans="1:4" ht="14.5">
      <c r="A330" s="485" t="str">
        <f t="shared" si="94"/>
        <v>Vermont</v>
      </c>
      <c r="B330" s="486" t="s">
        <v>1860</v>
      </c>
      <c r="C330" s="487">
        <v>0.16544082800000001</v>
      </c>
      <c r="D330" s="488">
        <f>C330*8*0.15*VLOOKUP(A330,'State eGrid factors'!$A$2:$D$53,4,FALSE)+N("pct WFH x 8 hours/day x 150 Watts converted to kW x eGRID state-based EFs kg CO2e/kWh")</f>
        <v>3.8369977085857885E-3</v>
      </c>
    </row>
    <row r="331" spans="1:4" ht="14.5">
      <c r="A331" s="485" t="str">
        <f t="shared" si="94"/>
        <v>Vermont</v>
      </c>
      <c r="B331" s="486" t="s">
        <v>1866</v>
      </c>
      <c r="C331" s="487">
        <v>6.3394209999999996E-3</v>
      </c>
      <c r="D331" s="488">
        <f t="shared" ref="D331:D336" si="95">C331*VLOOKUP($B331,$K$6:$L$12,2,FALSE)</f>
        <v>8.3218882879843937E-4</v>
      </c>
    </row>
    <row r="332" spans="1:4" ht="14.5">
      <c r="A332" s="485" t="str">
        <f t="shared" si="94"/>
        <v>Vermont</v>
      </c>
      <c r="B332" s="486" t="s">
        <v>1870</v>
      </c>
      <c r="C332" s="487">
        <v>8.2551640000000006E-3</v>
      </c>
      <c r="D332" s="488">
        <f t="shared" si="95"/>
        <v>2.1837908341519573E-3</v>
      </c>
    </row>
    <row r="333" spans="1:4" ht="14.5">
      <c r="A333" s="485" t="str">
        <f t="shared" si="94"/>
        <v>Vermont</v>
      </c>
      <c r="B333" s="486" t="s">
        <v>1875</v>
      </c>
      <c r="C333" s="487">
        <v>4.1995334000000002E-2</v>
      </c>
      <c r="D333" s="488">
        <f t="shared" si="95"/>
        <v>0</v>
      </c>
    </row>
    <row r="334" spans="1:4" ht="14.5">
      <c r="A334" s="485" t="str">
        <f t="shared" si="94"/>
        <v>Vermont</v>
      </c>
      <c r="B334" s="486" t="s">
        <v>1880</v>
      </c>
      <c r="C334" s="487">
        <v>6.9849109999999999E-3</v>
      </c>
      <c r="D334" s="488">
        <f t="shared" si="95"/>
        <v>0</v>
      </c>
    </row>
    <row r="335" spans="1:4" ht="14.5">
      <c r="A335" s="485" t="s">
        <v>1925</v>
      </c>
      <c r="B335" s="486" t="s">
        <v>1846</v>
      </c>
      <c r="C335" s="487">
        <v>0.67930447500000002</v>
      </c>
      <c r="D335" s="488">
        <f t="shared" si="95"/>
        <v>0.22587626047807446</v>
      </c>
    </row>
    <row r="336" spans="1:4" ht="14.5">
      <c r="A336" s="485" t="str">
        <f t="shared" ref="A336:A341" si="96">A335</f>
        <v>Virginia</v>
      </c>
      <c r="B336" s="486" t="s">
        <v>1853</v>
      </c>
      <c r="C336" s="487">
        <v>8.0337095999999997E-2</v>
      </c>
      <c r="D336" s="488">
        <f t="shared" si="95"/>
        <v>1.1872432917277024E-2</v>
      </c>
    </row>
    <row r="337" spans="1:4" ht="14.5">
      <c r="A337" s="485" t="str">
        <f t="shared" si="96"/>
        <v>Virginia</v>
      </c>
      <c r="B337" s="486" t="s">
        <v>1860</v>
      </c>
      <c r="C337" s="487">
        <v>0.18173373200000001</v>
      </c>
      <c r="D337" s="488">
        <f>C337*8*0.15*VLOOKUP(A337,'State eGrid factors'!$A$2:$D$53,4,FALSE)+N("pct WFH x 8 hours/day x 150 Watts converted to kW x eGRID state-based EFs kg CO2e/kWh")</f>
        <v>5.835978895325563E-2</v>
      </c>
    </row>
    <row r="338" spans="1:4" ht="14.5">
      <c r="A338" s="485" t="str">
        <f t="shared" si="96"/>
        <v>Virginia</v>
      </c>
      <c r="B338" s="486" t="s">
        <v>1866</v>
      </c>
      <c r="C338" s="487">
        <v>1.8570399000000001E-2</v>
      </c>
      <c r="D338" s="488">
        <f t="shared" ref="D338:D343" si="97">C338*VLOOKUP($B338,$K$6:$L$12,2,FALSE)</f>
        <v>2.4377744582872334E-3</v>
      </c>
    </row>
    <row r="339" spans="1:4" ht="14.5">
      <c r="A339" s="485" t="str">
        <f t="shared" si="96"/>
        <v>Virginia</v>
      </c>
      <c r="B339" s="486" t="s">
        <v>1870</v>
      </c>
      <c r="C339" s="487">
        <v>1.5418054E-2</v>
      </c>
      <c r="D339" s="488">
        <f t="shared" si="97"/>
        <v>4.0786355068972487E-3</v>
      </c>
    </row>
    <row r="340" spans="1:4" ht="14.5">
      <c r="A340" s="485" t="str">
        <f t="shared" si="96"/>
        <v>Virginia</v>
      </c>
      <c r="B340" s="486" t="s">
        <v>1875</v>
      </c>
      <c r="C340" s="487">
        <v>2.1533553E-2</v>
      </c>
      <c r="D340" s="488">
        <f t="shared" si="97"/>
        <v>0</v>
      </c>
    </row>
    <row r="341" spans="1:4" ht="14.5">
      <c r="A341" s="485" t="str">
        <f t="shared" si="96"/>
        <v>Virginia</v>
      </c>
      <c r="B341" s="486" t="s">
        <v>1880</v>
      </c>
      <c r="C341" s="487">
        <v>3.1026909999999999E-3</v>
      </c>
      <c r="D341" s="488">
        <f t="shared" si="97"/>
        <v>0</v>
      </c>
    </row>
    <row r="342" spans="1:4" ht="14.5">
      <c r="A342" s="485" t="s">
        <v>1926</v>
      </c>
      <c r="B342" s="486" t="s">
        <v>1846</v>
      </c>
      <c r="C342" s="487">
        <v>0.62852063499999999</v>
      </c>
      <c r="D342" s="488">
        <f t="shared" si="97"/>
        <v>0.20899007130360028</v>
      </c>
    </row>
    <row r="343" spans="1:4" ht="14.5">
      <c r="A343" s="485" t="str">
        <f t="shared" ref="A343:A348" si="98">A342</f>
        <v>Washington</v>
      </c>
      <c r="B343" s="486" t="s">
        <v>1853</v>
      </c>
      <c r="C343" s="487">
        <v>8.7153959000000003E-2</v>
      </c>
      <c r="D343" s="488">
        <f t="shared" si="97"/>
        <v>1.2879847333573176E-2</v>
      </c>
    </row>
    <row r="344" spans="1:4" ht="14.5">
      <c r="A344" s="485" t="str">
        <f t="shared" si="98"/>
        <v>Washington</v>
      </c>
      <c r="B344" s="486" t="s">
        <v>1860</v>
      </c>
      <c r="C344" s="487">
        <v>0.20452759100000001</v>
      </c>
      <c r="D344" s="488">
        <f>C344*8*0.15*VLOOKUP(A344,'State eGrid factors'!$A$2:$D$53,4,FALSE)+N("pct WFH x 8 hours/day x 150 Watts converted to kW x eGRID state-based EFs kg CO2e/kWh")</f>
        <v>2.0702873126605948E-2</v>
      </c>
    </row>
    <row r="345" spans="1:4" ht="14.5">
      <c r="A345" s="485" t="str">
        <f t="shared" si="98"/>
        <v>Washington</v>
      </c>
      <c r="B345" s="486" t="s">
        <v>1866</v>
      </c>
      <c r="C345" s="487">
        <v>3.1457838000000002E-2</v>
      </c>
      <c r="D345" s="488">
        <f t="shared" ref="D345:D350" si="99">C345*VLOOKUP($B345,$K$6:$L$12,2,FALSE)</f>
        <v>4.1295350729587199E-3</v>
      </c>
    </row>
    <row r="346" spans="1:4" ht="14.5">
      <c r="A346" s="485" t="str">
        <f t="shared" si="98"/>
        <v>Washington</v>
      </c>
      <c r="B346" s="486" t="s">
        <v>1870</v>
      </c>
      <c r="C346" s="487">
        <v>1.0890082000000001E-2</v>
      </c>
      <c r="D346" s="488">
        <f t="shared" si="99"/>
        <v>2.880822386419363E-3</v>
      </c>
    </row>
    <row r="347" spans="1:4" ht="14.5">
      <c r="A347" s="485" t="str">
        <f t="shared" si="98"/>
        <v>Washington</v>
      </c>
      <c r="B347" s="486" t="s">
        <v>1875</v>
      </c>
      <c r="C347" s="487">
        <v>3.1355849999999998E-2</v>
      </c>
      <c r="D347" s="488">
        <f t="shared" si="99"/>
        <v>0</v>
      </c>
    </row>
    <row r="348" spans="1:4" ht="14.5">
      <c r="A348" s="485" t="str">
        <f t="shared" si="98"/>
        <v>Washington</v>
      </c>
      <c r="B348" s="486" t="s">
        <v>1880</v>
      </c>
      <c r="C348" s="487">
        <v>6.0940439999999998E-3</v>
      </c>
      <c r="D348" s="488">
        <f t="shared" si="99"/>
        <v>0</v>
      </c>
    </row>
    <row r="349" spans="1:4" ht="14.5">
      <c r="A349" s="485" t="s">
        <v>1927</v>
      </c>
      <c r="B349" s="486" t="s">
        <v>1846</v>
      </c>
      <c r="C349" s="487">
        <v>0.78321912100000002</v>
      </c>
      <c r="D349" s="488">
        <f t="shared" si="99"/>
        <v>0.26042903101205761</v>
      </c>
    </row>
    <row r="350" spans="1:4" ht="14.5">
      <c r="A350" s="485" t="str">
        <f t="shared" ref="A350:A355" si="100">A349</f>
        <v>West Virginia</v>
      </c>
      <c r="B350" s="486" t="s">
        <v>1853</v>
      </c>
      <c r="C350" s="487">
        <v>8.2790016999999994E-2</v>
      </c>
      <c r="D350" s="488">
        <f t="shared" si="99"/>
        <v>1.2234932204329672E-2</v>
      </c>
    </row>
    <row r="351" spans="1:4" ht="14.5">
      <c r="A351" s="485" t="str">
        <f t="shared" si="100"/>
        <v>West Virginia</v>
      </c>
      <c r="B351" s="486" t="s">
        <v>1860</v>
      </c>
      <c r="C351" s="487">
        <v>9.1096946999999998E-2</v>
      </c>
      <c r="D351" s="488">
        <f>C351*8*0.15*VLOOKUP(A351,'State eGrid factors'!$A$2:$D$53,4,FALSE)+N("pct WFH x 8 hours/day x 150 Watts converted to kW x eGRID state-based EFs kg CO2e/kWh")</f>
        <v>9.7897181908567651E-2</v>
      </c>
    </row>
    <row r="352" spans="1:4" ht="14.5">
      <c r="A352" s="485" t="str">
        <f t="shared" si="100"/>
        <v>West Virginia</v>
      </c>
      <c r="B352" s="486" t="s">
        <v>1866</v>
      </c>
      <c r="C352" s="487">
        <v>5.9227120000000001E-3</v>
      </c>
      <c r="D352" s="488">
        <f t="shared" ref="D352:D357" si="101">C352*VLOOKUP($B352,$K$6:$L$12,2,FALSE)</f>
        <v>7.7748658159640491E-4</v>
      </c>
    </row>
    <row r="353" spans="1:4" ht="14.5">
      <c r="A353" s="485" t="str">
        <f t="shared" si="100"/>
        <v>West Virginia</v>
      </c>
      <c r="B353" s="486" t="s">
        <v>1870</v>
      </c>
      <c r="C353" s="487">
        <v>1.2741053E-2</v>
      </c>
      <c r="D353" s="488">
        <f t="shared" si="101"/>
        <v>3.3704714720197318E-3</v>
      </c>
    </row>
    <row r="354" spans="1:4" ht="14.5">
      <c r="A354" s="485" t="str">
        <f t="shared" si="100"/>
        <v>West Virginia</v>
      </c>
      <c r="B354" s="486" t="s">
        <v>1875</v>
      </c>
      <c r="C354" s="487">
        <v>2.3623433999999999E-2</v>
      </c>
      <c r="D354" s="488">
        <f t="shared" si="101"/>
        <v>0</v>
      </c>
    </row>
    <row r="355" spans="1:4" ht="14.5">
      <c r="A355" s="485" t="str">
        <f t="shared" si="100"/>
        <v>West Virginia</v>
      </c>
      <c r="B355" s="486" t="s">
        <v>1880</v>
      </c>
      <c r="C355" s="487">
        <v>6.06717E-4</v>
      </c>
      <c r="D355" s="488">
        <f t="shared" si="101"/>
        <v>0</v>
      </c>
    </row>
    <row r="356" spans="1:4" ht="14.5">
      <c r="A356" s="485" t="s">
        <v>1928</v>
      </c>
      <c r="B356" s="486" t="s">
        <v>1846</v>
      </c>
      <c r="C356" s="487">
        <v>0.73910780600000003</v>
      </c>
      <c r="D356" s="488">
        <f t="shared" si="101"/>
        <v>0.24576153029086717</v>
      </c>
    </row>
    <row r="357" spans="1:4" ht="14.5">
      <c r="A357" s="485" t="str">
        <f t="shared" ref="A357:A362" si="102">A356</f>
        <v>Wisconsin</v>
      </c>
      <c r="B357" s="486" t="s">
        <v>1853</v>
      </c>
      <c r="C357" s="487">
        <v>7.8061917999999994E-2</v>
      </c>
      <c r="D357" s="488">
        <f t="shared" si="101"/>
        <v>1.1536200970582505E-2</v>
      </c>
    </row>
    <row r="358" spans="1:4" ht="14.5">
      <c r="A358" s="485" t="str">
        <f t="shared" si="102"/>
        <v>Wisconsin</v>
      </c>
      <c r="B358" s="486" t="s">
        <v>1860</v>
      </c>
      <c r="C358" s="487">
        <v>0.129594557</v>
      </c>
      <c r="D358" s="488">
        <f>C358*8*0.15*VLOOKUP(A358,'State eGrid factors'!$A$2:$D$53,4,FALSE)+N("pct WFH x 8 hours/day x 150 Watts converted to kW x eGRID state-based EFs kg CO2e/kWh")</f>
        <v>8.3124672401732352E-2</v>
      </c>
    </row>
    <row r="359" spans="1:4" ht="14.5">
      <c r="A359" s="485" t="str">
        <f t="shared" si="102"/>
        <v>Wisconsin</v>
      </c>
      <c r="B359" s="486" t="s">
        <v>1866</v>
      </c>
      <c r="C359" s="487">
        <v>1.0551745E-2</v>
      </c>
      <c r="D359" s="488">
        <f t="shared" ref="D359:D364" si="103">C359*VLOOKUP($B359,$K$6:$L$12,2,FALSE)</f>
        <v>1.3851492610018783E-3</v>
      </c>
    </row>
    <row r="360" spans="1:4" ht="14.5">
      <c r="A360" s="485" t="str">
        <f t="shared" si="102"/>
        <v>Wisconsin</v>
      </c>
      <c r="B360" s="486" t="s">
        <v>1870</v>
      </c>
      <c r="C360" s="487">
        <v>1.0746287E-2</v>
      </c>
      <c r="D360" s="488">
        <f t="shared" si="103"/>
        <v>2.8427833840449848E-3</v>
      </c>
    </row>
    <row r="361" spans="1:4" ht="14.5">
      <c r="A361" s="485" t="str">
        <f t="shared" si="102"/>
        <v>Wisconsin</v>
      </c>
      <c r="B361" s="486" t="s">
        <v>1875</v>
      </c>
      <c r="C361" s="487">
        <v>2.7080481999999999E-2</v>
      </c>
      <c r="D361" s="488">
        <f t="shared" si="103"/>
        <v>0</v>
      </c>
    </row>
    <row r="362" spans="1:4" ht="14.5">
      <c r="A362" s="485" t="str">
        <f t="shared" si="102"/>
        <v>Wisconsin</v>
      </c>
      <c r="B362" s="486" t="s">
        <v>1880</v>
      </c>
      <c r="C362" s="487">
        <v>4.8572049999999999E-3</v>
      </c>
      <c r="D362" s="488">
        <f t="shared" si="103"/>
        <v>0</v>
      </c>
    </row>
    <row r="363" spans="1:4" ht="14.5">
      <c r="A363" s="485" t="s">
        <v>1929</v>
      </c>
      <c r="B363" s="486" t="s">
        <v>1846</v>
      </c>
      <c r="C363" s="487">
        <v>0.76221299899999995</v>
      </c>
      <c r="D363" s="488">
        <f t="shared" si="103"/>
        <v>0.25344426282764926</v>
      </c>
    </row>
    <row r="364" spans="1:4" ht="14.5">
      <c r="A364" s="485" t="str">
        <f t="shared" ref="A364:A369" si="104">A363</f>
        <v>Wyoming</v>
      </c>
      <c r="B364" s="486" t="s">
        <v>1853</v>
      </c>
      <c r="C364" s="487">
        <v>8.2143081000000007E-2</v>
      </c>
      <c r="D364" s="488">
        <f t="shared" si="103"/>
        <v>1.2139326255842669E-2</v>
      </c>
    </row>
    <row r="365" spans="1:4" ht="14.5">
      <c r="A365" s="485" t="str">
        <f t="shared" si="104"/>
        <v>Wyoming</v>
      </c>
      <c r="B365" s="486" t="s">
        <v>1860</v>
      </c>
      <c r="C365" s="487">
        <v>9.1060398000000001E-2</v>
      </c>
      <c r="D365" s="488">
        <f>C365*8*0.15*VLOOKUP(A365,'State eGrid factors'!$A$2:$D$53,4,FALSE)+N("pct WFH x 8 hours/day x 150 Watts converted to kW x eGRID state-based EFs kg CO2e/kWh")</f>
        <v>9.0088952711178547E-2</v>
      </c>
    </row>
    <row r="366" spans="1:4" ht="14.5">
      <c r="A366" s="485" t="str">
        <f t="shared" si="104"/>
        <v>Wyoming</v>
      </c>
      <c r="B366" s="486" t="s">
        <v>1866</v>
      </c>
      <c r="C366" s="487">
        <v>9.6276380000000009E-3</v>
      </c>
      <c r="D366" s="488">
        <f>C366*VLOOKUP($B366,$K$6:$L$12,2,FALSE)</f>
        <v>1.2638398351072363E-3</v>
      </c>
    </row>
    <row r="367" spans="1:4" ht="14.5">
      <c r="A367" s="485" t="str">
        <f t="shared" si="104"/>
        <v>Wyoming</v>
      </c>
      <c r="B367" s="486" t="s">
        <v>1870</v>
      </c>
      <c r="C367" s="487">
        <v>1.0912484E-2</v>
      </c>
      <c r="D367" s="488">
        <f>C367*VLOOKUP($B367,$K$6:$L$12,2,FALSE)</f>
        <v>2.8867485294089717E-3</v>
      </c>
    </row>
    <row r="368" spans="1:4" ht="14.5">
      <c r="A368" s="485" t="str">
        <f t="shared" si="104"/>
        <v>Wyoming</v>
      </c>
      <c r="B368" s="486" t="s">
        <v>1875</v>
      </c>
      <c r="C368" s="487">
        <v>3.4687353999999997E-2</v>
      </c>
      <c r="D368" s="488">
        <f>C368*VLOOKUP($B368,$K$6:$L$12,2,FALSE)</f>
        <v>0</v>
      </c>
    </row>
    <row r="369" spans="1:4" ht="14.5">
      <c r="A369" s="485" t="str">
        <f t="shared" si="104"/>
        <v>Wyoming</v>
      </c>
      <c r="B369" s="486" t="s">
        <v>1880</v>
      </c>
      <c r="C369" s="487">
        <v>9.3560450000000003E-3</v>
      </c>
      <c r="D369" s="488">
        <f>C369*VLOOKUP($B369,$K$6:$L$12,2,FALSE)</f>
        <v>0</v>
      </c>
    </row>
  </sheetData>
  <mergeCells count="1">
    <mergeCell ref="A2:C2"/>
  </mergeCells>
  <hyperlinks>
    <hyperlink ref="G3" r:id="rId1" xr:uid="{FA2C3AB0-AE41-4DE6-8473-47F7B1EC2FE9}"/>
    <hyperlink ref="B3" r:id="rId2" xr:uid="{1A6FF869-8733-4BEF-A0F6-A1CB5E15BF7B}"/>
    <hyperlink ref="K16" r:id="rId3" display="https://www.gov.uk/government/publications/greenhouse-gas-reporting-conversion-factors-2023?trk=article-ssr-frontend-pulse_x-social-details_comments-action_comment-text" xr:uid="{8B7CA6A2-59C6-4BB0-B329-46066FE37DAF}"/>
    <hyperlink ref="K15" r:id="rId4" xr:uid="{E93E9AA7-AB21-4ABB-8DCD-DDD024F903C4}"/>
  </hyperlinks>
  <pageMargins left="0.7" right="0.7" top="0.75" bottom="0.75" header="0.3" footer="0.3"/>
  <pageSetup orientation="portrait"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CCBC7-8269-4BDD-9BD4-31FF9B2BD532}">
  <dimension ref="A1:M53"/>
  <sheetViews>
    <sheetView workbookViewId="0">
      <selection activeCell="N26" sqref="N26"/>
    </sheetView>
  </sheetViews>
  <sheetFormatPr defaultRowHeight="14"/>
  <cols>
    <col min="1" max="2" width="21.08203125" customWidth="1"/>
    <col min="4" max="4" width="13.08203125" bestFit="1" customWidth="1"/>
  </cols>
  <sheetData>
    <row r="1" spans="1:13" ht="24">
      <c r="A1" s="507"/>
      <c r="B1" s="507"/>
      <c r="C1" s="508" t="s">
        <v>1931</v>
      </c>
      <c r="D1" t="s">
        <v>1932</v>
      </c>
    </row>
    <row r="2" spans="1:13">
      <c r="A2" s="507" t="s">
        <v>1854</v>
      </c>
      <c r="B2" s="507" t="s">
        <v>1933</v>
      </c>
      <c r="C2" s="509">
        <v>917.45299999999997</v>
      </c>
      <c r="D2">
        <f>C2/$L$2/1000</f>
        <v>0.41615017554045597</v>
      </c>
      <c r="F2" t="s">
        <v>1934</v>
      </c>
      <c r="K2" t="s">
        <v>1935</v>
      </c>
      <c r="L2">
        <v>2.2046199999999998</v>
      </c>
      <c r="M2" t="s">
        <v>1936</v>
      </c>
    </row>
    <row r="3" spans="1:13">
      <c r="A3" s="507" t="s">
        <v>1847</v>
      </c>
      <c r="B3" s="507" t="s">
        <v>1937</v>
      </c>
      <c r="C3" s="509">
        <v>791.37</v>
      </c>
      <c r="D3">
        <f t="shared" ref="D3:D53" si="0">C3/$L$2/1000</f>
        <v>0.35895982074008226</v>
      </c>
      <c r="F3">
        <v>150</v>
      </c>
      <c r="G3" t="s">
        <v>1938</v>
      </c>
    </row>
    <row r="4" spans="1:13">
      <c r="A4" s="507" t="s">
        <v>1867</v>
      </c>
      <c r="B4" s="507" t="s">
        <v>1939</v>
      </c>
      <c r="C4" s="509">
        <v>1061.5309999999999</v>
      </c>
      <c r="D4">
        <f t="shared" si="0"/>
        <v>0.4815029347461241</v>
      </c>
    </row>
    <row r="5" spans="1:13">
      <c r="A5" s="507" t="s">
        <v>1861</v>
      </c>
      <c r="B5" s="507" t="s">
        <v>1940</v>
      </c>
      <c r="C5" s="509">
        <v>711.91600000000005</v>
      </c>
      <c r="D5">
        <f t="shared" si="0"/>
        <v>0.32292004971378291</v>
      </c>
    </row>
    <row r="6" spans="1:13">
      <c r="A6" s="507" t="s">
        <v>1871</v>
      </c>
      <c r="B6" s="507" t="s">
        <v>1941</v>
      </c>
      <c r="C6" s="509">
        <v>457.48500000000001</v>
      </c>
      <c r="D6">
        <f t="shared" si="0"/>
        <v>0.20751195217316365</v>
      </c>
      <c r="K6" t="s">
        <v>1942</v>
      </c>
    </row>
    <row r="7" spans="1:13">
      <c r="A7" s="507" t="s">
        <v>1876</v>
      </c>
      <c r="B7" s="507" t="s">
        <v>1943</v>
      </c>
      <c r="C7" s="509">
        <v>1173.1479999999999</v>
      </c>
      <c r="D7">
        <f t="shared" si="0"/>
        <v>0.5321316145186018</v>
      </c>
    </row>
    <row r="8" spans="1:13">
      <c r="A8" s="507" t="s">
        <v>1881</v>
      </c>
      <c r="B8" s="507" t="s">
        <v>1944</v>
      </c>
      <c r="C8" s="509">
        <v>523.29700000000003</v>
      </c>
      <c r="D8">
        <f t="shared" si="0"/>
        <v>0.237363808728942</v>
      </c>
    </row>
    <row r="9" spans="1:13">
      <c r="A9" s="507" t="s">
        <v>1930</v>
      </c>
      <c r="B9" s="507" t="s">
        <v>1945</v>
      </c>
      <c r="C9" s="509">
        <v>554.89499999999998</v>
      </c>
      <c r="D9">
        <f t="shared" si="0"/>
        <v>0.25169643748128928</v>
      </c>
    </row>
    <row r="10" spans="1:13">
      <c r="A10" s="507" t="s">
        <v>1882</v>
      </c>
      <c r="B10" s="507" t="s">
        <v>1946</v>
      </c>
      <c r="C10" s="509">
        <v>900.79600000000005</v>
      </c>
      <c r="D10">
        <f t="shared" si="0"/>
        <v>0.40859467844798653</v>
      </c>
    </row>
    <row r="11" spans="1:13">
      <c r="A11" s="507" t="s">
        <v>1781</v>
      </c>
      <c r="B11" s="507" t="s">
        <v>1947</v>
      </c>
      <c r="C11" s="509">
        <v>818.56200000000001</v>
      </c>
      <c r="D11">
        <f t="shared" si="0"/>
        <v>0.37129391913345616</v>
      </c>
    </row>
    <row r="12" spans="1:13">
      <c r="A12" s="507" t="s">
        <v>5</v>
      </c>
      <c r="B12" s="507" t="s">
        <v>1948</v>
      </c>
      <c r="C12" s="509">
        <v>741.19399999999996</v>
      </c>
      <c r="D12">
        <f t="shared" si="0"/>
        <v>0.33620034291623957</v>
      </c>
    </row>
    <row r="13" spans="1:13">
      <c r="A13" s="507" t="s">
        <v>1887</v>
      </c>
      <c r="B13" s="507" t="s">
        <v>1949</v>
      </c>
      <c r="C13" s="509">
        <v>1463.566</v>
      </c>
      <c r="D13">
        <f t="shared" si="0"/>
        <v>0.66386316009108159</v>
      </c>
    </row>
    <row r="14" spans="1:13">
      <c r="A14" s="507" t="s">
        <v>1895</v>
      </c>
      <c r="B14" s="507" t="s">
        <v>1950</v>
      </c>
      <c r="C14" s="509">
        <v>621.56700000000001</v>
      </c>
      <c r="D14">
        <f t="shared" si="0"/>
        <v>0.2819383839391823</v>
      </c>
    </row>
    <row r="15" spans="1:13">
      <c r="A15" s="507" t="s">
        <v>1889</v>
      </c>
      <c r="B15" s="507" t="s">
        <v>27</v>
      </c>
      <c r="C15" s="509">
        <v>248.434</v>
      </c>
      <c r="D15">
        <f t="shared" si="0"/>
        <v>0.11268790086273373</v>
      </c>
    </row>
    <row r="16" spans="1:13">
      <c r="A16" s="507" t="s">
        <v>1890</v>
      </c>
      <c r="B16" s="507" t="s">
        <v>1951</v>
      </c>
      <c r="C16" s="509">
        <v>592.39400000000001</v>
      </c>
      <c r="D16">
        <f t="shared" si="0"/>
        <v>0.26870571799221638</v>
      </c>
    </row>
    <row r="17" spans="1:4">
      <c r="A17" s="507" t="s">
        <v>1893</v>
      </c>
      <c r="B17" s="507" t="s">
        <v>1952</v>
      </c>
      <c r="C17" s="509">
        <v>1576.6</v>
      </c>
      <c r="D17">
        <f t="shared" si="0"/>
        <v>0.71513458101622962</v>
      </c>
    </row>
    <row r="18" spans="1:4">
      <c r="A18" s="507" t="s">
        <v>1896</v>
      </c>
      <c r="B18" s="507" t="s">
        <v>1953</v>
      </c>
      <c r="C18" s="509">
        <v>826.24300000000005</v>
      </c>
      <c r="D18">
        <f t="shared" si="0"/>
        <v>0.37477796627083132</v>
      </c>
    </row>
    <row r="19" spans="1:4">
      <c r="A19" s="507" t="s">
        <v>1897</v>
      </c>
      <c r="B19" s="507" t="s">
        <v>1954</v>
      </c>
      <c r="C19" s="509">
        <v>1732.2550000000001</v>
      </c>
      <c r="D19">
        <f t="shared" si="0"/>
        <v>0.78573858533443419</v>
      </c>
    </row>
    <row r="20" spans="1:4">
      <c r="A20" s="507" t="s">
        <v>1898</v>
      </c>
      <c r="B20" s="507" t="s">
        <v>1955</v>
      </c>
      <c r="C20" s="509">
        <v>820.65499999999997</v>
      </c>
      <c r="D20">
        <f t="shared" si="0"/>
        <v>0.37224328909290494</v>
      </c>
    </row>
    <row r="21" spans="1:4">
      <c r="A21" s="507" t="s">
        <v>1901</v>
      </c>
      <c r="B21" s="507" t="s">
        <v>1956</v>
      </c>
      <c r="C21" s="509">
        <v>859.21900000000005</v>
      </c>
      <c r="D21">
        <f t="shared" si="0"/>
        <v>0.38973564605238098</v>
      </c>
    </row>
    <row r="22" spans="1:4">
      <c r="A22" s="507" t="s">
        <v>1900</v>
      </c>
      <c r="B22" s="507" t="s">
        <v>1957</v>
      </c>
      <c r="C22" s="509">
        <v>640.5</v>
      </c>
      <c r="D22">
        <f t="shared" si="0"/>
        <v>0.29052625849352726</v>
      </c>
    </row>
    <row r="23" spans="1:4">
      <c r="A23" s="507" t="s">
        <v>1899</v>
      </c>
      <c r="B23" s="507" t="s">
        <v>1958</v>
      </c>
      <c r="C23" s="509">
        <v>342.70800000000003</v>
      </c>
      <c r="D23">
        <f t="shared" si="0"/>
        <v>0.15544991880686926</v>
      </c>
    </row>
    <row r="24" spans="1:4">
      <c r="A24" s="507" t="s">
        <v>1902</v>
      </c>
      <c r="B24" s="507" t="s">
        <v>1959</v>
      </c>
      <c r="C24" s="509">
        <v>1015.727</v>
      </c>
      <c r="D24">
        <f t="shared" si="0"/>
        <v>0.46072656512233401</v>
      </c>
    </row>
    <row r="25" spans="1:4">
      <c r="A25" s="507" t="s">
        <v>1903</v>
      </c>
      <c r="B25" s="507" t="s">
        <v>1960</v>
      </c>
      <c r="C25" s="509">
        <v>773.81100000000004</v>
      </c>
      <c r="D25">
        <f t="shared" si="0"/>
        <v>0.35099518284330183</v>
      </c>
    </row>
    <row r="26" spans="1:4">
      <c r="A26" s="507" t="s">
        <v>1905</v>
      </c>
      <c r="B26" s="507" t="s">
        <v>1961</v>
      </c>
      <c r="C26" s="509">
        <v>1517.7670000000001</v>
      </c>
      <c r="D26">
        <f t="shared" si="0"/>
        <v>0.68844834937540267</v>
      </c>
    </row>
    <row r="27" spans="1:4">
      <c r="A27" s="507" t="s">
        <v>1904</v>
      </c>
      <c r="B27" s="507" t="s">
        <v>1962</v>
      </c>
      <c r="C27" s="509">
        <v>888.7</v>
      </c>
      <c r="D27">
        <f t="shared" si="0"/>
        <v>0.40310801861545303</v>
      </c>
    </row>
    <row r="28" spans="1:4">
      <c r="A28" s="507" t="s">
        <v>1906</v>
      </c>
      <c r="B28" s="507" t="s">
        <v>1963</v>
      </c>
      <c r="C28" s="509">
        <v>1031.354</v>
      </c>
      <c r="D28">
        <f t="shared" si="0"/>
        <v>0.46781486151808482</v>
      </c>
    </row>
    <row r="29" spans="1:4">
      <c r="A29" s="507" t="s">
        <v>1913</v>
      </c>
      <c r="B29" s="507" t="s">
        <v>1964</v>
      </c>
      <c r="C29" s="509">
        <v>657.11099999999999</v>
      </c>
      <c r="D29">
        <f t="shared" si="0"/>
        <v>0.29806089031216265</v>
      </c>
    </row>
    <row r="30" spans="1:4">
      <c r="A30" s="507" t="s">
        <v>1914</v>
      </c>
      <c r="B30" s="507" t="s">
        <v>1965</v>
      </c>
      <c r="C30" s="509">
        <v>1321.4359999999999</v>
      </c>
      <c r="D30">
        <f t="shared" si="0"/>
        <v>0.59939399987299391</v>
      </c>
    </row>
    <row r="31" spans="1:4">
      <c r="A31" s="507" t="s">
        <v>1907</v>
      </c>
      <c r="B31" s="507" t="s">
        <v>1966</v>
      </c>
      <c r="C31" s="509">
        <v>1105.6600000000001</v>
      </c>
      <c r="D31">
        <f t="shared" si="0"/>
        <v>0.5015195362466095</v>
      </c>
    </row>
    <row r="32" spans="1:4">
      <c r="A32" s="507" t="s">
        <v>1909</v>
      </c>
      <c r="B32" s="507" t="s">
        <v>1967</v>
      </c>
      <c r="C32" s="509">
        <v>306.45800000000003</v>
      </c>
      <c r="D32">
        <f t="shared" si="0"/>
        <v>0.13900717583982727</v>
      </c>
    </row>
    <row r="33" spans="1:4">
      <c r="A33" s="507" t="s">
        <v>1910</v>
      </c>
      <c r="B33" s="507" t="s">
        <v>1968</v>
      </c>
      <c r="C33" s="509">
        <v>488.572</v>
      </c>
      <c r="D33">
        <f t="shared" si="0"/>
        <v>0.22161279494878938</v>
      </c>
    </row>
    <row r="34" spans="1:4">
      <c r="A34" s="507" t="s">
        <v>1911</v>
      </c>
      <c r="B34" s="507" t="s">
        <v>1969</v>
      </c>
      <c r="C34" s="509">
        <v>991.625</v>
      </c>
      <c r="D34">
        <f t="shared" si="0"/>
        <v>0.44979406881911627</v>
      </c>
    </row>
    <row r="35" spans="1:4">
      <c r="A35" s="507" t="s">
        <v>1908</v>
      </c>
      <c r="B35" s="507" t="s">
        <v>1970</v>
      </c>
      <c r="C35" s="509">
        <v>678.745</v>
      </c>
      <c r="D35">
        <f t="shared" si="0"/>
        <v>0.30787391931489327</v>
      </c>
    </row>
    <row r="36" spans="1:4">
      <c r="A36" s="507" t="s">
        <v>1912</v>
      </c>
      <c r="B36" s="507" t="s">
        <v>1971</v>
      </c>
      <c r="C36" s="509">
        <v>491.34800000000001</v>
      </c>
      <c r="D36">
        <f t="shared" si="0"/>
        <v>0.22287196886538271</v>
      </c>
    </row>
    <row r="37" spans="1:4">
      <c r="A37" s="507" t="s">
        <v>1775</v>
      </c>
      <c r="B37" s="507" t="s">
        <v>1972</v>
      </c>
      <c r="C37" s="509">
        <v>1162.1279999999999</v>
      </c>
      <c r="D37">
        <f t="shared" si="0"/>
        <v>0.52713302065662104</v>
      </c>
    </row>
    <row r="38" spans="1:4">
      <c r="A38" s="507" t="s">
        <v>1915</v>
      </c>
      <c r="B38" s="507" t="s">
        <v>1973</v>
      </c>
      <c r="C38" s="509">
        <v>689.12699999999995</v>
      </c>
      <c r="D38">
        <f t="shared" si="0"/>
        <v>0.3125831209006541</v>
      </c>
    </row>
    <row r="39" spans="1:4">
      <c r="A39" s="507" t="s">
        <v>1916</v>
      </c>
      <c r="B39" s="507" t="s">
        <v>1974</v>
      </c>
      <c r="C39" s="509">
        <v>299.065</v>
      </c>
      <c r="D39">
        <f t="shared" si="0"/>
        <v>0.13565376346036959</v>
      </c>
    </row>
    <row r="40" spans="1:4">
      <c r="A40" s="507" t="s">
        <v>1917</v>
      </c>
      <c r="B40" s="507" t="s">
        <v>1975</v>
      </c>
      <c r="C40" s="509">
        <v>714.22900000000004</v>
      </c>
      <c r="D40">
        <f t="shared" si="0"/>
        <v>0.32396921011330754</v>
      </c>
    </row>
    <row r="41" spans="1:4">
      <c r="A41" s="507" t="s">
        <v>1918</v>
      </c>
      <c r="B41" s="507" t="s">
        <v>1976</v>
      </c>
      <c r="C41" s="509">
        <v>812.18499999999995</v>
      </c>
      <c r="D41">
        <f t="shared" si="0"/>
        <v>0.36840135714998501</v>
      </c>
    </row>
    <row r="42" spans="1:4">
      <c r="A42" s="507" t="s">
        <v>1919</v>
      </c>
      <c r="B42" s="507" t="s">
        <v>1977</v>
      </c>
      <c r="C42" s="509">
        <v>559.93399999999997</v>
      </c>
      <c r="D42">
        <f t="shared" si="0"/>
        <v>0.25398209215193551</v>
      </c>
    </row>
    <row r="43" spans="1:4">
      <c r="A43" s="507" t="s">
        <v>1920</v>
      </c>
      <c r="B43" s="507" t="s">
        <v>1978</v>
      </c>
      <c r="C43" s="509">
        <v>326.935</v>
      </c>
      <c r="D43">
        <f t="shared" si="0"/>
        <v>0.14829539784634088</v>
      </c>
    </row>
    <row r="44" spans="1:4">
      <c r="A44" s="507" t="s">
        <v>1921</v>
      </c>
      <c r="B44" s="507" t="s">
        <v>1979</v>
      </c>
      <c r="C44" s="509">
        <v>697.72199999999998</v>
      </c>
      <c r="D44">
        <f t="shared" si="0"/>
        <v>0.31648175195725342</v>
      </c>
    </row>
    <row r="45" spans="1:4">
      <c r="A45" s="507" t="s">
        <v>1922</v>
      </c>
      <c r="B45" s="507" t="s">
        <v>1980</v>
      </c>
      <c r="C45" s="509">
        <v>821.94600000000003</v>
      </c>
      <c r="D45">
        <f t="shared" si="0"/>
        <v>0.37282887753898636</v>
      </c>
    </row>
    <row r="46" spans="1:4">
      <c r="A46" s="507" t="s">
        <v>1923</v>
      </c>
      <c r="B46" s="507" t="s">
        <v>1981</v>
      </c>
      <c r="C46" s="509">
        <v>1524.252</v>
      </c>
      <c r="D46">
        <f t="shared" si="0"/>
        <v>0.6913898993930927</v>
      </c>
    </row>
    <row r="47" spans="1:4">
      <c r="A47" s="507" t="s">
        <v>1925</v>
      </c>
      <c r="B47" s="507" t="s">
        <v>1982</v>
      </c>
      <c r="C47" s="509">
        <v>589.971</v>
      </c>
      <c r="D47">
        <f t="shared" si="0"/>
        <v>0.26760666237265385</v>
      </c>
    </row>
    <row r="48" spans="1:4">
      <c r="A48" s="507" t="s">
        <v>1924</v>
      </c>
      <c r="B48" s="507" t="s">
        <v>1983</v>
      </c>
      <c r="C48" s="509">
        <v>42.609000000000002</v>
      </c>
      <c r="D48">
        <f t="shared" si="0"/>
        <v>1.9327140278143175E-2</v>
      </c>
    </row>
    <row r="49" spans="1:4">
      <c r="A49" s="507" t="s">
        <v>1926</v>
      </c>
      <c r="B49" s="507" t="s">
        <v>1984</v>
      </c>
      <c r="C49" s="509">
        <v>185.965</v>
      </c>
      <c r="D49">
        <f t="shared" si="0"/>
        <v>8.4352405403198744E-2</v>
      </c>
    </row>
    <row r="50" spans="1:4">
      <c r="A50" s="507" t="s">
        <v>1928</v>
      </c>
      <c r="B50" s="507" t="s">
        <v>1985</v>
      </c>
      <c r="C50" s="509">
        <v>1178.4079999999999</v>
      </c>
      <c r="D50">
        <f t="shared" si="0"/>
        <v>0.53451751322223329</v>
      </c>
    </row>
    <row r="51" spans="1:4">
      <c r="A51" s="507" t="s">
        <v>1927</v>
      </c>
      <c r="B51" s="507" t="s">
        <v>1986</v>
      </c>
      <c r="C51" s="509">
        <v>1974.326</v>
      </c>
      <c r="D51">
        <f t="shared" si="0"/>
        <v>0.89554027451442897</v>
      </c>
    </row>
    <row r="52" spans="1:4">
      <c r="A52" s="507" t="s">
        <v>1929</v>
      </c>
      <c r="B52" s="507" t="s">
        <v>1987</v>
      </c>
      <c r="C52" s="509">
        <v>1817.5840000000001</v>
      </c>
      <c r="D52">
        <f t="shared" si="0"/>
        <v>0.82444321470366788</v>
      </c>
    </row>
    <row r="53" spans="1:4">
      <c r="A53" s="507" t="s">
        <v>1845</v>
      </c>
      <c r="B53" s="507"/>
      <c r="C53" s="509">
        <v>827.52</v>
      </c>
      <c r="D53">
        <f t="shared" si="0"/>
        <v>0.37535720441618059</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42F99-845D-4EFD-85E2-DAF8F78BC20D}">
  <dimension ref="A2:Q13"/>
  <sheetViews>
    <sheetView showGridLines="0" workbookViewId="0">
      <selection activeCell="N26" sqref="N26"/>
    </sheetView>
  </sheetViews>
  <sheetFormatPr defaultColWidth="9.08203125" defaultRowHeight="14"/>
  <cols>
    <col min="1" max="1" width="21" style="4" customWidth="1"/>
    <col min="2" max="2" width="25.58203125" style="4" customWidth="1"/>
    <col min="3" max="3" width="12.58203125" style="513" customWidth="1"/>
    <col min="4" max="11" width="9.08203125" style="4"/>
    <col min="12" max="12" width="12.58203125" style="4" bestFit="1" customWidth="1"/>
    <col min="13" max="15" width="9.08203125" style="4" customWidth="1"/>
    <col min="16" max="16384" width="9.08203125" style="4"/>
  </cols>
  <sheetData>
    <row r="2" spans="1:17" ht="41.4" customHeight="1">
      <c r="A2" s="510" t="s">
        <v>1988</v>
      </c>
      <c r="B2" s="511" t="s">
        <v>1989</v>
      </c>
      <c r="C2" s="512" t="s">
        <v>24</v>
      </c>
    </row>
    <row r="3" spans="1:17">
      <c r="B3" s="177" t="s">
        <v>1990</v>
      </c>
      <c r="C3" s="513" cm="1">
        <f t="array" ref="C3">_xlfn.IFS($B$2="SAR",M4,$B$2="AR4",N4,$B$2="AR5",$B$2="AR6",P4,P4)</f>
        <v>1</v>
      </c>
      <c r="M3" s="4" t="s">
        <v>25</v>
      </c>
      <c r="N3" s="4" t="s">
        <v>1991</v>
      </c>
      <c r="O3" s="4" t="s">
        <v>1992</v>
      </c>
      <c r="P3" s="4" t="s">
        <v>1989</v>
      </c>
    </row>
    <row r="4" spans="1:17">
      <c r="B4" s="177" t="s">
        <v>1993</v>
      </c>
      <c r="C4" s="513" cm="1">
        <f t="array" ref="C4">_xlfn.IFS($B$2="SAR",M5,$B$2="AR4",N5,$B$2="AR5",$B$2="AR6",P5,P5)</f>
        <v>29.8</v>
      </c>
      <c r="L4" s="177" t="s">
        <v>1990</v>
      </c>
      <c r="M4" s="4">
        <v>1</v>
      </c>
      <c r="N4" s="4">
        <v>1</v>
      </c>
      <c r="O4" s="4">
        <v>1</v>
      </c>
      <c r="P4" s="514">
        <v>1</v>
      </c>
    </row>
    <row r="5" spans="1:17" ht="14.5">
      <c r="B5" s="177" t="s">
        <v>1994</v>
      </c>
      <c r="C5" s="513" cm="1">
        <f t="array" ref="C5">_xlfn.IFS($B$2="SAR",M6,$B$2="AR4",N6,$B$2="AR5",$B$2="AR6",P6,P6)</f>
        <v>273</v>
      </c>
      <c r="L5" s="177" t="s">
        <v>1993</v>
      </c>
      <c r="M5" s="4">
        <v>21</v>
      </c>
      <c r="N5" s="4">
        <v>25</v>
      </c>
      <c r="O5" s="4">
        <v>28</v>
      </c>
      <c r="P5" s="514">
        <v>29.8</v>
      </c>
      <c r="Q5" s="15" t="s">
        <v>1995</v>
      </c>
    </row>
    <row r="6" spans="1:17">
      <c r="B6" s="177" t="s">
        <v>1996</v>
      </c>
      <c r="C6" s="513">
        <v>1</v>
      </c>
      <c r="L6" s="177" t="s">
        <v>1994</v>
      </c>
      <c r="M6" s="4">
        <v>310</v>
      </c>
      <c r="N6" s="4">
        <v>298</v>
      </c>
      <c r="O6" s="4">
        <v>265</v>
      </c>
      <c r="P6" s="514">
        <v>273</v>
      </c>
    </row>
    <row r="7" spans="1:17" ht="14.5">
      <c r="B7" s="515" t="s">
        <v>37</v>
      </c>
      <c r="C7" s="513" cm="1">
        <f t="array" ref="C7">_xlfn.IFS($B$2="SAR",M7,$B$2="AR4",N7,$B$2="AR5",$B$2="AR6",P7,P7)</f>
        <v>3600</v>
      </c>
      <c r="L7" s="515" t="s">
        <v>37</v>
      </c>
      <c r="P7" s="516">
        <v>3600</v>
      </c>
    </row>
    <row r="8" spans="1:17" ht="14.5">
      <c r="B8" s="515" t="s">
        <v>34</v>
      </c>
      <c r="C8" s="513" cm="1">
        <f t="array" ref="C8">_xlfn.IFS($B$2="SAR",M8,$B$2="AR4",N8,$B$2="AR5",$B$2="AR6",P8,P8)</f>
        <v>1530</v>
      </c>
      <c r="L8" s="515" t="s">
        <v>34</v>
      </c>
      <c r="P8" s="516">
        <v>1530</v>
      </c>
    </row>
    <row r="9" spans="1:17" ht="46.5" customHeight="1"/>
    <row r="10" spans="1:17">
      <c r="A10" s="517" t="s">
        <v>1997</v>
      </c>
      <c r="B10" s="518"/>
      <c r="C10" s="519"/>
    </row>
    <row r="11" spans="1:17">
      <c r="A11" s="4" t="s">
        <v>1998</v>
      </c>
    </row>
    <row r="12" spans="1:17">
      <c r="A12" s="4" t="s">
        <v>1999</v>
      </c>
    </row>
    <row r="13" spans="1:17" ht="14.5">
      <c r="A13" s="520" t="s">
        <v>2000</v>
      </c>
    </row>
  </sheetData>
  <dataValidations count="1">
    <dataValidation type="list" showInputMessage="1" showErrorMessage="1" sqref="B2" xr:uid="{5533282D-A8BA-4EA7-9E19-8D7BB0B76C95}">
      <formula1>$M$3:$P$3</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A7BD7-40C0-4B56-A6A5-9519AE1DE572}">
  <dimension ref="A1:C210"/>
  <sheetViews>
    <sheetView zoomScale="85" zoomScaleNormal="85" workbookViewId="0">
      <selection activeCell="N26" sqref="N26"/>
    </sheetView>
  </sheetViews>
  <sheetFormatPr defaultRowHeight="14"/>
  <cols>
    <col min="1" max="1" width="63.1640625" bestFit="1" customWidth="1"/>
    <col min="2" max="2" width="20.08203125" customWidth="1"/>
    <col min="3" max="3" width="42.08203125" bestFit="1" customWidth="1"/>
  </cols>
  <sheetData>
    <row r="1" spans="1:3" s="579" customFormat="1" ht="56">
      <c r="A1" s="577" t="s">
        <v>2056</v>
      </c>
      <c r="B1" s="577" t="s">
        <v>2057</v>
      </c>
      <c r="C1" s="578" t="s">
        <v>2058</v>
      </c>
    </row>
    <row r="2" spans="1:3">
      <c r="A2" t="s">
        <v>377</v>
      </c>
      <c r="B2">
        <v>2.3765501762499994</v>
      </c>
    </row>
    <row r="3" spans="1:3">
      <c r="A3" t="s">
        <v>383</v>
      </c>
      <c r="B3">
        <v>0.50393458382999989</v>
      </c>
    </row>
    <row r="4" spans="1:3">
      <c r="A4" t="s">
        <v>386</v>
      </c>
      <c r="B4">
        <v>0.40737024910000003</v>
      </c>
    </row>
    <row r="5" spans="1:3">
      <c r="A5" t="s">
        <v>389</v>
      </c>
      <c r="B5">
        <v>0.93815228450999988</v>
      </c>
    </row>
    <row r="6" spans="1:3">
      <c r="A6" t="s">
        <v>392</v>
      </c>
      <c r="B6">
        <v>1.2763905395699999</v>
      </c>
    </row>
    <row r="7" spans="1:3">
      <c r="A7" t="s">
        <v>396</v>
      </c>
      <c r="B7">
        <v>3.2561925199825001</v>
      </c>
    </row>
    <row r="8" spans="1:3">
      <c r="A8" t="s">
        <v>405</v>
      </c>
      <c r="B8">
        <v>1.1086665226099999</v>
      </c>
    </row>
    <row r="9" spans="1:3">
      <c r="A9" t="s">
        <v>402</v>
      </c>
      <c r="B9">
        <v>1.4148847619629996</v>
      </c>
    </row>
    <row r="10" spans="1:3">
      <c r="A10" t="s">
        <v>408</v>
      </c>
      <c r="B10">
        <v>0.22619517158999999</v>
      </c>
    </row>
    <row r="11" spans="1:3">
      <c r="A11" t="s">
        <v>411</v>
      </c>
      <c r="B11">
        <v>0.21628895718999996</v>
      </c>
    </row>
    <row r="12" spans="1:3">
      <c r="A12" t="s">
        <v>415</v>
      </c>
      <c r="B12">
        <v>0.36750595302000011</v>
      </c>
    </row>
    <row r="13" spans="1:3">
      <c r="A13" t="s">
        <v>419</v>
      </c>
      <c r="B13">
        <v>0.82016784165000001</v>
      </c>
    </row>
    <row r="14" spans="1:3">
      <c r="A14" t="s">
        <v>421</v>
      </c>
      <c r="B14">
        <v>2.30739954026</v>
      </c>
    </row>
    <row r="15" spans="1:3">
      <c r="A15" t="s">
        <v>425</v>
      </c>
      <c r="B15">
        <v>1.2690577092516668</v>
      </c>
    </row>
    <row r="16" spans="1:3">
      <c r="A16" t="s">
        <v>430</v>
      </c>
      <c r="B16">
        <v>0.53650386462999999</v>
      </c>
    </row>
    <row r="17" spans="1:2">
      <c r="A17" t="s">
        <v>436</v>
      </c>
      <c r="B17">
        <v>0.30344680004999997</v>
      </c>
    </row>
    <row r="18" spans="1:2">
      <c r="A18" t="s">
        <v>442</v>
      </c>
      <c r="B18">
        <v>0.48736984585799997</v>
      </c>
    </row>
    <row r="19" spans="1:2">
      <c r="A19" t="s">
        <v>445</v>
      </c>
      <c r="B19">
        <v>2.6629199112599999</v>
      </c>
    </row>
    <row r="20" spans="1:2">
      <c r="A20" t="s">
        <v>451</v>
      </c>
      <c r="B20">
        <v>0.22402102544999999</v>
      </c>
    </row>
    <row r="21" spans="1:2">
      <c r="A21" t="s">
        <v>462</v>
      </c>
      <c r="B21">
        <v>0.24706158803307693</v>
      </c>
    </row>
    <row r="22" spans="1:2">
      <c r="A22" t="s">
        <v>468</v>
      </c>
      <c r="B22">
        <v>0.21434548216199995</v>
      </c>
    </row>
    <row r="23" spans="1:2">
      <c r="A23" t="s">
        <v>2059</v>
      </c>
      <c r="B23">
        <v>0.30378234034000007</v>
      </c>
    </row>
    <row r="24" spans="1:2">
      <c r="A24" t="s">
        <v>536</v>
      </c>
      <c r="B24">
        <v>0.71574029931500005</v>
      </c>
    </row>
    <row r="25" spans="1:2">
      <c r="A25" t="s">
        <v>541</v>
      </c>
      <c r="B25">
        <v>1.1763535083728573</v>
      </c>
    </row>
    <row r="26" spans="1:2">
      <c r="A26" t="s">
        <v>552</v>
      </c>
      <c r="B26">
        <v>0.49696890202999994</v>
      </c>
    </row>
    <row r="27" spans="1:2">
      <c r="A27" t="s">
        <v>555</v>
      </c>
      <c r="B27">
        <v>0.52107278726600004</v>
      </c>
    </row>
    <row r="28" spans="1:2">
      <c r="A28" t="s">
        <v>561</v>
      </c>
      <c r="B28">
        <v>1.0247342546239997</v>
      </c>
    </row>
    <row r="29" spans="1:2">
      <c r="A29" t="s">
        <v>571</v>
      </c>
      <c r="B29">
        <v>1.1370389753925001</v>
      </c>
    </row>
    <row r="30" spans="1:2">
      <c r="A30" t="s">
        <v>576</v>
      </c>
      <c r="B30">
        <v>0.35382715494999994</v>
      </c>
    </row>
    <row r="31" spans="1:2">
      <c r="A31" t="s">
        <v>579</v>
      </c>
      <c r="B31">
        <v>0.39830084492500001</v>
      </c>
    </row>
    <row r="32" spans="1:2">
      <c r="A32" t="s">
        <v>585</v>
      </c>
      <c r="B32">
        <v>0.46914893551625003</v>
      </c>
    </row>
    <row r="33" spans="1:2">
      <c r="A33" t="s">
        <v>596</v>
      </c>
      <c r="B33">
        <v>0.27065576808166658</v>
      </c>
    </row>
    <row r="34" spans="1:2">
      <c r="A34" t="s">
        <v>605</v>
      </c>
      <c r="B34">
        <v>7.4753922890000005E-2</v>
      </c>
    </row>
    <row r="35" spans="1:2">
      <c r="A35" t="s">
        <v>608</v>
      </c>
      <c r="B35">
        <v>0.89255257610000005</v>
      </c>
    </row>
    <row r="36" spans="1:2">
      <c r="A36" t="s">
        <v>611</v>
      </c>
      <c r="B36">
        <v>0.49972205276999998</v>
      </c>
    </row>
    <row r="37" spans="1:2">
      <c r="A37" t="s">
        <v>614</v>
      </c>
      <c r="B37">
        <v>0.42335772510000008</v>
      </c>
    </row>
    <row r="38" spans="1:2">
      <c r="A38" t="s">
        <v>617</v>
      </c>
      <c r="B38">
        <v>0.21572048928500001</v>
      </c>
    </row>
    <row r="39" spans="1:2">
      <c r="A39" t="s">
        <v>622</v>
      </c>
      <c r="B39">
        <v>0.21835757918000001</v>
      </c>
    </row>
    <row r="40" spans="1:2">
      <c r="A40" t="s">
        <v>625</v>
      </c>
      <c r="B40">
        <v>6.2069974519999994E-2</v>
      </c>
    </row>
    <row r="41" spans="1:2">
      <c r="A41" t="s">
        <v>628</v>
      </c>
      <c r="B41">
        <v>0.18834269176999996</v>
      </c>
    </row>
    <row r="42" spans="1:2">
      <c r="A42" t="s">
        <v>631</v>
      </c>
      <c r="B42">
        <v>0.24254914360999996</v>
      </c>
    </row>
    <row r="43" spans="1:2">
      <c r="A43" t="s">
        <v>634</v>
      </c>
      <c r="B43">
        <v>0.19781959985999995</v>
      </c>
    </row>
    <row r="44" spans="1:2">
      <c r="A44" t="s">
        <v>637</v>
      </c>
      <c r="B44">
        <v>0.16718537453714286</v>
      </c>
    </row>
    <row r="45" spans="1:2">
      <c r="A45" t="s">
        <v>643</v>
      </c>
      <c r="B45">
        <v>0.76492286746250004</v>
      </c>
    </row>
    <row r="46" spans="1:2">
      <c r="A46" t="s">
        <v>650</v>
      </c>
      <c r="B46">
        <v>0.45250471962285704</v>
      </c>
    </row>
    <row r="47" spans="1:2">
      <c r="A47" t="s">
        <v>661</v>
      </c>
      <c r="B47">
        <v>0.33103489670500008</v>
      </c>
    </row>
    <row r="48" spans="1:2">
      <c r="A48" t="s">
        <v>666</v>
      </c>
      <c r="B48">
        <v>0.91131398239799988</v>
      </c>
    </row>
    <row r="49" spans="1:2">
      <c r="A49" t="s">
        <v>675</v>
      </c>
      <c r="B49">
        <v>1.4614082061057145</v>
      </c>
    </row>
    <row r="50" spans="1:2">
      <c r="A50" t="s">
        <v>685</v>
      </c>
      <c r="B50">
        <v>1.1018534305000001</v>
      </c>
    </row>
    <row r="51" spans="1:2">
      <c r="A51" t="s">
        <v>691</v>
      </c>
      <c r="B51">
        <v>1.7627500651325001</v>
      </c>
    </row>
    <row r="52" spans="1:2">
      <c r="A52" t="s">
        <v>696</v>
      </c>
      <c r="B52">
        <v>0.13436971278100004</v>
      </c>
    </row>
    <row r="53" spans="1:2">
      <c r="A53" t="s">
        <v>705</v>
      </c>
      <c r="B53">
        <v>0.59707184234999988</v>
      </c>
    </row>
    <row r="54" spans="1:2">
      <c r="A54" t="s">
        <v>710</v>
      </c>
      <c r="B54">
        <v>0.30920156469749999</v>
      </c>
    </row>
    <row r="55" spans="1:2">
      <c r="A55" t="s">
        <v>715</v>
      </c>
      <c r="B55">
        <v>0.63835588749999994</v>
      </c>
    </row>
    <row r="56" spans="1:2">
      <c r="A56" t="s">
        <v>721</v>
      </c>
      <c r="B56">
        <v>0.48862707047090914</v>
      </c>
    </row>
    <row r="57" spans="1:2">
      <c r="A57" t="s">
        <v>735</v>
      </c>
      <c r="B57">
        <v>0.42034217527200002</v>
      </c>
    </row>
    <row r="58" spans="1:2">
      <c r="A58" t="s">
        <v>742</v>
      </c>
      <c r="B58">
        <v>0.41909857190000005</v>
      </c>
    </row>
    <row r="59" spans="1:2">
      <c r="A59" t="s">
        <v>745</v>
      </c>
      <c r="B59">
        <v>0.46076952344000005</v>
      </c>
    </row>
    <row r="60" spans="1:2">
      <c r="A60" t="s">
        <v>748</v>
      </c>
      <c r="B60">
        <v>1.2742367458400001</v>
      </c>
    </row>
    <row r="61" spans="1:2">
      <c r="A61" t="s">
        <v>757</v>
      </c>
      <c r="B61">
        <v>1.9812205575799997</v>
      </c>
    </row>
    <row r="62" spans="1:2">
      <c r="A62" t="s">
        <v>760</v>
      </c>
      <c r="B62">
        <v>0.3755636222019999</v>
      </c>
    </row>
    <row r="63" spans="1:2">
      <c r="A63" t="s">
        <v>771</v>
      </c>
      <c r="B63">
        <v>1.0316452607599997</v>
      </c>
    </row>
    <row r="64" spans="1:2">
      <c r="A64" t="s">
        <v>774</v>
      </c>
      <c r="B64">
        <v>0.5348371354</v>
      </c>
    </row>
    <row r="65" spans="1:2">
      <c r="A65" t="s">
        <v>777</v>
      </c>
      <c r="B65">
        <v>1.2782116357666666</v>
      </c>
    </row>
    <row r="66" spans="1:2">
      <c r="A66" t="s">
        <v>783</v>
      </c>
      <c r="B66">
        <v>0.62045888702500007</v>
      </c>
    </row>
    <row r="67" spans="1:2">
      <c r="A67" t="s">
        <v>790</v>
      </c>
      <c r="B67">
        <v>0.51667314828999999</v>
      </c>
    </row>
    <row r="68" spans="1:2">
      <c r="A68" t="s">
        <v>796</v>
      </c>
      <c r="B68">
        <v>0.56556178225799991</v>
      </c>
    </row>
    <row r="69" spans="1:2">
      <c r="A69" t="s">
        <v>803</v>
      </c>
      <c r="B69">
        <v>0.24480155929</v>
      </c>
    </row>
    <row r="70" spans="1:2">
      <c r="A70" t="s">
        <v>806</v>
      </c>
      <c r="B70">
        <v>0.29675873309500012</v>
      </c>
    </row>
    <row r="71" spans="1:2">
      <c r="A71" t="s">
        <v>811</v>
      </c>
      <c r="B71">
        <v>0.46105751022499991</v>
      </c>
    </row>
    <row r="72" spans="1:2">
      <c r="A72" t="s">
        <v>818</v>
      </c>
      <c r="B72">
        <v>0.20375559456999998</v>
      </c>
    </row>
    <row r="73" spans="1:2">
      <c r="A73" t="s">
        <v>821</v>
      </c>
      <c r="B73">
        <v>0.35330084709999998</v>
      </c>
    </row>
    <row r="74" spans="1:2">
      <c r="A74" t="s">
        <v>824</v>
      </c>
      <c r="B74">
        <v>0.30182425866666668</v>
      </c>
    </row>
    <row r="75" spans="1:2">
      <c r="A75" t="s">
        <v>829</v>
      </c>
      <c r="B75">
        <v>0.5100753241999999</v>
      </c>
    </row>
    <row r="76" spans="1:2">
      <c r="A76" t="s">
        <v>833</v>
      </c>
      <c r="B76">
        <v>0.23473036539799996</v>
      </c>
    </row>
    <row r="77" spans="1:2">
      <c r="A77" t="s">
        <v>847</v>
      </c>
      <c r="B77">
        <v>0.33066206170000007</v>
      </c>
    </row>
    <row r="78" spans="1:2">
      <c r="A78" t="s">
        <v>857</v>
      </c>
      <c r="B78">
        <v>0.20270438218799997</v>
      </c>
    </row>
    <row r="79" spans="1:2">
      <c r="A79" t="s">
        <v>862</v>
      </c>
      <c r="B79">
        <v>0.24654458593333334</v>
      </c>
    </row>
    <row r="80" spans="1:2">
      <c r="A80" t="s">
        <v>869</v>
      </c>
      <c r="B80">
        <v>0.23288634328333332</v>
      </c>
    </row>
    <row r="81" spans="1:2">
      <c r="A81" t="s">
        <v>876</v>
      </c>
      <c r="B81">
        <v>0.26753224647400003</v>
      </c>
    </row>
    <row r="82" spans="1:2">
      <c r="A82" t="s">
        <v>886</v>
      </c>
      <c r="B82">
        <v>0.26380432234999995</v>
      </c>
    </row>
    <row r="83" spans="1:2">
      <c r="A83" t="s">
        <v>895</v>
      </c>
      <c r="B83">
        <v>0.24682503928714289</v>
      </c>
    </row>
    <row r="84" spans="1:2">
      <c r="A84" t="s">
        <v>915</v>
      </c>
      <c r="B84">
        <v>9.3338054669999976E-2</v>
      </c>
    </row>
    <row r="85" spans="1:2">
      <c r="A85" t="s">
        <v>922</v>
      </c>
      <c r="B85">
        <v>0.10281257565000002</v>
      </c>
    </row>
    <row r="86" spans="1:2">
      <c r="A86" t="s">
        <v>929</v>
      </c>
      <c r="B86">
        <v>6.0876745590000003E-2</v>
      </c>
    </row>
    <row r="87" spans="1:2">
      <c r="A87" t="s">
        <v>933</v>
      </c>
      <c r="B87">
        <v>0.17176694789833333</v>
      </c>
    </row>
    <row r="88" spans="1:2">
      <c r="A88" t="s">
        <v>940</v>
      </c>
      <c r="B88">
        <v>8.1116603662222245E-2</v>
      </c>
    </row>
    <row r="89" spans="1:2">
      <c r="A89" t="s">
        <v>960</v>
      </c>
      <c r="B89">
        <v>0.13104938859000004</v>
      </c>
    </row>
    <row r="90" spans="1:2">
      <c r="A90" t="s">
        <v>963</v>
      </c>
      <c r="B90">
        <v>0.26675796520000006</v>
      </c>
    </row>
    <row r="91" spans="1:2">
      <c r="A91" t="s">
        <v>968</v>
      </c>
      <c r="B91">
        <v>0.223335308225</v>
      </c>
    </row>
    <row r="92" spans="1:2">
      <c r="A92" t="s">
        <v>974</v>
      </c>
      <c r="B92">
        <v>0.22905104899500003</v>
      </c>
    </row>
    <row r="93" spans="1:2">
      <c r="A93" t="s">
        <v>982</v>
      </c>
      <c r="B93">
        <v>0.31693892549500008</v>
      </c>
    </row>
    <row r="94" spans="1:2">
      <c r="A94" t="s">
        <v>995</v>
      </c>
      <c r="B94">
        <v>0.272873643</v>
      </c>
    </row>
    <row r="95" spans="1:2">
      <c r="A95" t="s">
        <v>1002</v>
      </c>
      <c r="B95">
        <v>0.27248364109999995</v>
      </c>
    </row>
    <row r="96" spans="1:2">
      <c r="A96" t="s">
        <v>1011</v>
      </c>
      <c r="B96">
        <v>0.41815088202500006</v>
      </c>
    </row>
    <row r="97" spans="1:2">
      <c r="A97" t="s">
        <v>1027</v>
      </c>
      <c r="B97">
        <v>0.15188256963499996</v>
      </c>
    </row>
    <row r="98" spans="1:2">
      <c r="A98" t="s">
        <v>1039</v>
      </c>
      <c r="B98">
        <v>0.39495776189999998</v>
      </c>
    </row>
    <row r="99" spans="1:2">
      <c r="A99" t="s">
        <v>1042</v>
      </c>
      <c r="B99">
        <v>0.20008009252999995</v>
      </c>
    </row>
    <row r="100" spans="1:2">
      <c r="A100" t="s">
        <v>1047</v>
      </c>
      <c r="B100">
        <v>0.33952178983000003</v>
      </c>
    </row>
    <row r="101" spans="1:2">
      <c r="A101" t="s">
        <v>1054</v>
      </c>
      <c r="B101">
        <v>0.25025105210000004</v>
      </c>
    </row>
    <row r="102" spans="1:2">
      <c r="A102" t="s">
        <v>1067</v>
      </c>
      <c r="B102">
        <v>0.26915977385000001</v>
      </c>
    </row>
    <row r="103" spans="1:2">
      <c r="A103" t="s">
        <v>1072</v>
      </c>
      <c r="B103">
        <v>0.17040478042000001</v>
      </c>
    </row>
    <row r="104" spans="1:2">
      <c r="A104" t="s">
        <v>1075</v>
      </c>
      <c r="B104">
        <v>0.14951139189799997</v>
      </c>
    </row>
    <row r="105" spans="1:2">
      <c r="A105" t="s">
        <v>1086</v>
      </c>
      <c r="B105">
        <v>0.20090592171818175</v>
      </c>
    </row>
    <row r="106" spans="1:2">
      <c r="A106" t="s">
        <v>1100</v>
      </c>
      <c r="B106">
        <v>0.14156292300000003</v>
      </c>
    </row>
    <row r="107" spans="1:2">
      <c r="A107" t="s">
        <v>1107</v>
      </c>
      <c r="B107">
        <v>8.4303059599999994E-2</v>
      </c>
    </row>
    <row r="108" spans="1:2">
      <c r="A108" t="s">
        <v>1110</v>
      </c>
      <c r="B108">
        <v>0.10787750445000001</v>
      </c>
    </row>
    <row r="109" spans="1:2">
      <c r="A109" t="s">
        <v>1113</v>
      </c>
      <c r="B109">
        <v>0.10112529415999999</v>
      </c>
    </row>
    <row r="110" spans="1:2">
      <c r="A110" t="s">
        <v>1120</v>
      </c>
      <c r="B110">
        <v>0.13252923053999999</v>
      </c>
    </row>
    <row r="111" spans="1:2">
      <c r="A111" t="s">
        <v>1123</v>
      </c>
      <c r="B111">
        <v>0.20294602737000003</v>
      </c>
    </row>
    <row r="112" spans="1:2">
      <c r="A112" t="s">
        <v>1126</v>
      </c>
      <c r="B112">
        <v>5.4018606020000012E-2</v>
      </c>
    </row>
    <row r="113" spans="1:2">
      <c r="A113" t="s">
        <v>1129</v>
      </c>
      <c r="B113">
        <v>5.1700660870000005E-2</v>
      </c>
    </row>
    <row r="114" spans="1:2">
      <c r="A114" t="s">
        <v>1133</v>
      </c>
      <c r="B114">
        <v>0.10449095907999997</v>
      </c>
    </row>
    <row r="115" spans="1:2">
      <c r="A115" t="s">
        <v>1140</v>
      </c>
      <c r="B115">
        <v>0.10023732629699998</v>
      </c>
    </row>
    <row r="116" spans="1:2">
      <c r="A116" t="s">
        <v>1143</v>
      </c>
      <c r="B116">
        <v>0.23912035169000004</v>
      </c>
    </row>
    <row r="117" spans="1:2">
      <c r="A117" t="s">
        <v>1146</v>
      </c>
      <c r="B117">
        <v>0.15807228603000004</v>
      </c>
    </row>
    <row r="118" spans="1:2">
      <c r="A118" t="s">
        <v>1149</v>
      </c>
      <c r="B118">
        <v>0.19889332249000005</v>
      </c>
    </row>
    <row r="119" spans="1:2">
      <c r="A119" t="s">
        <v>1152</v>
      </c>
      <c r="B119">
        <v>0.20518918790999999</v>
      </c>
    </row>
    <row r="120" spans="1:2">
      <c r="A120" t="s">
        <v>1155</v>
      </c>
      <c r="B120">
        <v>0.19417409097000005</v>
      </c>
    </row>
    <row r="121" spans="1:2">
      <c r="A121" t="s">
        <v>1158</v>
      </c>
      <c r="B121">
        <v>9.1766132450000024E-2</v>
      </c>
    </row>
    <row r="122" spans="1:2">
      <c r="A122" t="s">
        <v>2060</v>
      </c>
      <c r="B122">
        <v>0.98898127734000008</v>
      </c>
    </row>
    <row r="123" spans="1:2">
      <c r="A123" t="s">
        <v>2061</v>
      </c>
      <c r="B123">
        <v>0.56479907330000012</v>
      </c>
    </row>
    <row r="124" spans="1:2">
      <c r="A124" t="s">
        <v>2062</v>
      </c>
      <c r="B124">
        <v>0.64743056872999993</v>
      </c>
    </row>
    <row r="125" spans="1:2">
      <c r="A125" t="s">
        <v>2063</v>
      </c>
      <c r="B125">
        <v>1.1365685982</v>
      </c>
    </row>
    <row r="126" spans="1:2">
      <c r="A126" t="s">
        <v>2064</v>
      </c>
      <c r="B126">
        <v>0.12802555715299999</v>
      </c>
    </row>
    <row r="127" spans="1:2">
      <c r="A127" t="s">
        <v>2065</v>
      </c>
      <c r="B127">
        <v>1.7368685875900001</v>
      </c>
    </row>
    <row r="128" spans="1:2">
      <c r="A128" t="s">
        <v>2066</v>
      </c>
      <c r="B128">
        <v>0.19330060506000005</v>
      </c>
    </row>
    <row r="129" spans="1:2">
      <c r="A129" t="s">
        <v>2067</v>
      </c>
      <c r="B129">
        <v>0.24690330444</v>
      </c>
    </row>
    <row r="130" spans="1:2">
      <c r="A130" t="s">
        <v>2068</v>
      </c>
      <c r="B130">
        <v>0.55666742155999993</v>
      </c>
    </row>
    <row r="131" spans="1:2">
      <c r="A131" t="s">
        <v>1162</v>
      </c>
      <c r="B131">
        <v>0.12164920758166665</v>
      </c>
    </row>
    <row r="132" spans="1:2">
      <c r="A132" t="s">
        <v>1172</v>
      </c>
      <c r="B132">
        <v>4.6894981199999998E-2</v>
      </c>
    </row>
    <row r="133" spans="1:2">
      <c r="A133" t="s">
        <v>1175</v>
      </c>
      <c r="B133">
        <v>6.1956406588000022E-2</v>
      </c>
    </row>
    <row r="134" spans="1:2">
      <c r="A134" t="s">
        <v>1178</v>
      </c>
      <c r="B134">
        <v>2.3489977980000007E-2</v>
      </c>
    </row>
    <row r="135" spans="1:2">
      <c r="A135" t="s">
        <v>1181</v>
      </c>
      <c r="B135">
        <v>6.1648774400000002E-2</v>
      </c>
    </row>
    <row r="136" spans="1:2">
      <c r="A136" t="s">
        <v>1184</v>
      </c>
      <c r="B136">
        <v>0.15826046443</v>
      </c>
    </row>
    <row r="137" spans="1:2">
      <c r="A137" t="s">
        <v>1186</v>
      </c>
      <c r="B137">
        <v>7.6710036199999998E-2</v>
      </c>
    </row>
    <row r="138" spans="1:2">
      <c r="A138" t="s">
        <v>1189</v>
      </c>
      <c r="B138">
        <v>0.17115273890000002</v>
      </c>
    </row>
    <row r="139" spans="1:2">
      <c r="A139" t="s">
        <v>1193</v>
      </c>
      <c r="B139">
        <v>0.13256265040000001</v>
      </c>
    </row>
    <row r="140" spans="1:2">
      <c r="A140" t="s">
        <v>1196</v>
      </c>
      <c r="B140">
        <v>0.15806692415000004</v>
      </c>
    </row>
    <row r="141" spans="1:2">
      <c r="A141" t="s">
        <v>1200</v>
      </c>
      <c r="B141">
        <v>9.4947825414999992E-2</v>
      </c>
    </row>
    <row r="142" spans="1:2">
      <c r="A142" t="s">
        <v>1207</v>
      </c>
      <c r="B142">
        <v>4.8624928641999993E-2</v>
      </c>
    </row>
    <row r="143" spans="1:2">
      <c r="A143" t="s">
        <v>1211</v>
      </c>
      <c r="B143">
        <v>6.6001501573999991E-2</v>
      </c>
    </row>
    <row r="144" spans="1:2">
      <c r="A144" t="s">
        <v>1215</v>
      </c>
      <c r="B144">
        <v>6.3773578439999978E-2</v>
      </c>
    </row>
    <row r="145" spans="1:2">
      <c r="A145" t="s">
        <v>1218</v>
      </c>
      <c r="B145">
        <v>6.4086802068000007E-2</v>
      </c>
    </row>
    <row r="146" spans="1:2">
      <c r="A146" t="s">
        <v>1223</v>
      </c>
      <c r="B146">
        <v>3.3208546923166667E-2</v>
      </c>
    </row>
    <row r="147" spans="1:2">
      <c r="A147" t="s">
        <v>1226</v>
      </c>
      <c r="B147">
        <v>3.3283935623999998E-2</v>
      </c>
    </row>
    <row r="148" spans="1:2">
      <c r="A148" t="s">
        <v>1229</v>
      </c>
      <c r="B148">
        <v>0.16332759811</v>
      </c>
    </row>
    <row r="149" spans="1:2">
      <c r="A149" t="s">
        <v>1241</v>
      </c>
      <c r="B149">
        <v>0.21427251395999999</v>
      </c>
    </row>
    <row r="150" spans="1:2">
      <c r="A150" t="s">
        <v>1245</v>
      </c>
      <c r="B150">
        <v>0.13633362157999998</v>
      </c>
    </row>
    <row r="151" spans="1:2">
      <c r="A151" t="s">
        <v>1248</v>
      </c>
      <c r="B151">
        <v>0.15170443278000004</v>
      </c>
    </row>
    <row r="152" spans="1:2">
      <c r="A152" t="s">
        <v>1251</v>
      </c>
      <c r="B152">
        <v>5.9545430689999998E-2</v>
      </c>
    </row>
    <row r="153" spans="1:2">
      <c r="A153" t="s">
        <v>1255</v>
      </c>
      <c r="B153">
        <v>5.4688373221000001E-2</v>
      </c>
    </row>
    <row r="154" spans="1:2">
      <c r="A154" t="s">
        <v>1258</v>
      </c>
      <c r="B154">
        <v>5.1006851917000003E-2</v>
      </c>
    </row>
    <row r="155" spans="1:2">
      <c r="A155" t="s">
        <v>1261</v>
      </c>
      <c r="B155">
        <v>0.12220826995999998</v>
      </c>
    </row>
    <row r="156" spans="1:2">
      <c r="A156" t="s">
        <v>1264</v>
      </c>
      <c r="B156">
        <v>8.655035601000001E-2</v>
      </c>
    </row>
    <row r="157" spans="1:2">
      <c r="A157" t="s">
        <v>1267</v>
      </c>
      <c r="B157">
        <v>8.1844124660000017E-2</v>
      </c>
    </row>
    <row r="158" spans="1:2">
      <c r="A158" t="s">
        <v>2069</v>
      </c>
      <c r="B158">
        <v>8.2581306448571409E-2</v>
      </c>
    </row>
    <row r="159" spans="1:2">
      <c r="A159" t="s">
        <v>2070</v>
      </c>
      <c r="B159">
        <v>0.13448763695000002</v>
      </c>
    </row>
    <row r="160" spans="1:2">
      <c r="A160" t="s">
        <v>2071</v>
      </c>
      <c r="B160">
        <v>0.10271099378000002</v>
      </c>
    </row>
    <row r="161" spans="1:2">
      <c r="A161" t="s">
        <v>2072</v>
      </c>
      <c r="B161">
        <v>0.10097036890666668</v>
      </c>
    </row>
    <row r="162" spans="1:2">
      <c r="A162" t="s">
        <v>2073</v>
      </c>
      <c r="B162">
        <v>0.13143384486000001</v>
      </c>
    </row>
    <row r="163" spans="1:2">
      <c r="A163" t="s">
        <v>1280</v>
      </c>
      <c r="B163">
        <v>0.10800641376</v>
      </c>
    </row>
    <row r="164" spans="1:2">
      <c r="A164" t="s">
        <v>1283</v>
      </c>
      <c r="B164">
        <v>0.21928033424000001</v>
      </c>
    </row>
    <row r="165" spans="1:2">
      <c r="A165" t="s">
        <v>1286</v>
      </c>
      <c r="B165">
        <v>3.3223536851000005E-2</v>
      </c>
    </row>
    <row r="166" spans="1:2">
      <c r="A166" t="s">
        <v>1289</v>
      </c>
      <c r="B166">
        <v>0.11574353185999998</v>
      </c>
    </row>
    <row r="167" spans="1:2">
      <c r="A167" t="s">
        <v>1292</v>
      </c>
      <c r="B167">
        <v>0.10413877655000001</v>
      </c>
    </row>
    <row r="168" spans="1:2">
      <c r="A168" t="s">
        <v>1295</v>
      </c>
      <c r="B168">
        <v>7.5652604469999996E-2</v>
      </c>
    </row>
    <row r="169" spans="1:2">
      <c r="A169" t="s">
        <v>1298</v>
      </c>
      <c r="B169">
        <v>0.17108774855000006</v>
      </c>
    </row>
    <row r="170" spans="1:2">
      <c r="A170" t="s">
        <v>1301</v>
      </c>
      <c r="B170">
        <v>0.11461077494000001</v>
      </c>
    </row>
    <row r="171" spans="1:2">
      <c r="A171" t="s">
        <v>1304</v>
      </c>
      <c r="B171">
        <v>1.4290375542966667</v>
      </c>
    </row>
    <row r="172" spans="1:2">
      <c r="A172" t="s">
        <v>1314</v>
      </c>
      <c r="B172">
        <v>9.3967383696500004</v>
      </c>
    </row>
    <row r="173" spans="1:2">
      <c r="A173" t="s">
        <v>1319</v>
      </c>
      <c r="B173">
        <v>0.15997704593500001</v>
      </c>
    </row>
    <row r="174" spans="1:2">
      <c r="A174" t="s">
        <v>1325</v>
      </c>
      <c r="B174">
        <v>0.13862239378000002</v>
      </c>
    </row>
    <row r="175" spans="1:2">
      <c r="A175" t="s">
        <v>1337</v>
      </c>
      <c r="B175">
        <v>8.7363682280000007E-2</v>
      </c>
    </row>
    <row r="176" spans="1:2">
      <c r="A176" t="s">
        <v>1340</v>
      </c>
      <c r="B176">
        <v>9.1930963859999992E-2</v>
      </c>
    </row>
    <row r="177" spans="1:2">
      <c r="A177" t="s">
        <v>1343</v>
      </c>
      <c r="B177">
        <v>0.119782045176</v>
      </c>
    </row>
    <row r="178" spans="1:2">
      <c r="A178" t="s">
        <v>1346</v>
      </c>
      <c r="B178">
        <v>0.11437673993000001</v>
      </c>
    </row>
    <row r="179" spans="1:2">
      <c r="A179" t="s">
        <v>1349</v>
      </c>
      <c r="B179">
        <v>0.12780810493</v>
      </c>
    </row>
    <row r="180" spans="1:2">
      <c r="A180" t="s">
        <v>1352</v>
      </c>
      <c r="B180">
        <v>9.1311435829999996E-2</v>
      </c>
    </row>
    <row r="181" spans="1:2">
      <c r="A181" t="s">
        <v>1355</v>
      </c>
      <c r="B181">
        <v>0.18045842082999999</v>
      </c>
    </row>
    <row r="182" spans="1:2">
      <c r="A182" t="s">
        <v>1358</v>
      </c>
      <c r="B182">
        <v>0.14198917565000002</v>
      </c>
    </row>
    <row r="183" spans="1:2">
      <c r="A183" t="s">
        <v>1362</v>
      </c>
      <c r="B183">
        <v>0.16125450612</v>
      </c>
    </row>
    <row r="184" spans="1:2">
      <c r="A184" t="s">
        <v>1366</v>
      </c>
      <c r="B184">
        <v>0.16793437044000001</v>
      </c>
    </row>
    <row r="185" spans="1:2">
      <c r="A185" t="s">
        <v>1369</v>
      </c>
      <c r="B185">
        <v>0.14912086413</v>
      </c>
    </row>
    <row r="186" spans="1:2">
      <c r="A186" t="s">
        <v>1373</v>
      </c>
      <c r="B186">
        <v>0.25852029881999999</v>
      </c>
    </row>
    <row r="187" spans="1:2">
      <c r="A187" t="s">
        <v>1376</v>
      </c>
      <c r="B187">
        <v>0.16859666255</v>
      </c>
    </row>
    <row r="188" spans="1:2">
      <c r="A188" t="s">
        <v>1380</v>
      </c>
      <c r="B188">
        <v>7.7305590170999999E-2</v>
      </c>
    </row>
    <row r="189" spans="1:2">
      <c r="A189" t="s">
        <v>1382</v>
      </c>
      <c r="B189">
        <v>6.3400588601999999E-2</v>
      </c>
    </row>
    <row r="190" spans="1:2">
      <c r="A190" t="s">
        <v>1386</v>
      </c>
      <c r="B190">
        <v>9.0586171257999976E-2</v>
      </c>
    </row>
    <row r="191" spans="1:2">
      <c r="A191" t="s">
        <v>1389</v>
      </c>
      <c r="B191">
        <v>1.3283424990000001E-2</v>
      </c>
    </row>
    <row r="192" spans="1:2">
      <c r="A192" t="s">
        <v>1392</v>
      </c>
      <c r="B192">
        <v>0.15227593383000002</v>
      </c>
    </row>
    <row r="193" spans="1:2">
      <c r="A193" t="s">
        <v>1395</v>
      </c>
      <c r="B193">
        <v>0.13781782279999999</v>
      </c>
    </row>
    <row r="194" spans="1:2">
      <c r="A194" t="s">
        <v>1398</v>
      </c>
      <c r="B194">
        <v>0.11311441145999999</v>
      </c>
    </row>
    <row r="195" spans="1:2">
      <c r="A195" t="s">
        <v>1401</v>
      </c>
      <c r="B195">
        <v>0.25130830183000002</v>
      </c>
    </row>
    <row r="196" spans="1:2">
      <c r="A196" t="s">
        <v>1405</v>
      </c>
      <c r="B196">
        <v>0.18972571420999998</v>
      </c>
    </row>
    <row r="197" spans="1:2">
      <c r="A197" t="s">
        <v>1409</v>
      </c>
      <c r="B197">
        <v>0.13409552924000001</v>
      </c>
    </row>
    <row r="198" spans="1:2">
      <c r="A198" t="s">
        <v>1412</v>
      </c>
      <c r="B198">
        <v>0.26806147386000007</v>
      </c>
    </row>
    <row r="199" spans="1:2">
      <c r="A199" t="s">
        <v>1418</v>
      </c>
      <c r="B199">
        <v>0.13854811430000002</v>
      </c>
    </row>
    <row r="200" spans="1:2">
      <c r="A200" t="s">
        <v>1421</v>
      </c>
      <c r="B200">
        <v>8.4641898100000015E-2</v>
      </c>
    </row>
    <row r="201" spans="1:2">
      <c r="A201" t="s">
        <v>1424</v>
      </c>
      <c r="B201">
        <v>0.18166639299000004</v>
      </c>
    </row>
    <row r="202" spans="1:2">
      <c r="A202" t="s">
        <v>1427</v>
      </c>
      <c r="B202">
        <v>5.3619908700000003E-2</v>
      </c>
    </row>
    <row r="203" spans="1:2">
      <c r="A203" t="s">
        <v>1430</v>
      </c>
      <c r="B203">
        <v>0.10976509408</v>
      </c>
    </row>
    <row r="204" spans="1:2">
      <c r="A204" t="s">
        <v>1433</v>
      </c>
      <c r="B204">
        <v>3.4712824567999991E-2</v>
      </c>
    </row>
    <row r="205" spans="1:2">
      <c r="A205" t="s">
        <v>1436</v>
      </c>
      <c r="B205">
        <v>0.16493005277000003</v>
      </c>
    </row>
    <row r="206" spans="1:2">
      <c r="A206" t="s">
        <v>1439</v>
      </c>
      <c r="B206">
        <v>8.5696278299999984E-2</v>
      </c>
    </row>
    <row r="207" spans="1:2">
      <c r="A207" t="s">
        <v>1442</v>
      </c>
      <c r="B207">
        <v>0.20092027525999995</v>
      </c>
    </row>
    <row r="208" spans="1:2">
      <c r="A208" t="s">
        <v>1446</v>
      </c>
      <c r="B208">
        <v>6.5544286309999991E-2</v>
      </c>
    </row>
    <row r="209" spans="1:2">
      <c r="A209" t="s">
        <v>1450</v>
      </c>
      <c r="B209">
        <v>0.13980811233000001</v>
      </c>
    </row>
    <row r="210" spans="1:2">
      <c r="A210" t="s">
        <v>1326</v>
      </c>
      <c r="B210">
        <v>0.18416612486900003</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A8992-E7E4-42F7-825C-6197200E8BF1}">
  <sheetPr>
    <tabColor theme="3" tint="0.59999389629810485"/>
  </sheetPr>
  <dimension ref="A1:AF69"/>
  <sheetViews>
    <sheetView showGridLines="0" zoomScale="85" zoomScaleNormal="85" workbookViewId="0">
      <selection activeCell="C20" sqref="C20:G21"/>
    </sheetView>
  </sheetViews>
  <sheetFormatPr defaultColWidth="8.9140625" defaultRowHeight="14"/>
  <cols>
    <col min="1" max="1" width="8.9140625" style="104"/>
    <col min="2" max="2" width="26.4140625" style="104" customWidth="1"/>
    <col min="3" max="3" width="42" style="104" customWidth="1"/>
    <col min="4" max="4" width="23.4140625" style="104" customWidth="1"/>
    <col min="5" max="5" width="21" style="104" customWidth="1"/>
    <col min="6" max="6" width="21.1640625" style="104" customWidth="1"/>
    <col min="7" max="7" width="19.4140625" style="104" customWidth="1"/>
    <col min="8" max="8" width="17.9140625" style="104" customWidth="1"/>
    <col min="9" max="9" width="16.5" style="104" customWidth="1"/>
    <col min="10" max="10" width="22.4140625" style="104" customWidth="1"/>
    <col min="11" max="11" width="61.1640625" style="104" customWidth="1"/>
    <col min="12" max="12" width="8.9140625" style="104"/>
    <col min="13" max="13" width="28.08203125" style="104" customWidth="1"/>
    <col min="14" max="14" width="21" style="104" customWidth="1"/>
    <col min="15" max="15" width="75.6640625" style="104" customWidth="1"/>
    <col min="16" max="16384" width="8.9140625" style="104"/>
  </cols>
  <sheetData>
    <row r="1" spans="1:32" ht="27.65" customHeight="1">
      <c r="A1" s="97" t="s">
        <v>1535</v>
      </c>
      <c r="B1" s="98"/>
      <c r="C1" s="98"/>
      <c r="D1" s="98"/>
      <c r="E1" s="98"/>
      <c r="F1" s="98"/>
      <c r="G1" s="98"/>
      <c r="H1" s="98"/>
      <c r="I1" s="98"/>
      <c r="J1" s="98"/>
    </row>
    <row r="2" spans="1:32">
      <c r="A2" s="439" t="s">
        <v>1765</v>
      </c>
      <c r="B2" s="106"/>
      <c r="C2" s="106"/>
      <c r="D2" s="106"/>
      <c r="E2" s="106"/>
      <c r="F2" s="106"/>
      <c r="G2" s="106"/>
      <c r="H2" s="106"/>
      <c r="I2" s="106"/>
      <c r="J2" s="106"/>
    </row>
    <row r="3" spans="1:32" ht="16.399999999999999" customHeight="1">
      <c r="A3" s="112" t="s">
        <v>1699</v>
      </c>
      <c r="B3" s="106"/>
      <c r="C3" s="106"/>
      <c r="D3" s="106"/>
      <c r="E3" s="106"/>
      <c r="F3" s="106"/>
      <c r="G3" s="106"/>
      <c r="H3" s="106"/>
      <c r="I3" s="106"/>
      <c r="J3" s="106"/>
    </row>
    <row r="4" spans="1:32">
      <c r="A4" s="112" t="s">
        <v>2074</v>
      </c>
      <c r="B4" s="106"/>
      <c r="C4" s="106"/>
      <c r="D4" s="106"/>
      <c r="E4" s="106"/>
      <c r="F4" s="106"/>
      <c r="G4" s="106"/>
      <c r="H4" s="106"/>
      <c r="I4" s="106"/>
      <c r="J4" s="106"/>
    </row>
    <row r="5" spans="1:32">
      <c r="A5" s="580" t="s">
        <v>2075</v>
      </c>
      <c r="B5" s="106"/>
      <c r="C5" s="106"/>
      <c r="D5" s="106"/>
      <c r="E5" s="106"/>
      <c r="F5" s="106"/>
      <c r="G5" s="106"/>
      <c r="H5" s="106"/>
      <c r="I5" s="106"/>
      <c r="J5" s="106"/>
    </row>
    <row r="6" spans="1:32">
      <c r="A6" s="112" t="s">
        <v>2076</v>
      </c>
      <c r="B6" s="106"/>
      <c r="C6" s="106"/>
      <c r="D6" s="106"/>
      <c r="E6" s="106"/>
      <c r="F6" s="106"/>
      <c r="G6" s="106"/>
      <c r="H6" s="106"/>
      <c r="I6" s="106"/>
      <c r="J6" s="106"/>
    </row>
    <row r="7" spans="1:32">
      <c r="A7" s="581" t="s">
        <v>2077</v>
      </c>
      <c r="B7" s="106"/>
      <c r="C7" s="106"/>
      <c r="D7" s="106"/>
      <c r="E7" s="106"/>
      <c r="F7" s="106"/>
      <c r="G7" s="106"/>
      <c r="H7" s="106"/>
      <c r="I7" s="106"/>
      <c r="J7" s="106"/>
    </row>
    <row r="8" spans="1:32">
      <c r="A8" s="581" t="s">
        <v>2078</v>
      </c>
      <c r="B8" s="106"/>
      <c r="C8" s="106"/>
      <c r="D8" s="106"/>
      <c r="E8" s="106"/>
      <c r="F8" s="106"/>
      <c r="G8" s="106"/>
      <c r="H8" s="106"/>
      <c r="I8" s="106"/>
      <c r="J8" s="106"/>
    </row>
    <row r="9" spans="1:32">
      <c r="A9" s="580" t="s">
        <v>2079</v>
      </c>
      <c r="B9" s="106"/>
      <c r="C9" s="106"/>
      <c r="D9" s="106"/>
      <c r="E9" s="106"/>
      <c r="F9" s="106"/>
      <c r="G9" s="106"/>
      <c r="H9" s="106"/>
      <c r="I9" s="106"/>
      <c r="J9" s="106"/>
    </row>
    <row r="13" spans="1:32">
      <c r="B13" s="241"/>
      <c r="C13" s="241"/>
      <c r="D13" s="241"/>
      <c r="E13" s="241"/>
      <c r="F13" s="241"/>
      <c r="G13" s="241"/>
      <c r="H13" s="241"/>
      <c r="K13" s="241"/>
      <c r="L13" s="241"/>
      <c r="M13" s="241"/>
      <c r="N13" s="241"/>
      <c r="O13" s="582"/>
      <c r="P13" s="582"/>
      <c r="Q13" s="241"/>
      <c r="R13" s="241"/>
      <c r="S13" s="241"/>
      <c r="T13" s="241"/>
      <c r="U13" s="241"/>
      <c r="V13" s="241"/>
      <c r="W13" s="241"/>
      <c r="X13" s="241"/>
      <c r="Y13" s="241"/>
      <c r="Z13" s="241"/>
      <c r="AA13" s="241"/>
      <c r="AB13" s="241"/>
      <c r="AC13" s="241"/>
      <c r="AD13" s="241"/>
      <c r="AE13" s="241"/>
      <c r="AF13" s="241"/>
    </row>
    <row r="14" spans="1:32">
      <c r="B14" s="241"/>
      <c r="C14" s="241"/>
      <c r="D14" s="241"/>
      <c r="E14" s="241"/>
      <c r="F14" s="241"/>
      <c r="G14" s="241"/>
      <c r="H14" s="241"/>
      <c r="K14" s="241"/>
      <c r="L14" s="241"/>
      <c r="M14" s="241"/>
      <c r="N14" s="241"/>
      <c r="O14" s="582"/>
      <c r="P14" s="582"/>
      <c r="Q14" s="241"/>
      <c r="R14" s="241"/>
      <c r="S14" s="241"/>
      <c r="T14" s="241"/>
      <c r="U14" s="241"/>
      <c r="V14" s="241"/>
      <c r="W14" s="241"/>
      <c r="X14" s="241"/>
      <c r="Y14" s="241"/>
      <c r="Z14" s="241"/>
      <c r="AA14" s="241"/>
      <c r="AB14" s="241"/>
      <c r="AC14" s="241"/>
      <c r="AD14" s="241"/>
      <c r="AE14" s="241"/>
      <c r="AF14" s="241"/>
    </row>
    <row r="15" spans="1:32" ht="18.75" customHeight="1"/>
    <row r="16" spans="1:32">
      <c r="A16" s="445" t="s">
        <v>1592</v>
      </c>
    </row>
    <row r="17" spans="1:11" ht="14.5">
      <c r="B17" s="447" t="s">
        <v>353</v>
      </c>
      <c r="C17" s="447" t="s">
        <v>353</v>
      </c>
      <c r="D17" s="447" t="s">
        <v>353</v>
      </c>
      <c r="E17" s="447" t="s">
        <v>353</v>
      </c>
      <c r="F17" s="447" t="s">
        <v>353</v>
      </c>
      <c r="G17" s="447" t="s">
        <v>353</v>
      </c>
      <c r="H17" s="447"/>
    </row>
    <row r="18" spans="1:11" ht="56">
      <c r="A18" s="448" t="s">
        <v>1593</v>
      </c>
      <c r="B18" s="449" t="s">
        <v>2080</v>
      </c>
      <c r="C18" s="583" t="s">
        <v>2081</v>
      </c>
      <c r="D18" s="583" t="s">
        <v>2082</v>
      </c>
      <c r="E18" s="583" t="s">
        <v>2083</v>
      </c>
      <c r="F18" s="583" t="s">
        <v>2084</v>
      </c>
      <c r="G18" s="583" t="s">
        <v>2085</v>
      </c>
      <c r="H18" s="574" t="s">
        <v>2086</v>
      </c>
      <c r="I18" s="574" t="s">
        <v>2087</v>
      </c>
      <c r="J18" s="574" t="s">
        <v>363</v>
      </c>
    </row>
    <row r="19" spans="1:11" ht="14.5">
      <c r="A19" s="450">
        <v>1</v>
      </c>
      <c r="B19" s="301" t="s">
        <v>1597</v>
      </c>
      <c r="C19" s="584" t="s">
        <v>596</v>
      </c>
      <c r="D19" s="584">
        <v>40000000000</v>
      </c>
      <c r="E19" s="585">
        <v>1</v>
      </c>
      <c r="F19" s="584">
        <v>80000000000</v>
      </c>
      <c r="G19" s="584">
        <v>1000000</v>
      </c>
      <c r="H19" s="586">
        <f>IFERROR(G19/F19,"")</f>
        <v>1.2500000000000001E-5</v>
      </c>
      <c r="I19" s="371">
        <f>IFERROR(VLOOKUP(C19,'2023_IndustryFactors_v1.2.3'!$A$2:$B$210,2),"")</f>
        <v>0.27065576808166658</v>
      </c>
      <c r="J19" s="372">
        <f>IFERROR(D19*E19*H19*I19/1000*'Inventory Settings'!$J$21,"")</f>
        <v>120.44181679634163</v>
      </c>
      <c r="K19" s="587"/>
    </row>
    <row r="20" spans="1:11" ht="14.5">
      <c r="A20" s="450">
        <v>2</v>
      </c>
      <c r="B20" s="304"/>
      <c r="C20" s="304"/>
      <c r="D20" s="588"/>
      <c r="E20" s="589"/>
      <c r="F20" s="588"/>
      <c r="G20" s="588"/>
      <c r="H20" s="590" t="str">
        <f>IFERROR(G20/F20,"")</f>
        <v/>
      </c>
      <c r="I20" s="371" t="str">
        <f>IFERROR(VLOOKUP(C20,'2023_IndustryFactors_v1.2.3'!$A$2:$B$210,2),"")</f>
        <v/>
      </c>
      <c r="J20" s="382" t="str">
        <f>IFERROR(D20*E20*H20*I20/1000*'Inventory Settings'!$J$21,"")</f>
        <v/>
      </c>
    </row>
    <row r="21" spans="1:11" ht="14.5">
      <c r="A21" s="450">
        <v>3</v>
      </c>
      <c r="B21" s="304"/>
      <c r="C21" s="304"/>
      <c r="D21" s="588"/>
      <c r="E21" s="589"/>
      <c r="F21" s="588"/>
      <c r="G21" s="588"/>
      <c r="H21" s="590" t="str">
        <f t="shared" ref="H21:H68" si="0">IFERROR(G21/F21,"")</f>
        <v/>
      </c>
      <c r="I21" s="371" t="str">
        <f>IFERROR(VLOOKUP(C21,'2023_IndustryFactors_v1.2.3'!$A$2:$B$210,2),"")</f>
        <v/>
      </c>
      <c r="J21" s="382" t="str">
        <f>IFERROR(D21*E21*H21*I21/1000*'Inventory Settings'!$J$21,"")</f>
        <v/>
      </c>
    </row>
    <row r="22" spans="1:11" ht="14.5">
      <c r="A22" s="450">
        <v>4</v>
      </c>
      <c r="B22" s="304"/>
      <c r="C22" s="304"/>
      <c r="D22" s="588"/>
      <c r="E22" s="589"/>
      <c r="F22" s="588"/>
      <c r="G22" s="588"/>
      <c r="H22" s="590" t="str">
        <f t="shared" si="0"/>
        <v/>
      </c>
      <c r="I22" s="371" t="str">
        <f>IFERROR(VLOOKUP(C22,'2023_IndustryFactors_v1.2.3'!$A$2:$B$210,2),"")</f>
        <v/>
      </c>
      <c r="J22" s="382" t="str">
        <f>IFERROR(D22*E22*H22*I22/1000*'Inventory Settings'!$J$21,"")</f>
        <v/>
      </c>
    </row>
    <row r="23" spans="1:11" ht="14.5">
      <c r="A23" s="450">
        <v>5</v>
      </c>
      <c r="B23" s="304"/>
      <c r="C23" s="304"/>
      <c r="D23" s="588"/>
      <c r="E23" s="589"/>
      <c r="F23" s="588"/>
      <c r="G23" s="588"/>
      <c r="H23" s="590" t="str">
        <f t="shared" si="0"/>
        <v/>
      </c>
      <c r="I23" s="371" t="str">
        <f>IFERROR(VLOOKUP(C23,'2023_IndustryFactors_v1.2.3'!$A$2:$B$210,2),"")</f>
        <v/>
      </c>
      <c r="J23" s="382" t="str">
        <f>IFERROR(D23*E23*H23*I23/1000*'Inventory Settings'!$J$21,"")</f>
        <v/>
      </c>
    </row>
    <row r="24" spans="1:11" ht="14.5">
      <c r="A24" s="450">
        <v>6</v>
      </c>
      <c r="B24" s="304"/>
      <c r="C24" s="304"/>
      <c r="D24" s="588"/>
      <c r="E24" s="589"/>
      <c r="F24" s="588"/>
      <c r="G24" s="588"/>
      <c r="H24" s="590" t="str">
        <f t="shared" si="0"/>
        <v/>
      </c>
      <c r="I24" s="371" t="str">
        <f>IFERROR(VLOOKUP(C24,'2023_IndustryFactors_v1.2.3'!$A$2:$B$210,2),"")</f>
        <v/>
      </c>
      <c r="J24" s="382" t="str">
        <f>IFERROR(D24*E24*H24*I24/1000*'Inventory Settings'!$J$21,"")</f>
        <v/>
      </c>
    </row>
    <row r="25" spans="1:11" ht="14.5">
      <c r="A25" s="450">
        <v>7</v>
      </c>
      <c r="B25" s="304"/>
      <c r="C25" s="304"/>
      <c r="D25" s="588"/>
      <c r="E25" s="589"/>
      <c r="F25" s="588"/>
      <c r="G25" s="588"/>
      <c r="H25" s="590" t="str">
        <f t="shared" si="0"/>
        <v/>
      </c>
      <c r="I25" s="371" t="str">
        <f>IFERROR(VLOOKUP(C25,'2023_IndustryFactors_v1.2.3'!$A$2:$B$210,2),"")</f>
        <v/>
      </c>
      <c r="J25" s="382" t="str">
        <f>IFERROR(D25*E25*H25*I25/1000*'Inventory Settings'!$J$21,"")</f>
        <v/>
      </c>
    </row>
    <row r="26" spans="1:11" ht="14.5">
      <c r="A26" s="450">
        <v>8</v>
      </c>
      <c r="B26" s="304"/>
      <c r="C26" s="304"/>
      <c r="D26" s="588"/>
      <c r="E26" s="589"/>
      <c r="F26" s="588"/>
      <c r="G26" s="588"/>
      <c r="H26" s="590" t="str">
        <f t="shared" si="0"/>
        <v/>
      </c>
      <c r="I26" s="371" t="str">
        <f>IFERROR(VLOOKUP(C26,'2023_IndustryFactors_v1.2.3'!$A$2:$B$210,2),"")</f>
        <v/>
      </c>
      <c r="J26" s="382" t="str">
        <f>IFERROR(D26*E26*H26*I26/1000*'Inventory Settings'!$J$21,"")</f>
        <v/>
      </c>
    </row>
    <row r="27" spans="1:11" ht="14.5">
      <c r="A27" s="450">
        <v>9</v>
      </c>
      <c r="B27" s="304"/>
      <c r="C27" s="304"/>
      <c r="D27" s="588"/>
      <c r="E27" s="589"/>
      <c r="F27" s="588"/>
      <c r="G27" s="588"/>
      <c r="H27" s="590" t="str">
        <f t="shared" si="0"/>
        <v/>
      </c>
      <c r="I27" s="371" t="str">
        <f>IFERROR(VLOOKUP(C27,'2023_IndustryFactors_v1.2.3'!$A$2:$B$210,2),"")</f>
        <v/>
      </c>
      <c r="J27" s="382" t="str">
        <f>IFERROR(D27*E27*H27*I27/1000*'Inventory Settings'!$J$21,"")</f>
        <v/>
      </c>
    </row>
    <row r="28" spans="1:11" ht="14.5">
      <c r="A28" s="450">
        <v>10</v>
      </c>
      <c r="B28" s="304"/>
      <c r="C28" s="304"/>
      <c r="D28" s="588"/>
      <c r="E28" s="589"/>
      <c r="F28" s="588"/>
      <c r="G28" s="588"/>
      <c r="H28" s="590" t="str">
        <f t="shared" si="0"/>
        <v/>
      </c>
      <c r="I28" s="371" t="str">
        <f>IFERROR(VLOOKUP(C28,'2023_IndustryFactors_v1.2.3'!$A$2:$B$210,2),"")</f>
        <v/>
      </c>
      <c r="J28" s="382" t="str">
        <f>IFERROR(D28*E28*H28*I28/1000*'Inventory Settings'!$J$21,"")</f>
        <v/>
      </c>
    </row>
    <row r="29" spans="1:11" ht="14.5">
      <c r="A29" s="450">
        <v>11</v>
      </c>
      <c r="B29" s="304"/>
      <c r="C29" s="304"/>
      <c r="D29" s="588"/>
      <c r="E29" s="589"/>
      <c r="F29" s="588"/>
      <c r="G29" s="588"/>
      <c r="H29" s="590" t="str">
        <f t="shared" si="0"/>
        <v/>
      </c>
      <c r="I29" s="371" t="str">
        <f>IFERROR(VLOOKUP(C29,'2023_IndustryFactors_v1.2.3'!$A$2:$B$210,2),"")</f>
        <v/>
      </c>
      <c r="J29" s="382" t="str">
        <f>IFERROR(D29*E29*H29*I29/1000*'Inventory Settings'!$J$21,"")</f>
        <v/>
      </c>
    </row>
    <row r="30" spans="1:11" ht="14.5">
      <c r="A30" s="450">
        <v>12</v>
      </c>
      <c r="B30" s="304"/>
      <c r="C30" s="304"/>
      <c r="D30" s="588"/>
      <c r="E30" s="589"/>
      <c r="F30" s="588"/>
      <c r="G30" s="588"/>
      <c r="H30" s="590" t="str">
        <f t="shared" si="0"/>
        <v/>
      </c>
      <c r="I30" s="371" t="str">
        <f>IFERROR(VLOOKUP(C30,'2023_IndustryFactors_v1.2.3'!$A$2:$B$210,2),"")</f>
        <v/>
      </c>
      <c r="J30" s="382" t="str">
        <f>IFERROR(D30*E30*H30*I30/1000*'Inventory Settings'!$J$21,"")</f>
        <v/>
      </c>
    </row>
    <row r="31" spans="1:11" ht="14.5">
      <c r="A31" s="450">
        <v>13</v>
      </c>
      <c r="B31" s="304"/>
      <c r="C31" s="304"/>
      <c r="D31" s="588"/>
      <c r="E31" s="589"/>
      <c r="F31" s="588"/>
      <c r="G31" s="588"/>
      <c r="H31" s="590" t="str">
        <f t="shared" si="0"/>
        <v/>
      </c>
      <c r="I31" s="371" t="str">
        <f>IFERROR(VLOOKUP(C31,'2023_IndustryFactors_v1.2.3'!$A$2:$B$210,2),"")</f>
        <v/>
      </c>
      <c r="J31" s="382" t="str">
        <f>IFERROR(D31*E31*H31*I31/1000*'Inventory Settings'!$J$21,"")</f>
        <v/>
      </c>
    </row>
    <row r="32" spans="1:11" ht="14.5">
      <c r="A32" s="450">
        <v>14</v>
      </c>
      <c r="B32" s="304"/>
      <c r="C32" s="304"/>
      <c r="D32" s="588"/>
      <c r="E32" s="589"/>
      <c r="F32" s="588"/>
      <c r="G32" s="588"/>
      <c r="H32" s="590" t="str">
        <f t="shared" si="0"/>
        <v/>
      </c>
      <c r="I32" s="371" t="str">
        <f>IFERROR(VLOOKUP(C32,'2023_IndustryFactors_v1.2.3'!$A$2:$B$210,2),"")</f>
        <v/>
      </c>
      <c r="J32" s="382" t="str">
        <f>IFERROR(D32*E32*H32*I32/1000*'Inventory Settings'!$J$21,"")</f>
        <v/>
      </c>
    </row>
    <row r="33" spans="1:10" ht="14.5">
      <c r="A33" s="450">
        <v>15</v>
      </c>
      <c r="B33" s="304"/>
      <c r="C33" s="304"/>
      <c r="D33" s="588"/>
      <c r="E33" s="589"/>
      <c r="F33" s="588"/>
      <c r="G33" s="588"/>
      <c r="H33" s="590" t="str">
        <f t="shared" si="0"/>
        <v/>
      </c>
      <c r="I33" s="371" t="str">
        <f>IFERROR(VLOOKUP(C33,'2023_IndustryFactors_v1.2.3'!$A$2:$B$210,2),"")</f>
        <v/>
      </c>
      <c r="J33" s="382" t="str">
        <f>IFERROR(D33*E33*H33*I33/1000*'Inventory Settings'!$J$21,"")</f>
        <v/>
      </c>
    </row>
    <row r="34" spans="1:10" ht="14.5">
      <c r="A34" s="450">
        <v>16</v>
      </c>
      <c r="B34" s="304"/>
      <c r="C34" s="304"/>
      <c r="D34" s="588"/>
      <c r="E34" s="589"/>
      <c r="F34" s="588"/>
      <c r="G34" s="588"/>
      <c r="H34" s="590" t="str">
        <f t="shared" si="0"/>
        <v/>
      </c>
      <c r="I34" s="371" t="str">
        <f>IFERROR(VLOOKUP(C34,'2023_IndustryFactors_v1.2.3'!$A$2:$B$210,2),"")</f>
        <v/>
      </c>
      <c r="J34" s="382" t="str">
        <f>IFERROR(D34*E34*H34*I34/1000*'Inventory Settings'!$J$21,"")</f>
        <v/>
      </c>
    </row>
    <row r="35" spans="1:10" ht="14.5">
      <c r="A35" s="450">
        <v>17</v>
      </c>
      <c r="B35" s="304"/>
      <c r="C35" s="304"/>
      <c r="D35" s="588"/>
      <c r="E35" s="589"/>
      <c r="F35" s="588"/>
      <c r="G35" s="588"/>
      <c r="H35" s="590" t="str">
        <f t="shared" si="0"/>
        <v/>
      </c>
      <c r="I35" s="371" t="str">
        <f>IFERROR(VLOOKUP(C35,'2023_IndustryFactors_v1.2.3'!$A$2:$B$210,2),"")</f>
        <v/>
      </c>
      <c r="J35" s="382" t="str">
        <f>IFERROR(D35*E35*H35*I35/1000*'Inventory Settings'!$J$21,"")</f>
        <v/>
      </c>
    </row>
    <row r="36" spans="1:10" ht="14.5">
      <c r="A36" s="450">
        <v>18</v>
      </c>
      <c r="B36" s="304"/>
      <c r="C36" s="304"/>
      <c r="D36" s="588"/>
      <c r="E36" s="589"/>
      <c r="F36" s="588"/>
      <c r="G36" s="588"/>
      <c r="H36" s="590" t="str">
        <f t="shared" si="0"/>
        <v/>
      </c>
      <c r="I36" s="371" t="str">
        <f>IFERROR(VLOOKUP(C36,'2023_IndustryFactors_v1.2.3'!$A$2:$B$210,2),"")</f>
        <v/>
      </c>
      <c r="J36" s="382" t="str">
        <f>IFERROR(D36*E36*H36*I36/1000*'Inventory Settings'!$J$21,"")</f>
        <v/>
      </c>
    </row>
    <row r="37" spans="1:10" ht="14.5">
      <c r="A37" s="450">
        <v>19</v>
      </c>
      <c r="B37" s="304"/>
      <c r="C37" s="304"/>
      <c r="D37" s="588"/>
      <c r="E37" s="589"/>
      <c r="F37" s="588"/>
      <c r="G37" s="588"/>
      <c r="H37" s="590" t="str">
        <f t="shared" si="0"/>
        <v/>
      </c>
      <c r="I37" s="371" t="str">
        <f>IFERROR(VLOOKUP(C37,'2023_IndustryFactors_v1.2.3'!$A$2:$B$210,2),"")</f>
        <v/>
      </c>
      <c r="J37" s="382" t="str">
        <f>IFERROR(D37*E37*H37*I37/1000*'Inventory Settings'!$J$21,"")</f>
        <v/>
      </c>
    </row>
    <row r="38" spans="1:10" ht="14.5">
      <c r="A38" s="450">
        <v>20</v>
      </c>
      <c r="B38" s="304"/>
      <c r="C38" s="304"/>
      <c r="D38" s="588"/>
      <c r="E38" s="589"/>
      <c r="F38" s="588"/>
      <c r="G38" s="588"/>
      <c r="H38" s="590" t="str">
        <f t="shared" si="0"/>
        <v/>
      </c>
      <c r="I38" s="371" t="str">
        <f>IFERROR(VLOOKUP(C38,'2023_IndustryFactors_v1.2.3'!$A$2:$B$210,2),"")</f>
        <v/>
      </c>
      <c r="J38" s="382" t="str">
        <f>IFERROR(D38*E38*H38*I38/1000*'Inventory Settings'!$J$21,"")</f>
        <v/>
      </c>
    </row>
    <row r="39" spans="1:10" ht="14.5">
      <c r="A39" s="450">
        <v>21</v>
      </c>
      <c r="B39" s="304"/>
      <c r="C39" s="304"/>
      <c r="D39" s="588"/>
      <c r="E39" s="589"/>
      <c r="F39" s="588"/>
      <c r="G39" s="588"/>
      <c r="H39" s="590" t="str">
        <f t="shared" si="0"/>
        <v/>
      </c>
      <c r="I39" s="371" t="str">
        <f>IFERROR(VLOOKUP(C39,'2023_IndustryFactors_v1.2.3'!$A$2:$B$210,2),"")</f>
        <v/>
      </c>
      <c r="J39" s="382" t="str">
        <f>IFERROR(D39*E39*H39*I39/1000*'Inventory Settings'!$J$21,"")</f>
        <v/>
      </c>
    </row>
    <row r="40" spans="1:10" ht="14.5">
      <c r="A40" s="450">
        <v>22</v>
      </c>
      <c r="B40" s="304"/>
      <c r="C40" s="304"/>
      <c r="D40" s="588"/>
      <c r="E40" s="589"/>
      <c r="F40" s="588"/>
      <c r="G40" s="588"/>
      <c r="H40" s="590" t="str">
        <f t="shared" si="0"/>
        <v/>
      </c>
      <c r="I40" s="371" t="str">
        <f>IFERROR(VLOOKUP(C40,'2023_IndustryFactors_v1.2.3'!$A$2:$B$210,2),"")</f>
        <v/>
      </c>
      <c r="J40" s="382" t="str">
        <f>IFERROR(D40*E40*H40*I40/1000*'Inventory Settings'!$J$21,"")</f>
        <v/>
      </c>
    </row>
    <row r="41" spans="1:10" ht="14.5">
      <c r="A41" s="450">
        <v>23</v>
      </c>
      <c r="B41" s="304"/>
      <c r="C41" s="304"/>
      <c r="D41" s="588"/>
      <c r="E41" s="589"/>
      <c r="F41" s="588"/>
      <c r="G41" s="588"/>
      <c r="H41" s="590" t="str">
        <f t="shared" si="0"/>
        <v/>
      </c>
      <c r="I41" s="371" t="str">
        <f>IFERROR(VLOOKUP(C41,'2023_IndustryFactors_v1.2.3'!$A$2:$B$210,2),"")</f>
        <v/>
      </c>
      <c r="J41" s="382" t="str">
        <f>IFERROR(D41*E41*H41*I41/1000*'Inventory Settings'!$J$21,"")</f>
        <v/>
      </c>
    </row>
    <row r="42" spans="1:10" ht="14.5">
      <c r="A42" s="450">
        <v>24</v>
      </c>
      <c r="B42" s="304"/>
      <c r="C42" s="304"/>
      <c r="D42" s="588"/>
      <c r="E42" s="589"/>
      <c r="F42" s="588"/>
      <c r="G42" s="588"/>
      <c r="H42" s="590" t="str">
        <f t="shared" si="0"/>
        <v/>
      </c>
      <c r="I42" s="371" t="str">
        <f>IFERROR(VLOOKUP(C42,'2023_IndustryFactors_v1.2.3'!$A$2:$B$210,2),"")</f>
        <v/>
      </c>
      <c r="J42" s="382" t="str">
        <f>IFERROR(D42*E42*H42*I42/1000*'Inventory Settings'!$J$21,"")</f>
        <v/>
      </c>
    </row>
    <row r="43" spans="1:10" ht="14.5">
      <c r="A43" s="450">
        <v>25</v>
      </c>
      <c r="B43" s="304"/>
      <c r="C43" s="304"/>
      <c r="D43" s="588"/>
      <c r="E43" s="589"/>
      <c r="F43" s="588"/>
      <c r="G43" s="588"/>
      <c r="H43" s="590" t="str">
        <f t="shared" si="0"/>
        <v/>
      </c>
      <c r="I43" s="371" t="str">
        <f>IFERROR(VLOOKUP(C43,'2023_IndustryFactors_v1.2.3'!$A$2:$B$210,2),"")</f>
        <v/>
      </c>
      <c r="J43" s="382" t="str">
        <f>IFERROR(D43*E43*H43*I43/1000*'Inventory Settings'!$J$21,"")</f>
        <v/>
      </c>
    </row>
    <row r="44" spans="1:10" ht="14.5">
      <c r="A44" s="450">
        <v>26</v>
      </c>
      <c r="B44" s="304"/>
      <c r="C44" s="304"/>
      <c r="D44" s="588"/>
      <c r="E44" s="589"/>
      <c r="F44" s="588"/>
      <c r="G44" s="588"/>
      <c r="H44" s="590" t="str">
        <f t="shared" si="0"/>
        <v/>
      </c>
      <c r="I44" s="371" t="str">
        <f>IFERROR(VLOOKUP(C44,'2023_IndustryFactors_v1.2.3'!$A$2:$B$210,2),"")</f>
        <v/>
      </c>
      <c r="J44" s="382" t="str">
        <f>IFERROR(D44*E44*H44*I44/1000*'Inventory Settings'!$J$21,"")</f>
        <v/>
      </c>
    </row>
    <row r="45" spans="1:10" ht="14.5">
      <c r="A45" s="450">
        <v>27</v>
      </c>
      <c r="B45" s="304"/>
      <c r="C45" s="304"/>
      <c r="D45" s="588"/>
      <c r="E45" s="589"/>
      <c r="F45" s="588"/>
      <c r="G45" s="588"/>
      <c r="H45" s="590" t="str">
        <f t="shared" si="0"/>
        <v/>
      </c>
      <c r="I45" s="371" t="str">
        <f>IFERROR(VLOOKUP(C45,'2023_IndustryFactors_v1.2.3'!$A$2:$B$210,2),"")</f>
        <v/>
      </c>
      <c r="J45" s="382" t="str">
        <f>IFERROR(D45*E45*H45*I45/1000*'Inventory Settings'!$J$21,"")</f>
        <v/>
      </c>
    </row>
    <row r="46" spans="1:10" ht="14.5">
      <c r="A46" s="450">
        <v>28</v>
      </c>
      <c r="B46" s="304"/>
      <c r="C46" s="304"/>
      <c r="D46" s="588"/>
      <c r="E46" s="589"/>
      <c r="F46" s="588"/>
      <c r="G46" s="588"/>
      <c r="H46" s="590" t="str">
        <f t="shared" si="0"/>
        <v/>
      </c>
      <c r="I46" s="371" t="str">
        <f>IFERROR(VLOOKUP(C46,'2023_IndustryFactors_v1.2.3'!$A$2:$B$210,2),"")</f>
        <v/>
      </c>
      <c r="J46" s="382" t="str">
        <f>IFERROR(D46*E46*H46*I46/1000*'Inventory Settings'!$J$21,"")</f>
        <v/>
      </c>
    </row>
    <row r="47" spans="1:10" ht="14.5">
      <c r="A47" s="450">
        <v>29</v>
      </c>
      <c r="B47" s="304"/>
      <c r="C47" s="304"/>
      <c r="D47" s="588"/>
      <c r="E47" s="589"/>
      <c r="F47" s="588"/>
      <c r="G47" s="588"/>
      <c r="H47" s="590" t="str">
        <f t="shared" si="0"/>
        <v/>
      </c>
      <c r="I47" s="371" t="str">
        <f>IFERROR(VLOOKUP(C47,'2023_IndustryFactors_v1.2.3'!$A$2:$B$210,2),"")</f>
        <v/>
      </c>
      <c r="J47" s="382" t="str">
        <f>IFERROR(D47*E47*H47*I47/1000*'Inventory Settings'!$J$21,"")</f>
        <v/>
      </c>
    </row>
    <row r="48" spans="1:10" ht="14.5">
      <c r="A48" s="450">
        <v>30</v>
      </c>
      <c r="B48" s="304"/>
      <c r="C48" s="304"/>
      <c r="D48" s="588"/>
      <c r="E48" s="589"/>
      <c r="F48" s="588"/>
      <c r="G48" s="588"/>
      <c r="H48" s="590" t="str">
        <f t="shared" si="0"/>
        <v/>
      </c>
      <c r="I48" s="371" t="str">
        <f>IFERROR(VLOOKUP(C48,'2023_IndustryFactors_v1.2.3'!$A$2:$B$210,2),"")</f>
        <v/>
      </c>
      <c r="J48" s="382" t="str">
        <f>IFERROR(D48*E48*H48*I48/1000*'Inventory Settings'!$J$21,"")</f>
        <v/>
      </c>
    </row>
    <row r="49" spans="1:10" ht="14.5">
      <c r="A49" s="450">
        <v>31</v>
      </c>
      <c r="B49" s="304"/>
      <c r="C49" s="304"/>
      <c r="D49" s="588"/>
      <c r="E49" s="589"/>
      <c r="F49" s="588"/>
      <c r="G49" s="588"/>
      <c r="H49" s="590" t="str">
        <f t="shared" si="0"/>
        <v/>
      </c>
      <c r="I49" s="371" t="str">
        <f>IFERROR(VLOOKUP(C49,'2023_IndustryFactors_v1.2.3'!$A$2:$B$210,2),"")</f>
        <v/>
      </c>
      <c r="J49" s="382" t="str">
        <f>IFERROR(D49*E49*H49*I49/1000*'Inventory Settings'!$J$21,"")</f>
        <v/>
      </c>
    </row>
    <row r="50" spans="1:10" ht="14.5">
      <c r="A50" s="450">
        <v>32</v>
      </c>
      <c r="B50" s="304"/>
      <c r="C50" s="304"/>
      <c r="D50" s="588"/>
      <c r="E50" s="589"/>
      <c r="F50" s="588"/>
      <c r="G50" s="588"/>
      <c r="H50" s="590" t="str">
        <f t="shared" si="0"/>
        <v/>
      </c>
      <c r="I50" s="371" t="str">
        <f>IFERROR(VLOOKUP(C50,'2023_IndustryFactors_v1.2.3'!$A$2:$B$210,2),"")</f>
        <v/>
      </c>
      <c r="J50" s="382" t="str">
        <f>IFERROR(D50*E50*H50*I50/1000*'Inventory Settings'!$J$21,"")</f>
        <v/>
      </c>
    </row>
    <row r="51" spans="1:10" ht="14.5">
      <c r="A51" s="450">
        <v>33</v>
      </c>
      <c r="B51" s="304"/>
      <c r="C51" s="304"/>
      <c r="D51" s="588"/>
      <c r="E51" s="589"/>
      <c r="F51" s="588"/>
      <c r="G51" s="588"/>
      <c r="H51" s="590" t="str">
        <f t="shared" si="0"/>
        <v/>
      </c>
      <c r="I51" s="371" t="str">
        <f>IFERROR(VLOOKUP(C51,'2023_IndustryFactors_v1.2.3'!$A$2:$B$210,2),"")</f>
        <v/>
      </c>
      <c r="J51" s="382" t="str">
        <f>IFERROR(D51*E51*H51*I51/1000*'Inventory Settings'!$J$21,"")</f>
        <v/>
      </c>
    </row>
    <row r="52" spans="1:10" ht="14.5">
      <c r="A52" s="450">
        <v>34</v>
      </c>
      <c r="B52" s="304"/>
      <c r="C52" s="304"/>
      <c r="D52" s="588"/>
      <c r="E52" s="589"/>
      <c r="F52" s="588"/>
      <c r="G52" s="588"/>
      <c r="H52" s="590" t="str">
        <f t="shared" si="0"/>
        <v/>
      </c>
      <c r="I52" s="371" t="str">
        <f>IFERROR(VLOOKUP(C52,'2023_IndustryFactors_v1.2.3'!$A$2:$B$210,2),"")</f>
        <v/>
      </c>
      <c r="J52" s="382" t="str">
        <f>IFERROR(D52*E52*H52*I52/1000*'Inventory Settings'!$J$21,"")</f>
        <v/>
      </c>
    </row>
    <row r="53" spans="1:10" ht="14.5">
      <c r="A53" s="450">
        <v>35</v>
      </c>
      <c r="B53" s="304"/>
      <c r="C53" s="304"/>
      <c r="D53" s="588"/>
      <c r="E53" s="589"/>
      <c r="F53" s="588"/>
      <c r="G53" s="588"/>
      <c r="H53" s="590" t="str">
        <f t="shared" si="0"/>
        <v/>
      </c>
      <c r="I53" s="371" t="str">
        <f>IFERROR(VLOOKUP(C53,'2023_IndustryFactors_v1.2.3'!$A$2:$B$210,2),"")</f>
        <v/>
      </c>
      <c r="J53" s="382" t="str">
        <f>IFERROR(D53*E53*H53*I53/1000*'Inventory Settings'!$J$21,"")</f>
        <v/>
      </c>
    </row>
    <row r="54" spans="1:10" ht="14.5">
      <c r="A54" s="450">
        <v>36</v>
      </c>
      <c r="B54" s="304"/>
      <c r="C54" s="304"/>
      <c r="D54" s="588"/>
      <c r="E54" s="589"/>
      <c r="F54" s="588"/>
      <c r="G54" s="588"/>
      <c r="H54" s="590" t="str">
        <f t="shared" si="0"/>
        <v/>
      </c>
      <c r="I54" s="371" t="str">
        <f>IFERROR(VLOOKUP(C54,'2023_IndustryFactors_v1.2.3'!$A$2:$B$210,2),"")</f>
        <v/>
      </c>
      <c r="J54" s="382" t="str">
        <f>IFERROR(D54*E54*H54*I54/1000*'Inventory Settings'!$J$21,"")</f>
        <v/>
      </c>
    </row>
    <row r="55" spans="1:10" ht="14.5">
      <c r="A55" s="450">
        <v>37</v>
      </c>
      <c r="B55" s="304"/>
      <c r="C55" s="304"/>
      <c r="D55" s="588"/>
      <c r="E55" s="589"/>
      <c r="F55" s="588"/>
      <c r="G55" s="588"/>
      <c r="H55" s="590" t="str">
        <f t="shared" si="0"/>
        <v/>
      </c>
      <c r="I55" s="371" t="str">
        <f>IFERROR(VLOOKUP(C55,'2023_IndustryFactors_v1.2.3'!$A$2:$B$210,2),"")</f>
        <v/>
      </c>
      <c r="J55" s="382" t="str">
        <f>IFERROR(D55*E55*H55*I55/1000*'Inventory Settings'!$J$21,"")</f>
        <v/>
      </c>
    </row>
    <row r="56" spans="1:10" ht="14.5">
      <c r="A56" s="450">
        <v>38</v>
      </c>
      <c r="B56" s="304"/>
      <c r="C56" s="304"/>
      <c r="D56" s="588"/>
      <c r="E56" s="589"/>
      <c r="F56" s="588"/>
      <c r="G56" s="588"/>
      <c r="H56" s="590" t="str">
        <f t="shared" si="0"/>
        <v/>
      </c>
      <c r="I56" s="371" t="str">
        <f>IFERROR(VLOOKUP(C56,'2023_IndustryFactors_v1.2.3'!$A$2:$B$210,2),"")</f>
        <v/>
      </c>
      <c r="J56" s="382" t="str">
        <f>IFERROR(D56*E56*H56*I56/1000*'Inventory Settings'!$J$21,"")</f>
        <v/>
      </c>
    </row>
    <row r="57" spans="1:10" ht="14.5">
      <c r="A57" s="450">
        <v>39</v>
      </c>
      <c r="B57" s="304"/>
      <c r="C57" s="304"/>
      <c r="D57" s="588"/>
      <c r="E57" s="589"/>
      <c r="F57" s="588"/>
      <c r="G57" s="588"/>
      <c r="H57" s="590" t="str">
        <f t="shared" si="0"/>
        <v/>
      </c>
      <c r="I57" s="371" t="str">
        <f>IFERROR(VLOOKUP(C57,'2023_IndustryFactors_v1.2.3'!$A$2:$B$210,2),"")</f>
        <v/>
      </c>
      <c r="J57" s="382" t="str">
        <f>IFERROR(D57*E57*H57*I57/1000*'Inventory Settings'!$J$21,"")</f>
        <v/>
      </c>
    </row>
    <row r="58" spans="1:10" ht="14.5">
      <c r="A58" s="450">
        <v>40</v>
      </c>
      <c r="B58" s="304"/>
      <c r="C58" s="304"/>
      <c r="D58" s="588"/>
      <c r="E58" s="589"/>
      <c r="F58" s="588"/>
      <c r="G58" s="588"/>
      <c r="H58" s="590" t="str">
        <f t="shared" si="0"/>
        <v/>
      </c>
      <c r="I58" s="371" t="str">
        <f>IFERROR(VLOOKUP(C58,'2023_IndustryFactors_v1.2.3'!$A$2:$B$210,2),"")</f>
        <v/>
      </c>
      <c r="J58" s="382" t="str">
        <f>IFERROR(D58*E58*H58*I58/1000*'Inventory Settings'!$J$21,"")</f>
        <v/>
      </c>
    </row>
    <row r="59" spans="1:10" ht="14.5">
      <c r="A59" s="450">
        <v>41</v>
      </c>
      <c r="B59" s="304"/>
      <c r="C59" s="304"/>
      <c r="D59" s="588"/>
      <c r="E59" s="589"/>
      <c r="F59" s="588"/>
      <c r="G59" s="588"/>
      <c r="H59" s="590" t="str">
        <f t="shared" si="0"/>
        <v/>
      </c>
      <c r="I59" s="371" t="str">
        <f>IFERROR(VLOOKUP(C59,'2023_IndustryFactors_v1.2.3'!$A$2:$B$210,2),"")</f>
        <v/>
      </c>
      <c r="J59" s="382" t="str">
        <f>IFERROR(D59*E59*H59*I59/1000*'Inventory Settings'!$J$21,"")</f>
        <v/>
      </c>
    </row>
    <row r="60" spans="1:10" ht="14.5">
      <c r="A60" s="450">
        <v>42</v>
      </c>
      <c r="B60" s="304"/>
      <c r="C60" s="304"/>
      <c r="D60" s="588"/>
      <c r="E60" s="589"/>
      <c r="F60" s="588"/>
      <c r="G60" s="588"/>
      <c r="H60" s="590" t="str">
        <f t="shared" si="0"/>
        <v/>
      </c>
      <c r="I60" s="371" t="str">
        <f>IFERROR(VLOOKUP(C60,'2023_IndustryFactors_v1.2.3'!$A$2:$B$210,2),"")</f>
        <v/>
      </c>
      <c r="J60" s="382" t="str">
        <f>IFERROR(D60*E60*H60*I60/1000*'Inventory Settings'!$J$21,"")</f>
        <v/>
      </c>
    </row>
    <row r="61" spans="1:10" ht="14.5">
      <c r="A61" s="450">
        <v>43</v>
      </c>
      <c r="B61" s="304"/>
      <c r="C61" s="304"/>
      <c r="D61" s="588"/>
      <c r="E61" s="589"/>
      <c r="F61" s="588"/>
      <c r="G61" s="588"/>
      <c r="H61" s="590" t="str">
        <f t="shared" si="0"/>
        <v/>
      </c>
      <c r="I61" s="371" t="str">
        <f>IFERROR(VLOOKUP(C61,'2023_IndustryFactors_v1.2.3'!$A$2:$B$210,2),"")</f>
        <v/>
      </c>
      <c r="J61" s="382" t="str">
        <f>IFERROR(D61*E61*H61*I61/1000*'Inventory Settings'!$J$21,"")</f>
        <v/>
      </c>
    </row>
    <row r="62" spans="1:10" ht="14.5">
      <c r="A62" s="450">
        <v>44</v>
      </c>
      <c r="B62" s="304"/>
      <c r="C62" s="304"/>
      <c r="D62" s="588"/>
      <c r="E62" s="589"/>
      <c r="F62" s="588"/>
      <c r="G62" s="588"/>
      <c r="H62" s="590" t="str">
        <f t="shared" si="0"/>
        <v/>
      </c>
      <c r="I62" s="371" t="str">
        <f>IFERROR(VLOOKUP(C62,'2023_IndustryFactors_v1.2.3'!$A$2:$B$210,2),"")</f>
        <v/>
      </c>
      <c r="J62" s="382" t="str">
        <f>IFERROR(D62*E62*H62*I62/1000*'Inventory Settings'!$J$21,"")</f>
        <v/>
      </c>
    </row>
    <row r="63" spans="1:10" ht="14.5">
      <c r="A63" s="450">
        <v>45</v>
      </c>
      <c r="B63" s="304"/>
      <c r="C63" s="304"/>
      <c r="D63" s="588"/>
      <c r="E63" s="589"/>
      <c r="F63" s="588"/>
      <c r="G63" s="588"/>
      <c r="H63" s="590" t="str">
        <f t="shared" si="0"/>
        <v/>
      </c>
      <c r="I63" s="371" t="str">
        <f>IFERROR(VLOOKUP(C63,'2023_IndustryFactors_v1.2.3'!$A$2:$B$210,2),"")</f>
        <v/>
      </c>
      <c r="J63" s="382" t="str">
        <f>IFERROR(D63*E63*H63*I63/1000*'Inventory Settings'!$J$21,"")</f>
        <v/>
      </c>
    </row>
    <row r="64" spans="1:10" ht="14.5">
      <c r="A64" s="450">
        <v>46</v>
      </c>
      <c r="B64" s="304"/>
      <c r="C64" s="304"/>
      <c r="D64" s="588"/>
      <c r="E64" s="589"/>
      <c r="F64" s="588"/>
      <c r="G64" s="588"/>
      <c r="H64" s="590" t="str">
        <f t="shared" si="0"/>
        <v/>
      </c>
      <c r="I64" s="371" t="str">
        <f>IFERROR(VLOOKUP(C64,'2023_IndustryFactors_v1.2.3'!$A$2:$B$210,2),"")</f>
        <v/>
      </c>
      <c r="J64" s="382" t="str">
        <f>IFERROR(D64*E64*H64*I64/1000*'Inventory Settings'!$J$21,"")</f>
        <v/>
      </c>
    </row>
    <row r="65" spans="1:10" ht="14.5">
      <c r="A65" s="450">
        <v>47</v>
      </c>
      <c r="B65" s="304"/>
      <c r="C65" s="304"/>
      <c r="D65" s="588"/>
      <c r="E65" s="589"/>
      <c r="F65" s="588"/>
      <c r="G65" s="588"/>
      <c r="H65" s="590" t="str">
        <f t="shared" si="0"/>
        <v/>
      </c>
      <c r="I65" s="371" t="str">
        <f>IFERROR(VLOOKUP(C65,'2023_IndustryFactors_v1.2.3'!$A$2:$B$210,2),"")</f>
        <v/>
      </c>
      <c r="J65" s="382" t="str">
        <f>IFERROR(D65*E65*H65*I65/1000*'Inventory Settings'!$J$21,"")</f>
        <v/>
      </c>
    </row>
    <row r="66" spans="1:10" ht="14.5">
      <c r="A66" s="450">
        <v>48</v>
      </c>
      <c r="B66" s="304"/>
      <c r="C66" s="304"/>
      <c r="D66" s="588"/>
      <c r="E66" s="589"/>
      <c r="F66" s="588"/>
      <c r="G66" s="588"/>
      <c r="H66" s="590" t="str">
        <f t="shared" si="0"/>
        <v/>
      </c>
      <c r="I66" s="371" t="str">
        <f>IFERROR(VLOOKUP(C66,'2023_IndustryFactors_v1.2.3'!$A$2:$B$210,2),"")</f>
        <v/>
      </c>
      <c r="J66" s="382" t="str">
        <f>IFERROR(D66*E66*H66*I66/1000*'Inventory Settings'!$J$21,"")</f>
        <v/>
      </c>
    </row>
    <row r="67" spans="1:10" ht="14.5">
      <c r="A67" s="450">
        <v>49</v>
      </c>
      <c r="B67" s="304"/>
      <c r="C67" s="304"/>
      <c r="D67" s="588"/>
      <c r="E67" s="589"/>
      <c r="F67" s="588"/>
      <c r="G67" s="588"/>
      <c r="H67" s="590" t="str">
        <f t="shared" si="0"/>
        <v/>
      </c>
      <c r="I67" s="371" t="str">
        <f>IFERROR(VLOOKUP(C67,'2023_IndustryFactors_v1.2.3'!$A$2:$B$210,2),"")</f>
        <v/>
      </c>
      <c r="J67" s="382" t="str">
        <f>IFERROR(D67*E67*H67*I67/1000*'Inventory Settings'!$J$21,"")</f>
        <v/>
      </c>
    </row>
    <row r="68" spans="1:10" ht="15" thickBot="1">
      <c r="A68" s="450">
        <v>50</v>
      </c>
      <c r="B68" s="304"/>
      <c r="C68" s="304"/>
      <c r="D68" s="588"/>
      <c r="E68" s="589"/>
      <c r="F68" s="588"/>
      <c r="G68" s="588"/>
      <c r="H68" s="590" t="str">
        <f t="shared" si="0"/>
        <v/>
      </c>
      <c r="I68" s="371" t="str">
        <f>IFERROR(VLOOKUP(C68,'2023_IndustryFactors_v1.2.3'!$A$2:$B$210,2),"")</f>
        <v/>
      </c>
      <c r="J68" s="382" t="str">
        <f>IFERROR(D68*E68*H68*I68/1000*'Inventory Settings'!$J$21,"")</f>
        <v/>
      </c>
    </row>
    <row r="69" spans="1:10" ht="14.5" thickBot="1">
      <c r="J69" s="591">
        <f>SUM($J$20:$J$68)</f>
        <v>0</v>
      </c>
    </row>
  </sheetData>
  <sheetProtection algorithmName="SHA-512" hashValue="HSV/YbP25VTwcWlLINJ6L+clWeD5n2O8XRvOmwuqy27+yv5uf+K5JR9wSViSpYuUOny30RJ4NVqLW7wc8s+JQQ==" saltValue="kRIgvX4Y0o2cqtW6FaabRA==" spinCount="100000" sheet="1" objects="1" scenarios="1"/>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163FD76-F636-450D-9A51-DE24273ECD0B}">
          <x14:formula1>
            <xm:f>'2023_IndustryFactors_v1.2.3'!$A$2:$A$210</xm:f>
          </x14:formula1>
          <xm:sqref>C19:C20</xm:sqref>
        </x14:dataValidation>
        <x14:dataValidation type="list" allowBlank="1" showInputMessage="1" showErrorMessage="1" xr:uid="{DA01B537-238C-4569-9CEE-71662557D16B}">
          <x14:formula1>
            <xm:f>'2023_IndustryFactors_v1.2.3'!$A$2:$A$67</xm:f>
          </x14:formula1>
          <xm:sqref>C21:C68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9A066-4141-47B7-B714-265820EDAA40}">
  <sheetPr>
    <tabColor theme="3" tint="0.59999389629810485"/>
  </sheetPr>
  <dimension ref="A1:J212"/>
  <sheetViews>
    <sheetView zoomScaleNormal="100" workbookViewId="0">
      <pane xSplit="2" ySplit="3" topLeftCell="C4" activePane="bottomRight" state="frozen"/>
      <selection activeCell="E26" sqref="E26"/>
      <selection pane="topRight" activeCell="E26" sqref="E26"/>
      <selection pane="bottomLeft" activeCell="E26" sqref="E26"/>
      <selection pane="bottomRight" activeCell="E26" sqref="E26"/>
    </sheetView>
  </sheetViews>
  <sheetFormatPr defaultRowHeight="14"/>
  <cols>
    <col min="3" max="3" width="39.6640625" style="13" customWidth="1"/>
    <col min="4" max="4" width="123.6640625" style="596" customWidth="1"/>
  </cols>
  <sheetData>
    <row r="1" spans="1:10" ht="27.65" customHeight="1">
      <c r="A1" s="154" t="s">
        <v>2088</v>
      </c>
      <c r="B1" s="258"/>
      <c r="C1" s="258"/>
      <c r="D1" s="258"/>
      <c r="E1" s="258"/>
      <c r="F1" s="258"/>
      <c r="G1" s="258"/>
      <c r="H1" s="258"/>
      <c r="I1" s="258"/>
      <c r="J1" s="258"/>
    </row>
    <row r="2" spans="1:10" ht="9.75" customHeight="1" thickBot="1">
      <c r="C2"/>
      <c r="D2"/>
    </row>
    <row r="3" spans="1:10" ht="52.5" customHeight="1">
      <c r="C3" s="592" t="s">
        <v>2089</v>
      </c>
      <c r="D3" s="593" t="s">
        <v>2090</v>
      </c>
    </row>
    <row r="4" spans="1:10" ht="54.75" customHeight="1">
      <c r="C4" s="594" t="s">
        <v>377</v>
      </c>
      <c r="D4" s="595" t="s">
        <v>2091</v>
      </c>
    </row>
    <row r="5" spans="1:10" ht="74.25" customHeight="1">
      <c r="C5" s="594" t="s">
        <v>383</v>
      </c>
      <c r="D5" s="595" t="s">
        <v>382</v>
      </c>
    </row>
    <row r="6" spans="1:10" ht="74.25" customHeight="1">
      <c r="C6" s="594" t="s">
        <v>386</v>
      </c>
      <c r="D6" s="595" t="s">
        <v>385</v>
      </c>
    </row>
    <row r="7" spans="1:10" ht="46.5" customHeight="1">
      <c r="C7" s="594" t="s">
        <v>389</v>
      </c>
      <c r="D7" s="595" t="s">
        <v>388</v>
      </c>
    </row>
    <row r="8" spans="1:10" ht="50.5">
      <c r="C8" s="594" t="s">
        <v>392</v>
      </c>
      <c r="D8" s="595" t="s">
        <v>391</v>
      </c>
    </row>
    <row r="9" spans="1:10" ht="81.75" customHeight="1">
      <c r="C9" s="594" t="s">
        <v>396</v>
      </c>
      <c r="D9" s="595" t="s">
        <v>398</v>
      </c>
    </row>
    <row r="10" spans="1:10" ht="66.75" customHeight="1">
      <c r="C10" s="594" t="s">
        <v>405</v>
      </c>
      <c r="D10" s="595" t="s">
        <v>404</v>
      </c>
    </row>
    <row r="11" spans="1:10" ht="92.25" customHeight="1">
      <c r="C11" s="594" t="s">
        <v>402</v>
      </c>
      <c r="D11" s="595" t="s">
        <v>2092</v>
      </c>
    </row>
    <row r="12" spans="1:10" ht="100.5">
      <c r="C12" s="594" t="s">
        <v>408</v>
      </c>
      <c r="D12" s="595" t="s">
        <v>407</v>
      </c>
    </row>
    <row r="13" spans="1:10" ht="63">
      <c r="C13" s="594" t="s">
        <v>411</v>
      </c>
      <c r="D13" s="595" t="s">
        <v>410</v>
      </c>
    </row>
    <row r="14" spans="1:10" ht="50.5">
      <c r="C14" s="594" t="s">
        <v>415</v>
      </c>
      <c r="D14" s="595" t="s">
        <v>414</v>
      </c>
    </row>
    <row r="15" spans="1:10" ht="100.5">
      <c r="C15" s="594" t="s">
        <v>419</v>
      </c>
      <c r="D15" s="595" t="s">
        <v>417</v>
      </c>
    </row>
    <row r="16" spans="1:10" ht="38">
      <c r="C16" s="594" t="s">
        <v>421</v>
      </c>
      <c r="D16" s="595" t="s">
        <v>420</v>
      </c>
    </row>
    <row r="17" spans="3:4" ht="26.4" customHeight="1">
      <c r="C17" s="594" t="s">
        <v>425</v>
      </c>
      <c r="D17" s="595" t="s">
        <v>427</v>
      </c>
    </row>
    <row r="18" spans="3:4" ht="38">
      <c r="C18" s="594" t="s">
        <v>430</v>
      </c>
      <c r="D18" s="595" t="s">
        <v>429</v>
      </c>
    </row>
    <row r="19" spans="3:4" ht="30" customHeight="1">
      <c r="C19" s="594" t="s">
        <v>436</v>
      </c>
      <c r="D19" s="595" t="s">
        <v>435</v>
      </c>
    </row>
    <row r="20" spans="3:4" ht="69.75" customHeight="1">
      <c r="C20" s="594" t="s">
        <v>442</v>
      </c>
      <c r="D20" s="595" t="s">
        <v>440</v>
      </c>
    </row>
    <row r="21" spans="3:4" ht="55.5" customHeight="1">
      <c r="C21" s="594" t="s">
        <v>445</v>
      </c>
      <c r="D21" s="595" t="s">
        <v>444</v>
      </c>
    </row>
    <row r="22" spans="3:4" ht="33.75" customHeight="1">
      <c r="C22" s="594" t="s">
        <v>451</v>
      </c>
      <c r="D22" s="595" t="s">
        <v>458</v>
      </c>
    </row>
    <row r="23" spans="3:4" ht="43.5" customHeight="1">
      <c r="C23" s="594" t="s">
        <v>462</v>
      </c>
      <c r="D23" s="595" t="s">
        <v>481</v>
      </c>
    </row>
    <row r="24" spans="3:4" ht="44.25" customHeight="1">
      <c r="C24" s="594" t="s">
        <v>468</v>
      </c>
      <c r="D24" s="595" t="s">
        <v>467</v>
      </c>
    </row>
    <row r="25" spans="3:4" ht="56.25" customHeight="1">
      <c r="C25" s="594" t="s">
        <v>2059</v>
      </c>
      <c r="D25" s="595" t="s">
        <v>2093</v>
      </c>
    </row>
    <row r="26" spans="3:4" ht="69.75" customHeight="1">
      <c r="C26" s="594" t="s">
        <v>536</v>
      </c>
      <c r="D26" s="595" t="s">
        <v>534</v>
      </c>
    </row>
    <row r="27" spans="3:4" ht="46.5" customHeight="1">
      <c r="C27" s="594" t="s">
        <v>541</v>
      </c>
      <c r="D27" s="595" t="s">
        <v>540</v>
      </c>
    </row>
    <row r="28" spans="3:4" ht="68.25" customHeight="1">
      <c r="C28" s="594" t="s">
        <v>552</v>
      </c>
      <c r="D28" s="595" t="s">
        <v>551</v>
      </c>
    </row>
    <row r="29" spans="3:4" ht="54.75" customHeight="1">
      <c r="C29" s="594" t="s">
        <v>555</v>
      </c>
      <c r="D29" s="595" t="s">
        <v>554</v>
      </c>
    </row>
    <row r="30" spans="3:4" ht="43.5" customHeight="1">
      <c r="C30" s="594" t="s">
        <v>561</v>
      </c>
      <c r="D30" s="595" t="s">
        <v>563</v>
      </c>
    </row>
    <row r="31" spans="3:4" ht="59.25" customHeight="1">
      <c r="C31" s="594" t="s">
        <v>571</v>
      </c>
      <c r="D31" s="595" t="s">
        <v>573</v>
      </c>
    </row>
    <row r="32" spans="3:4" ht="60" customHeight="1">
      <c r="C32" s="594" t="s">
        <v>576</v>
      </c>
      <c r="D32" s="595" t="s">
        <v>575</v>
      </c>
    </row>
    <row r="33" spans="3:4" ht="25.5">
      <c r="C33" s="594" t="s">
        <v>579</v>
      </c>
      <c r="D33" s="595" t="s">
        <v>578</v>
      </c>
    </row>
    <row r="34" spans="3:4" ht="50.5">
      <c r="C34" s="594" t="s">
        <v>585</v>
      </c>
      <c r="D34" s="595" t="s">
        <v>584</v>
      </c>
    </row>
    <row r="35" spans="3:4" ht="60" customHeight="1">
      <c r="C35" s="594" t="s">
        <v>596</v>
      </c>
      <c r="D35" s="595" t="s">
        <v>595</v>
      </c>
    </row>
    <row r="36" spans="3:4" ht="48" customHeight="1">
      <c r="C36" s="594" t="s">
        <v>605</v>
      </c>
      <c r="D36" s="595" t="s">
        <v>604</v>
      </c>
    </row>
    <row r="37" spans="3:4" ht="46.5" customHeight="1">
      <c r="C37" s="594" t="s">
        <v>608</v>
      </c>
      <c r="D37" s="595" t="s">
        <v>607</v>
      </c>
    </row>
    <row r="38" spans="3:4" ht="33.75" customHeight="1">
      <c r="C38" s="594" t="s">
        <v>611</v>
      </c>
      <c r="D38" s="595" t="s">
        <v>610</v>
      </c>
    </row>
    <row r="39" spans="3:4" ht="72" customHeight="1">
      <c r="C39" s="594" t="s">
        <v>614</v>
      </c>
      <c r="D39" s="595" t="s">
        <v>613</v>
      </c>
    </row>
    <row r="40" spans="3:4" ht="56.25" customHeight="1">
      <c r="C40" s="594" t="s">
        <v>617</v>
      </c>
      <c r="D40" s="595" t="s">
        <v>616</v>
      </c>
    </row>
    <row r="41" spans="3:4" ht="43.5" customHeight="1">
      <c r="C41" s="594" t="s">
        <v>622</v>
      </c>
      <c r="D41" s="595" t="s">
        <v>621</v>
      </c>
    </row>
    <row r="42" spans="3:4" ht="68.25" customHeight="1">
      <c r="C42" s="594" t="s">
        <v>625</v>
      </c>
      <c r="D42" s="595" t="s">
        <v>624</v>
      </c>
    </row>
    <row r="43" spans="3:4" ht="48" customHeight="1">
      <c r="C43" s="594" t="s">
        <v>628</v>
      </c>
      <c r="D43" s="595" t="s">
        <v>627</v>
      </c>
    </row>
    <row r="44" spans="3:4" ht="101.25" customHeight="1">
      <c r="C44" s="594" t="s">
        <v>631</v>
      </c>
      <c r="D44" s="595" t="s">
        <v>630</v>
      </c>
    </row>
    <row r="45" spans="3:4" ht="50.5">
      <c r="C45" s="594" t="s">
        <v>634</v>
      </c>
      <c r="D45" s="595" t="s">
        <v>633</v>
      </c>
    </row>
    <row r="46" spans="3:4" ht="35.25" customHeight="1">
      <c r="C46" s="594" t="s">
        <v>637</v>
      </c>
      <c r="D46" s="595" t="s">
        <v>636</v>
      </c>
    </row>
    <row r="47" spans="3:4" ht="61.5" customHeight="1">
      <c r="C47" s="594" t="s">
        <v>643</v>
      </c>
      <c r="D47" s="595" t="s">
        <v>642</v>
      </c>
    </row>
    <row r="48" spans="3:4" ht="61.5" customHeight="1">
      <c r="C48" s="594" t="s">
        <v>650</v>
      </c>
      <c r="D48" s="595" t="s">
        <v>649</v>
      </c>
    </row>
    <row r="49" spans="3:4" ht="72" customHeight="1">
      <c r="C49" s="594" t="s">
        <v>661</v>
      </c>
      <c r="D49" s="595" t="s">
        <v>660</v>
      </c>
    </row>
    <row r="50" spans="3:4" ht="50.25" customHeight="1">
      <c r="C50" s="594" t="s">
        <v>666</v>
      </c>
      <c r="D50" s="595" t="s">
        <v>665</v>
      </c>
    </row>
    <row r="51" spans="3:4" ht="38">
      <c r="C51" s="594" t="s">
        <v>675</v>
      </c>
      <c r="D51" s="595" t="s">
        <v>674</v>
      </c>
    </row>
    <row r="52" spans="3:4" ht="42">
      <c r="C52" s="594" t="s">
        <v>685</v>
      </c>
      <c r="D52" s="595" t="s">
        <v>684</v>
      </c>
    </row>
    <row r="53" spans="3:4" ht="44.25" customHeight="1">
      <c r="C53" s="594" t="s">
        <v>691</v>
      </c>
      <c r="D53" s="595" t="s">
        <v>690</v>
      </c>
    </row>
    <row r="54" spans="3:4" ht="28">
      <c r="C54" s="594" t="s">
        <v>696</v>
      </c>
      <c r="D54" s="595" t="s">
        <v>695</v>
      </c>
    </row>
    <row r="55" spans="3:4" ht="56.25" customHeight="1">
      <c r="C55" s="594" t="s">
        <v>705</v>
      </c>
      <c r="D55" s="595" t="s">
        <v>704</v>
      </c>
    </row>
    <row r="56" spans="3:4" ht="28">
      <c r="C56" s="594" t="s">
        <v>710</v>
      </c>
      <c r="D56" s="595" t="s">
        <v>709</v>
      </c>
    </row>
    <row r="57" spans="3:4" ht="69.75" customHeight="1">
      <c r="C57" s="594" t="s">
        <v>715</v>
      </c>
      <c r="D57" s="595" t="s">
        <v>714</v>
      </c>
    </row>
    <row r="58" spans="3:4" ht="25.5">
      <c r="C58" s="594" t="s">
        <v>721</v>
      </c>
      <c r="D58" s="595" t="s">
        <v>720</v>
      </c>
    </row>
    <row r="59" spans="3:4" ht="25.5">
      <c r="C59" s="594" t="s">
        <v>735</v>
      </c>
      <c r="D59" s="595" t="s">
        <v>734</v>
      </c>
    </row>
    <row r="60" spans="3:4" ht="28">
      <c r="C60" s="594" t="s">
        <v>742</v>
      </c>
      <c r="D60" s="595" t="s">
        <v>741</v>
      </c>
    </row>
    <row r="61" spans="3:4" ht="58.5" customHeight="1">
      <c r="C61" s="594" t="s">
        <v>745</v>
      </c>
      <c r="D61" s="595" t="s">
        <v>744</v>
      </c>
    </row>
    <row r="62" spans="3:4" ht="60" customHeight="1">
      <c r="C62" s="594" t="s">
        <v>748</v>
      </c>
      <c r="D62" s="595" t="s">
        <v>747</v>
      </c>
    </row>
    <row r="63" spans="3:4" ht="57.75" customHeight="1">
      <c r="C63" s="594" t="s">
        <v>757</v>
      </c>
      <c r="D63" s="595" t="s">
        <v>756</v>
      </c>
    </row>
    <row r="64" spans="3:4" ht="54.75" customHeight="1">
      <c r="C64" s="594" t="s">
        <v>760</v>
      </c>
      <c r="D64" s="595" t="s">
        <v>759</v>
      </c>
    </row>
    <row r="65" spans="3:4" ht="44.25" customHeight="1">
      <c r="C65" s="594" t="s">
        <v>771</v>
      </c>
      <c r="D65" s="595" t="s">
        <v>770</v>
      </c>
    </row>
    <row r="66" spans="3:4" ht="28">
      <c r="C66" s="594" t="s">
        <v>774</v>
      </c>
      <c r="D66" s="595" t="s">
        <v>773</v>
      </c>
    </row>
    <row r="67" spans="3:4" ht="98.25" customHeight="1">
      <c r="C67" s="594" t="s">
        <v>777</v>
      </c>
      <c r="D67" s="595" t="s">
        <v>776</v>
      </c>
    </row>
    <row r="68" spans="3:4" ht="28">
      <c r="C68" s="594" t="s">
        <v>783</v>
      </c>
      <c r="D68" s="595" t="s">
        <v>782</v>
      </c>
    </row>
    <row r="69" spans="3:4" ht="58.5" customHeight="1">
      <c r="C69" s="594" t="s">
        <v>790</v>
      </c>
      <c r="D69" s="595" t="s">
        <v>789</v>
      </c>
    </row>
    <row r="70" spans="3:4" ht="58.5" customHeight="1">
      <c r="C70" s="594" t="s">
        <v>796</v>
      </c>
      <c r="D70" s="595" t="s">
        <v>798</v>
      </c>
    </row>
    <row r="71" spans="3:4" ht="50.5">
      <c r="C71" s="594" t="s">
        <v>803</v>
      </c>
      <c r="D71" s="595" t="s">
        <v>802</v>
      </c>
    </row>
    <row r="72" spans="3:4" ht="28">
      <c r="C72" s="594" t="s">
        <v>806</v>
      </c>
      <c r="D72" s="595" t="s">
        <v>805</v>
      </c>
    </row>
    <row r="73" spans="3:4" ht="28">
      <c r="C73" s="594" t="s">
        <v>811</v>
      </c>
      <c r="D73" s="595" t="s">
        <v>810</v>
      </c>
    </row>
    <row r="74" spans="3:4" ht="25.5">
      <c r="C74" s="594" t="s">
        <v>818</v>
      </c>
      <c r="D74" s="595" t="s">
        <v>817</v>
      </c>
    </row>
    <row r="75" spans="3:4" ht="38">
      <c r="C75" s="594" t="s">
        <v>821</v>
      </c>
      <c r="D75" s="595" t="s">
        <v>820</v>
      </c>
    </row>
    <row r="76" spans="3:4" ht="70.5" customHeight="1">
      <c r="C76" s="594" t="s">
        <v>824</v>
      </c>
      <c r="D76" s="595" t="s">
        <v>823</v>
      </c>
    </row>
    <row r="77" spans="3:4" ht="35.25" customHeight="1">
      <c r="C77" s="594" t="s">
        <v>829</v>
      </c>
      <c r="D77" s="595" t="s">
        <v>828</v>
      </c>
    </row>
    <row r="78" spans="3:4" ht="28">
      <c r="C78" s="594" t="s">
        <v>833</v>
      </c>
      <c r="D78" s="595" t="s">
        <v>835</v>
      </c>
    </row>
    <row r="79" spans="3:4" ht="70.5" customHeight="1">
      <c r="C79" s="594" t="s">
        <v>847</v>
      </c>
      <c r="D79" s="595" t="s">
        <v>846</v>
      </c>
    </row>
    <row r="80" spans="3:4" ht="43.5" customHeight="1">
      <c r="C80" s="594" t="s">
        <v>857</v>
      </c>
      <c r="D80" s="595" t="s">
        <v>859</v>
      </c>
    </row>
    <row r="81" spans="3:4" ht="72.75" customHeight="1">
      <c r="C81" s="594" t="s">
        <v>862</v>
      </c>
      <c r="D81" s="595" t="s">
        <v>861</v>
      </c>
    </row>
    <row r="82" spans="3:4" ht="94.5" customHeight="1">
      <c r="C82" s="594" t="s">
        <v>869</v>
      </c>
      <c r="D82" s="595" t="s">
        <v>868</v>
      </c>
    </row>
    <row r="83" spans="3:4" ht="25.5">
      <c r="C83" s="594" t="s">
        <v>876</v>
      </c>
      <c r="D83" s="595" t="s">
        <v>875</v>
      </c>
    </row>
    <row r="84" spans="3:4" ht="28">
      <c r="C84" s="594" t="s">
        <v>886</v>
      </c>
      <c r="D84" s="595" t="s">
        <v>885</v>
      </c>
    </row>
    <row r="85" spans="3:4" ht="38">
      <c r="C85" s="594" t="s">
        <v>895</v>
      </c>
      <c r="D85" s="595" t="s">
        <v>894</v>
      </c>
    </row>
    <row r="86" spans="3:4" ht="88">
      <c r="C86" s="594" t="s">
        <v>915</v>
      </c>
      <c r="D86" s="595" t="s">
        <v>914</v>
      </c>
    </row>
    <row r="87" spans="3:4" ht="50.5">
      <c r="C87" s="594" t="s">
        <v>922</v>
      </c>
      <c r="D87" s="595" t="s">
        <v>921</v>
      </c>
    </row>
    <row r="88" spans="3:4" ht="50.5">
      <c r="C88" s="594" t="s">
        <v>929</v>
      </c>
      <c r="D88" s="595" t="s">
        <v>928</v>
      </c>
    </row>
    <row r="89" spans="3:4" ht="38">
      <c r="C89" s="594" t="s">
        <v>933</v>
      </c>
      <c r="D89" s="595" t="s">
        <v>935</v>
      </c>
    </row>
    <row r="90" spans="3:4" ht="42">
      <c r="C90" s="594" t="s">
        <v>940</v>
      </c>
      <c r="D90" s="595" t="s">
        <v>939</v>
      </c>
    </row>
    <row r="91" spans="3:4" ht="38">
      <c r="C91" s="594" t="s">
        <v>960</v>
      </c>
      <c r="D91" s="595" t="s">
        <v>959</v>
      </c>
    </row>
    <row r="92" spans="3:4" ht="28">
      <c r="C92" s="594" t="s">
        <v>963</v>
      </c>
      <c r="D92" s="595" t="s">
        <v>962</v>
      </c>
    </row>
    <row r="93" spans="3:4" ht="25.5">
      <c r="C93" s="594" t="s">
        <v>968</v>
      </c>
      <c r="D93" s="595" t="s">
        <v>967</v>
      </c>
    </row>
    <row r="94" spans="3:4" ht="38">
      <c r="C94" s="594" t="s">
        <v>974</v>
      </c>
      <c r="D94" s="595" t="s">
        <v>973</v>
      </c>
    </row>
    <row r="95" spans="3:4" ht="28">
      <c r="C95" s="594" t="s">
        <v>982</v>
      </c>
      <c r="D95" s="595" t="s">
        <v>981</v>
      </c>
    </row>
    <row r="96" spans="3:4" ht="25.5">
      <c r="C96" s="594" t="s">
        <v>995</v>
      </c>
      <c r="D96" s="595" t="s">
        <v>994</v>
      </c>
    </row>
    <row r="97" spans="3:4" ht="28">
      <c r="C97" s="594" t="s">
        <v>1002</v>
      </c>
      <c r="D97" s="595" t="s">
        <v>1001</v>
      </c>
    </row>
    <row r="98" spans="3:4" ht="25.5">
      <c r="C98" s="594" t="s">
        <v>1011</v>
      </c>
      <c r="D98" s="595" t="s">
        <v>1010</v>
      </c>
    </row>
    <row r="99" spans="3:4" ht="38">
      <c r="C99" s="594" t="s">
        <v>1027</v>
      </c>
      <c r="D99" s="595" t="s">
        <v>1026</v>
      </c>
    </row>
    <row r="100" spans="3:4" ht="38">
      <c r="C100" s="594" t="s">
        <v>1039</v>
      </c>
      <c r="D100" s="595" t="s">
        <v>1038</v>
      </c>
    </row>
    <row r="101" spans="3:4" ht="50.5">
      <c r="C101" s="594" t="s">
        <v>1042</v>
      </c>
      <c r="D101" s="595" t="s">
        <v>1041</v>
      </c>
    </row>
    <row r="102" spans="3:4" ht="28">
      <c r="C102" s="594" t="s">
        <v>1047</v>
      </c>
      <c r="D102" s="595" t="s">
        <v>1046</v>
      </c>
    </row>
    <row r="103" spans="3:4" ht="28">
      <c r="C103" s="594" t="s">
        <v>1054</v>
      </c>
      <c r="D103" s="595" t="s">
        <v>1053</v>
      </c>
    </row>
    <row r="104" spans="3:4" ht="28">
      <c r="C104" s="594" t="s">
        <v>1067</v>
      </c>
      <c r="D104" s="595" t="s">
        <v>1069</v>
      </c>
    </row>
    <row r="105" spans="3:4" ht="28">
      <c r="C105" s="594" t="s">
        <v>1072</v>
      </c>
      <c r="D105" s="595" t="s">
        <v>1071</v>
      </c>
    </row>
    <row r="106" spans="3:4" ht="38">
      <c r="C106" s="594" t="s">
        <v>1075</v>
      </c>
      <c r="D106" s="595" t="s">
        <v>1074</v>
      </c>
    </row>
    <row r="107" spans="3:4" ht="75.5">
      <c r="C107" s="594" t="s">
        <v>1086</v>
      </c>
      <c r="D107" s="595" t="s">
        <v>1085</v>
      </c>
    </row>
    <row r="108" spans="3:4" ht="28">
      <c r="C108" s="594" t="s">
        <v>1100</v>
      </c>
      <c r="D108" s="595" t="s">
        <v>1098</v>
      </c>
    </row>
    <row r="109" spans="3:4" ht="42">
      <c r="C109" s="594" t="s">
        <v>1107</v>
      </c>
      <c r="D109" s="595" t="s">
        <v>1106</v>
      </c>
    </row>
    <row r="110" spans="3:4" ht="38">
      <c r="C110" s="594" t="s">
        <v>1110</v>
      </c>
      <c r="D110" s="595" t="s">
        <v>1109</v>
      </c>
    </row>
    <row r="111" spans="3:4" ht="28">
      <c r="C111" s="594" t="s">
        <v>1113</v>
      </c>
      <c r="D111" s="595" t="s">
        <v>1112</v>
      </c>
    </row>
    <row r="112" spans="3:4" ht="38">
      <c r="C112" s="594" t="s">
        <v>1120</v>
      </c>
      <c r="D112" s="595" t="s">
        <v>1119</v>
      </c>
    </row>
    <row r="113" spans="3:4" ht="50.5">
      <c r="C113" s="594" t="s">
        <v>1123</v>
      </c>
      <c r="D113" s="595" t="s">
        <v>1122</v>
      </c>
    </row>
    <row r="114" spans="3:4" ht="28">
      <c r="C114" s="594" t="s">
        <v>1126</v>
      </c>
      <c r="D114" s="595" t="s">
        <v>1125</v>
      </c>
    </row>
    <row r="115" spans="3:4" ht="38">
      <c r="C115" s="594" t="s">
        <v>1129</v>
      </c>
      <c r="D115" s="595" t="s">
        <v>1128</v>
      </c>
    </row>
    <row r="116" spans="3:4" ht="75.5">
      <c r="C116" s="594" t="s">
        <v>1133</v>
      </c>
      <c r="D116" s="595" t="s">
        <v>1131</v>
      </c>
    </row>
    <row r="117" spans="3:4" ht="25.5">
      <c r="C117" s="594" t="s">
        <v>1140</v>
      </c>
      <c r="D117" s="595" t="s">
        <v>2094</v>
      </c>
    </row>
    <row r="118" spans="3:4" ht="38">
      <c r="C118" s="594" t="s">
        <v>1143</v>
      </c>
      <c r="D118" s="595" t="s">
        <v>1142</v>
      </c>
    </row>
    <row r="119" spans="3:4">
      <c r="C119" s="594" t="s">
        <v>1146</v>
      </c>
      <c r="D119" s="595" t="s">
        <v>2095</v>
      </c>
    </row>
    <row r="120" spans="3:4">
      <c r="C120" s="594" t="s">
        <v>1149</v>
      </c>
      <c r="D120" s="595" t="s">
        <v>2096</v>
      </c>
    </row>
    <row r="121" spans="3:4">
      <c r="C121" s="594" t="s">
        <v>1152</v>
      </c>
      <c r="D121" s="595" t="s">
        <v>2097</v>
      </c>
    </row>
    <row r="122" spans="3:4" ht="38">
      <c r="C122" s="594" t="s">
        <v>1155</v>
      </c>
      <c r="D122" s="595" t="s">
        <v>1154</v>
      </c>
    </row>
    <row r="123" spans="3:4" ht="28">
      <c r="C123" s="594" t="s">
        <v>1158</v>
      </c>
      <c r="D123" s="595" t="s">
        <v>2098</v>
      </c>
    </row>
    <row r="124" spans="3:4" ht="125.5">
      <c r="C124" s="594" t="s">
        <v>2060</v>
      </c>
      <c r="D124" s="595" t="s">
        <v>1733</v>
      </c>
    </row>
    <row r="125" spans="3:4" ht="88">
      <c r="C125" s="594" t="s">
        <v>2061</v>
      </c>
      <c r="D125" s="595" t="s">
        <v>1734</v>
      </c>
    </row>
    <row r="126" spans="3:4" ht="63">
      <c r="C126" s="594" t="s">
        <v>2062</v>
      </c>
      <c r="D126" s="595" t="s">
        <v>1735</v>
      </c>
    </row>
    <row r="127" spans="3:4" ht="125.5">
      <c r="C127" s="594" t="s">
        <v>2063</v>
      </c>
      <c r="D127" s="595" t="s">
        <v>2099</v>
      </c>
    </row>
    <row r="128" spans="3:4" ht="100.5">
      <c r="C128" s="594" t="s">
        <v>2064</v>
      </c>
      <c r="D128" s="595" t="s">
        <v>1737</v>
      </c>
    </row>
    <row r="129" spans="3:4" ht="50.5">
      <c r="C129" s="594" t="s">
        <v>2065</v>
      </c>
      <c r="D129" s="595" t="s">
        <v>2100</v>
      </c>
    </row>
    <row r="130" spans="3:4" ht="113">
      <c r="C130" s="594" t="s">
        <v>2066</v>
      </c>
      <c r="D130" s="595" t="s">
        <v>2101</v>
      </c>
    </row>
    <row r="131" spans="3:4" ht="88">
      <c r="C131" s="594" t="s">
        <v>2067</v>
      </c>
      <c r="D131" s="595" t="s">
        <v>2102</v>
      </c>
    </row>
    <row r="132" spans="3:4" ht="100.5">
      <c r="C132" s="594" t="s">
        <v>2068</v>
      </c>
      <c r="D132" s="595" t="s">
        <v>2103</v>
      </c>
    </row>
    <row r="133" spans="3:4" ht="38">
      <c r="C133" s="594" t="s">
        <v>1162</v>
      </c>
      <c r="D133" s="595" t="s">
        <v>1160</v>
      </c>
    </row>
    <row r="134" spans="3:4" ht="38">
      <c r="C134" s="594" t="s">
        <v>1172</v>
      </c>
      <c r="D134" s="595" t="s">
        <v>1171</v>
      </c>
    </row>
    <row r="135" spans="3:4" ht="38">
      <c r="C135" s="594" t="s">
        <v>1175</v>
      </c>
      <c r="D135" s="595" t="s">
        <v>1174</v>
      </c>
    </row>
    <row r="136" spans="3:4" ht="25.5">
      <c r="C136" s="594" t="s">
        <v>1178</v>
      </c>
      <c r="D136" s="595" t="s">
        <v>1177</v>
      </c>
    </row>
    <row r="137" spans="3:4" ht="25.5">
      <c r="C137" s="594" t="s">
        <v>1181</v>
      </c>
      <c r="D137" s="595" t="s">
        <v>1180</v>
      </c>
    </row>
    <row r="138" spans="3:4" ht="50.5">
      <c r="C138" s="594" t="s">
        <v>1184</v>
      </c>
      <c r="D138" s="595" t="s">
        <v>1183</v>
      </c>
    </row>
    <row r="139" spans="3:4" ht="75.5">
      <c r="C139" s="594" t="s">
        <v>1186</v>
      </c>
      <c r="D139" s="595" t="s">
        <v>1185</v>
      </c>
    </row>
    <row r="140" spans="3:4" ht="38">
      <c r="C140" s="594" t="s">
        <v>1189</v>
      </c>
      <c r="D140" s="595" t="s">
        <v>1188</v>
      </c>
    </row>
    <row r="141" spans="3:4" ht="113">
      <c r="C141" s="594" t="s">
        <v>1193</v>
      </c>
      <c r="D141" s="595" t="s">
        <v>2104</v>
      </c>
    </row>
    <row r="142" spans="3:4" ht="50.5">
      <c r="C142" s="594" t="s">
        <v>1196</v>
      </c>
      <c r="D142" s="595" t="s">
        <v>1195</v>
      </c>
    </row>
    <row r="143" spans="3:4" ht="75.5">
      <c r="C143" s="594" t="s">
        <v>1200</v>
      </c>
      <c r="D143" s="595" t="s">
        <v>1202</v>
      </c>
    </row>
    <row r="144" spans="3:4" ht="409.6">
      <c r="C144" s="594" t="s">
        <v>1207</v>
      </c>
      <c r="D144" s="595" t="s">
        <v>2105</v>
      </c>
    </row>
    <row r="145" spans="3:4" ht="38">
      <c r="C145" s="594" t="s">
        <v>1211</v>
      </c>
      <c r="D145" s="595" t="s">
        <v>2106</v>
      </c>
    </row>
    <row r="146" spans="3:4" ht="50.5">
      <c r="C146" s="594" t="s">
        <v>1215</v>
      </c>
      <c r="D146" s="595" t="s">
        <v>2107</v>
      </c>
    </row>
    <row r="147" spans="3:4" ht="50.5">
      <c r="C147" s="594" t="s">
        <v>1218</v>
      </c>
      <c r="D147" s="595" t="s">
        <v>1217</v>
      </c>
    </row>
    <row r="148" spans="3:4" ht="25.5">
      <c r="C148" s="594" t="s">
        <v>1223</v>
      </c>
      <c r="D148" s="595" t="s">
        <v>2108</v>
      </c>
    </row>
    <row r="149" spans="3:4" ht="38">
      <c r="C149" s="594" t="s">
        <v>1226</v>
      </c>
      <c r="D149" s="595" t="s">
        <v>1225</v>
      </c>
    </row>
    <row r="150" spans="3:4" ht="88">
      <c r="C150" s="594" t="s">
        <v>1229</v>
      </c>
      <c r="D150" s="595" t="s">
        <v>1228</v>
      </c>
    </row>
    <row r="151" spans="3:4" ht="38">
      <c r="C151" s="594" t="s">
        <v>1241</v>
      </c>
      <c r="D151" s="595" t="s">
        <v>1240</v>
      </c>
    </row>
    <row r="152" spans="3:4" ht="150.5">
      <c r="C152" s="594" t="s">
        <v>1245</v>
      </c>
      <c r="D152" s="595" t="s">
        <v>2109</v>
      </c>
    </row>
    <row r="153" spans="3:4" ht="88">
      <c r="C153" s="594" t="s">
        <v>1248</v>
      </c>
      <c r="D153" s="595" t="s">
        <v>2110</v>
      </c>
    </row>
    <row r="154" spans="3:4" ht="88">
      <c r="C154" s="594" t="s">
        <v>1251</v>
      </c>
      <c r="D154" s="595" t="s">
        <v>1250</v>
      </c>
    </row>
    <row r="155" spans="3:4" ht="25.5">
      <c r="C155" s="594" t="s">
        <v>1255</v>
      </c>
      <c r="D155" s="595" t="s">
        <v>1253</v>
      </c>
    </row>
    <row r="156" spans="3:4" ht="38">
      <c r="C156" s="594" t="s">
        <v>1258</v>
      </c>
      <c r="D156" s="595" t="s">
        <v>1257</v>
      </c>
    </row>
    <row r="157" spans="3:4" ht="38">
      <c r="C157" s="594" t="s">
        <v>1261</v>
      </c>
      <c r="D157" s="595" t="s">
        <v>1260</v>
      </c>
    </row>
    <row r="158" spans="3:4" ht="25.5">
      <c r="C158" s="594" t="s">
        <v>1264</v>
      </c>
      <c r="D158" s="595" t="s">
        <v>1263</v>
      </c>
    </row>
    <row r="159" spans="3:4" ht="28">
      <c r="C159" s="594" t="s">
        <v>1267</v>
      </c>
      <c r="D159" s="595" t="s">
        <v>1266</v>
      </c>
    </row>
    <row r="160" spans="3:4" ht="38">
      <c r="C160" s="594" t="s">
        <v>2069</v>
      </c>
      <c r="D160" s="595" t="s">
        <v>2111</v>
      </c>
    </row>
    <row r="161" spans="3:4" ht="50.5">
      <c r="C161" s="594" t="s">
        <v>2070</v>
      </c>
      <c r="D161" s="595" t="s">
        <v>2112</v>
      </c>
    </row>
    <row r="162" spans="3:4" ht="38">
      <c r="C162" s="594" t="s">
        <v>2071</v>
      </c>
      <c r="D162" s="595" t="s">
        <v>2113</v>
      </c>
    </row>
    <row r="163" spans="3:4" ht="38">
      <c r="C163" s="594" t="s">
        <v>2072</v>
      </c>
      <c r="D163" s="595" t="s">
        <v>2114</v>
      </c>
    </row>
    <row r="164" spans="3:4" ht="113">
      <c r="C164" s="594" t="s">
        <v>2073</v>
      </c>
      <c r="D164" s="595" t="s">
        <v>2115</v>
      </c>
    </row>
    <row r="165" spans="3:4" ht="38">
      <c r="C165" s="594" t="s">
        <v>1280</v>
      </c>
      <c r="D165" s="595" t="s">
        <v>1278</v>
      </c>
    </row>
    <row r="166" spans="3:4" ht="75.5">
      <c r="C166" s="594" t="s">
        <v>1283</v>
      </c>
      <c r="D166" s="595" t="s">
        <v>1282</v>
      </c>
    </row>
    <row r="167" spans="3:4" ht="25.5">
      <c r="C167" s="594" t="s">
        <v>1286</v>
      </c>
      <c r="D167" s="595" t="s">
        <v>1285</v>
      </c>
    </row>
    <row r="168" spans="3:4" ht="25.5">
      <c r="C168" s="594" t="s">
        <v>1289</v>
      </c>
      <c r="D168" s="595" t="s">
        <v>1288</v>
      </c>
    </row>
    <row r="169" spans="3:4" ht="28">
      <c r="C169" s="594" t="s">
        <v>1292</v>
      </c>
      <c r="D169" s="595" t="s">
        <v>1291</v>
      </c>
    </row>
    <row r="170" spans="3:4">
      <c r="C170" s="594" t="s">
        <v>1295</v>
      </c>
      <c r="D170" s="595" t="s">
        <v>1294</v>
      </c>
    </row>
    <row r="171" spans="3:4" ht="25.5">
      <c r="C171" s="594" t="s">
        <v>1298</v>
      </c>
      <c r="D171" s="595" t="s">
        <v>1297</v>
      </c>
    </row>
    <row r="172" spans="3:4" ht="38">
      <c r="C172" s="594" t="s">
        <v>1301</v>
      </c>
      <c r="D172" s="595" t="s">
        <v>1300</v>
      </c>
    </row>
    <row r="173" spans="3:4" ht="38">
      <c r="C173" s="594" t="s">
        <v>1304</v>
      </c>
      <c r="D173" s="595" t="s">
        <v>1303</v>
      </c>
    </row>
    <row r="174" spans="3:4" ht="38">
      <c r="C174" s="594" t="s">
        <v>1314</v>
      </c>
      <c r="D174" s="595" t="s">
        <v>1313</v>
      </c>
    </row>
    <row r="175" spans="3:4" ht="38">
      <c r="C175" s="594" t="s">
        <v>1319</v>
      </c>
      <c r="D175" s="595" t="s">
        <v>1318</v>
      </c>
    </row>
    <row r="176" spans="3:4" ht="38">
      <c r="C176" s="594" t="s">
        <v>1325</v>
      </c>
      <c r="D176" s="595" t="s">
        <v>1323</v>
      </c>
    </row>
    <row r="177" spans="3:4" ht="38">
      <c r="C177" s="594" t="s">
        <v>1337</v>
      </c>
      <c r="D177" s="595" t="s">
        <v>1335</v>
      </c>
    </row>
    <row r="178" spans="3:4" ht="50.5">
      <c r="C178" s="594" t="s">
        <v>1340</v>
      </c>
      <c r="D178" s="595" t="s">
        <v>1339</v>
      </c>
    </row>
    <row r="179" spans="3:4">
      <c r="C179" s="594" t="s">
        <v>1343</v>
      </c>
      <c r="D179" s="595" t="s">
        <v>1342</v>
      </c>
    </row>
    <row r="180" spans="3:4" ht="38">
      <c r="C180" s="594" t="s">
        <v>1346</v>
      </c>
      <c r="D180" s="595" t="s">
        <v>1345</v>
      </c>
    </row>
    <row r="181" spans="3:4" ht="25.5">
      <c r="C181" s="594" t="s">
        <v>1349</v>
      </c>
      <c r="D181" s="595" t="s">
        <v>1348</v>
      </c>
    </row>
    <row r="182" spans="3:4" ht="50.5">
      <c r="C182" s="594" t="s">
        <v>1352</v>
      </c>
      <c r="D182" s="595" t="s">
        <v>1351</v>
      </c>
    </row>
    <row r="183" spans="3:4" ht="25.5">
      <c r="C183" s="594" t="s">
        <v>1355</v>
      </c>
      <c r="D183" s="595" t="s">
        <v>1354</v>
      </c>
    </row>
    <row r="184" spans="3:4" ht="50.5">
      <c r="C184" s="594" t="s">
        <v>1358</v>
      </c>
      <c r="D184" s="595" t="s">
        <v>1357</v>
      </c>
    </row>
    <row r="185" spans="3:4" ht="100.5">
      <c r="C185" s="594" t="s">
        <v>1362</v>
      </c>
      <c r="D185" s="595" t="s">
        <v>2116</v>
      </c>
    </row>
    <row r="186" spans="3:4" ht="113">
      <c r="C186" s="594" t="s">
        <v>1366</v>
      </c>
      <c r="D186" s="595" t="s">
        <v>2117</v>
      </c>
    </row>
    <row r="187" spans="3:4" ht="25.5">
      <c r="C187" s="594" t="s">
        <v>1369</v>
      </c>
      <c r="D187" s="595" t="s">
        <v>1368</v>
      </c>
    </row>
    <row r="188" spans="3:4" ht="113">
      <c r="C188" s="594" t="s">
        <v>1373</v>
      </c>
      <c r="D188" s="595" t="s">
        <v>2118</v>
      </c>
    </row>
    <row r="189" spans="3:4" ht="25.5">
      <c r="C189" s="594" t="s">
        <v>1376</v>
      </c>
      <c r="D189" s="595" t="s">
        <v>1375</v>
      </c>
    </row>
    <row r="190" spans="3:4" ht="25.5">
      <c r="C190" s="594" t="s">
        <v>1380</v>
      </c>
      <c r="D190" s="595" t="s">
        <v>1378</v>
      </c>
    </row>
    <row r="191" spans="3:4" ht="63">
      <c r="C191" s="594" t="s">
        <v>1382</v>
      </c>
      <c r="D191" s="595" t="s">
        <v>1381</v>
      </c>
    </row>
    <row r="192" spans="3:4" ht="138">
      <c r="C192" s="594" t="s">
        <v>1386</v>
      </c>
      <c r="D192" s="595" t="s">
        <v>2119</v>
      </c>
    </row>
    <row r="193" spans="3:4" ht="38">
      <c r="C193" s="594" t="s">
        <v>1389</v>
      </c>
      <c r="D193" s="595" t="s">
        <v>1388</v>
      </c>
    </row>
    <row r="194" spans="3:4" ht="28">
      <c r="C194" s="594" t="s">
        <v>1392</v>
      </c>
      <c r="D194" s="595" t="s">
        <v>1391</v>
      </c>
    </row>
    <row r="195" spans="3:4" ht="25.5">
      <c r="C195" s="594" t="s">
        <v>1395</v>
      </c>
      <c r="D195" s="595" t="s">
        <v>1394</v>
      </c>
    </row>
    <row r="196" spans="3:4" ht="38">
      <c r="C196" s="594" t="s">
        <v>1398</v>
      </c>
      <c r="D196" s="595" t="s">
        <v>1397</v>
      </c>
    </row>
    <row r="197" spans="3:4" ht="28">
      <c r="C197" s="594" t="s">
        <v>1401</v>
      </c>
      <c r="D197" s="595" t="s">
        <v>1400</v>
      </c>
    </row>
    <row r="198" spans="3:4" ht="150.5">
      <c r="C198" s="594" t="s">
        <v>1405</v>
      </c>
      <c r="D198" s="595" t="s">
        <v>1403</v>
      </c>
    </row>
    <row r="199" spans="3:4" ht="50.5">
      <c r="C199" s="594" t="s">
        <v>1409</v>
      </c>
      <c r="D199" s="595" t="s">
        <v>2120</v>
      </c>
    </row>
    <row r="200" spans="3:4" ht="38">
      <c r="C200" s="594" t="s">
        <v>1412</v>
      </c>
      <c r="D200" s="595" t="s">
        <v>1411</v>
      </c>
    </row>
    <row r="201" spans="3:4" ht="38">
      <c r="C201" s="594" t="s">
        <v>1418</v>
      </c>
      <c r="D201" s="595" t="s">
        <v>1416</v>
      </c>
    </row>
    <row r="202" spans="3:4" ht="38">
      <c r="C202" s="594" t="s">
        <v>1421</v>
      </c>
      <c r="D202" s="595" t="s">
        <v>1420</v>
      </c>
    </row>
    <row r="203" spans="3:4" ht="50.5">
      <c r="C203" s="594" t="s">
        <v>1424</v>
      </c>
      <c r="D203" s="595" t="s">
        <v>1423</v>
      </c>
    </row>
    <row r="204" spans="3:4" ht="28">
      <c r="C204" s="594" t="s">
        <v>1427</v>
      </c>
      <c r="D204" s="595" t="s">
        <v>1426</v>
      </c>
    </row>
    <row r="205" spans="3:4" ht="25.5">
      <c r="C205" s="594" t="s">
        <v>1430</v>
      </c>
      <c r="D205" s="595" t="s">
        <v>1429</v>
      </c>
    </row>
    <row r="206" spans="3:4">
      <c r="C206" s="594" t="s">
        <v>1433</v>
      </c>
      <c r="D206" s="595" t="s">
        <v>1432</v>
      </c>
    </row>
    <row r="207" spans="3:4" ht="25.5">
      <c r="C207" s="594" t="s">
        <v>1436</v>
      </c>
      <c r="D207" s="595" t="s">
        <v>1435</v>
      </c>
    </row>
    <row r="208" spans="3:4" ht="25.5">
      <c r="C208" s="594" t="s">
        <v>1439</v>
      </c>
      <c r="D208" s="595" t="s">
        <v>1438</v>
      </c>
    </row>
    <row r="209" spans="3:4" ht="25.5">
      <c r="C209" s="594" t="s">
        <v>1442</v>
      </c>
      <c r="D209" s="595" t="s">
        <v>1441</v>
      </c>
    </row>
    <row r="210" spans="3:4" ht="88">
      <c r="C210" s="594" t="s">
        <v>1446</v>
      </c>
      <c r="D210" s="595" t="s">
        <v>2121</v>
      </c>
    </row>
    <row r="211" spans="3:4" ht="88">
      <c r="C211" s="594" t="s">
        <v>1450</v>
      </c>
      <c r="D211" s="595" t="s">
        <v>2122</v>
      </c>
    </row>
    <row r="212" spans="3:4" ht="113">
      <c r="C212" s="594" t="s">
        <v>1326</v>
      </c>
      <c r="D212" s="595" t="s">
        <v>2123</v>
      </c>
    </row>
  </sheetData>
  <sheetProtection algorithmName="SHA-512" hashValue="eZhT4EjiCs+4CB0nE5v0CU4ojDG8iPww9EJSh147cczraeMCsmQFYNaFAYQtzo3skbk9NxhVaxvWF+Tub2FmKw==" saltValue="pBpeppjDoAk7SeJVYkZRiQ==" spinCount="100000" sheet="1" objects="1" scenarios="1" autoFilter="0"/>
  <autoFilter ref="C3:D212" xr:uid="{00000000-0009-0000-0000-000027000000}"/>
  <pageMargins left="0.7" right="0.7" top="0.75" bottom="0.75" header="0.3" footer="0.3"/>
  <pageSetup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C5AA4-3E86-47B6-92AF-942C982E1F08}">
  <sheetPr>
    <tabColor theme="3" tint="0.59999389629810485"/>
  </sheetPr>
  <dimension ref="A1:Y38"/>
  <sheetViews>
    <sheetView showGridLines="0" topLeftCell="A11" workbookViewId="0">
      <selection activeCell="L26" sqref="L26"/>
    </sheetView>
  </sheetViews>
  <sheetFormatPr defaultColWidth="8.9140625" defaultRowHeight="14"/>
  <cols>
    <col min="1" max="2" width="8.9140625" style="600"/>
    <col min="3" max="3" width="15" style="600" customWidth="1"/>
    <col min="4" max="16384" width="8.9140625" style="600"/>
  </cols>
  <sheetData>
    <row r="1" spans="1:25" ht="27.65" customHeight="1">
      <c r="A1" s="597" t="s">
        <v>26</v>
      </c>
      <c r="B1" s="598"/>
      <c r="C1" s="598"/>
      <c r="D1" s="598"/>
      <c r="E1" s="598"/>
      <c r="F1" s="598"/>
      <c r="G1" s="598"/>
      <c r="H1" s="599"/>
      <c r="I1" s="599"/>
      <c r="J1" s="599"/>
      <c r="K1" s="599"/>
      <c r="L1" s="599"/>
      <c r="M1" s="599"/>
      <c r="N1" s="599"/>
      <c r="O1" s="599"/>
      <c r="P1" s="599"/>
      <c r="Q1" s="599"/>
      <c r="R1" s="599"/>
      <c r="S1" s="599"/>
      <c r="T1" s="599"/>
      <c r="U1" s="599"/>
      <c r="V1" s="599"/>
      <c r="W1" s="599"/>
      <c r="X1" s="599"/>
      <c r="Y1" s="599"/>
    </row>
    <row r="3" spans="1:25">
      <c r="B3" s="601" t="s">
        <v>1489</v>
      </c>
      <c r="D3" s="602"/>
    </row>
    <row r="4" spans="1:25">
      <c r="B4" s="601" t="s">
        <v>1494</v>
      </c>
    </row>
    <row r="5" spans="1:25">
      <c r="B5" s="601" t="s">
        <v>1501</v>
      </c>
    </row>
    <row r="6" spans="1:25">
      <c r="B6" s="601" t="s">
        <v>1507</v>
      </c>
    </row>
    <row r="7" spans="1:25">
      <c r="B7" s="601" t="s">
        <v>1535</v>
      </c>
    </row>
    <row r="8" spans="1:25" ht="14.5">
      <c r="B8" s="601"/>
      <c r="C8" s="600" t="s">
        <v>2124</v>
      </c>
    </row>
    <row r="9" spans="1:25">
      <c r="B9" s="601"/>
      <c r="C9" s="603" t="s">
        <v>2125</v>
      </c>
    </row>
    <row r="10" spans="1:25">
      <c r="B10" s="601"/>
    </row>
    <row r="11" spans="1:25">
      <c r="B11" s="601" t="s">
        <v>1497</v>
      </c>
    </row>
    <row r="12" spans="1:25">
      <c r="B12" s="601"/>
      <c r="C12" s="600" t="s">
        <v>2126</v>
      </c>
    </row>
    <row r="13" spans="1:25">
      <c r="B13" s="601"/>
      <c r="C13" s="600" t="s">
        <v>2127</v>
      </c>
    </row>
    <row r="14" spans="1:25">
      <c r="B14" s="601"/>
      <c r="C14" s="604" t="s">
        <v>2128</v>
      </c>
    </row>
    <row r="15" spans="1:25" ht="14.5">
      <c r="B15" s="601"/>
      <c r="C15" s="605" t="s">
        <v>2129</v>
      </c>
    </row>
    <row r="16" spans="1:25">
      <c r="B16" s="601"/>
      <c r="C16" s="605" t="s">
        <v>2130</v>
      </c>
    </row>
    <row r="17" spans="2:3">
      <c r="B17" s="601"/>
      <c r="C17" s="600" t="s">
        <v>2131</v>
      </c>
    </row>
    <row r="19" spans="2:3">
      <c r="B19" s="601" t="s">
        <v>1504</v>
      </c>
    </row>
    <row r="20" spans="2:3" ht="14.5">
      <c r="C20" s="600" t="s">
        <v>2132</v>
      </c>
    </row>
    <row r="22" spans="2:3">
      <c r="B22" s="601" t="s">
        <v>1510</v>
      </c>
    </row>
    <row r="23" spans="2:3">
      <c r="B23" s="601" t="s">
        <v>2133</v>
      </c>
    </row>
    <row r="24" spans="2:3">
      <c r="B24" s="601"/>
      <c r="C24" s="600" t="s">
        <v>2134</v>
      </c>
    </row>
    <row r="25" spans="2:3">
      <c r="B25" s="601"/>
      <c r="C25" s="600" t="s">
        <v>2135</v>
      </c>
    </row>
    <row r="26" spans="2:3">
      <c r="B26" s="601"/>
      <c r="C26" s="600" t="s">
        <v>2127</v>
      </c>
    </row>
    <row r="27" spans="2:3">
      <c r="B27" s="601"/>
    </row>
    <row r="28" spans="2:3">
      <c r="B28" s="601" t="s">
        <v>1513</v>
      </c>
    </row>
    <row r="29" spans="2:3">
      <c r="B29" s="601" t="s">
        <v>1531</v>
      </c>
    </row>
    <row r="30" spans="2:3">
      <c r="B30" s="601"/>
      <c r="C30" s="600" t="s">
        <v>2136</v>
      </c>
    </row>
    <row r="31" spans="2:3" ht="14.5">
      <c r="C31" s="600" t="s">
        <v>2137</v>
      </c>
    </row>
    <row r="32" spans="2:3">
      <c r="C32" s="600" t="s">
        <v>2138</v>
      </c>
    </row>
    <row r="34" spans="2:13">
      <c r="B34" s="601" t="s">
        <v>2139</v>
      </c>
    </row>
    <row r="35" spans="2:13" ht="14.5">
      <c r="C35" s="600" t="s">
        <v>2140</v>
      </c>
    </row>
    <row r="36" spans="2:13">
      <c r="C36" s="603" t="s">
        <v>2141</v>
      </c>
      <c r="M36" s="606"/>
    </row>
    <row r="37" spans="2:13" ht="14.5">
      <c r="C37" s="600" t="s">
        <v>2142</v>
      </c>
    </row>
    <row r="38" spans="2:13">
      <c r="C38" s="603" t="s">
        <v>2143</v>
      </c>
    </row>
  </sheetData>
  <sheetProtection algorithmName="SHA-512" hashValue="xeb2IFTFsu2U4f+O5dwkJLe+KbN4SPR4cl8s2upmKQsPQwNqyUseW78kN71nHe8PJ7kqne95kTR60Za5I7IiTA==" saltValue="lXmYjo4j2CuT+d8Q8llftg==" spinCount="100000" sheet="1" objects="1" scenarios="1"/>
  <hyperlinks>
    <hyperlink ref="C36" r:id="rId1" xr:uid="{D26DC7DB-F4E7-4801-891C-7875310BA771}"/>
    <hyperlink ref="C38" r:id="rId2" xr:uid="{0CA91299-FF9A-4919-8E4F-390EC6276DEA}"/>
    <hyperlink ref="C9" r:id="rId3" xr:uid="{A46FB777-C8A8-46C7-AD2B-EC3ECD101D19}"/>
  </hyperlinks>
  <pageMargins left="0.7" right="0.7" top="0.75" bottom="0.75" header="0.3" footer="0.3"/>
  <pageSetup orientation="portrait" horizontalDpi="1200" verticalDpi="1200"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8D5BA-C3BD-45DB-B05E-AE6E96B06874}">
  <dimension ref="A2:G25"/>
  <sheetViews>
    <sheetView showGridLines="0" workbookViewId="0">
      <selection activeCell="C4" sqref="C4"/>
    </sheetView>
  </sheetViews>
  <sheetFormatPr defaultColWidth="8.9140625" defaultRowHeight="14"/>
  <cols>
    <col min="1" max="1" width="25.08203125" customWidth="1"/>
    <col min="2" max="2" width="11.5" customWidth="1"/>
    <col min="3" max="3" width="10.5" customWidth="1"/>
    <col min="4" max="5" width="11.5" customWidth="1"/>
    <col min="6" max="6" width="10.5" customWidth="1"/>
    <col min="7" max="7" width="9.58203125" customWidth="1"/>
  </cols>
  <sheetData>
    <row r="2" spans="1:7">
      <c r="A2" s="607" t="s">
        <v>2144</v>
      </c>
      <c r="B2" s="4"/>
      <c r="C2" s="4"/>
      <c r="D2" s="4"/>
      <c r="E2" s="4"/>
      <c r="F2" s="4"/>
      <c r="G2" s="4"/>
    </row>
    <row r="3" spans="1:7" ht="14.5" thickBot="1">
      <c r="A3" s="4"/>
      <c r="B3" s="4"/>
      <c r="C3" s="4"/>
      <c r="D3" s="4"/>
      <c r="E3" s="4"/>
      <c r="F3" s="4"/>
      <c r="G3" s="4"/>
    </row>
    <row r="4" spans="1:7" ht="15" thickTop="1" thickBot="1">
      <c r="A4" s="608"/>
      <c r="B4" s="609" t="s">
        <v>12</v>
      </c>
      <c r="C4" s="609" t="s">
        <v>2145</v>
      </c>
      <c r="D4" s="609" t="s">
        <v>2146</v>
      </c>
      <c r="E4" s="609" t="s">
        <v>2147</v>
      </c>
      <c r="F4" s="609" t="s">
        <v>13</v>
      </c>
      <c r="G4" s="4"/>
    </row>
    <row r="5" spans="1:7" ht="15" thickTop="1" thickBot="1">
      <c r="A5" s="610" t="s">
        <v>2148</v>
      </c>
      <c r="B5" s="611"/>
      <c r="C5" s="612">
        <v>1E-3</v>
      </c>
      <c r="D5" s="613">
        <v>9.8420699999999996E-4</v>
      </c>
      <c r="E5" s="613">
        <v>1.1023109999999999E-3</v>
      </c>
      <c r="F5" s="614">
        <v>2.2046236800000001</v>
      </c>
      <c r="G5" s="4"/>
    </row>
    <row r="6" spans="1:7" ht="15" thickTop="1" thickBot="1">
      <c r="A6" s="610" t="s">
        <v>2149</v>
      </c>
      <c r="B6" s="615">
        <v>1000</v>
      </c>
      <c r="C6" s="616"/>
      <c r="D6" s="617">
        <v>0.98420699999999994</v>
      </c>
      <c r="E6" s="617">
        <v>1.1023109999999998</v>
      </c>
      <c r="F6" s="618">
        <v>2204.6236800000001</v>
      </c>
      <c r="G6" s="4"/>
    </row>
    <row r="7" spans="1:7" ht="15" thickTop="1" thickBot="1">
      <c r="A7" s="610" t="s">
        <v>2150</v>
      </c>
      <c r="B7" s="619">
        <v>1016.0464211288886</v>
      </c>
      <c r="C7" s="617">
        <v>1.0160464211288887</v>
      </c>
      <c r="D7" s="616"/>
      <c r="E7" s="617">
        <v>1.1199991465210062</v>
      </c>
      <c r="F7" s="620">
        <v>2240</v>
      </c>
      <c r="G7" s="4"/>
    </row>
    <row r="8" spans="1:7" ht="15" thickTop="1" thickBot="1">
      <c r="A8" s="610" t="s">
        <v>2151</v>
      </c>
      <c r="B8" s="621">
        <v>907.18499588591612</v>
      </c>
      <c r="C8" s="617">
        <v>0.90718499588591617</v>
      </c>
      <c r="D8" s="617">
        <v>0.8928578232458898</v>
      </c>
      <c r="E8" s="616"/>
      <c r="F8" s="620">
        <v>2000.0015240707933</v>
      </c>
      <c r="G8" s="4"/>
    </row>
    <row r="9" spans="1:7" ht="15" thickTop="1" thickBot="1">
      <c r="A9" s="610" t="s">
        <v>2152</v>
      </c>
      <c r="B9" s="622">
        <v>0.45359215228968236</v>
      </c>
      <c r="C9" s="623">
        <v>4.5359215228968239E-4</v>
      </c>
      <c r="D9" s="623">
        <v>4.4642857142857141E-4</v>
      </c>
      <c r="E9" s="624">
        <v>4.9999961898259206E-4</v>
      </c>
      <c r="F9" s="625"/>
      <c r="G9" s="4"/>
    </row>
    <row r="10" spans="1:7" ht="15" thickTop="1" thickBot="1">
      <c r="A10" s="4"/>
      <c r="B10" s="4"/>
      <c r="C10" s="4"/>
      <c r="D10" s="4"/>
      <c r="E10" s="4"/>
      <c r="F10" s="4"/>
      <c r="G10" s="4"/>
    </row>
    <row r="11" spans="1:7" ht="17.5" thickTop="1" thickBot="1">
      <c r="A11" s="626"/>
      <c r="B11" s="609" t="s">
        <v>2153</v>
      </c>
      <c r="C11" s="609" t="s">
        <v>2154</v>
      </c>
      <c r="D11" s="609" t="s">
        <v>2155</v>
      </c>
      <c r="E11" s="609" t="s">
        <v>2156</v>
      </c>
      <c r="F11" s="609" t="s">
        <v>14</v>
      </c>
      <c r="G11" s="609" t="s">
        <v>2157</v>
      </c>
    </row>
    <row r="12" spans="1:7" ht="15" thickTop="1" thickBot="1">
      <c r="A12" s="610" t="s">
        <v>2158</v>
      </c>
      <c r="B12" s="611"/>
      <c r="C12" s="612">
        <v>1E-3</v>
      </c>
      <c r="D12" s="613">
        <v>3.5314667000000001E-2</v>
      </c>
      <c r="E12" s="613">
        <v>0.21996924800000001</v>
      </c>
      <c r="F12" s="613">
        <v>0.26417205100000002</v>
      </c>
      <c r="G12" s="627">
        <v>6.2898110000000002E-3</v>
      </c>
    </row>
    <row r="13" spans="1:7" ht="17.5" thickTop="1" thickBot="1">
      <c r="A13" s="610" t="s">
        <v>2159</v>
      </c>
      <c r="B13" s="615">
        <v>1000</v>
      </c>
      <c r="C13" s="616"/>
      <c r="D13" s="628">
        <v>35.314667</v>
      </c>
      <c r="E13" s="629">
        <v>219.96924799999999</v>
      </c>
      <c r="F13" s="629">
        <v>264.17205100000001</v>
      </c>
      <c r="G13" s="630">
        <v>6.2898110000000003</v>
      </c>
    </row>
    <row r="14" spans="1:7" ht="15" thickTop="1" thickBot="1">
      <c r="A14" s="610" t="s">
        <v>2160</v>
      </c>
      <c r="B14" s="631">
        <v>28.316846368677353</v>
      </c>
      <c r="C14" s="617">
        <v>2.8316846368677356E-2</v>
      </c>
      <c r="D14" s="616"/>
      <c r="E14" s="632">
        <v>6.228835401449488</v>
      </c>
      <c r="F14" s="617">
        <v>7.4805193830653991</v>
      </c>
      <c r="G14" s="618">
        <v>0.17810761177501688</v>
      </c>
    </row>
    <row r="15" spans="1:7" ht="15" thickTop="1" thickBot="1">
      <c r="A15" s="610" t="s">
        <v>2161</v>
      </c>
      <c r="B15" s="633">
        <v>4.5460900061812275</v>
      </c>
      <c r="C15" s="617">
        <v>4.5460900061812274E-3</v>
      </c>
      <c r="D15" s="617">
        <v>0.16054365472031801</v>
      </c>
      <c r="E15" s="616"/>
      <c r="F15" s="617">
        <v>1.2009499209634977</v>
      </c>
      <c r="G15" s="634">
        <v>2.8594046927868752E-2</v>
      </c>
    </row>
    <row r="16" spans="1:7" ht="15" thickTop="1" thickBot="1">
      <c r="A16" s="610" t="s">
        <v>14</v>
      </c>
      <c r="B16" s="633">
        <v>3.7854118034613733</v>
      </c>
      <c r="C16" s="635">
        <v>3.7854118034613732E-3</v>
      </c>
      <c r="D16" s="617">
        <v>0.13368055729710784</v>
      </c>
      <c r="E16" s="617">
        <v>0.83267418777772206</v>
      </c>
      <c r="F16" s="616"/>
      <c r="G16" s="634">
        <v>2.3809524800941183E-2</v>
      </c>
    </row>
    <row r="17" spans="1:7" ht="15" thickTop="1" thickBot="1">
      <c r="A17" s="610" t="s">
        <v>2162</v>
      </c>
      <c r="B17" s="636">
        <v>158.98728912522174</v>
      </c>
      <c r="C17" s="624">
        <v>0.15898728912522173</v>
      </c>
      <c r="D17" s="637">
        <v>5.6145831726899269</v>
      </c>
      <c r="E17" s="638">
        <v>34.972314430433606</v>
      </c>
      <c r="F17" s="639">
        <v>41.999998251139822</v>
      </c>
      <c r="G17" s="625"/>
    </row>
    <row r="18" spans="1:7" ht="15" thickTop="1" thickBot="1">
      <c r="A18" s="4"/>
      <c r="B18" s="4"/>
      <c r="C18" s="4"/>
      <c r="D18" s="4"/>
      <c r="E18" s="4"/>
      <c r="F18" s="4"/>
      <c r="G18" s="4"/>
    </row>
    <row r="19" spans="1:7" ht="15.5" thickTop="1" thickBot="1">
      <c r="A19" s="626"/>
      <c r="B19" s="609" t="s">
        <v>2163</v>
      </c>
      <c r="C19" s="609" t="s">
        <v>2164</v>
      </c>
      <c r="D19" s="609" t="s">
        <v>2165</v>
      </c>
      <c r="E19" s="609" t="s">
        <v>2166</v>
      </c>
      <c r="F19" s="609" t="s">
        <v>2167</v>
      </c>
      <c r="G19" s="4"/>
    </row>
    <row r="20" spans="1:7" ht="15" thickTop="1" thickBot="1">
      <c r="A20" s="610" t="s">
        <v>2168</v>
      </c>
      <c r="B20" s="611"/>
      <c r="C20" s="640">
        <v>277.77777777799997</v>
      </c>
      <c r="D20" s="641">
        <v>9.4781707770000008</v>
      </c>
      <c r="E20" s="641">
        <v>2.3884590000000001E-2</v>
      </c>
      <c r="F20" s="642">
        <v>238902.95761861501</v>
      </c>
      <c r="G20" s="4"/>
    </row>
    <row r="21" spans="1:7" ht="15" thickTop="1" thickBot="1">
      <c r="A21" s="610" t="s">
        <v>2169</v>
      </c>
      <c r="B21" s="643">
        <v>3.5999999999971203E-3</v>
      </c>
      <c r="C21" s="616"/>
      <c r="D21" s="644">
        <v>3.4121414797172706E-2</v>
      </c>
      <c r="E21" s="644">
        <v>8.5984523999931223E-5</v>
      </c>
      <c r="F21" s="645">
        <v>860.05064742632601</v>
      </c>
      <c r="G21" s="4"/>
    </row>
    <row r="22" spans="1:7" ht="15" thickTop="1" thickBot="1">
      <c r="A22" s="610" t="s">
        <v>15</v>
      </c>
      <c r="B22" s="646">
        <v>0.10550559000547115</v>
      </c>
      <c r="C22" s="647">
        <v>29.307108334876538</v>
      </c>
      <c r="D22" s="616"/>
      <c r="E22" s="644">
        <v>2.5199577599887761E-3</v>
      </c>
      <c r="F22" s="648">
        <v>25205.597497604045</v>
      </c>
      <c r="G22" s="4"/>
    </row>
    <row r="23" spans="1:7" ht="15" thickTop="1" thickBot="1">
      <c r="A23" s="610" t="s">
        <v>2170</v>
      </c>
      <c r="B23" s="649">
        <v>41.867999408823849</v>
      </c>
      <c r="C23" s="650">
        <v>11629.999835793706</v>
      </c>
      <c r="D23" s="651">
        <v>396.83204848816752</v>
      </c>
      <c r="E23" s="616"/>
      <c r="F23" s="648">
        <v>10002388.888342442</v>
      </c>
      <c r="G23" s="4"/>
    </row>
    <row r="24" spans="1:7" ht="15" thickTop="1" thickBot="1">
      <c r="A24" s="610" t="s">
        <v>2171</v>
      </c>
      <c r="B24" s="652">
        <v>4.1858000000000057E-6</v>
      </c>
      <c r="C24" s="653">
        <v>1.1627222222231539E-3</v>
      </c>
      <c r="D24" s="654">
        <v>3.9673727238366659E-5</v>
      </c>
      <c r="E24" s="654">
        <v>9.9976116822000138E-8</v>
      </c>
      <c r="F24" s="625"/>
      <c r="G24" s="4"/>
    </row>
    <row r="25" spans="1:7" ht="14.5" thickTop="1"/>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B9F94-92EC-477D-BF41-359C09AB2D5B}">
  <sheetPr>
    <tabColor rgb="FF94E494"/>
    <outlinePr summaryBelow="0"/>
  </sheetPr>
  <dimension ref="A1:L548"/>
  <sheetViews>
    <sheetView zoomScale="90" zoomScaleNormal="90" zoomScaleSheetLayoutView="50" workbookViewId="0">
      <selection activeCell="C21" sqref="C21:D21"/>
    </sheetView>
  </sheetViews>
  <sheetFormatPr defaultColWidth="10.5" defaultRowHeight="14" outlineLevelRow="2"/>
  <cols>
    <col min="1" max="1" width="45.08203125" customWidth="1"/>
    <col min="2" max="2" width="48.08203125" customWidth="1"/>
    <col min="3" max="3" width="21.58203125" customWidth="1"/>
    <col min="4" max="4" width="20.08203125" customWidth="1"/>
    <col min="5" max="5" width="16.9140625" customWidth="1"/>
    <col min="6" max="6" width="14.08203125" customWidth="1"/>
    <col min="7" max="7" width="22.9140625" customWidth="1"/>
    <col min="8" max="8" width="15.9140625" customWidth="1"/>
    <col min="9" max="9" width="17.58203125" customWidth="1"/>
    <col min="10" max="10" width="18.4140625" customWidth="1"/>
  </cols>
  <sheetData>
    <row r="1" spans="1:7" s="4" customFormat="1" ht="95.25" customHeight="1">
      <c r="C1" s="766"/>
      <c r="D1" s="767" t="str">
        <f>+Instructions!B2</f>
        <v>Health Care Emissions Impact Calculator-Facility</v>
      </c>
      <c r="F1" s="768"/>
      <c r="G1" s="768"/>
    </row>
    <row r="2" spans="1:7" s="4" customFormat="1" ht="5.15" customHeight="1"/>
    <row r="3" spans="1:7" s="4" customFormat="1" ht="15.5">
      <c r="A3" s="769" t="s">
        <v>2289</v>
      </c>
    </row>
    <row r="4" spans="1:7" s="4" customFormat="1" ht="33.75" customHeight="1">
      <c r="A4" s="1253" t="s">
        <v>2290</v>
      </c>
      <c r="B4" s="1253"/>
      <c r="C4" s="1253"/>
      <c r="D4" s="1253"/>
      <c r="E4" s="1253"/>
    </row>
    <row r="5" spans="1:7" s="4" customFormat="1"/>
    <row r="6" spans="1:7" s="4" customFormat="1" ht="14.5">
      <c r="A6" s="770" t="s">
        <v>2291</v>
      </c>
      <c r="B6" s="771" t="s">
        <v>2292</v>
      </c>
      <c r="C6" t="s">
        <v>2293</v>
      </c>
    </row>
    <row r="7" spans="1:7" s="4" customFormat="1" ht="14.5">
      <c r="A7" s="770" t="s">
        <v>2294</v>
      </c>
      <c r="B7" s="771" t="s">
        <v>2295</v>
      </c>
      <c r="C7" t="s">
        <v>2296</v>
      </c>
    </row>
    <row r="8" spans="1:7" s="4" customFormat="1" ht="14.5">
      <c r="A8" s="770" t="s">
        <v>2297</v>
      </c>
      <c r="B8" s="771" t="s">
        <v>2298</v>
      </c>
      <c r="C8" t="s">
        <v>2299</v>
      </c>
    </row>
    <row r="9" spans="1:7" s="4" customFormat="1" ht="14.5">
      <c r="A9" s="770" t="s">
        <v>2300</v>
      </c>
      <c r="B9" s="771" t="s">
        <v>2301</v>
      </c>
      <c r="C9" s="4" t="s">
        <v>2302</v>
      </c>
    </row>
    <row r="10" spans="1:7" s="4" customFormat="1" ht="8.15" customHeight="1"/>
    <row r="11" spans="1:7" s="4" customFormat="1" ht="5.4" customHeight="1"/>
    <row r="12" spans="1:7" s="773" customFormat="1" ht="20">
      <c r="A12" s="772" t="s">
        <v>6</v>
      </c>
    </row>
    <row r="13" spans="1:7" ht="48" customHeight="1">
      <c r="A13" s="1218" t="s">
        <v>2303</v>
      </c>
      <c r="B13" s="1218"/>
      <c r="C13" s="1218"/>
      <c r="D13" s="1218"/>
      <c r="E13" s="1218"/>
      <c r="F13" s="1218"/>
      <c r="G13" s="1218"/>
    </row>
    <row r="14" spans="1:7" ht="13.5" customHeight="1">
      <c r="A14" s="774"/>
      <c r="B14" s="775"/>
      <c r="C14" s="775"/>
      <c r="D14" s="775"/>
      <c r="E14" s="775"/>
      <c r="F14" s="775"/>
    </row>
    <row r="15" spans="1:7" s="778" customFormat="1" ht="17.5">
      <c r="A15" s="776" t="s">
        <v>2304</v>
      </c>
      <c r="B15" s="777" t="s">
        <v>2305</v>
      </c>
    </row>
    <row r="16" spans="1:7" outlineLevel="1"/>
    <row r="17" spans="1:10" ht="29.25" customHeight="1" outlineLevel="1">
      <c r="A17" s="1238" t="s">
        <v>2306</v>
      </c>
      <c r="B17" s="1238"/>
      <c r="C17" s="1238"/>
      <c r="D17" s="1238"/>
      <c r="E17" s="1238"/>
      <c r="F17" s="1238"/>
      <c r="G17" s="1238"/>
    </row>
    <row r="18" spans="1:10" ht="7.5" customHeight="1" outlineLevel="1">
      <c r="B18" s="16"/>
      <c r="C18" s="16"/>
      <c r="D18" s="16"/>
      <c r="E18" s="16"/>
      <c r="F18" s="16"/>
    </row>
    <row r="19" spans="1:10" ht="34.5" customHeight="1" outlineLevel="1">
      <c r="A19" s="1254" t="s">
        <v>2307</v>
      </c>
      <c r="B19" s="1254"/>
      <c r="C19" s="1254"/>
      <c r="D19" s="1254"/>
      <c r="E19" s="1254"/>
      <c r="F19" s="1254"/>
      <c r="G19" s="1254"/>
    </row>
    <row r="20" spans="1:10" outlineLevel="1">
      <c r="B20" s="779"/>
      <c r="C20" s="780" t="s">
        <v>2308</v>
      </c>
      <c r="D20" s="779"/>
      <c r="E20" s="779"/>
      <c r="F20" s="779"/>
    </row>
    <row r="21" spans="1:10" outlineLevel="1">
      <c r="B21" s="781" t="s">
        <v>2309</v>
      </c>
      <c r="C21" s="1255"/>
      <c r="D21" s="1256"/>
      <c r="E21" s="779"/>
      <c r="F21" s="779"/>
    </row>
    <row r="22" spans="1:10" outlineLevel="1">
      <c r="B22" s="779"/>
      <c r="C22" s="779"/>
      <c r="D22" s="779"/>
      <c r="E22" s="779"/>
      <c r="F22" s="779"/>
    </row>
    <row r="23" spans="1:10" ht="24" customHeight="1" outlineLevel="1">
      <c r="A23" s="1252" t="s">
        <v>2310</v>
      </c>
      <c r="B23" s="1252"/>
      <c r="C23" s="16"/>
      <c r="D23" s="16"/>
      <c r="E23" s="16"/>
      <c r="F23" s="16"/>
    </row>
    <row r="24" spans="1:10" ht="14.5" outlineLevel="1">
      <c r="A24" s="1233" t="s">
        <v>2311</v>
      </c>
      <c r="B24" s="1233"/>
      <c r="C24" s="1233"/>
      <c r="D24" s="1233"/>
      <c r="E24" s="1233"/>
      <c r="F24" s="1233"/>
      <c r="G24" s="1233"/>
    </row>
    <row r="25" spans="1:10" ht="14.5" outlineLevel="1">
      <c r="A25" s="1233" t="s">
        <v>2312</v>
      </c>
      <c r="B25" s="1233"/>
      <c r="C25" s="1233"/>
      <c r="D25" s="1233"/>
      <c r="E25" s="1233"/>
      <c r="F25" s="1233"/>
      <c r="G25" s="1233"/>
    </row>
    <row r="26" spans="1:10" outlineLevel="1"/>
    <row r="27" spans="1:10" ht="14.5" outlineLevel="1">
      <c r="D27" s="1244" t="s">
        <v>2313</v>
      </c>
      <c r="E27" s="1245"/>
      <c r="F27" s="1245"/>
      <c r="G27" s="1246"/>
      <c r="I27" s="2"/>
    </row>
    <row r="28" spans="1:10" ht="16" outlineLevel="1">
      <c r="A28" s="786" t="s">
        <v>2314</v>
      </c>
      <c r="B28" s="786" t="s">
        <v>2315</v>
      </c>
      <c r="C28" s="786" t="s">
        <v>0</v>
      </c>
      <c r="D28" s="786" t="s">
        <v>2316</v>
      </c>
      <c r="E28" s="786" t="s">
        <v>2317</v>
      </c>
      <c r="F28" s="786" t="s">
        <v>2318</v>
      </c>
      <c r="G28" s="786" t="s">
        <v>2319</v>
      </c>
      <c r="I28" s="786" t="s">
        <v>2315</v>
      </c>
      <c r="J28" s="786" t="s">
        <v>0</v>
      </c>
    </row>
    <row r="29" spans="1:10" ht="20.25" customHeight="1" outlineLevel="1">
      <c r="A29" s="787" t="s">
        <v>8</v>
      </c>
      <c r="B29" s="788"/>
      <c r="C29" s="788"/>
      <c r="D29" s="789">
        <f>ROUND(+SUM(D30:D38),3)</f>
        <v>0</v>
      </c>
      <c r="E29" s="789">
        <f>ROUND(+SUM(E30:E38),3)</f>
        <v>0</v>
      </c>
      <c r="F29" s="789">
        <f>ROUND(+SUM(F30:F38),3)</f>
        <v>0</v>
      </c>
      <c r="G29" s="789">
        <f>ROUND(+SUM(G30:G38),3)</f>
        <v>0</v>
      </c>
      <c r="I29" s="790"/>
      <c r="J29" s="791"/>
    </row>
    <row r="30" spans="1:10" ht="16.5" outlineLevel="1">
      <c r="A30" s="792" t="str">
        <f>'S1&amp;2 Lists'!L3</f>
        <v>Natural gas</v>
      </c>
      <c r="B30" s="793"/>
      <c r="C30" s="793"/>
      <c r="D30" s="794">
        <f>ROUND(+$I30*'S1&amp;2 Lists'!$N3*'S1&amp;2 Lists'!$O3*'S1&amp;2 Lists'!P3/1000,3)</f>
        <v>0</v>
      </c>
      <c r="E30" s="794">
        <f>ROUND(+$I30*'S1&amp;2 Lists'!$N3*'S1&amp;2 Lists'!$O3*'S1&amp;2 Lists'!Q3/1000,3)</f>
        <v>0</v>
      </c>
      <c r="F30" s="794">
        <f>ROUND(+$I30*'S1&amp;2 Lists'!$N3*'S1&amp;2 Lists'!$O3*'S1&amp;2 Lists'!R3/1000,3)</f>
        <v>0</v>
      </c>
      <c r="G30" s="794">
        <f>+D30+$E30*VLOOKUP($E$28,'S1&amp;2 Lists'!$C$1:$G$108,3,FALSE)+F30*VLOOKUP($F$28,'S1&amp;2 Lists'!$C$1:$G$108,3,FALSE)</f>
        <v>0</v>
      </c>
      <c r="I30" s="794">
        <f>+ROUND(IF(C30='S1&amp;2 Lists'!$CU$3,B30,IF(C30='S1&amp;2 Lists'!$CU$4,B30/'S1&amp;2 Lists'!$CQ$3,IF(C30='S1&amp;2 Lists'!$CU$5,B30/'S1&amp;2 Lists'!$CQ$4,IF(C30='S1&amp;2 Lists'!$CU$6,B30/'S1&amp;2 Lists'!$CQ$5,0)))),3)</f>
        <v>0</v>
      </c>
      <c r="J30" s="795" t="s">
        <v>2320</v>
      </c>
    </row>
    <row r="31" spans="1:10" outlineLevel="1">
      <c r="A31" s="792" t="str">
        <f>+'S1&amp;2 Lists'!L5</f>
        <v>Fuel Oil #2</v>
      </c>
      <c r="B31" s="796"/>
      <c r="C31" s="796"/>
      <c r="D31" s="794">
        <f>ROUND(+$I31*'S1&amp;2 Lists'!$N5*'S1&amp;2 Lists'!$O5*'S1&amp;2 Lists'!P5/1000,3)</f>
        <v>0</v>
      </c>
      <c r="E31" s="794">
        <f>ROUND(+$I31*'S1&amp;2 Lists'!$N5*'S1&amp;2 Lists'!$O5*'S1&amp;2 Lists'!Q5/1000,3)</f>
        <v>0</v>
      </c>
      <c r="F31" s="794">
        <f>ROUND(+$I31*'S1&amp;2 Lists'!$N5*'S1&amp;2 Lists'!$O5*'S1&amp;2 Lists'!R5/1000,3)</f>
        <v>0</v>
      </c>
      <c r="G31" s="794">
        <f>+D31+$E31*VLOOKUP($E$28,'S1&amp;2 Lists'!$C$1:$G$108,3,FALSE)+F31*VLOOKUP($F$28,'S1&amp;2 Lists'!$C$1:$G$108,3,FALSE)</f>
        <v>0</v>
      </c>
      <c r="I31" s="794">
        <f>+ROUND(IF(C31='S1&amp;2 Lists'!$CW$3,B31,IF(C31='S1&amp;2 Lists'!$CW$4,B31/'S1&amp;2 Lists'!$CQ$8,0)),3)</f>
        <v>0</v>
      </c>
      <c r="J31" s="11" t="s">
        <v>2321</v>
      </c>
    </row>
    <row r="32" spans="1:10" outlineLevel="1">
      <c r="A32" s="792" t="str">
        <f>+'S1&amp;2 Lists'!L4</f>
        <v>Diesel</v>
      </c>
      <c r="B32" s="796"/>
      <c r="C32" s="796"/>
      <c r="D32" s="794">
        <f>ROUND(+$I32*'S1&amp;2 Lists'!$N4*'S1&amp;2 Lists'!$O4*'S1&amp;2 Lists'!P4/1000,3)</f>
        <v>0</v>
      </c>
      <c r="E32" s="794">
        <f>ROUND(+$I32*'S1&amp;2 Lists'!$N4*'S1&amp;2 Lists'!$O4*'S1&amp;2 Lists'!Q4/1000,3)</f>
        <v>0</v>
      </c>
      <c r="F32" s="794">
        <f>ROUND(+$I32*'S1&amp;2 Lists'!$N4*'S1&amp;2 Lists'!$O4*'S1&amp;2 Lists'!R4/1000,3)</f>
        <v>0</v>
      </c>
      <c r="G32" s="794">
        <f>+D32+$E32*VLOOKUP($E$28,'S1&amp;2 Lists'!$C$1:$G$108,3,FALSE)+F32*VLOOKUP($F$28,'S1&amp;2 Lists'!$C$1:$G$108,3,FALSE)</f>
        <v>0</v>
      </c>
      <c r="I32" s="794">
        <f>+ROUND(IF(C32='S1&amp;2 Lists'!$CW$3,B32,IF(C32='S1&amp;2 Lists'!$CW$4,B32/'S1&amp;2 Lists'!$CQ$8,0)),3)</f>
        <v>0</v>
      </c>
      <c r="J32" s="11" t="s">
        <v>2321</v>
      </c>
    </row>
    <row r="33" spans="1:10" outlineLevel="1">
      <c r="A33" s="792" t="str">
        <f>+'S1&amp;2 Lists'!L6</f>
        <v>Gasoline</v>
      </c>
      <c r="B33" s="796"/>
      <c r="C33" s="796"/>
      <c r="D33" s="794">
        <f>ROUND(+$I33*'S1&amp;2 Lists'!$N6*'S1&amp;2 Lists'!$O6*'S1&amp;2 Lists'!P6/1000,3)</f>
        <v>0</v>
      </c>
      <c r="E33" s="794">
        <f>ROUND(+$I33*'S1&amp;2 Lists'!$N6*'S1&amp;2 Lists'!$O6*'S1&amp;2 Lists'!Q6/1000,3)</f>
        <v>0</v>
      </c>
      <c r="F33" s="794">
        <f>ROUND(+$I33*'S1&amp;2 Lists'!$N6*'S1&amp;2 Lists'!$O6*'S1&amp;2 Lists'!R6/1000,3)</f>
        <v>0</v>
      </c>
      <c r="G33" s="794">
        <f>+D33+$E33*VLOOKUP($E$28,'S1&amp;2 Lists'!$C$1:$G$108,3,FALSE)+F33*VLOOKUP($F$28,'S1&amp;2 Lists'!$C$1:$G$108,3,FALSE)</f>
        <v>0</v>
      </c>
      <c r="I33" s="794">
        <f>+ROUND(IF(C33='S1&amp;2 Lists'!$CW$3,B33,IF(C33='S1&amp;2 Lists'!$CW$4,B33/'S1&amp;2 Lists'!$CQ$8,0)),3)</f>
        <v>0</v>
      </c>
      <c r="J33" s="11" t="s">
        <v>2321</v>
      </c>
    </row>
    <row r="34" spans="1:10" outlineLevel="1">
      <c r="A34" s="792" t="str">
        <f>+'S1&amp;2 Lists'!L7</f>
        <v>Liquefied Petroleum Gases (LPG)</v>
      </c>
      <c r="B34" s="796"/>
      <c r="C34" s="796"/>
      <c r="D34" s="794">
        <f>ROUND(+$I34*'S1&amp;2 Lists'!$O7*'S1&amp;2 Lists'!P7/1000,3)</f>
        <v>0</v>
      </c>
      <c r="E34" s="794">
        <f>ROUND(+$I34*'S1&amp;2 Lists'!$O7*'S1&amp;2 Lists'!Q7/1000,3)</f>
        <v>0</v>
      </c>
      <c r="F34" s="794">
        <f>ROUND(+$I34*'S1&amp;2 Lists'!$O7*'S1&amp;2 Lists'!R7/1000,3)</f>
        <v>0</v>
      </c>
      <c r="G34" s="794">
        <f>+D34+$E34*VLOOKUP($E$28,'S1&amp;2 Lists'!$C$1:$G$108,3,FALSE)+F34*VLOOKUP($F$28,'S1&amp;2 Lists'!$C$1:$G$108,3,FALSE)</f>
        <v>0</v>
      </c>
      <c r="I34" s="794">
        <f>+ROUND(IF(C34='S1&amp;2 Lists'!CV3,B34,IF(C34='S1&amp;2 Lists'!CV4,B34/'S1&amp;2 Lists'!CQ6,IF(C34='S1&amp;2 Lists'!CV5,B34/'S1&amp;2 Lists'!CQ10,IF(C34='S1&amp;2 Lists'!CV6,B34/'S1&amp;2 Lists'!CQ9,0)))),3)</f>
        <v>0</v>
      </c>
      <c r="J34" s="11" t="s">
        <v>12</v>
      </c>
    </row>
    <row r="35" spans="1:10" outlineLevel="1">
      <c r="A35" s="792" t="str">
        <f>+'S1&amp;2 Lists'!L8</f>
        <v>Kerosene</v>
      </c>
      <c r="B35" s="796"/>
      <c r="C35" s="796"/>
      <c r="D35" s="794">
        <f>ROUND(+$I35*'S1&amp;2 Lists'!$N8*'S1&amp;2 Lists'!$O8*'S1&amp;2 Lists'!P8/1000,3)</f>
        <v>0</v>
      </c>
      <c r="E35" s="794">
        <f>ROUND(+$I35*'S1&amp;2 Lists'!$N8*'S1&amp;2 Lists'!$O8*'S1&amp;2 Lists'!Q8/1000,3)</f>
        <v>0</v>
      </c>
      <c r="F35" s="794">
        <f>ROUND(+$I35*'S1&amp;2 Lists'!$N8*'S1&amp;2 Lists'!$O8*'S1&amp;2 Lists'!R8/1000,3)</f>
        <v>0</v>
      </c>
      <c r="G35" s="794">
        <f>+D35+$E35*VLOOKUP($E$28,'S1&amp;2 Lists'!$C$1:$G$108,3,FALSE)+F35*VLOOKUP($F$28,'S1&amp;2 Lists'!$C$1:$G$108,3,FALSE)</f>
        <v>0</v>
      </c>
      <c r="I35" s="794">
        <f>+ROUND(IF(C35='S1&amp;2 Lists'!$CW$3,B35,IF(C35='S1&amp;2 Lists'!$CW$4,B35/'S1&amp;2 Lists'!$CQ$8,0)),3)</f>
        <v>0</v>
      </c>
      <c r="J35" s="11" t="s">
        <v>2321</v>
      </c>
    </row>
    <row r="36" spans="1:10" outlineLevel="1">
      <c r="A36" s="792" t="str">
        <f>+'S1&amp;2 Lists'!L9</f>
        <v>Coal</v>
      </c>
      <c r="B36" s="796"/>
      <c r="C36" s="796"/>
      <c r="D36" s="794">
        <f>ROUND(+$I36*'S1&amp;2 Lists'!$O9*'S1&amp;2 Lists'!P9/1000,3)</f>
        <v>0</v>
      </c>
      <c r="E36" s="794">
        <f>ROUND(+$I36*'S1&amp;2 Lists'!$O9*'S1&amp;2 Lists'!Q9/1000,3)</f>
        <v>0</v>
      </c>
      <c r="F36" s="794">
        <f>ROUND(+$I36*'S1&amp;2 Lists'!$O9*'S1&amp;2 Lists'!R9/1000,3)</f>
        <v>0</v>
      </c>
      <c r="G36" s="794">
        <f>+D36+$E36*VLOOKUP($E$28,'S1&amp;2 Lists'!$C$1:$G$108,3,FALSE)+F36*VLOOKUP($F$28,'S1&amp;2 Lists'!$C$1:$G$108,3,FALSE)</f>
        <v>0</v>
      </c>
      <c r="I36" s="794">
        <f>+ROUND(IF(C36='S1&amp;2 Lists'!$CX$3,B36,IF(C36='S1&amp;2 Lists'!$CX$4,B36/'S1&amp;2 Lists'!$CQ$6,IF(C36='S1&amp;2 Lists'!$CX$5,B36/'S1&amp;2 Lists'!$CQ$7,0))),3)</f>
        <v>0</v>
      </c>
      <c r="J36" s="11" t="s">
        <v>2322</v>
      </c>
    </row>
    <row r="37" spans="1:10" outlineLevel="1">
      <c r="A37" s="792" t="str">
        <f>+'S1&amp;2 Lists'!L10</f>
        <v>Wood</v>
      </c>
      <c r="B37" s="796"/>
      <c r="C37" s="796"/>
      <c r="D37" s="794">
        <f>ROUND(+$I37*'S1&amp;2 Lists'!$O10*'S1&amp;2 Lists'!P10/1000,3)</f>
        <v>0</v>
      </c>
      <c r="E37" s="794">
        <f>ROUND(+$I37*'S1&amp;2 Lists'!$O10*'S1&amp;2 Lists'!Q10/1000,3)</f>
        <v>0</v>
      </c>
      <c r="F37" s="794">
        <f>ROUND(+$I37*'S1&amp;2 Lists'!$O10*'S1&amp;2 Lists'!R10/1000,3)</f>
        <v>0</v>
      </c>
      <c r="G37" s="794">
        <f>+D37+$E37*VLOOKUP($E$28,'S1&amp;2 Lists'!$C$1:$G$108,3,FALSE)+F37*VLOOKUP($F$28,'S1&amp;2 Lists'!$C$1:$G$108,3,FALSE)</f>
        <v>0</v>
      </c>
      <c r="I37" s="794">
        <f>+ROUND(IF(C37='S1&amp;2 Lists'!$CX$3,B37,IF(C37='S1&amp;2 Lists'!$CX$4,B37/'S1&amp;2 Lists'!$CQ$6,IF(C37='S1&amp;2 Lists'!$CX$5,B37/'S1&amp;2 Lists'!$CQ$7,0))),3)</f>
        <v>0</v>
      </c>
      <c r="J37" s="11" t="s">
        <v>2322</v>
      </c>
    </row>
    <row r="38" spans="1:10" outlineLevel="1">
      <c r="A38" s="792" t="str">
        <f>+'S1&amp;2 Lists'!L11</f>
        <v>Biodiesel</v>
      </c>
      <c r="B38" s="797"/>
      <c r="C38" s="797"/>
      <c r="D38" s="794">
        <f>ROUND(+$I38*'S1&amp;2 Lists'!$N11*'S1&amp;2 Lists'!$O11*'S1&amp;2 Lists'!P11/1000,3)</f>
        <v>0</v>
      </c>
      <c r="E38" s="794">
        <f>ROUND(+$I38*'S1&amp;2 Lists'!$N11*'S1&amp;2 Lists'!$O11*'S1&amp;2 Lists'!Q11/1000,3)</f>
        <v>0</v>
      </c>
      <c r="F38" s="794">
        <f>ROUND(+$I38*'S1&amp;2 Lists'!$N11*'S1&amp;2 Lists'!$O11*'S1&amp;2 Lists'!R11/1000,3)</f>
        <v>0</v>
      </c>
      <c r="G38" s="794">
        <f>+D38+$E38*VLOOKUP($E$28,'S1&amp;2 Lists'!$C$1:$G$108,3,FALSE)+F38*VLOOKUP($F$28,'S1&amp;2 Lists'!$C$1:$G$108,3,FALSE)</f>
        <v>0</v>
      </c>
      <c r="I38" s="794">
        <f>+ROUND(IF(C38='S1&amp;2 Lists'!$CW$3,B38,IF(C38='S1&amp;2 Lists'!$CW$4,B38/'S1&amp;2 Lists'!$CQ$8,0)),3)</f>
        <v>0</v>
      </c>
      <c r="J38" s="11" t="s">
        <v>2321</v>
      </c>
    </row>
    <row r="39" spans="1:10" outlineLevel="1"/>
    <row r="40" spans="1:10" s="778" customFormat="1" ht="17.5">
      <c r="A40" s="776" t="s">
        <v>2323</v>
      </c>
      <c r="B40" s="777" t="s">
        <v>2324</v>
      </c>
      <c r="F40" s="798"/>
    </row>
    <row r="41" spans="1:10" outlineLevel="1">
      <c r="F41" s="17"/>
    </row>
    <row r="42" spans="1:10" ht="45.75" customHeight="1" outlineLevel="1">
      <c r="A42" s="1218" t="s">
        <v>2325</v>
      </c>
      <c r="B42" s="1218"/>
      <c r="C42" s="1218"/>
      <c r="D42" s="1218"/>
      <c r="E42" s="1218"/>
      <c r="F42" s="1218"/>
      <c r="G42" s="1218"/>
    </row>
    <row r="43" spans="1:10" ht="54" customHeight="1" outlineLevel="1">
      <c r="A43" s="1247" t="s">
        <v>2326</v>
      </c>
      <c r="B43" s="1248"/>
      <c r="C43" s="1248"/>
      <c r="D43" s="1248"/>
      <c r="E43" s="1248"/>
      <c r="F43" s="1248"/>
      <c r="G43" s="1248"/>
    </row>
    <row r="44" spans="1:10" ht="15" customHeight="1" outlineLevel="1">
      <c r="B44" s="799"/>
      <c r="C44" s="799"/>
      <c r="D44" s="799"/>
      <c r="E44" s="799"/>
      <c r="F44" s="799"/>
      <c r="G44" s="799"/>
    </row>
    <row r="45" spans="1:10" ht="15" customHeight="1" outlineLevel="1">
      <c r="A45" s="1235" t="s">
        <v>2309</v>
      </c>
      <c r="B45" s="1236"/>
      <c r="C45" s="1249"/>
      <c r="D45" s="1250"/>
      <c r="E45" s="779"/>
      <c r="F45" s="779"/>
    </row>
    <row r="46" spans="1:10" ht="8.25" customHeight="1" outlineLevel="1">
      <c r="B46" s="799"/>
      <c r="C46" s="799"/>
      <c r="D46" s="799"/>
      <c r="E46" s="799"/>
      <c r="F46" s="799"/>
      <c r="G46" s="799"/>
    </row>
    <row r="47" spans="1:10" outlineLevel="1">
      <c r="B47" s="779"/>
      <c r="C47" s="779"/>
      <c r="D47" s="779"/>
      <c r="E47" s="779"/>
    </row>
    <row r="48" spans="1:10" ht="14.5" outlineLevel="1">
      <c r="A48" s="801" t="s">
        <v>2327</v>
      </c>
      <c r="C48" s="16"/>
      <c r="D48" s="16"/>
      <c r="F48" s="802"/>
      <c r="G48" s="802"/>
    </row>
    <row r="49" spans="1:11" ht="69.75" customHeight="1" outlineLevel="1">
      <c r="A49" s="1233" t="s">
        <v>2328</v>
      </c>
      <c r="B49" s="1233"/>
      <c r="C49" s="1233"/>
      <c r="D49" s="1233"/>
      <c r="F49" s="803"/>
      <c r="G49" s="803"/>
      <c r="H49" s="803"/>
    </row>
    <row r="50" spans="1:11" ht="33" customHeight="1" outlineLevel="1">
      <c r="A50" s="1233" t="s">
        <v>2329</v>
      </c>
      <c r="B50" s="1233"/>
      <c r="C50" s="1233"/>
      <c r="D50" s="1233"/>
      <c r="F50" s="804"/>
      <c r="G50" s="805"/>
      <c r="H50" s="806"/>
    </row>
    <row r="51" spans="1:11" ht="35.25" customHeight="1" outlineLevel="1">
      <c r="A51" s="1233" t="s">
        <v>2330</v>
      </c>
      <c r="B51" s="1233"/>
      <c r="C51" s="1233"/>
      <c r="D51" s="1233"/>
      <c r="F51" s="17"/>
    </row>
    <row r="52" spans="1:11" ht="22.5" customHeight="1" outlineLevel="1">
      <c r="A52" s="1233" t="s">
        <v>2331</v>
      </c>
      <c r="B52" s="1233"/>
      <c r="C52" s="1233"/>
      <c r="D52" s="1233"/>
      <c r="F52" s="17"/>
    </row>
    <row r="53" spans="1:11" ht="22.5" customHeight="1" outlineLevel="1">
      <c r="F53" s="17"/>
    </row>
    <row r="54" spans="1:11" outlineLevel="1">
      <c r="F54" s="17"/>
    </row>
    <row r="55" spans="1:11" ht="31.5" customHeight="1" outlineLevel="1">
      <c r="C55" s="807" t="s">
        <v>2332</v>
      </c>
      <c r="E55" s="17"/>
    </row>
    <row r="56" spans="1:11" outlineLevel="1">
      <c r="A56" s="808" t="s">
        <v>2333</v>
      </c>
      <c r="B56" s="809">
        <v>0.05</v>
      </c>
      <c r="C56" s="810"/>
      <c r="D56" t="s">
        <v>2215</v>
      </c>
    </row>
    <row r="57" spans="1:11" outlineLevel="1">
      <c r="A57" s="808" t="s">
        <v>2334</v>
      </c>
      <c r="B57" s="809">
        <v>0.1</v>
      </c>
      <c r="C57" s="810"/>
      <c r="D57" t="s">
        <v>2215</v>
      </c>
    </row>
    <row r="58" spans="1:11" outlineLevel="1">
      <c r="E58" s="783" t="s">
        <v>2313</v>
      </c>
      <c r="F58" s="784"/>
      <c r="G58" s="784"/>
      <c r="H58" s="785"/>
    </row>
    <row r="59" spans="1:11" ht="42" outlineLevel="1">
      <c r="A59" s="786" t="s">
        <v>2314</v>
      </c>
      <c r="B59" s="786" t="s">
        <v>2315</v>
      </c>
      <c r="C59" s="807" t="s">
        <v>2335</v>
      </c>
      <c r="D59" s="786" t="s">
        <v>0</v>
      </c>
      <c r="E59" s="786" t="s">
        <v>2316</v>
      </c>
      <c r="F59" s="786" t="s">
        <v>2317</v>
      </c>
      <c r="G59" s="786" t="s">
        <v>2318</v>
      </c>
      <c r="H59" s="786" t="s">
        <v>2319</v>
      </c>
      <c r="J59" s="786" t="s">
        <v>2315</v>
      </c>
      <c r="K59" s="786" t="s">
        <v>0</v>
      </c>
    </row>
    <row r="60" spans="1:11" outlineLevel="1">
      <c r="A60" s="811" t="s">
        <v>8</v>
      </c>
      <c r="B60" s="788"/>
      <c r="C60" s="812"/>
      <c r="D60" s="788"/>
      <c r="E60" s="813">
        <f>ROUND(+SUM(E61:E65),3)</f>
        <v>0</v>
      </c>
      <c r="F60" s="813">
        <f>ROUND(+SUM(F61:F65),3)</f>
        <v>0</v>
      </c>
      <c r="G60" s="813">
        <f>ROUND(+SUM(G61:G65),3)</f>
        <v>0</v>
      </c>
      <c r="H60" s="813">
        <f>ROUND(+SUM(H61:H65),3)</f>
        <v>0</v>
      </c>
      <c r="J60" s="812"/>
      <c r="K60" s="812"/>
    </row>
    <row r="61" spans="1:11" outlineLevel="1">
      <c r="A61" s="792" t="str">
        <f>+'S1&amp;2 Lists'!L6</f>
        <v>Gasoline</v>
      </c>
      <c r="B61" s="734"/>
      <c r="C61" s="814">
        <f>B61*(1-IF($C$57=0,$B$57,$C$57))</f>
        <v>0</v>
      </c>
      <c r="D61" s="734"/>
      <c r="E61" s="794">
        <f>ROUND(+$J61*'S1&amp;2 Lists'!$N6*'S1&amp;2 Lists'!$O6*'S1&amp;2 Lists'!S6/1000,3)</f>
        <v>0</v>
      </c>
      <c r="F61" s="794">
        <f>ROUND(+$J61*'S1&amp;2 Lists'!$N6*'S1&amp;2 Lists'!$O6*'S1&amp;2 Lists'!T6/1000,3)</f>
        <v>0</v>
      </c>
      <c r="G61" s="794">
        <f>ROUND(+$J61*'S1&amp;2 Lists'!$N6*'S1&amp;2 Lists'!$O6*'S1&amp;2 Lists'!U6/1000,3)</f>
        <v>0</v>
      </c>
      <c r="H61" s="794">
        <f>ROUND(+E61+$F61*VLOOKUP($F$59,'S1&amp;2 Lists'!$C$1:$G$108,3,FALSE)+G61*VLOOKUP($G$59,'S1&amp;2 Lists'!$C$1:$G$108,3,FALSE),3)</f>
        <v>0</v>
      </c>
      <c r="J61" s="794">
        <f>+ROUND(IF(D61='S1&amp;2 Lists'!$CW$3,C61,IF(D61='S1&amp;2 Lists'!$CW$4,C61/'S1&amp;2 Lists'!$CQ$8,0)),3)</f>
        <v>0</v>
      </c>
      <c r="K61" s="815" t="s">
        <v>2321</v>
      </c>
    </row>
    <row r="62" spans="1:11" outlineLevel="1">
      <c r="A62" s="792" t="str">
        <f>+'S1&amp;2 Lists'!L4</f>
        <v>Diesel</v>
      </c>
      <c r="B62" s="734"/>
      <c r="C62" s="814">
        <f>B62*(1-IF($C$56=0,$B$56,$C$56))</f>
        <v>0</v>
      </c>
      <c r="D62" s="734"/>
      <c r="E62" s="794">
        <f>ROUND(+$J62*'S1&amp;2 Lists'!$N4*'S1&amp;2 Lists'!$O4*'S1&amp;2 Lists'!S4/1000,3)</f>
        <v>0</v>
      </c>
      <c r="F62" s="794">
        <f>ROUND(+$J62*'S1&amp;2 Lists'!$N4*'S1&amp;2 Lists'!$O4*'S1&amp;2 Lists'!T4/1000,3)</f>
        <v>0</v>
      </c>
      <c r="G62" s="794">
        <f>ROUND(+$J62*'S1&amp;2 Lists'!$N4*'S1&amp;2 Lists'!$O4*'S1&amp;2 Lists'!U4/1000,3)</f>
        <v>0</v>
      </c>
      <c r="H62" s="794">
        <f>ROUND(+E62+$F62*VLOOKUP($F$59,'S1&amp;2 Lists'!$C$1:$G$108,3,FALSE)+G62*VLOOKUP($G$59,'S1&amp;2 Lists'!$C$1:$G$108,3,FALSE),3)</f>
        <v>0</v>
      </c>
      <c r="J62" s="794">
        <f>+ROUND(IF(D62='S1&amp;2 Lists'!$CW$3,C62,IF(D62='S1&amp;2 Lists'!$CW$4,C62/'S1&amp;2 Lists'!$CQ$8,0)),3)</f>
        <v>0</v>
      </c>
      <c r="K62" s="815" t="s">
        <v>2321</v>
      </c>
    </row>
    <row r="63" spans="1:11" ht="16.5" outlineLevel="1">
      <c r="A63" s="792" t="str">
        <f>+'S1&amp;2 Lists'!L3</f>
        <v>Natural gas</v>
      </c>
      <c r="B63" s="734"/>
      <c r="C63" s="812"/>
      <c r="D63" s="734"/>
      <c r="E63" s="794">
        <f>ROUND(+$J63*'S1&amp;2 Lists'!$N3*'S1&amp;2 Lists'!$O3*'S1&amp;2 Lists'!S3/1000,3)</f>
        <v>0</v>
      </c>
      <c r="F63" s="794">
        <f>ROUND(+$J63*'S1&amp;2 Lists'!$N3*'S1&amp;2 Lists'!$O3*'S1&amp;2 Lists'!T3/1000,3)</f>
        <v>0</v>
      </c>
      <c r="G63" s="794">
        <f>ROUND(+$J63*'S1&amp;2 Lists'!$N3*'S1&amp;2 Lists'!$O3*'S1&amp;2 Lists'!U3/1000,3)</f>
        <v>0</v>
      </c>
      <c r="H63" s="794">
        <f>ROUND(+E63+$F63*VLOOKUP($F$59,'S1&amp;2 Lists'!$C$1:$G$108,3,FALSE)+G63*VLOOKUP($G$59,'S1&amp;2 Lists'!$C$1:$G$108,3,FALSE),3)</f>
        <v>0</v>
      </c>
      <c r="J63" s="794">
        <f>+ROUND(IF(D63='S1&amp;2 Lists'!$CU$3,B63,IF(D63='S1&amp;2 Lists'!$CU$4,B63/'S1&amp;2 Lists'!$CQ$3,IF(D63='S1&amp;2 Lists'!$CU$5,B63/'S1&amp;2 Lists'!$CQ$4,IF(D63='S1&amp;2 Lists'!$CU$6,B63/'S1&amp;2 Lists'!$CQ$5,0)))),3)</f>
        <v>0</v>
      </c>
      <c r="K63" s="815" t="s">
        <v>2320</v>
      </c>
    </row>
    <row r="64" spans="1:11" outlineLevel="1">
      <c r="A64" s="792" t="str">
        <f>+'S1&amp;2 Lists'!L11</f>
        <v>Biodiesel</v>
      </c>
      <c r="B64" s="788"/>
      <c r="C64" s="814">
        <f>B62*(IF($C$56=0,$B$56,$C$56))</f>
        <v>0</v>
      </c>
      <c r="D64" s="814">
        <f>+D62</f>
        <v>0</v>
      </c>
      <c r="E64" s="794">
        <f>ROUND(+$J64*'S1&amp;2 Lists'!$N11*'S1&amp;2 Lists'!$O11*'S1&amp;2 Lists'!S11/1000,3)</f>
        <v>0</v>
      </c>
      <c r="F64" s="794">
        <f>ROUND(+$J64*'S1&amp;2 Lists'!$N11*'S1&amp;2 Lists'!$O11*'S1&amp;2 Lists'!T11/1000,3)</f>
        <v>0</v>
      </c>
      <c r="G64" s="816">
        <f>ROUND(+$J64*'S1&amp;2 Lists'!$N11*'S1&amp;2 Lists'!$O11*'S1&amp;2 Lists'!U11/1000,3)</f>
        <v>0</v>
      </c>
      <c r="H64" s="794">
        <f>ROUND(+E64+$F64*VLOOKUP($F$59,'S1&amp;2 Lists'!$C$1:$G$108,3,FALSE)+G64*VLOOKUP($G$59,'S1&amp;2 Lists'!$C$1:$G$108,3,FALSE),3)</f>
        <v>0</v>
      </c>
      <c r="J64" s="794">
        <f>+ROUND(IF(D64='S1&amp;2 Lists'!$CW$3,C64,IF(D64='S1&amp;2 Lists'!$CW$4,C64/'S1&amp;2 Lists'!$CQ$8,0)),3)</f>
        <v>0</v>
      </c>
      <c r="K64" s="815" t="s">
        <v>2321</v>
      </c>
    </row>
    <row r="65" spans="1:11" outlineLevel="1">
      <c r="A65" s="792" t="str">
        <f>+'S1&amp;2 Lists'!L12</f>
        <v>Biogasoline/Bioethanol</v>
      </c>
      <c r="B65" s="788"/>
      <c r="C65" s="814">
        <f>B61*(IF($C$57=0,$B$57,$C$57))</f>
        <v>0</v>
      </c>
      <c r="D65" s="814">
        <f>+D61</f>
        <v>0</v>
      </c>
      <c r="E65" s="794">
        <f>ROUND(+$J65*'S1&amp;2 Lists'!$N12*'S1&amp;2 Lists'!$O12*'S1&amp;2 Lists'!S12/1000,3)</f>
        <v>0</v>
      </c>
      <c r="F65" s="794">
        <f>ROUND(+$J65*'S1&amp;2 Lists'!$N12*'S1&amp;2 Lists'!$O12*'S1&amp;2 Lists'!T12/1000,3)</f>
        <v>0</v>
      </c>
      <c r="G65" s="816">
        <f>ROUND(+$J65*'S1&amp;2 Lists'!$N12*'S1&amp;2 Lists'!$O12*'S1&amp;2 Lists'!U12/1000,3)</f>
        <v>0</v>
      </c>
      <c r="H65" s="794">
        <f>ROUND(+E65+$F65*VLOOKUP($F$59,'S1&amp;2 Lists'!$C$1:$G$108,3,FALSE)+G65*VLOOKUP($G$59,'S1&amp;2 Lists'!$C$1:$G$108,3,FALSE),3)</f>
        <v>0</v>
      </c>
      <c r="J65" s="794">
        <f>+ROUND(IF(D65='S1&amp;2 Lists'!$CW$3,C65,IF(D65='S1&amp;2 Lists'!$CW$4,C65/'S1&amp;2 Lists'!$CQ$8,0)),3)</f>
        <v>0</v>
      </c>
      <c r="K65" s="815" t="s">
        <v>2321</v>
      </c>
    </row>
    <row r="66" spans="1:11" outlineLevel="1"/>
    <row r="67" spans="1:11" s="778" customFormat="1" ht="17.5">
      <c r="A67" s="776" t="s">
        <v>2336</v>
      </c>
      <c r="B67" s="777" t="s">
        <v>2337</v>
      </c>
    </row>
    <row r="68" spans="1:11" s="778" customFormat="1" ht="17.25" customHeight="1">
      <c r="A68" s="817" t="s">
        <v>2338</v>
      </c>
      <c r="B68" s="1251" t="s">
        <v>2339</v>
      </c>
      <c r="C68" s="1251"/>
    </row>
    <row r="69" spans="1:11" ht="17.5" outlineLevel="1">
      <c r="A69" s="818"/>
    </row>
    <row r="70" spans="1:11" ht="14.5" outlineLevel="1">
      <c r="A70" s="1243" t="s">
        <v>2340</v>
      </c>
      <c r="B70" s="1243"/>
      <c r="C70" s="1243"/>
      <c r="D70" s="1243"/>
      <c r="E70" s="1243"/>
      <c r="F70" s="1243"/>
      <c r="G70" s="1243"/>
      <c r="H70" s="1243"/>
    </row>
    <row r="71" spans="1:11" ht="15" customHeight="1" outlineLevel="1">
      <c r="B71" s="799"/>
      <c r="C71" s="799"/>
      <c r="D71" s="799"/>
      <c r="E71" s="799"/>
      <c r="F71" s="799"/>
      <c r="G71" s="799"/>
    </row>
    <row r="72" spans="1:11" ht="15" customHeight="1" outlineLevel="1">
      <c r="A72" s="1235" t="s">
        <v>2309</v>
      </c>
      <c r="B72" s="1236"/>
      <c r="C72" s="1237"/>
      <c r="D72" s="1237"/>
      <c r="E72" s="779"/>
      <c r="F72" s="779"/>
    </row>
    <row r="73" spans="1:11" ht="17.5" outlineLevel="1">
      <c r="A73" s="818"/>
      <c r="F73" s="16"/>
    </row>
    <row r="74" spans="1:11" ht="15" outlineLevel="1" thickBot="1">
      <c r="A74" s="801" t="s">
        <v>2327</v>
      </c>
      <c r="C74" s="16"/>
      <c r="D74" s="16"/>
      <c r="E74" s="16"/>
      <c r="F74" s="16"/>
    </row>
    <row r="75" spans="1:11" ht="45.75" customHeight="1" outlineLevel="1" thickTop="1" thickBot="1">
      <c r="A75" s="1218" t="s">
        <v>2341</v>
      </c>
      <c r="B75" s="1218"/>
      <c r="C75" s="1218"/>
      <c r="D75" s="1218"/>
      <c r="E75" s="820"/>
      <c r="F75" s="821" t="s">
        <v>2342</v>
      </c>
      <c r="G75" s="782"/>
    </row>
    <row r="76" spans="1:11" ht="14.5" outlineLevel="1" thickTop="1"/>
    <row r="77" spans="1:11" ht="51.9" customHeight="1" outlineLevel="1">
      <c r="B77" s="786" t="s">
        <v>2343</v>
      </c>
      <c r="C77" s="807" t="s">
        <v>2344</v>
      </c>
      <c r="D77" s="807" t="s">
        <v>2345</v>
      </c>
      <c r="E77" s="807" t="s">
        <v>2346</v>
      </c>
    </row>
    <row r="78" spans="1:11" outlineLevel="1" collapsed="1">
      <c r="B78" s="811" t="s">
        <v>8</v>
      </c>
      <c r="C78" s="822"/>
      <c r="D78" s="823">
        <f>ROUND(+SUM($D$79:$D$183),3)</f>
        <v>0</v>
      </c>
      <c r="E78" s="789">
        <f>ROUND(+SUM($E$79:$E$183),3)</f>
        <v>0</v>
      </c>
    </row>
    <row r="79" spans="1:11" hidden="1" outlineLevel="2">
      <c r="B79" s="5" t="str">
        <f>+'S1&amp;2 Lists'!C8</f>
        <v>CO2</v>
      </c>
      <c r="C79" s="824">
        <f>+VLOOKUP(B79,'S1&amp;2 Lists'!$C$8:$G$112,3,FALSE)</f>
        <v>1</v>
      </c>
      <c r="D79" s="824">
        <f>ROUND(+SUMIF(Refrigerants!$G$10:$G$654,'Scope 1 and 2 Data'!B79,Refrigerants!$P$10:$P$654),3)</f>
        <v>0</v>
      </c>
      <c r="E79" s="824">
        <f t="shared" ref="E79:E138" si="0">+C79*D79</f>
        <v>0</v>
      </c>
    </row>
    <row r="80" spans="1:11" hidden="1" outlineLevel="2">
      <c r="B80" s="5" t="str">
        <f>+'S1&amp;2 Lists'!C9</f>
        <v>HFC-23</v>
      </c>
      <c r="C80" s="824">
        <f>+VLOOKUP(B80,'S1&amp;2 Lists'!$C$8:$G$112,3,FALSE)</f>
        <v>14600</v>
      </c>
      <c r="D80" s="824">
        <f>ROUND(+SUMIF(Refrigerants!$G$10:$G$654,'Scope 1 and 2 Data'!B80,Refrigerants!$P$10:$P$654),3)</f>
        <v>0</v>
      </c>
      <c r="E80" s="824">
        <f t="shared" si="0"/>
        <v>0</v>
      </c>
    </row>
    <row r="81" spans="2:5" hidden="1" outlineLevel="2">
      <c r="B81" s="5" t="str">
        <f>+'S1&amp;2 Lists'!C10</f>
        <v>HFC-32</v>
      </c>
      <c r="C81" s="824">
        <f>+VLOOKUP(B81,'S1&amp;2 Lists'!$C$8:$G$112,3,FALSE)</f>
        <v>771</v>
      </c>
      <c r="D81" s="824">
        <f>ROUND(+SUMIF(Refrigerants!$G$10:$G$654,'Scope 1 and 2 Data'!B81,Refrigerants!$P$10:$P$654),3)</f>
        <v>0</v>
      </c>
      <c r="E81" s="824">
        <f t="shared" si="0"/>
        <v>0</v>
      </c>
    </row>
    <row r="82" spans="2:5" hidden="1" outlineLevel="2">
      <c r="B82" s="5" t="str">
        <f>+'S1&amp;2 Lists'!C11</f>
        <v>HFC-41</v>
      </c>
      <c r="C82" s="824">
        <f>+VLOOKUP(B82,'S1&amp;2 Lists'!$C$9:$G$112,3,FALSE)</f>
        <v>135</v>
      </c>
      <c r="D82" s="824">
        <f>ROUND(+SUMIF(Refrigerants!$G$10:$G$654,'Scope 1 and 2 Data'!B82,Refrigerants!$P$10:$P$654),3)</f>
        <v>0</v>
      </c>
      <c r="E82" s="824">
        <f t="shared" si="0"/>
        <v>0</v>
      </c>
    </row>
    <row r="83" spans="2:5" hidden="1" outlineLevel="2">
      <c r="B83" s="5" t="str">
        <f>+'S1&amp;2 Lists'!C12</f>
        <v>HFC-125</v>
      </c>
      <c r="C83" s="824">
        <f>+VLOOKUP(B83,'S1&amp;2 Lists'!$C$9:$G$112,3,FALSE)</f>
        <v>3740</v>
      </c>
      <c r="D83" s="824">
        <f>ROUND(+SUMIF(Refrigerants!$G$10:$G$654,'Scope 1 and 2 Data'!B83,Refrigerants!$P$10:$P$654),3)</f>
        <v>0</v>
      </c>
      <c r="E83" s="824">
        <f t="shared" si="0"/>
        <v>0</v>
      </c>
    </row>
    <row r="84" spans="2:5" hidden="1" outlineLevel="2">
      <c r="B84" s="5" t="str">
        <f>+'S1&amp;2 Lists'!C13</f>
        <v>HFC-134</v>
      </c>
      <c r="C84" s="824">
        <f>+VLOOKUP(B84,'S1&amp;2 Lists'!$C$9:$G$112,3,FALSE)</f>
        <v>1260</v>
      </c>
      <c r="D84" s="824">
        <f>ROUND(+SUMIF(Refrigerants!$G$10:$G$654,'Scope 1 and 2 Data'!B84,Refrigerants!$P$10:$P$654),3)</f>
        <v>0</v>
      </c>
      <c r="E84" s="824">
        <f t="shared" si="0"/>
        <v>0</v>
      </c>
    </row>
    <row r="85" spans="2:5" hidden="1" outlineLevel="2">
      <c r="B85" s="5" t="str">
        <f>+'S1&amp;2 Lists'!C14</f>
        <v>HFC-134a</v>
      </c>
      <c r="C85" s="824">
        <f>+VLOOKUP(B85,'S1&amp;2 Lists'!$C$9:$G$112,3,FALSE)</f>
        <v>1530</v>
      </c>
      <c r="D85" s="824">
        <f>ROUND(+SUMIF(Refrigerants!$G$10:$G$654,'Scope 1 and 2 Data'!B85,Refrigerants!$P$10:$P$654),3)</f>
        <v>0</v>
      </c>
      <c r="E85" s="824">
        <f t="shared" si="0"/>
        <v>0</v>
      </c>
    </row>
    <row r="86" spans="2:5" hidden="1" outlineLevel="2">
      <c r="B86" s="5" t="str">
        <f>+'S1&amp;2 Lists'!C15</f>
        <v>HFC-143</v>
      </c>
      <c r="C86" s="824">
        <f>+VLOOKUP(B86,'S1&amp;2 Lists'!$C$9:$G$112,3,FALSE)</f>
        <v>364</v>
      </c>
      <c r="D86" s="824">
        <f>ROUND(+SUMIF(Refrigerants!$G$10:$G$654,'Scope 1 and 2 Data'!B86,Refrigerants!$P$10:$P$654),3)</f>
        <v>0</v>
      </c>
      <c r="E86" s="824">
        <f t="shared" si="0"/>
        <v>0</v>
      </c>
    </row>
    <row r="87" spans="2:5" hidden="1" outlineLevel="2">
      <c r="B87" s="5" t="str">
        <f>+'S1&amp;2 Lists'!C16</f>
        <v>HFC-143a</v>
      </c>
      <c r="C87" s="824">
        <f>+VLOOKUP(B87,'S1&amp;2 Lists'!$C$9:$G$112,3,FALSE)</f>
        <v>5810</v>
      </c>
      <c r="D87" s="824">
        <f>ROUND(+SUMIF(Refrigerants!$G$10:$G$654,'Scope 1 and 2 Data'!B87,Refrigerants!$P$10:$P$654),3)</f>
        <v>0</v>
      </c>
      <c r="E87" s="824">
        <f t="shared" si="0"/>
        <v>0</v>
      </c>
    </row>
    <row r="88" spans="2:5" hidden="1" outlineLevel="2">
      <c r="B88" s="5" t="str">
        <f>+'S1&amp;2 Lists'!C17</f>
        <v>HFC-152</v>
      </c>
      <c r="C88" s="824">
        <f>+VLOOKUP(B88,'S1&amp;2 Lists'!$C$9:$G$112,3,FALSE)</f>
        <v>21.5</v>
      </c>
      <c r="D88" s="824">
        <f>ROUND(+SUMIF(Refrigerants!$G$10:$G$654,'Scope 1 and 2 Data'!B88,Refrigerants!$P$10:$P$654),3)</f>
        <v>0</v>
      </c>
      <c r="E88" s="824">
        <f t="shared" si="0"/>
        <v>0</v>
      </c>
    </row>
    <row r="89" spans="2:5" hidden="1" outlineLevel="2">
      <c r="B89" s="5" t="str">
        <f>+'S1&amp;2 Lists'!C18</f>
        <v>HFC-152a</v>
      </c>
      <c r="C89" s="824">
        <f>+VLOOKUP(B89,'S1&amp;2 Lists'!$C$9:$G$112,3,FALSE)</f>
        <v>164</v>
      </c>
      <c r="D89" s="824">
        <f>ROUND(+SUMIF(Refrigerants!$G$10:$G$654,'Scope 1 and 2 Data'!B89,Refrigerants!$P$10:$P$654),3)</f>
        <v>0</v>
      </c>
      <c r="E89" s="824">
        <f t="shared" si="0"/>
        <v>0</v>
      </c>
    </row>
    <row r="90" spans="2:5" hidden="1" outlineLevel="2">
      <c r="B90" s="5" t="str">
        <f>+'S1&amp;2 Lists'!C19</f>
        <v>HFC-161</v>
      </c>
      <c r="C90" s="824">
        <f>+VLOOKUP(B90,'S1&amp;2 Lists'!$C$9:$G$112,3,FALSE)</f>
        <v>4.84</v>
      </c>
      <c r="D90" s="824">
        <f>ROUND(+SUMIF(Refrigerants!$G$10:$G$654,'Scope 1 and 2 Data'!B90,Refrigerants!$P$10:$P$654),3)</f>
        <v>0</v>
      </c>
      <c r="E90" s="824">
        <f t="shared" si="0"/>
        <v>0</v>
      </c>
    </row>
    <row r="91" spans="2:5" hidden="1" outlineLevel="2">
      <c r="B91" s="5" t="str">
        <f>+'S1&amp;2 Lists'!C20</f>
        <v>HFC-227ea</v>
      </c>
      <c r="C91" s="824">
        <f>+VLOOKUP(B91,'S1&amp;2 Lists'!$C$9:$G$112,3,FALSE)</f>
        <v>3600</v>
      </c>
      <c r="D91" s="824">
        <f>ROUND(+SUMIF(Refrigerants!$G$10:$G$654,'Scope 1 and 2 Data'!B91,Refrigerants!$P$10:$P$654),3)</f>
        <v>0</v>
      </c>
      <c r="E91" s="824">
        <f t="shared" si="0"/>
        <v>0</v>
      </c>
    </row>
    <row r="92" spans="2:5" hidden="1" outlineLevel="2">
      <c r="B92" s="5" t="str">
        <f>+'S1&amp;2 Lists'!C21</f>
        <v>HFC-236cb</v>
      </c>
      <c r="C92" s="824">
        <f>+VLOOKUP(B92,'S1&amp;2 Lists'!$C$9:$G$112,3,FALSE)</f>
        <v>1350</v>
      </c>
      <c r="D92" s="824">
        <f>ROUND(+SUMIF(Refrigerants!$G$10:$G$654,'Scope 1 and 2 Data'!B92,Refrigerants!$P$10:$P$654),3)</f>
        <v>0</v>
      </c>
      <c r="E92" s="824">
        <f t="shared" si="0"/>
        <v>0</v>
      </c>
    </row>
    <row r="93" spans="2:5" hidden="1" outlineLevel="2">
      <c r="B93" s="5" t="str">
        <f>+'S1&amp;2 Lists'!C22</f>
        <v>HFC-236ea</v>
      </c>
      <c r="C93" s="824">
        <f>+VLOOKUP(B93,'S1&amp;2 Lists'!$C$9:$G$112,3,FALSE)</f>
        <v>1500</v>
      </c>
      <c r="D93" s="824">
        <f>ROUND(+SUMIF(Refrigerants!$G$10:$G$654,'Scope 1 and 2 Data'!B93,Refrigerants!$P$10:$P$654),3)</f>
        <v>0</v>
      </c>
      <c r="E93" s="824">
        <f t="shared" si="0"/>
        <v>0</v>
      </c>
    </row>
    <row r="94" spans="2:5" hidden="1" outlineLevel="2">
      <c r="B94" s="5" t="str">
        <f>+'S1&amp;2 Lists'!C23</f>
        <v>HFC-236fa</v>
      </c>
      <c r="C94" s="824">
        <f>+VLOOKUP(B94,'S1&amp;2 Lists'!$C$9:$G$112,3,FALSE)</f>
        <v>8690</v>
      </c>
      <c r="D94" s="824">
        <f>ROUND(+SUMIF(Refrigerants!$G$10:$G$654,'Scope 1 and 2 Data'!B94,Refrigerants!$P$10:$P$654),3)</f>
        <v>0</v>
      </c>
      <c r="E94" s="824">
        <f t="shared" si="0"/>
        <v>0</v>
      </c>
    </row>
    <row r="95" spans="2:5" hidden="1" outlineLevel="2">
      <c r="B95" s="5" t="str">
        <f>+'S1&amp;2 Lists'!C24</f>
        <v>HFC-245ca</v>
      </c>
      <c r="C95" s="824">
        <f>+VLOOKUP(B95,'S1&amp;2 Lists'!$C$9:$G$112,3,FALSE)</f>
        <v>787</v>
      </c>
      <c r="D95" s="824">
        <f>ROUND(+SUMIF(Refrigerants!$G$10:$G$654,'Scope 1 and 2 Data'!B95,Refrigerants!$P$10:$P$654),3)</f>
        <v>0</v>
      </c>
      <c r="E95" s="824">
        <f t="shared" si="0"/>
        <v>0</v>
      </c>
    </row>
    <row r="96" spans="2:5" hidden="1" outlineLevel="2">
      <c r="B96" s="5" t="str">
        <f>+'S1&amp;2 Lists'!C25</f>
        <v>HFC-245fa</v>
      </c>
      <c r="C96" s="824">
        <f>+VLOOKUP(B96,'S1&amp;2 Lists'!$C$9:$G$112,3,FALSE)</f>
        <v>962</v>
      </c>
      <c r="D96" s="824">
        <f>ROUND(+SUMIF(Refrigerants!$G$10:$G$654,'Scope 1 and 2 Data'!B96,Refrigerants!$P$10:$P$654),3)</f>
        <v>0</v>
      </c>
      <c r="E96" s="824">
        <f t="shared" si="0"/>
        <v>0</v>
      </c>
    </row>
    <row r="97" spans="2:5" hidden="1" outlineLevel="2">
      <c r="B97" s="5" t="str">
        <f>+'S1&amp;2 Lists'!C26</f>
        <v>HFC-365mfc</v>
      </c>
      <c r="C97" s="824">
        <f>+VLOOKUP(B97,'S1&amp;2 Lists'!$C$9:$G$112,3,FALSE)</f>
        <v>914</v>
      </c>
      <c r="D97" s="824">
        <f>ROUND(+SUMIF(Refrigerants!$G$10:$G$654,'Scope 1 and 2 Data'!B97,Refrigerants!$P$10:$P$654),3)</f>
        <v>0</v>
      </c>
      <c r="E97" s="824">
        <f t="shared" si="0"/>
        <v>0</v>
      </c>
    </row>
    <row r="98" spans="2:5" hidden="1" outlineLevel="2">
      <c r="B98" s="5" t="str">
        <f>+'S1&amp;2 Lists'!C27</f>
        <v>HFC-43-10mee</v>
      </c>
      <c r="C98" s="824">
        <f>+VLOOKUP(B98,'S1&amp;2 Lists'!$C$9:$G$112,3,FALSE)</f>
        <v>1600</v>
      </c>
      <c r="D98" s="824">
        <f>ROUND(+SUMIF(Refrigerants!$G$10:$G$654,'Scope 1 and 2 Data'!B98,Refrigerants!$P$10:$P$654),3)</f>
        <v>0</v>
      </c>
      <c r="E98" s="824">
        <f t="shared" si="0"/>
        <v>0</v>
      </c>
    </row>
    <row r="99" spans="2:5" hidden="1" outlineLevel="2">
      <c r="B99" s="5" t="str">
        <f>+'S1&amp;2 Lists'!C28</f>
        <v>SF6</v>
      </c>
      <c r="C99" s="824">
        <f>+VLOOKUP(B99,'S1&amp;2 Lists'!$C$9:$G$112,3,FALSE)</f>
        <v>24300</v>
      </c>
      <c r="D99" s="824">
        <f>ROUND(+SUMIF(Refrigerants!$G$10:$G$654,'Scope 1 and 2 Data'!B99,Refrigerants!$P$10:$P$654),3)</f>
        <v>0</v>
      </c>
      <c r="E99" s="824">
        <f t="shared" si="0"/>
        <v>0</v>
      </c>
    </row>
    <row r="100" spans="2:5" hidden="1" outlineLevel="2">
      <c r="B100" s="5" t="str">
        <f>+'S1&amp;2 Lists'!C29</f>
        <v>NF3</v>
      </c>
      <c r="C100" s="824">
        <f>+VLOOKUP(B100,'S1&amp;2 Lists'!$C$9:$G$112,3,FALSE)</f>
        <v>17400</v>
      </c>
      <c r="D100" s="824">
        <f>ROUND(+SUMIF(Refrigerants!$G$10:$G$654,'Scope 1 and 2 Data'!B100,Refrigerants!$P$10:$P$654),3)</f>
        <v>0</v>
      </c>
      <c r="E100" s="824">
        <f t="shared" si="0"/>
        <v>0</v>
      </c>
    </row>
    <row r="101" spans="2:5" hidden="1" outlineLevel="2">
      <c r="B101" s="5" t="str">
        <f>+'S1&amp;2 Lists'!C30</f>
        <v>PFC-14</v>
      </c>
      <c r="C101" s="824">
        <f>+VLOOKUP(B101,'S1&amp;2 Lists'!$C$9:$G$112,3,FALSE)</f>
        <v>7380</v>
      </c>
      <c r="D101" s="824">
        <f>ROUND(+SUMIF(Refrigerants!$G$10:$G$654,'Scope 1 and 2 Data'!B101,Refrigerants!$P$10:$P$654),3)</f>
        <v>0</v>
      </c>
      <c r="E101" s="824">
        <f t="shared" si="0"/>
        <v>0</v>
      </c>
    </row>
    <row r="102" spans="2:5" hidden="1" outlineLevel="2">
      <c r="B102" s="5" t="str">
        <f>+'S1&amp;2 Lists'!C31</f>
        <v>PFC-116</v>
      </c>
      <c r="C102" s="824">
        <f>+VLOOKUP(B102,'S1&amp;2 Lists'!$C$9:$G$112,3,FALSE)</f>
        <v>12400</v>
      </c>
      <c r="D102" s="824">
        <f>ROUND(+SUMIF(Refrigerants!$G$10:$G$654,'Scope 1 and 2 Data'!B102,Refrigerants!$P$10:$P$654),3)</f>
        <v>0</v>
      </c>
      <c r="E102" s="824">
        <f t="shared" si="0"/>
        <v>0</v>
      </c>
    </row>
    <row r="103" spans="2:5" hidden="1" outlineLevel="2">
      <c r="B103" s="5" t="str">
        <f>+'S1&amp;2 Lists'!C32</f>
        <v>PFC-218</v>
      </c>
      <c r="C103" s="824">
        <f>+VLOOKUP(B103,'S1&amp;2 Lists'!$C$9:$G$112,3,FALSE)</f>
        <v>9290</v>
      </c>
      <c r="D103" s="824">
        <f>ROUND(+SUMIF(Refrigerants!$G$10:$G$654,'Scope 1 and 2 Data'!B103,Refrigerants!$P$10:$P$654),3)</f>
        <v>0</v>
      </c>
      <c r="E103" s="824">
        <f t="shared" si="0"/>
        <v>0</v>
      </c>
    </row>
    <row r="104" spans="2:5" hidden="1" outlineLevel="2">
      <c r="B104" s="5" t="str">
        <f>+'S1&amp;2 Lists'!C33</f>
        <v>PFC-318</v>
      </c>
      <c r="C104" s="824">
        <f>+VLOOKUP(B104,'S1&amp;2 Lists'!$C$9:$G$112,3,FALSE)</f>
        <v>10200</v>
      </c>
      <c r="D104" s="824">
        <f>ROUND(+SUMIF(Refrigerants!$G$10:$G$654,'Scope 1 and 2 Data'!B104,Refrigerants!$P$10:$P$654),3)</f>
        <v>0</v>
      </c>
      <c r="E104" s="824">
        <f t="shared" si="0"/>
        <v>0</v>
      </c>
    </row>
    <row r="105" spans="2:5" hidden="1" outlineLevel="2">
      <c r="B105" s="5" t="str">
        <f>+'S1&amp;2 Lists'!C34</f>
        <v>PFC-3-1-10</v>
      </c>
      <c r="C105" s="824">
        <f>+VLOOKUP(B105,'S1&amp;2 Lists'!$C$9:$G$112,3,FALSE)</f>
        <v>10000</v>
      </c>
      <c r="D105" s="824">
        <f>ROUND(+SUMIF(Refrigerants!$G$10:$G$654,'Scope 1 and 2 Data'!B105,Refrigerants!$P$10:$P$654),3)</f>
        <v>0</v>
      </c>
      <c r="E105" s="824">
        <f t="shared" si="0"/>
        <v>0</v>
      </c>
    </row>
    <row r="106" spans="2:5" hidden="1" outlineLevel="2">
      <c r="B106" s="5" t="str">
        <f>+'S1&amp;2 Lists'!C35</f>
        <v>PFC-4-1-12</v>
      </c>
      <c r="C106" s="824">
        <f>+VLOOKUP(B106,'S1&amp;2 Lists'!$C$9:$G$112,3,FALSE)</f>
        <v>9220</v>
      </c>
      <c r="D106" s="824">
        <f>ROUND(+SUMIF(Refrigerants!$G$10:$G$654,'Scope 1 and 2 Data'!B106,Refrigerants!$P$10:$P$654),3)</f>
        <v>0</v>
      </c>
      <c r="E106" s="824">
        <f t="shared" si="0"/>
        <v>0</v>
      </c>
    </row>
    <row r="107" spans="2:5" hidden="1" outlineLevel="2">
      <c r="B107" s="5" t="str">
        <f>+'S1&amp;2 Lists'!C36</f>
        <v>PFC-5-1-14</v>
      </c>
      <c r="C107" s="824">
        <f>+VLOOKUP(B107,'S1&amp;2 Lists'!$C$9:$G$112,3,FALSE)</f>
        <v>8620</v>
      </c>
      <c r="D107" s="824">
        <f>ROUND(+SUMIF(Refrigerants!$G$10:$G$654,'Scope 1 and 2 Data'!B107,Refrigerants!$P$10:$P$654),3)</f>
        <v>0</v>
      </c>
      <c r="E107" s="824">
        <f t="shared" si="0"/>
        <v>0</v>
      </c>
    </row>
    <row r="108" spans="2:5" hidden="1" outlineLevel="2">
      <c r="B108" s="5" t="str">
        <f>+'S1&amp;2 Lists'!C37</f>
        <v>PFC-9-1-18</v>
      </c>
      <c r="C108" s="824">
        <f>+VLOOKUP(B108,'S1&amp;2 Lists'!$C$9:$G$112,3,FALSE)</f>
        <v>7480</v>
      </c>
      <c r="D108" s="824">
        <f>ROUND(+SUMIF(Refrigerants!$G$10:$G$654,'Scope 1 and 2 Data'!B108,Refrigerants!$P$10:$P$654),3)</f>
        <v>0</v>
      </c>
      <c r="E108" s="824">
        <f t="shared" si="0"/>
        <v>0</v>
      </c>
    </row>
    <row r="109" spans="2:5" hidden="1" outlineLevel="2">
      <c r="B109" s="5" t="str">
        <f>+'S1&amp;2 Lists'!C38</f>
        <v>Trifluoromethyl Sulfur pentafluoride</v>
      </c>
      <c r="C109" s="824">
        <f>+VLOOKUP(B109,'S1&amp;2 Lists'!$C$9:$G$112,3,FALSE)</f>
        <v>18500</v>
      </c>
      <c r="D109" s="824">
        <f>ROUND(+SUMIF(Refrigerants!$G$10:$G$654,'Scope 1 and 2 Data'!B109,Refrigerants!$P$10:$P$654),3)</f>
        <v>0</v>
      </c>
      <c r="E109" s="824">
        <f t="shared" si="0"/>
        <v>0</v>
      </c>
    </row>
    <row r="110" spans="2:5" hidden="1" outlineLevel="2">
      <c r="B110" s="5" t="str">
        <f>+'S1&amp;2 Lists'!C39</f>
        <v>R-11</v>
      </c>
      <c r="C110" s="824">
        <f>+VLOOKUP(B110,'S1&amp;2 Lists'!$C$9:$G$112,3,FALSE)</f>
        <v>6230</v>
      </c>
      <c r="D110" s="824">
        <f>ROUND(+SUMIF(Refrigerants!$G$10:$G$654,'Scope 1 and 2 Data'!B110,Refrigerants!$P$10:$P$654),3)</f>
        <v>0</v>
      </c>
      <c r="E110" s="824">
        <f t="shared" si="0"/>
        <v>0</v>
      </c>
    </row>
    <row r="111" spans="2:5" hidden="1" outlineLevel="2">
      <c r="B111" s="5" t="str">
        <f>+'S1&amp;2 Lists'!C40</f>
        <v>R-12</v>
      </c>
      <c r="C111" s="824">
        <f>+VLOOKUP(B111,'S1&amp;2 Lists'!$C$9:$G$112,3,FALSE)</f>
        <v>12500</v>
      </c>
      <c r="D111" s="824">
        <f>ROUND(+SUMIF(Refrigerants!$G$10:$G$654,'Scope 1 and 2 Data'!B111,Refrigerants!$P$10:$P$654),3)</f>
        <v>0</v>
      </c>
      <c r="E111" s="824">
        <f t="shared" si="0"/>
        <v>0</v>
      </c>
    </row>
    <row r="112" spans="2:5" hidden="1" outlineLevel="2">
      <c r="B112" s="5" t="str">
        <f>+'S1&amp;2 Lists'!C41</f>
        <v>R-22</v>
      </c>
      <c r="C112" s="824">
        <f>+VLOOKUP(B112,'S1&amp;2 Lists'!$C$9:$G$112,3,FALSE)</f>
        <v>1960</v>
      </c>
      <c r="D112" s="824">
        <f>ROUND(+SUMIF(Refrigerants!$G$10:$G$654,'Scope 1 and 2 Data'!B112,Refrigerants!$P$10:$P$654),3)</f>
        <v>0</v>
      </c>
      <c r="E112" s="824">
        <f t="shared" si="0"/>
        <v>0</v>
      </c>
    </row>
    <row r="113" spans="2:5" hidden="1" outlineLevel="2">
      <c r="B113" s="5" t="str">
        <f>+'S1&amp;2 Lists'!C42</f>
        <v>R-44</v>
      </c>
      <c r="C113" s="824">
        <f>+VLOOKUP(B113,'S1&amp;2 Lists'!$C$9:$G$112,3,FALSE)</f>
        <v>1</v>
      </c>
      <c r="D113" s="824">
        <f>ROUND(+SUMIF(Refrigerants!$G$10:$G$654,'Scope 1 and 2 Data'!B113,Refrigerants!$P$10:$P$654),3)</f>
        <v>0</v>
      </c>
      <c r="E113" s="824">
        <f t="shared" si="0"/>
        <v>0</v>
      </c>
    </row>
    <row r="114" spans="2:5" hidden="1" outlineLevel="2">
      <c r="B114" s="5" t="str">
        <f>+'S1&amp;2 Lists'!C43</f>
        <v>R-123</v>
      </c>
      <c r="C114" s="824">
        <f>+VLOOKUP(B114,'S1&amp;2 Lists'!$C$9:$G$112,3,FALSE)</f>
        <v>90.4</v>
      </c>
      <c r="D114" s="824">
        <f>ROUND(+SUMIF(Refrigerants!$G$10:$G$654,'Scope 1 and 2 Data'!B114,Refrigerants!$P$10:$P$654),3)</f>
        <v>0</v>
      </c>
      <c r="E114" s="824">
        <f t="shared" si="0"/>
        <v>0</v>
      </c>
    </row>
    <row r="115" spans="2:5" hidden="1" outlineLevel="2">
      <c r="B115" s="5" t="str">
        <f>+'S1&amp;2 Lists'!C44</f>
        <v>R-290</v>
      </c>
      <c r="C115" s="824">
        <f>+VLOOKUP(B115,'S1&amp;2 Lists'!$C$9:$G$112,3,FALSE)</f>
        <v>3</v>
      </c>
      <c r="D115" s="824">
        <f>ROUND(+SUMIF(Refrigerants!$G$10:$G$654,'Scope 1 and 2 Data'!B115,Refrigerants!$P$10:$P$654),3)</f>
        <v>0</v>
      </c>
      <c r="E115" s="824">
        <f t="shared" si="0"/>
        <v>0</v>
      </c>
    </row>
    <row r="116" spans="2:5" hidden="1" outlineLevel="2">
      <c r="B116" s="5" t="str">
        <f>+'S1&amp;2 Lists'!C45</f>
        <v>R-401A</v>
      </c>
      <c r="C116" s="824">
        <f>+VLOOKUP(B116,'S1&amp;2 Lists'!$C$9:$G$112,3,FALSE)</f>
        <v>21</v>
      </c>
      <c r="D116" s="824">
        <f>ROUND(+SUMIF(Refrigerants!$G$10:$G$654,'Scope 1 and 2 Data'!B116,Refrigerants!$P$10:$P$654),3)</f>
        <v>0</v>
      </c>
      <c r="E116" s="824">
        <f t="shared" si="0"/>
        <v>0</v>
      </c>
    </row>
    <row r="117" spans="2:5" hidden="1" outlineLevel="2">
      <c r="B117" s="5" t="str">
        <f>+'S1&amp;2 Lists'!C46</f>
        <v>R-401B</v>
      </c>
      <c r="C117" s="824">
        <f>+VLOOKUP(B117,'S1&amp;2 Lists'!$C$9:$G$112,3,FALSE)</f>
        <v>18</v>
      </c>
      <c r="D117" s="824">
        <f>ROUND(+SUMIF(Refrigerants!$G$10:$G$654,'Scope 1 and 2 Data'!B117,Refrigerants!$P$10:$P$654),3)</f>
        <v>0</v>
      </c>
      <c r="E117" s="824">
        <f t="shared" si="0"/>
        <v>0</v>
      </c>
    </row>
    <row r="118" spans="2:5" hidden="1" outlineLevel="2">
      <c r="B118" s="5" t="str">
        <f>+'S1&amp;2 Lists'!C47</f>
        <v>R-401C</v>
      </c>
      <c r="C118" s="824">
        <f>+VLOOKUP(B118,'S1&amp;2 Lists'!$C$9:$G$112,3,FALSE)</f>
        <v>25</v>
      </c>
      <c r="D118" s="824">
        <f>ROUND(+SUMIF(Refrigerants!$G$10:$G$654,'Scope 1 and 2 Data'!B118,Refrigerants!$P$10:$P$654),3)</f>
        <v>0</v>
      </c>
      <c r="E118" s="824">
        <f t="shared" si="0"/>
        <v>0</v>
      </c>
    </row>
    <row r="119" spans="2:5" hidden="1" outlineLevel="2">
      <c r="B119" s="5" t="str">
        <f>+'S1&amp;2 Lists'!C48</f>
        <v>R-402A</v>
      </c>
      <c r="C119" s="824">
        <f>+VLOOKUP(B119,'S1&amp;2 Lists'!$C$9:$G$112,3,FALSE)</f>
        <v>2244</v>
      </c>
      <c r="D119" s="824">
        <f>ROUND(+SUMIF(Refrigerants!$G$10:$G$654,'Scope 1 and 2 Data'!B119,Refrigerants!$P$10:$P$654),3)</f>
        <v>0</v>
      </c>
      <c r="E119" s="824">
        <f t="shared" si="0"/>
        <v>0</v>
      </c>
    </row>
    <row r="120" spans="2:5" hidden="1" outlineLevel="2">
      <c r="B120" s="5" t="str">
        <f>+'S1&amp;2 Lists'!C49</f>
        <v>R-402B</v>
      </c>
      <c r="C120" s="824">
        <f>+VLOOKUP(B120,'S1&amp;2 Lists'!$C$9:$G$112,3,FALSE)</f>
        <v>1421</v>
      </c>
      <c r="D120" s="824">
        <f>ROUND(+SUMIF(Refrigerants!$G$10:$G$654,'Scope 1 and 2 Data'!B120,Refrigerants!$P$10:$P$654),3)</f>
        <v>0</v>
      </c>
      <c r="E120" s="824">
        <f t="shared" si="0"/>
        <v>0</v>
      </c>
    </row>
    <row r="121" spans="2:5" hidden="1" outlineLevel="2">
      <c r="B121" s="5" t="str">
        <f>+'S1&amp;2 Lists'!C50</f>
        <v>R-403A</v>
      </c>
      <c r="C121" s="824">
        <f>+VLOOKUP(B121,'S1&amp;2 Lists'!$C$9:$G$112,3,FALSE)</f>
        <v>1858</v>
      </c>
      <c r="D121" s="824">
        <f>ROUND(+SUMIF(Refrigerants!$G$10:$G$654,'Scope 1 and 2 Data'!B121,Refrigerants!$P$10:$P$654),3)</f>
        <v>0</v>
      </c>
      <c r="E121" s="824">
        <f t="shared" si="0"/>
        <v>0</v>
      </c>
    </row>
    <row r="122" spans="2:5" hidden="1" outlineLevel="2">
      <c r="B122" s="5" t="str">
        <f>+'S1&amp;2 Lists'!C51</f>
        <v>R-403B</v>
      </c>
      <c r="C122" s="824">
        <f>+VLOOKUP(B122,'S1&amp;2 Lists'!$C$9:$G$112,3,FALSE)</f>
        <v>3623</v>
      </c>
      <c r="D122" s="824">
        <f>ROUND(+SUMIF(Refrigerants!$G$10:$G$654,'Scope 1 and 2 Data'!B122,Refrigerants!$P$10:$P$654),3)</f>
        <v>0</v>
      </c>
      <c r="E122" s="824">
        <f t="shared" si="0"/>
        <v>0</v>
      </c>
    </row>
    <row r="123" spans="2:5" hidden="1" outlineLevel="2">
      <c r="B123" s="5" t="str">
        <f>+'S1&amp;2 Lists'!C52</f>
        <v>R-404A</v>
      </c>
      <c r="C123" s="824">
        <f>+VLOOKUP(B123,'S1&amp;2 Lists'!$C$9:$G$112,3,FALSE)</f>
        <v>4728</v>
      </c>
      <c r="D123" s="824">
        <f>ROUND(+SUMIF(Refrigerants!$G$10:$G$654,'Scope 1 and 2 Data'!B123,Refrigerants!$P$10:$P$654),3)</f>
        <v>0</v>
      </c>
      <c r="E123" s="824">
        <f t="shared" si="0"/>
        <v>0</v>
      </c>
    </row>
    <row r="124" spans="2:5" hidden="1" outlineLevel="2">
      <c r="B124" s="5" t="str">
        <f>+'S1&amp;2 Lists'!C53</f>
        <v>R-406A</v>
      </c>
      <c r="C124" s="824">
        <f>+VLOOKUP(B124,'S1&amp;2 Lists'!$C$9:$G$112,3,FALSE)</f>
        <v>2262</v>
      </c>
      <c r="D124" s="824">
        <f>ROUND(+SUMIF(Refrigerants!$G$10:$G$654,'Scope 1 and 2 Data'!B124,Refrigerants!$P$10:$P$654),3)</f>
        <v>0</v>
      </c>
      <c r="E124" s="824">
        <f t="shared" si="0"/>
        <v>0</v>
      </c>
    </row>
    <row r="125" spans="2:5" hidden="1" outlineLevel="2">
      <c r="B125" s="5" t="str">
        <f>+'S1&amp;2 Lists'!C54</f>
        <v>R-407A</v>
      </c>
      <c r="C125" s="824">
        <f>+VLOOKUP(B125,'S1&amp;2 Lists'!$C$9:$G$112,3,FALSE)</f>
        <v>3001</v>
      </c>
      <c r="D125" s="824">
        <f>ROUND(+SUMIF(Refrigerants!$G$10:$G$654,'Scope 1 and 2 Data'!B125,Refrigerants!$P$10:$P$654),3)</f>
        <v>0</v>
      </c>
      <c r="E125" s="824">
        <f t="shared" si="0"/>
        <v>0</v>
      </c>
    </row>
    <row r="126" spans="2:5" hidden="1" outlineLevel="2">
      <c r="B126" s="5" t="str">
        <f>+'S1&amp;2 Lists'!C55</f>
        <v>R-407B</v>
      </c>
      <c r="C126" s="824">
        <f>+VLOOKUP(B126,'S1&amp;2 Lists'!$C$9:$G$112,3,FALSE)</f>
        <v>1908</v>
      </c>
      <c r="D126" s="824">
        <f>ROUND(+SUMIF(Refrigerants!$G$10:$G$654,'Scope 1 and 2 Data'!B126,Refrigerants!$P$10:$P$654),3)</f>
        <v>0</v>
      </c>
      <c r="E126" s="824">
        <f t="shared" si="0"/>
        <v>0</v>
      </c>
    </row>
    <row r="127" spans="2:5" hidden="1" outlineLevel="2">
      <c r="B127" s="5" t="str">
        <f>+'S1&amp;2 Lists'!C56</f>
        <v>R-407C</v>
      </c>
      <c r="C127" s="824">
        <f>+VLOOKUP(B127,'S1&amp;2 Lists'!$C$9:$G$112,3,FALSE)</f>
        <v>1748</v>
      </c>
      <c r="D127" s="824">
        <f>ROUND(+SUMIF(Refrigerants!$G$10:$G$654,'Scope 1 and 2 Data'!B127,Refrigerants!$P$10:$P$654),3)</f>
        <v>0</v>
      </c>
      <c r="E127" s="824">
        <f t="shared" si="0"/>
        <v>0</v>
      </c>
    </row>
    <row r="128" spans="2:5" hidden="1" outlineLevel="2">
      <c r="B128" s="5" t="str">
        <f>+'S1&amp;2 Lists'!C57</f>
        <v>R-407D</v>
      </c>
      <c r="C128" s="824">
        <f>+VLOOKUP(B128,'S1&amp;2 Lists'!$C$9:$G$112,3,FALSE)</f>
        <v>1672</v>
      </c>
      <c r="D128" s="824">
        <f>ROUND(+SUMIF(Refrigerants!$G$10:$G$654,'Scope 1 and 2 Data'!B128,Refrigerants!$P$10:$P$654),3)</f>
        <v>0</v>
      </c>
      <c r="E128" s="824">
        <f t="shared" si="0"/>
        <v>0</v>
      </c>
    </row>
    <row r="129" spans="2:5" hidden="1" outlineLevel="2">
      <c r="B129" s="5" t="str">
        <f>+'S1&amp;2 Lists'!C58</f>
        <v>R-407E</v>
      </c>
      <c r="C129" s="824">
        <f>+VLOOKUP(B129,'S1&amp;2 Lists'!$C$9:$G$112,3,FALSE)</f>
        <v>1965</v>
      </c>
      <c r="D129" s="824">
        <f>ROUND(+SUMIF(Refrigerants!$G$10:$G$654,'Scope 1 and 2 Data'!B129,Refrigerants!$P$10:$P$654),3)</f>
        <v>0</v>
      </c>
      <c r="E129" s="824">
        <f t="shared" si="0"/>
        <v>0</v>
      </c>
    </row>
    <row r="130" spans="2:5" hidden="1" outlineLevel="2">
      <c r="B130" s="5" t="str">
        <f>+'S1&amp;2 Lists'!C59</f>
        <v>R-407F</v>
      </c>
      <c r="C130" s="824">
        <f>+VLOOKUP(B130,'S1&amp;2 Lists'!$C$9:$G$112,3,FALSE)</f>
        <v>1566</v>
      </c>
      <c r="D130" s="824">
        <f>ROUND(+SUMIF(Refrigerants!$G$10:$G$654,'Scope 1 and 2 Data'!B130,Refrigerants!$P$10:$P$654),3)</f>
        <v>0</v>
      </c>
      <c r="E130" s="824">
        <f t="shared" si="0"/>
        <v>0</v>
      </c>
    </row>
    <row r="131" spans="2:5" hidden="1" outlineLevel="2">
      <c r="B131" s="5" t="str">
        <f>+'S1&amp;2 Lists'!C60</f>
        <v>R-408A</v>
      </c>
      <c r="C131" s="824">
        <f>+VLOOKUP(B131,'S1&amp;2 Lists'!$C$9:$G$112,3,FALSE)</f>
        <v>1615</v>
      </c>
      <c r="D131" s="824">
        <f>ROUND(+SUMIF(Refrigerants!$G$10:$G$654,'Scope 1 and 2 Data'!B131,Refrigerants!$P$10:$P$654),3)</f>
        <v>0</v>
      </c>
      <c r="E131" s="824">
        <f t="shared" si="0"/>
        <v>0</v>
      </c>
    </row>
    <row r="132" spans="2:5" hidden="1" outlineLevel="2">
      <c r="B132" s="5" t="str">
        <f>+'S1&amp;2 Lists'!C61</f>
        <v>R-409A</v>
      </c>
      <c r="C132" s="824">
        <f>+VLOOKUP(B132,'S1&amp;2 Lists'!$C$9:$G$112,3,FALSE)</f>
        <v>1570</v>
      </c>
      <c r="D132" s="824">
        <f>ROUND(+SUMIF(Refrigerants!$G$10:$G$654,'Scope 1 and 2 Data'!B132,Refrigerants!$P$10:$P$654),3)</f>
        <v>0</v>
      </c>
      <c r="E132" s="824">
        <f t="shared" si="0"/>
        <v>0</v>
      </c>
    </row>
    <row r="133" spans="2:5" hidden="1" outlineLevel="2">
      <c r="B133" s="5" t="str">
        <f>+'S1&amp;2 Lists'!C62</f>
        <v>R-409B</v>
      </c>
      <c r="C133" s="824">
        <f>+VLOOKUP(B133,'S1&amp;2 Lists'!$C$9:$G$112,3,FALSE)</f>
        <v>2934</v>
      </c>
      <c r="D133" s="824">
        <f>ROUND(+SUMIF(Refrigerants!$G$10:$G$654,'Scope 1 and 2 Data'!B133,Refrigerants!$P$10:$P$654),3)</f>
        <v>0</v>
      </c>
      <c r="E133" s="824">
        <f t="shared" si="0"/>
        <v>0</v>
      </c>
    </row>
    <row r="134" spans="2:5" hidden="1" outlineLevel="2">
      <c r="B134" s="5" t="str">
        <f>+'S1&amp;2 Lists'!C63</f>
        <v>R-410A</v>
      </c>
      <c r="C134" s="824">
        <f>+VLOOKUP(B134,'S1&amp;2 Lists'!$C$9:$G$112,3,FALSE)</f>
        <v>2256</v>
      </c>
      <c r="D134" s="824">
        <f>ROUND(+SUMIF(Refrigerants!$G$10:$G$654,'Scope 1 and 2 Data'!B134,Refrigerants!$P$10:$P$654),3)</f>
        <v>0</v>
      </c>
      <c r="E134" s="824">
        <f t="shared" si="0"/>
        <v>0</v>
      </c>
    </row>
    <row r="135" spans="2:5" hidden="1" outlineLevel="2">
      <c r="B135" s="5" t="str">
        <f>+'S1&amp;2 Lists'!C64</f>
        <v>R-410B</v>
      </c>
      <c r="C135" s="824">
        <f>+VLOOKUP(B135,'S1&amp;2 Lists'!$C$9:$G$112,3,FALSE)</f>
        <v>2404</v>
      </c>
      <c r="D135" s="824">
        <f>ROUND(+SUMIF(Refrigerants!$G$10:$G$654,'Scope 1 and 2 Data'!B135,Refrigerants!$P$10:$P$654),3)</f>
        <v>0</v>
      </c>
      <c r="E135" s="824">
        <f t="shared" si="0"/>
        <v>0</v>
      </c>
    </row>
    <row r="136" spans="2:5" hidden="1" outlineLevel="2">
      <c r="B136" s="5" t="str">
        <f>+'S1&amp;2 Lists'!C65</f>
        <v>R-411A</v>
      </c>
      <c r="C136" s="824">
        <f>+VLOOKUP(B136,'S1&amp;2 Lists'!$C$9:$G$112,3,FALSE)</f>
        <v>18</v>
      </c>
      <c r="D136" s="824">
        <f>ROUND(+SUMIF(Refrigerants!$G$10:$G$654,'Scope 1 and 2 Data'!B136,Refrigerants!$P$10:$P$654),3)</f>
        <v>0</v>
      </c>
      <c r="E136" s="824">
        <f t="shared" si="0"/>
        <v>0</v>
      </c>
    </row>
    <row r="137" spans="2:5" hidden="1" outlineLevel="2">
      <c r="B137" s="5" t="str">
        <f>+'S1&amp;2 Lists'!C66</f>
        <v>R-411B</v>
      </c>
      <c r="C137" s="824">
        <f>+VLOOKUP(B137,'S1&amp;2 Lists'!$C$9:$G$112,3,FALSE)</f>
        <v>5</v>
      </c>
      <c r="D137" s="824">
        <f>ROUND(+SUMIF(Refrigerants!$G$10:$G$654,'Scope 1 and 2 Data'!B137,Refrigerants!$P$10:$P$654),3)</f>
        <v>0</v>
      </c>
      <c r="E137" s="824">
        <f t="shared" si="0"/>
        <v>0</v>
      </c>
    </row>
    <row r="138" spans="2:5" hidden="1" outlineLevel="2">
      <c r="B138" s="5" t="str">
        <f>+'S1&amp;2 Lists'!C67</f>
        <v>R-412A</v>
      </c>
      <c r="C138" s="824">
        <f>+VLOOKUP(B138,'S1&amp;2 Lists'!$C$9:$G$112,3,FALSE)</f>
        <v>465</v>
      </c>
      <c r="D138" s="824">
        <f>ROUND(+SUMIF(Refrigerants!$G$10:$G$654,'Scope 1 and 2 Data'!B138,Refrigerants!$P$10:$P$654),3)</f>
        <v>0</v>
      </c>
      <c r="E138" s="824">
        <f t="shared" si="0"/>
        <v>0</v>
      </c>
    </row>
    <row r="139" spans="2:5" hidden="1" outlineLevel="2">
      <c r="B139" s="5" t="str">
        <f>+'S1&amp;2 Lists'!C68</f>
        <v>R-415A</v>
      </c>
      <c r="C139" s="824">
        <f>+VLOOKUP(B139,'S1&amp;2 Lists'!$C$9:$G$112,3,FALSE)</f>
        <v>30</v>
      </c>
      <c r="D139" s="824">
        <f>ROUND(+SUMIF(Refrigerants!$G$10:$G$654,'Scope 1 and 2 Data'!B139,Refrigerants!$P$10:$P$654),3)</f>
        <v>0</v>
      </c>
      <c r="E139" s="824">
        <f t="shared" ref="E139:E183" si="1">+C139*D139</f>
        <v>0</v>
      </c>
    </row>
    <row r="140" spans="2:5" hidden="1" outlineLevel="2">
      <c r="B140" s="5" t="str">
        <f>+'S1&amp;2 Lists'!C69</f>
        <v>R-415B</v>
      </c>
      <c r="C140" s="824">
        <f>+VLOOKUP(B140,'S1&amp;2 Lists'!$C$9:$G$112,3,FALSE)</f>
        <v>123</v>
      </c>
      <c r="D140" s="824">
        <f>ROUND(+SUMIF(Refrigerants!$G$10:$G$654,'Scope 1 and 2 Data'!B140,Refrigerants!$P$10:$P$654),3)</f>
        <v>0</v>
      </c>
      <c r="E140" s="824">
        <f t="shared" si="1"/>
        <v>0</v>
      </c>
    </row>
    <row r="141" spans="2:5" hidden="1" outlineLevel="2">
      <c r="B141" s="5" t="str">
        <f>+'S1&amp;2 Lists'!C70</f>
        <v>R-416A</v>
      </c>
      <c r="C141" s="824">
        <f>+VLOOKUP(B141,'S1&amp;2 Lists'!$C$9:$G$112,3,FALSE)</f>
        <v>903</v>
      </c>
      <c r="D141" s="824">
        <f>ROUND(+SUMIF(Refrigerants!$G$10:$G$654,'Scope 1 and 2 Data'!B141,Refrigerants!$P$10:$P$654),3)</f>
        <v>0</v>
      </c>
      <c r="E141" s="824">
        <f t="shared" si="1"/>
        <v>0</v>
      </c>
    </row>
    <row r="142" spans="2:5" hidden="1" outlineLevel="2">
      <c r="B142" s="5" t="str">
        <f>+'S1&amp;2 Lists'!C71</f>
        <v>R-417A</v>
      </c>
      <c r="C142" s="824">
        <f>+VLOOKUP(B142,'S1&amp;2 Lists'!$C$9:$G$112,3,FALSE)</f>
        <v>2508</v>
      </c>
      <c r="D142" s="824">
        <f>ROUND(+SUMIF(Refrigerants!$G$10:$G$654,'Scope 1 and 2 Data'!B142,Refrigerants!$P$10:$P$654),3)</f>
        <v>0</v>
      </c>
      <c r="E142" s="824">
        <f t="shared" si="1"/>
        <v>0</v>
      </c>
    </row>
    <row r="143" spans="2:5" hidden="1" outlineLevel="2">
      <c r="B143" s="5" t="str">
        <f>+'S1&amp;2 Lists'!C72</f>
        <v>R-417B</v>
      </c>
      <c r="C143" s="824">
        <f>+VLOOKUP(B143,'S1&amp;2 Lists'!$C$9:$G$112,3,FALSE)</f>
        <v>3235</v>
      </c>
      <c r="D143" s="824">
        <f>ROUND(+SUMIF(Refrigerants!$G$10:$G$654,'Scope 1 and 2 Data'!B143,Refrigerants!$P$10:$P$654),3)</f>
        <v>0</v>
      </c>
      <c r="E143" s="824">
        <f t="shared" si="1"/>
        <v>0</v>
      </c>
    </row>
    <row r="144" spans="2:5" hidden="1" outlineLevel="2">
      <c r="B144" s="5" t="str">
        <f>+'S1&amp;2 Lists'!C73</f>
        <v>R-417C</v>
      </c>
      <c r="C144" s="824">
        <f>+VLOOKUP(B144,'S1&amp;2 Lists'!$C$9:$G$112,3,FALSE)</f>
        <v>1935</v>
      </c>
      <c r="D144" s="824">
        <f>ROUND(+SUMIF(Refrigerants!$G$10:$G$654,'Scope 1 and 2 Data'!B144,Refrigerants!$P$10:$P$654),3)</f>
        <v>0</v>
      </c>
      <c r="E144" s="824">
        <f t="shared" si="1"/>
        <v>0</v>
      </c>
    </row>
    <row r="145" spans="2:5" hidden="1" outlineLevel="2">
      <c r="B145" s="5" t="str">
        <f>+'S1&amp;2 Lists'!C74</f>
        <v>R-418A</v>
      </c>
      <c r="C145" s="824">
        <f>+VLOOKUP(B145,'S1&amp;2 Lists'!$C$9:$G$112,3,FALSE)</f>
        <v>4</v>
      </c>
      <c r="D145" s="824">
        <f>ROUND(+SUMIF(Refrigerants!$G$10:$G$654,'Scope 1 and 2 Data'!B145,Refrigerants!$P$10:$P$654),3)</f>
        <v>0</v>
      </c>
      <c r="E145" s="824">
        <f t="shared" si="1"/>
        <v>0</v>
      </c>
    </row>
    <row r="146" spans="2:5" hidden="1" outlineLevel="2">
      <c r="B146" s="5" t="str">
        <f>+'S1&amp;2 Lists'!C75</f>
        <v>R-419A</v>
      </c>
      <c r="C146" s="824">
        <f>+VLOOKUP(B146,'S1&amp;2 Lists'!$C$9:$G$112,3,FALSE)</f>
        <v>3171</v>
      </c>
      <c r="D146" s="824">
        <f>ROUND(+SUMIF(Refrigerants!$G$10:$G$654,'Scope 1 and 2 Data'!B146,Refrigerants!$P$10:$P$654),3)</f>
        <v>0</v>
      </c>
      <c r="E146" s="824">
        <f t="shared" si="1"/>
        <v>0</v>
      </c>
    </row>
    <row r="147" spans="2:5" hidden="1" outlineLevel="2">
      <c r="B147" s="5" t="str">
        <f>+'S1&amp;2 Lists'!C76</f>
        <v>R-419B</v>
      </c>
      <c r="C147" s="824">
        <f>+VLOOKUP(B147,'S1&amp;2 Lists'!$C$9:$G$112,3,FALSE)</f>
        <v>2548</v>
      </c>
      <c r="D147" s="824">
        <f>ROUND(+SUMIF(Refrigerants!$G$10:$G$654,'Scope 1 and 2 Data'!B147,Refrigerants!$P$10:$P$654),3)</f>
        <v>0</v>
      </c>
      <c r="E147" s="824">
        <f t="shared" si="1"/>
        <v>0</v>
      </c>
    </row>
    <row r="148" spans="2:5" hidden="1" outlineLevel="2">
      <c r="B148" s="5" t="str">
        <f>+'S1&amp;2 Lists'!C77</f>
        <v>R-420A</v>
      </c>
      <c r="C148" s="824">
        <f>+VLOOKUP(B148,'S1&amp;2 Lists'!$C$9:$G$112,3,FALSE)</f>
        <v>1346</v>
      </c>
      <c r="D148" s="824">
        <f>ROUND(+SUMIF(Refrigerants!$G$10:$G$654,'Scope 1 and 2 Data'!B148,Refrigerants!$P$10:$P$654),3)</f>
        <v>0</v>
      </c>
      <c r="E148" s="824">
        <f t="shared" si="1"/>
        <v>0</v>
      </c>
    </row>
    <row r="149" spans="2:5" hidden="1" outlineLevel="2">
      <c r="B149" s="5" t="str">
        <f>+'S1&amp;2 Lists'!C78</f>
        <v>R-421A</v>
      </c>
      <c r="C149" s="824">
        <f>+VLOOKUP(B149,'S1&amp;2 Lists'!$C$9:$G$112,3,FALSE)</f>
        <v>2812</v>
      </c>
      <c r="D149" s="824">
        <f>ROUND(+SUMIF(Refrigerants!$G$10:$G$654,'Scope 1 and 2 Data'!B149,Refrigerants!$P$10:$P$654),3)</f>
        <v>0</v>
      </c>
      <c r="E149" s="824">
        <f t="shared" si="1"/>
        <v>0</v>
      </c>
    </row>
    <row r="150" spans="2:5" hidden="1" outlineLevel="2">
      <c r="B150" s="5" t="str">
        <f>+'S1&amp;2 Lists'!C79</f>
        <v>R-421B</v>
      </c>
      <c r="C150" s="824">
        <f>+VLOOKUP(B150,'S1&amp;2 Lists'!$C$9:$G$112,3,FALSE)</f>
        <v>3409</v>
      </c>
      <c r="D150" s="824">
        <f>ROUND(+SUMIF(Refrigerants!$G$10:$G$654,'Scope 1 and 2 Data'!B150,Refrigerants!$P$10:$P$654),3)</f>
        <v>0</v>
      </c>
      <c r="E150" s="824">
        <f t="shared" si="1"/>
        <v>0</v>
      </c>
    </row>
    <row r="151" spans="2:5" hidden="1" outlineLevel="2">
      <c r="B151" s="5" t="str">
        <f>+'S1&amp;2 Lists'!C80</f>
        <v>R-422A</v>
      </c>
      <c r="C151" s="824">
        <f>+VLOOKUP(B151,'S1&amp;2 Lists'!$C$9:$G$112,3,FALSE)</f>
        <v>3359</v>
      </c>
      <c r="D151" s="824">
        <f>ROUND(+SUMIF(Refrigerants!$G$10:$G$654,'Scope 1 and 2 Data'!B151,Refrigerants!$P$10:$P$654),3)</f>
        <v>0</v>
      </c>
      <c r="E151" s="824">
        <f t="shared" si="1"/>
        <v>0</v>
      </c>
    </row>
    <row r="152" spans="2:5" hidden="1" outlineLevel="2">
      <c r="B152" s="5" t="str">
        <f>+'S1&amp;2 Lists'!C81</f>
        <v>R-422B</v>
      </c>
      <c r="C152" s="824">
        <f>+VLOOKUP(B152,'S1&amp;2 Lists'!$C$9:$G$112,3,FALSE)</f>
        <v>2700</v>
      </c>
      <c r="D152" s="824">
        <f>ROUND(+SUMIF(Refrigerants!$G$10:$G$654,'Scope 1 and 2 Data'!B152,Refrigerants!$P$10:$P$654),3)</f>
        <v>0</v>
      </c>
      <c r="E152" s="824">
        <f t="shared" si="1"/>
        <v>0</v>
      </c>
    </row>
    <row r="153" spans="2:5" hidden="1" outlineLevel="2">
      <c r="B153" s="5" t="str">
        <f>+'S1&amp;2 Lists'!C82</f>
        <v>R-422C</v>
      </c>
      <c r="C153" s="824">
        <f>+VLOOKUP(B153,'S1&amp;2 Lists'!$C$9:$G$112,3,FALSE)</f>
        <v>3296</v>
      </c>
      <c r="D153" s="824">
        <f>ROUND(+SUMIF(Refrigerants!$G$10:$G$654,'Scope 1 and 2 Data'!B153,Refrigerants!$P$10:$P$654),3)</f>
        <v>0</v>
      </c>
      <c r="E153" s="824">
        <f t="shared" si="1"/>
        <v>0</v>
      </c>
    </row>
    <row r="154" spans="2:5" hidden="1" outlineLevel="2">
      <c r="B154" s="5" t="str">
        <f>+'S1&amp;2 Lists'!C83</f>
        <v>R-422D</v>
      </c>
      <c r="C154" s="824">
        <f>+VLOOKUP(B154,'S1&amp;2 Lists'!$C$9:$G$112,3,FALSE)</f>
        <v>2917</v>
      </c>
      <c r="D154" s="824">
        <f>ROUND(+SUMIF(Refrigerants!$G$10:$G$654,'Scope 1 and 2 Data'!B154,Refrigerants!$P$10:$P$654),3)</f>
        <v>0</v>
      </c>
      <c r="E154" s="824">
        <f t="shared" si="1"/>
        <v>0</v>
      </c>
    </row>
    <row r="155" spans="2:5" hidden="1" outlineLevel="2">
      <c r="B155" s="5" t="str">
        <f>+'S1&amp;2 Lists'!C84</f>
        <v>R-422E</v>
      </c>
      <c r="C155" s="824">
        <f>+VLOOKUP(B155,'S1&amp;2 Lists'!$C$9:$G$112,3,FALSE)</f>
        <v>2770</v>
      </c>
      <c r="D155" s="824">
        <f>ROUND(+SUMIF(Refrigerants!$G$10:$G$654,'Scope 1 and 2 Data'!B155,Refrigerants!$P$10:$P$654),3)</f>
        <v>0</v>
      </c>
      <c r="E155" s="824">
        <f t="shared" si="1"/>
        <v>0</v>
      </c>
    </row>
    <row r="156" spans="2:5" hidden="1" outlineLevel="2">
      <c r="B156" s="5" t="str">
        <f>+'S1&amp;2 Lists'!C85</f>
        <v>R-423A</v>
      </c>
      <c r="C156" s="824">
        <f>+VLOOKUP(B156,'S1&amp;2 Lists'!$C$9:$G$112,3,FALSE)</f>
        <v>2513</v>
      </c>
      <c r="D156" s="824">
        <f>ROUND(+SUMIF(Refrigerants!$G$10:$G$654,'Scope 1 and 2 Data'!B156,Refrigerants!$P$10:$P$654),3)</f>
        <v>0</v>
      </c>
      <c r="E156" s="824">
        <f t="shared" si="1"/>
        <v>0</v>
      </c>
    </row>
    <row r="157" spans="2:5" hidden="1" outlineLevel="2">
      <c r="B157" s="5" t="str">
        <f>+'S1&amp;2 Lists'!C86</f>
        <v>R-424A</v>
      </c>
      <c r="C157" s="824">
        <f>+VLOOKUP(B157,'S1&amp;2 Lists'!$C$9:$G$112,3,FALSE)</f>
        <v>2608</v>
      </c>
      <c r="D157" s="824">
        <f>ROUND(+SUMIF(Refrigerants!$G$10:$G$654,'Scope 1 and 2 Data'!B157,Refrigerants!$P$10:$P$654),3)</f>
        <v>0</v>
      </c>
      <c r="E157" s="824">
        <f t="shared" si="1"/>
        <v>0</v>
      </c>
    </row>
    <row r="158" spans="2:5" hidden="1" outlineLevel="2">
      <c r="B158" s="5" t="str">
        <f>+'S1&amp;2 Lists'!C87</f>
        <v>R-425A</v>
      </c>
      <c r="C158" s="824">
        <f>+VLOOKUP(B158,'S1&amp;2 Lists'!$C$9:$G$112,3,FALSE)</f>
        <v>1638</v>
      </c>
      <c r="D158" s="824">
        <f>ROUND(+SUMIF(Refrigerants!$G$10:$G$654,'Scope 1 and 2 Data'!B158,Refrigerants!$P$10:$P$654),3)</f>
        <v>0</v>
      </c>
      <c r="E158" s="824">
        <f t="shared" si="1"/>
        <v>0</v>
      </c>
    </row>
    <row r="159" spans="2:5" hidden="1" outlineLevel="2">
      <c r="B159" s="5" t="str">
        <f>+'S1&amp;2 Lists'!C88</f>
        <v>R-426A</v>
      </c>
      <c r="C159" s="824">
        <f>+VLOOKUP(B159,'S1&amp;2 Lists'!$C$9:$G$112,3,FALSE)</f>
        <v>1614</v>
      </c>
      <c r="D159" s="824">
        <f>ROUND(+SUMIF(Refrigerants!$G$10:$G$654,'Scope 1 and 2 Data'!B159,Refrigerants!$P$10:$P$654),3)</f>
        <v>0</v>
      </c>
      <c r="E159" s="824">
        <f t="shared" si="1"/>
        <v>0</v>
      </c>
    </row>
    <row r="160" spans="2:5" hidden="1" outlineLevel="2">
      <c r="B160" s="5" t="str">
        <f>+'S1&amp;2 Lists'!C89</f>
        <v>R-427A</v>
      </c>
      <c r="C160" s="824">
        <f>+VLOOKUP(B160,'S1&amp;2 Lists'!$C$9:$G$112,3,FALSE)</f>
        <v>2397</v>
      </c>
      <c r="D160" s="824">
        <f>ROUND(+SUMIF(Refrigerants!$G$10:$G$654,'Scope 1 and 2 Data'!B160,Refrigerants!$P$10:$P$654),3)</f>
        <v>0</v>
      </c>
      <c r="E160" s="824">
        <f t="shared" si="1"/>
        <v>0</v>
      </c>
    </row>
    <row r="161" spans="2:5" hidden="1" outlineLevel="2">
      <c r="B161" s="5" t="str">
        <f>+'S1&amp;2 Lists'!C90</f>
        <v>R-428A</v>
      </c>
      <c r="C161" s="824">
        <f>+VLOOKUP(B161,'S1&amp;2 Lists'!$C$9:$G$112,3,FALSE)</f>
        <v>4061</v>
      </c>
      <c r="D161" s="824">
        <f>ROUND(+SUMIF(Refrigerants!$G$10:$G$654,'Scope 1 and 2 Data'!B161,Refrigerants!$P$10:$P$654),3)</f>
        <v>0</v>
      </c>
      <c r="E161" s="824">
        <f t="shared" si="1"/>
        <v>0</v>
      </c>
    </row>
    <row r="162" spans="2:5" hidden="1" outlineLevel="2">
      <c r="B162" s="5" t="str">
        <f>+'S1&amp;2 Lists'!C91</f>
        <v>R-429A</v>
      </c>
      <c r="C162" s="824">
        <f>+VLOOKUP(B162,'S1&amp;2 Lists'!$C$9:$G$112,3,FALSE)</f>
        <v>16</v>
      </c>
      <c r="D162" s="824">
        <f>ROUND(+SUMIF(Refrigerants!$G$10:$G$654,'Scope 1 and 2 Data'!B162,Refrigerants!$P$10:$P$654),3)</f>
        <v>0</v>
      </c>
      <c r="E162" s="824">
        <f t="shared" si="1"/>
        <v>0</v>
      </c>
    </row>
    <row r="163" spans="2:5" hidden="1" outlineLevel="2">
      <c r="B163" s="5" t="str">
        <f>+'S1&amp;2 Lists'!C92</f>
        <v>R-430A</v>
      </c>
      <c r="C163" s="824">
        <f>+VLOOKUP(B163,'S1&amp;2 Lists'!$C$9:$G$112,3,FALSE)</f>
        <v>125</v>
      </c>
      <c r="D163" s="824">
        <f>ROUND(+SUMIF(Refrigerants!$G$10:$G$654,'Scope 1 and 2 Data'!B163,Refrigerants!$P$10:$P$654),3)</f>
        <v>0</v>
      </c>
      <c r="E163" s="824">
        <f t="shared" si="1"/>
        <v>0</v>
      </c>
    </row>
    <row r="164" spans="2:5" hidden="1" outlineLevel="2">
      <c r="B164" s="5" t="str">
        <f>+'S1&amp;2 Lists'!C93</f>
        <v>R-431A</v>
      </c>
      <c r="C164" s="824">
        <f>+VLOOKUP(B164,'S1&amp;2 Lists'!$C$9:$G$112,3,FALSE)</f>
        <v>48</v>
      </c>
      <c r="D164" s="824">
        <f>ROUND(+SUMIF(Refrigerants!$G$10:$G$654,'Scope 1 and 2 Data'!B164,Refrigerants!$P$10:$P$654),3)</f>
        <v>0</v>
      </c>
      <c r="E164" s="824">
        <f t="shared" si="1"/>
        <v>0</v>
      </c>
    </row>
    <row r="165" spans="2:5" hidden="1" outlineLevel="2">
      <c r="B165" s="5" t="str">
        <f>+'S1&amp;2 Lists'!C94</f>
        <v>R-434A</v>
      </c>
      <c r="C165" s="824">
        <f>+VLOOKUP(B165,'S1&amp;2 Lists'!$C$9:$G$112,3,FALSE)</f>
        <v>3654</v>
      </c>
      <c r="D165" s="824">
        <f>ROUND(+SUMIF(Refrigerants!$G$10:$G$654,'Scope 1 and 2 Data'!B165,Refrigerants!$P$10:$P$654),3)</f>
        <v>0</v>
      </c>
      <c r="E165" s="824">
        <f t="shared" si="1"/>
        <v>0</v>
      </c>
    </row>
    <row r="166" spans="2:5" hidden="1" outlineLevel="2">
      <c r="B166" s="5" t="str">
        <f>+'S1&amp;2 Lists'!C95</f>
        <v>R-435A</v>
      </c>
      <c r="C166" s="824">
        <f>+VLOOKUP(B166,'S1&amp;2 Lists'!$C$9:$G$112,3,FALSE)</f>
        <v>33</v>
      </c>
      <c r="D166" s="824">
        <f>ROUND(+SUMIF(Refrigerants!$G$10:$G$654,'Scope 1 and 2 Data'!B166,Refrigerants!$P$10:$P$654),3)</f>
        <v>0</v>
      </c>
      <c r="E166" s="824">
        <f t="shared" si="1"/>
        <v>0</v>
      </c>
    </row>
    <row r="167" spans="2:5" hidden="1" outlineLevel="2">
      <c r="B167" s="5" t="str">
        <f>+'S1&amp;2 Lists'!C96</f>
        <v>R-437A</v>
      </c>
      <c r="C167" s="824">
        <f>+VLOOKUP(B167,'S1&amp;2 Lists'!$C$9:$G$112,3,FALSE)</f>
        <v>1930</v>
      </c>
      <c r="D167" s="824">
        <f>ROUND(+SUMIF(Refrigerants!$G$10:$G$654,'Scope 1 and 2 Data'!B167,Refrigerants!$P$10:$P$654),3)</f>
        <v>0</v>
      </c>
      <c r="E167" s="824">
        <f t="shared" si="1"/>
        <v>0</v>
      </c>
    </row>
    <row r="168" spans="2:5" hidden="1" outlineLevel="2">
      <c r="B168" s="5" t="str">
        <f>+'S1&amp;2 Lists'!C97</f>
        <v>R-438A</v>
      </c>
      <c r="C168" s="824">
        <f>+VLOOKUP(B168,'S1&amp;2 Lists'!$C$9:$G$112,3,FALSE)</f>
        <v>2425</v>
      </c>
      <c r="D168" s="824">
        <f>ROUND(+SUMIF(Refrigerants!$G$10:$G$654,'Scope 1 and 2 Data'!B168,Refrigerants!$P$10:$P$654),3)</f>
        <v>0</v>
      </c>
      <c r="E168" s="824">
        <f t="shared" si="1"/>
        <v>0</v>
      </c>
    </row>
    <row r="169" spans="2:5" hidden="1" outlineLevel="2">
      <c r="B169" s="5" t="str">
        <f>+'S1&amp;2 Lists'!C98</f>
        <v>R-439A</v>
      </c>
      <c r="C169" s="824">
        <f>+VLOOKUP(B169,'S1&amp;2 Lists'!$C$9:$G$112,3,FALSE)</f>
        <v>2143</v>
      </c>
      <c r="D169" s="824">
        <f>ROUND(+SUMIF(Refrigerants!$G$10:$G$654,'Scope 1 and 2 Data'!B169,Refrigerants!$P$10:$P$654),3)</f>
        <v>0</v>
      </c>
      <c r="E169" s="824">
        <f t="shared" si="1"/>
        <v>0</v>
      </c>
    </row>
    <row r="170" spans="2:5" hidden="1" outlineLevel="2">
      <c r="B170" s="5" t="str">
        <f>+'S1&amp;2 Lists'!C99</f>
        <v>R-440A</v>
      </c>
      <c r="C170" s="824">
        <f>+VLOOKUP(B170,'S1&amp;2 Lists'!$C$9:$G$112,3,FALSE)</f>
        <v>185</v>
      </c>
      <c r="D170" s="824">
        <f>ROUND(+SUMIF(Refrigerants!$G$10:$G$654,'Scope 1 and 2 Data'!B170,Refrigerants!$P$10:$P$654),3)</f>
        <v>0</v>
      </c>
      <c r="E170" s="824">
        <f t="shared" si="1"/>
        <v>0</v>
      </c>
    </row>
    <row r="171" spans="2:5" hidden="1" outlineLevel="2">
      <c r="B171" s="5" t="str">
        <f>+'S1&amp;2 Lists'!C100</f>
        <v>R-442A</v>
      </c>
      <c r="C171" s="824">
        <f>+VLOOKUP(B171,'S1&amp;2 Lists'!$C$9:$G$112,3,FALSE)</f>
        <v>2042</v>
      </c>
      <c r="D171" s="824">
        <f>ROUND(+SUMIF(Refrigerants!$G$10:$G$654,'Scope 1 and 2 Data'!B171,Refrigerants!$P$10:$P$654),3)</f>
        <v>0</v>
      </c>
      <c r="E171" s="824">
        <f t="shared" si="1"/>
        <v>0</v>
      </c>
    </row>
    <row r="172" spans="2:5" hidden="1" outlineLevel="2">
      <c r="B172" s="5" t="str">
        <f>+'S1&amp;2 Lists'!C101</f>
        <v>R-444A</v>
      </c>
      <c r="C172" s="824">
        <f>+VLOOKUP(B172,'S1&amp;2 Lists'!$C$9:$G$112,3,FALSE)</f>
        <v>101</v>
      </c>
      <c r="D172" s="824">
        <f>ROUND(+SUMIF(Refrigerants!$G$10:$G$654,'Scope 1 and 2 Data'!B172,Refrigerants!$P$10:$P$654),3)</f>
        <v>0</v>
      </c>
      <c r="E172" s="824">
        <f t="shared" si="1"/>
        <v>0</v>
      </c>
    </row>
    <row r="173" spans="2:5" hidden="1" outlineLevel="2">
      <c r="B173" s="5" t="str">
        <f>+'S1&amp;2 Lists'!C102</f>
        <v>R-445A</v>
      </c>
      <c r="C173" s="824">
        <f>+VLOOKUP(B173,'S1&amp;2 Lists'!$C$9:$G$112,3,FALSE)</f>
        <v>138</v>
      </c>
      <c r="D173" s="824">
        <f>ROUND(+SUMIF(Refrigerants!$G$10:$G$654,'Scope 1 and 2 Data'!B173,Refrigerants!$P$10:$P$654),3)</f>
        <v>0</v>
      </c>
      <c r="E173" s="824">
        <f t="shared" si="1"/>
        <v>0</v>
      </c>
    </row>
    <row r="174" spans="2:5" hidden="1" outlineLevel="2">
      <c r="B174" s="5" t="str">
        <f>+'S1&amp;2 Lists'!C103</f>
        <v>R-500</v>
      </c>
      <c r="C174" s="824">
        <f>+VLOOKUP(B174,'S1&amp;2 Lists'!$C$9:$G$112,3,FALSE)</f>
        <v>43</v>
      </c>
      <c r="D174" s="824">
        <f>ROUND(+SUMIF(Refrigerants!$G$10:$G$654,'Scope 1 and 2 Data'!B174,Refrigerants!$P$10:$P$654),3)</f>
        <v>0</v>
      </c>
      <c r="E174" s="824">
        <f t="shared" si="1"/>
        <v>0</v>
      </c>
    </row>
    <row r="175" spans="2:5" hidden="1" outlineLevel="2">
      <c r="B175" s="5" t="str">
        <f>+'S1&amp;2 Lists'!C104</f>
        <v>R-503</v>
      </c>
      <c r="C175" s="824">
        <f>+VLOOKUP(B175,'S1&amp;2 Lists'!$C$9:$G$112,3,FALSE)</f>
        <v>5855</v>
      </c>
      <c r="D175" s="824">
        <f>ROUND(+SUMIF(Refrigerants!$G$10:$G$654,'Scope 1 and 2 Data'!B175,Refrigerants!$P$10:$P$654),3)</f>
        <v>0</v>
      </c>
      <c r="E175" s="824">
        <f t="shared" si="1"/>
        <v>0</v>
      </c>
    </row>
    <row r="176" spans="2:5" hidden="1" outlineLevel="2">
      <c r="B176" s="5" t="str">
        <f>+'S1&amp;2 Lists'!C105</f>
        <v>R-504</v>
      </c>
      <c r="C176" s="824">
        <f>+VLOOKUP(B176,'S1&amp;2 Lists'!$C$9:$G$112,3,FALSE)</f>
        <v>372</v>
      </c>
      <c r="D176" s="824">
        <f>ROUND(+SUMIF(Refrigerants!$G$10:$G$654,'Scope 1 and 2 Data'!B176,Refrigerants!$P$10:$P$654),3)</f>
        <v>0</v>
      </c>
      <c r="E176" s="824">
        <f t="shared" si="1"/>
        <v>0</v>
      </c>
    </row>
    <row r="177" spans="2:5" hidden="1" outlineLevel="2">
      <c r="B177" s="5" t="str">
        <f>+'S1&amp;2 Lists'!C106</f>
        <v>R-507 o R-507A</v>
      </c>
      <c r="C177" s="824">
        <f>+VLOOKUP(B177,'S1&amp;2 Lists'!$C$9:$G$112,3,FALSE)</f>
        <v>4775</v>
      </c>
      <c r="D177" s="824">
        <f>ROUND(+SUMIF(Refrigerants!$G$10:$G$654,'Scope 1 and 2 Data'!B177,Refrigerants!$P$10:$P$654),3)</f>
        <v>0</v>
      </c>
      <c r="E177" s="824">
        <f t="shared" si="1"/>
        <v>0</v>
      </c>
    </row>
    <row r="178" spans="2:5" hidden="1" outlineLevel="2">
      <c r="B178" s="5" t="str">
        <f>+'S1&amp;2 Lists'!C107</f>
        <v>R-509 o R-509A</v>
      </c>
      <c r="C178" s="824">
        <f>+VLOOKUP(B178,'S1&amp;2 Lists'!$C$9:$G$112,3,FALSE)</f>
        <v>5202</v>
      </c>
      <c r="D178" s="824">
        <f>ROUND(+SUMIF(Refrigerants!$G$10:$G$654,'Scope 1 and 2 Data'!B178,Refrigerants!$P$10:$P$654),3)</f>
        <v>0</v>
      </c>
      <c r="E178" s="824">
        <f t="shared" si="1"/>
        <v>0</v>
      </c>
    </row>
    <row r="179" spans="2:5" hidden="1" outlineLevel="2">
      <c r="B179" s="5" t="str">
        <f>+'S1&amp;2 Lists'!C108</f>
        <v>R-512A</v>
      </c>
      <c r="C179" s="824">
        <f>+VLOOKUP(B179,'S1&amp;2 Lists'!$C$9:$G$112,3,FALSE)</f>
        <v>232</v>
      </c>
      <c r="D179" s="824">
        <f>ROUND(+SUMIF(Refrigerants!$G$10:$G$654,'Scope 1 and 2 Data'!B179,Refrigerants!$P$10:$P$654),3)</f>
        <v>0</v>
      </c>
      <c r="E179" s="824">
        <f t="shared" si="1"/>
        <v>0</v>
      </c>
    </row>
    <row r="180" spans="2:5" hidden="1" outlineLevel="2">
      <c r="B180" s="5" t="str">
        <f>+'S1&amp;2 Lists'!C109</f>
        <v>R-600</v>
      </c>
      <c r="C180" s="824">
        <f>+VLOOKUP(B180,'S1&amp;2 Lists'!$C$9:$G$112,3,FALSE)</f>
        <v>4</v>
      </c>
      <c r="D180" s="824">
        <f>ROUND(+SUMIF(Refrigerants!$G$10:$G$654,'Scope 1 and 2 Data'!B180,Refrigerants!$P$10:$P$654),3)</f>
        <v>0</v>
      </c>
      <c r="E180" s="824">
        <f t="shared" si="1"/>
        <v>0</v>
      </c>
    </row>
    <row r="181" spans="2:5" hidden="1" outlineLevel="2">
      <c r="B181" s="5" t="str">
        <f>+'S1&amp;2 Lists'!C110</f>
        <v>R-600a</v>
      </c>
      <c r="C181" s="824">
        <f>+VLOOKUP(B181,'S1&amp;2 Lists'!$C$9:$G$112,3,FALSE)</f>
        <v>3</v>
      </c>
      <c r="D181" s="824">
        <f>ROUND(+SUMIF(Refrigerants!$G$10:$G$654,'Scope 1 and 2 Data'!B181,Refrigerants!$P$10:$P$654),3)</f>
        <v>0</v>
      </c>
      <c r="E181" s="824">
        <f t="shared" si="1"/>
        <v>0</v>
      </c>
    </row>
    <row r="182" spans="2:5" hidden="1" outlineLevel="2">
      <c r="B182" s="5" t="str">
        <f>+'S1&amp;2 Lists'!C111</f>
        <v>R-717</v>
      </c>
      <c r="C182" s="824">
        <f>+VLOOKUP(B182,'S1&amp;2 Lists'!$C$9:$G$112,3,FALSE)</f>
        <v>0</v>
      </c>
      <c r="D182" s="824">
        <f>ROUND(+SUMIF(Refrigerants!$G$10:$G$654,'Scope 1 and 2 Data'!B182,Refrigerants!$P$10:$P$654),3)</f>
        <v>0</v>
      </c>
      <c r="E182" s="824">
        <f t="shared" si="1"/>
        <v>0</v>
      </c>
    </row>
    <row r="183" spans="2:5" hidden="1" outlineLevel="2">
      <c r="B183" s="5" t="str">
        <f>+'S1&amp;2 Lists'!C112</f>
        <v>R-718</v>
      </c>
      <c r="C183" s="824">
        <f>+VLOOKUP(B183,'S1&amp;2 Lists'!$C$9:$G$112,3,FALSE)</f>
        <v>0</v>
      </c>
      <c r="D183" s="824">
        <f>ROUND(+SUMIF(Refrigerants!$G$10:$G$654,'Scope 1 and 2 Data'!B183,Refrigerants!$P$10:$P$654),3)</f>
        <v>0</v>
      </c>
      <c r="E183" s="824">
        <f t="shared" si="1"/>
        <v>0</v>
      </c>
    </row>
    <row r="184" spans="2:5" outlineLevel="1">
      <c r="C184" s="825"/>
      <c r="D184" s="825"/>
      <c r="E184" s="825"/>
    </row>
    <row r="185" spans="2:5" ht="16" outlineLevel="1">
      <c r="B185" s="786" t="s">
        <v>2347</v>
      </c>
      <c r="C185" s="807" t="s">
        <v>2346</v>
      </c>
      <c r="D185" s="807" t="s">
        <v>2348</v>
      </c>
    </row>
    <row r="186" spans="2:5" outlineLevel="1">
      <c r="B186" s="811" t="s">
        <v>8</v>
      </c>
      <c r="C186" s="823">
        <f>+SUM(C187:C195)</f>
        <v>0</v>
      </c>
      <c r="D186" s="826">
        <f>+IFERROR(SUM(D187:D195),"-")</f>
        <v>0</v>
      </c>
    </row>
    <row r="187" spans="2:5" outlineLevel="1">
      <c r="B187" s="827" t="str">
        <f>+'S1&amp;2 Lists'!AU3</f>
        <v>Centralized equipment</v>
      </c>
      <c r="C187" s="824">
        <f>+SUMIF(Refrigerants!$B$10:$B$654,'Scope 1 and 2 Data'!B187,Refrigerants!$N$10:$N$654)</f>
        <v>0</v>
      </c>
      <c r="D187" s="828" t="str">
        <f>+IFERROR(C187/$C$186,"-")</f>
        <v>-</v>
      </c>
    </row>
    <row r="188" spans="2:5" outlineLevel="1">
      <c r="B188" s="827" t="str">
        <f>+'S1&amp;2 Lists'!AU4</f>
        <v>Extinguisher</v>
      </c>
      <c r="C188" s="824">
        <f>+SUMIF(Refrigerants!$B$10:$B$654,'Scope 1 and 2 Data'!B188,Refrigerants!$N$10:$N$654)</f>
        <v>0</v>
      </c>
      <c r="D188" s="828" t="str">
        <f t="shared" ref="D188:D195" si="2">+IFERROR(C188/$C$186,"-")</f>
        <v>-</v>
      </c>
    </row>
    <row r="189" spans="2:5" outlineLevel="1">
      <c r="B189" s="827" t="str">
        <f>+'S1&amp;2 Lists'!AU5</f>
        <v>Freezer</v>
      </c>
      <c r="C189" s="824">
        <f>+SUMIF(Refrigerants!$B$10:$B$654,'Scope 1 and 2 Data'!B189,Refrigerants!$N$10:$N$654)</f>
        <v>0</v>
      </c>
      <c r="D189" s="828" t="str">
        <f t="shared" si="2"/>
        <v>-</v>
      </c>
    </row>
    <row r="190" spans="2:5" outlineLevel="1">
      <c r="B190" s="827" t="str">
        <f>+'S1&amp;2 Lists'!AU6</f>
        <v>Freezer / Vaccines</v>
      </c>
      <c r="C190" s="824">
        <f>+SUMIF(Refrigerants!$B$10:$B$654,'Scope 1 and 2 Data'!B190,Refrigerants!$N$10:$N$654)</f>
        <v>0</v>
      </c>
      <c r="D190" s="828" t="str">
        <f t="shared" si="2"/>
        <v>-</v>
      </c>
    </row>
    <row r="191" spans="2:5" outlineLevel="1">
      <c r="B191" s="827" t="str">
        <f>+'S1&amp;2 Lists'!AU7</f>
        <v>Mini split</v>
      </c>
      <c r="C191" s="824">
        <f>+SUMIF(Refrigerants!$B$10:$B$654,'Scope 1 and 2 Data'!B191,Refrigerants!$N$10:$N$654)</f>
        <v>0</v>
      </c>
      <c r="D191" s="828" t="str">
        <f t="shared" si="2"/>
        <v>-</v>
      </c>
    </row>
    <row r="192" spans="2:5" outlineLevel="1">
      <c r="B192" s="827" t="str">
        <f>+'S1&amp;2 Lists'!AU8</f>
        <v>Multi Split</v>
      </c>
      <c r="C192" s="824">
        <f>+SUMIF(Refrigerants!$B$10:$B$654,'Scope 1 and 2 Data'!B192,Refrigerants!$N$10:$N$654)</f>
        <v>0</v>
      </c>
      <c r="D192" s="828" t="str">
        <f t="shared" si="2"/>
        <v>-</v>
      </c>
    </row>
    <row r="193" spans="1:7" outlineLevel="1">
      <c r="B193" s="827" t="str">
        <f>+'S1&amp;2 Lists'!AU9</f>
        <v>Refrigerator</v>
      </c>
      <c r="C193" s="824">
        <f>+SUMIF(Refrigerants!$B$10:$B$654,'Scope 1 and 2 Data'!B193,Refrigerants!$N$10:$N$654)</f>
        <v>0</v>
      </c>
      <c r="D193" s="828" t="str">
        <f t="shared" si="2"/>
        <v>-</v>
      </c>
    </row>
    <row r="194" spans="1:7" outlineLevel="1">
      <c r="B194" s="827" t="str">
        <f>+'S1&amp;2 Lists'!AU10</f>
        <v>Refrigerator / Vaccines</v>
      </c>
      <c r="C194" s="824">
        <f>+SUMIF(Refrigerants!$B$10:$B$654,'Scope 1 and 2 Data'!B194,Refrigerants!$N$10:$N$654)</f>
        <v>0</v>
      </c>
      <c r="D194" s="828" t="str">
        <f t="shared" si="2"/>
        <v>-</v>
      </c>
    </row>
    <row r="195" spans="1:7" outlineLevel="1">
      <c r="B195" s="827" t="str">
        <f>+'S1&amp;2 Lists'!AU11</f>
        <v>Vending machine</v>
      </c>
      <c r="C195" s="824">
        <f>+SUMIF(Refrigerants!$B$10:$B$654,'Scope 1 and 2 Data'!B195,Refrigerants!$N$10:$N$654)</f>
        <v>0</v>
      </c>
      <c r="D195" s="828" t="str">
        <f t="shared" si="2"/>
        <v>-</v>
      </c>
    </row>
    <row r="196" spans="1:7" outlineLevel="1">
      <c r="C196" s="825"/>
      <c r="D196" s="825"/>
      <c r="E196" s="825"/>
    </row>
    <row r="197" spans="1:7" s="778" customFormat="1" ht="17.25" customHeight="1">
      <c r="A197" s="817" t="s">
        <v>2349</v>
      </c>
      <c r="B197" s="829" t="s">
        <v>2350</v>
      </c>
    </row>
    <row r="198" spans="1:7" ht="17.5" outlineLevel="1">
      <c r="A198" s="818"/>
    </row>
    <row r="199" spans="1:7" ht="14.4" customHeight="1" outlineLevel="1">
      <c r="A199" s="1218" t="s">
        <v>2351</v>
      </c>
      <c r="B199" s="1218"/>
      <c r="C199" s="1218"/>
      <c r="D199" s="1218"/>
      <c r="E199" s="1218"/>
      <c r="F199" s="1218"/>
      <c r="G199" s="1218"/>
    </row>
    <row r="200" spans="1:7" ht="15" customHeight="1" outlineLevel="1">
      <c r="B200" s="799"/>
      <c r="C200" s="799"/>
      <c r="D200" s="799"/>
      <c r="E200" s="799"/>
      <c r="F200" s="799"/>
      <c r="G200" s="799"/>
    </row>
    <row r="201" spans="1:7" ht="15" customHeight="1" outlineLevel="1">
      <c r="A201" s="1235" t="s">
        <v>2309</v>
      </c>
      <c r="B201" s="1236"/>
      <c r="C201" s="1237"/>
      <c r="D201" s="1237"/>
      <c r="E201" s="779"/>
      <c r="F201" s="779"/>
    </row>
    <row r="202" spans="1:7" ht="17.5" outlineLevel="1">
      <c r="A202" s="818"/>
      <c r="B202" s="16"/>
      <c r="C202" s="16"/>
      <c r="D202" s="16"/>
      <c r="E202" s="16"/>
      <c r="F202" s="16"/>
    </row>
    <row r="203" spans="1:7" ht="15" outlineLevel="1" thickBot="1">
      <c r="A203" s="801" t="s">
        <v>2327</v>
      </c>
      <c r="C203" s="16"/>
      <c r="D203" s="16"/>
      <c r="E203" s="16"/>
      <c r="F203" s="16"/>
    </row>
    <row r="204" spans="1:7" ht="50.25" customHeight="1" outlineLevel="1" thickTop="1" thickBot="1">
      <c r="A204" s="1218" t="s">
        <v>2352</v>
      </c>
      <c r="B204" s="1218"/>
      <c r="C204" s="1218"/>
      <c r="D204" s="1218"/>
      <c r="F204" s="830" t="s">
        <v>2353</v>
      </c>
      <c r="G204" s="831"/>
    </row>
    <row r="205" spans="1:7" ht="14.5" outlineLevel="1" thickTop="1"/>
    <row r="206" spans="1:7" ht="15" customHeight="1" outlineLevel="1">
      <c r="B206" s="832"/>
      <c r="C206" s="1239" t="s">
        <v>2344</v>
      </c>
      <c r="D206" s="1239" t="s">
        <v>2354</v>
      </c>
      <c r="E206" s="1239" t="s">
        <v>2348</v>
      </c>
    </row>
    <row r="207" spans="1:7" ht="9.9" customHeight="1" outlineLevel="1">
      <c r="B207" s="833" t="s">
        <v>2343</v>
      </c>
      <c r="C207" s="1240"/>
      <c r="D207" s="1240"/>
      <c r="E207" s="1240"/>
    </row>
    <row r="208" spans="1:7" outlineLevel="1">
      <c r="B208" s="834"/>
      <c r="C208" s="1241"/>
      <c r="D208" s="1241"/>
      <c r="E208" s="1241"/>
    </row>
    <row r="209" spans="1:7" outlineLevel="1">
      <c r="B209" s="811" t="s">
        <v>8</v>
      </c>
      <c r="C209" s="822"/>
      <c r="D209" s="835">
        <f>+ROUND(SUM(D210:D214),3)</f>
        <v>0</v>
      </c>
      <c r="E209" s="826">
        <f>+IFERROR(SUM(E210:E214),"-")</f>
        <v>0</v>
      </c>
    </row>
    <row r="210" spans="1:7" outlineLevel="1">
      <c r="B210" s="836" t="str">
        <f>+'S1&amp;2 Lists'!C5</f>
        <v>Isoflurane</v>
      </c>
      <c r="C210" s="824">
        <f>IF(B210="","",VLOOKUP(B210,'S1&amp;2 Lists'!$C$3:$G$112,3,FALSE))</f>
        <v>539</v>
      </c>
      <c r="D210" s="837">
        <f>ROUND(+'Anesthetic Gases'!$M$15,3)</f>
        <v>0</v>
      </c>
      <c r="E210" s="828" t="str">
        <f>+IFERROR(D210/$D$209,"-")</f>
        <v>-</v>
      </c>
    </row>
    <row r="211" spans="1:7" outlineLevel="1">
      <c r="B211" s="836" t="str">
        <f>+'S1&amp;2 Lists'!C6</f>
        <v>Sevoflurane</v>
      </c>
      <c r="C211" s="824">
        <f>IF(B211="","",VLOOKUP(B211,'S1&amp;2 Lists'!$C$3:$G$112,3,FALSE))</f>
        <v>195</v>
      </c>
      <c r="D211" s="837">
        <f>ROUND(+'Anesthetic Gases'!$M$22,3)</f>
        <v>0</v>
      </c>
      <c r="E211" s="828" t="str">
        <f t="shared" ref="E211:E215" si="3">+IFERROR(D211/$D$209,"-")</f>
        <v>-</v>
      </c>
    </row>
    <row r="212" spans="1:7" outlineLevel="1">
      <c r="B212" s="836" t="str">
        <f>+'S1&amp;2 Lists'!C7</f>
        <v>Desflurane</v>
      </c>
      <c r="C212" s="824">
        <f>IF(B212="","",VLOOKUP(B212,'S1&amp;2 Lists'!$C$3:$G$112,3,FALSE))</f>
        <v>2590</v>
      </c>
      <c r="D212" s="837">
        <f>ROUND(+'Anesthetic Gases'!$M$29,3)</f>
        <v>0</v>
      </c>
      <c r="E212" s="828" t="str">
        <f t="shared" si="3"/>
        <v>-</v>
      </c>
    </row>
    <row r="213" spans="1:7" outlineLevel="1">
      <c r="B213" s="827" t="str">
        <f>+'S1&amp;2 Lists'!C4</f>
        <v>N2O</v>
      </c>
      <c r="C213" s="824">
        <f>IF(B213="","",VLOOKUP(B213,'S1&amp;2 Lists'!$C$3:$G$112,3,FALSE))</f>
        <v>273</v>
      </c>
      <c r="D213" s="837">
        <f>ROUND('Anesthetic Gases'!$M$32,3)</f>
        <v>0</v>
      </c>
      <c r="E213" s="828" t="str">
        <f t="shared" si="3"/>
        <v>-</v>
      </c>
    </row>
    <row r="214" spans="1:7" outlineLevel="1">
      <c r="B214" s="827" t="s">
        <v>2355</v>
      </c>
      <c r="C214" s="824" t="s">
        <v>2356</v>
      </c>
      <c r="D214" s="837">
        <f>ROUND(+'Anesthetic Gases'!$M$37,3)</f>
        <v>0</v>
      </c>
      <c r="E214" s="828" t="str">
        <f t="shared" si="3"/>
        <v>-</v>
      </c>
    </row>
    <row r="215" spans="1:7" outlineLevel="1">
      <c r="B215" s="827" t="str">
        <f>+'S1&amp;2 Lists'!C8</f>
        <v>CO2</v>
      </c>
      <c r="C215" s="824">
        <f>IF(B215="","",VLOOKUP(B215,'S1&amp;2 Lists'!$C$3:$G$112,3,FALSE))</f>
        <v>1</v>
      </c>
      <c r="D215" s="837">
        <f>ROUND(+'Anesthetic Gases'!$M$40,3)</f>
        <v>0</v>
      </c>
      <c r="E215" s="828" t="str">
        <f t="shared" si="3"/>
        <v>-</v>
      </c>
    </row>
    <row r="217" spans="1:7" s="840" customFormat="1" ht="20">
      <c r="A217" s="838" t="s">
        <v>7</v>
      </c>
      <c r="B217" s="839"/>
    </row>
    <row r="218" spans="1:7" ht="38.25" customHeight="1">
      <c r="A218" s="1242" t="s">
        <v>2357</v>
      </c>
      <c r="B218" s="1242"/>
      <c r="C218" s="1242"/>
      <c r="D218" s="1242"/>
      <c r="E218" s="1242"/>
      <c r="F218" s="1242"/>
      <c r="G218" s="1242"/>
    </row>
    <row r="219" spans="1:7" ht="17.25" customHeight="1">
      <c r="A219" s="774"/>
      <c r="B219" s="775"/>
      <c r="C219" s="775"/>
      <c r="D219" s="775"/>
      <c r="E219" s="775"/>
      <c r="F219" s="775"/>
    </row>
    <row r="220" spans="1:7" s="844" customFormat="1" ht="17.5">
      <c r="A220" s="842" t="s">
        <v>2358</v>
      </c>
      <c r="B220" s="843" t="s">
        <v>2359</v>
      </c>
    </row>
    <row r="221" spans="1:7" outlineLevel="1"/>
    <row r="222" spans="1:7" ht="60.75" customHeight="1" outlineLevel="1">
      <c r="A222" s="1238" t="s">
        <v>2360</v>
      </c>
      <c r="B222" s="1238"/>
      <c r="C222" s="1238"/>
      <c r="D222" s="1238"/>
      <c r="E222" s="16"/>
      <c r="F222" s="16"/>
      <c r="G222" s="16"/>
    </row>
    <row r="223" spans="1:7" ht="15" customHeight="1" outlineLevel="1">
      <c r="B223" s="799"/>
      <c r="C223" s="799"/>
      <c r="D223" s="799"/>
      <c r="E223" s="799"/>
      <c r="F223" s="799"/>
      <c r="G223" s="799"/>
    </row>
    <row r="224" spans="1:7" ht="15" customHeight="1" outlineLevel="1">
      <c r="A224" s="1235" t="s">
        <v>2309</v>
      </c>
      <c r="B224" s="1236"/>
      <c r="C224" s="1237"/>
      <c r="D224" s="1237"/>
      <c r="E224" s="779"/>
      <c r="F224" s="779"/>
    </row>
    <row r="225" spans="1:7" ht="17.5" outlineLevel="1">
      <c r="A225" s="818"/>
      <c r="B225" s="16"/>
      <c r="C225" s="16"/>
      <c r="D225" s="16"/>
      <c r="E225" s="16"/>
      <c r="F225" s="16"/>
    </row>
    <row r="226" spans="1:7" ht="14.5" outlineLevel="1">
      <c r="A226" s="801" t="s">
        <v>2327</v>
      </c>
      <c r="C226" s="16"/>
      <c r="D226" s="16"/>
      <c r="E226" s="16"/>
      <c r="F226" s="16"/>
    </row>
    <row r="227" spans="1:7" ht="30.75" customHeight="1" outlineLevel="1">
      <c r="A227" s="1233" t="s">
        <v>2361</v>
      </c>
      <c r="B227" s="1233"/>
      <c r="C227" s="1233"/>
      <c r="D227" s="1233"/>
      <c r="E227" s="782"/>
      <c r="F227" s="782"/>
      <c r="G227" s="782"/>
    </row>
    <row r="228" spans="1:7" outlineLevel="1"/>
    <row r="229" spans="1:7" ht="27.9" customHeight="1" outlineLevel="1">
      <c r="B229" s="845" t="s">
        <v>2359</v>
      </c>
      <c r="C229" s="845" t="s">
        <v>2362</v>
      </c>
      <c r="D229" s="845" t="s">
        <v>3</v>
      </c>
      <c r="E229" s="846" t="s">
        <v>2363</v>
      </c>
    </row>
    <row r="230" spans="1:7" ht="28" outlineLevel="1">
      <c r="B230" s="12" t="s">
        <v>2364</v>
      </c>
      <c r="C230" s="847"/>
      <c r="D230" s="848" t="s">
        <v>2215</v>
      </c>
      <c r="E230" s="849" t="str">
        <f>IFERROR(ROUND(C230*VLOOKUP(Instructions!$C$5,'S1&amp;2 Lists'!$AW$3:$AZ$280,4,FALSE)/1000,3),"Choose Grid on Instructions Page")</f>
        <v>Choose Grid on Instructions Page</v>
      </c>
    </row>
    <row r="231" spans="1:7" outlineLevel="1">
      <c r="B231" s="12" t="s">
        <v>2365</v>
      </c>
      <c r="C231" s="847"/>
      <c r="D231" s="847"/>
      <c r="E231" s="849">
        <f>C231*D231</f>
        <v>0</v>
      </c>
    </row>
    <row r="232" spans="1:7" outlineLevel="1">
      <c r="B232" s="779"/>
      <c r="C232" s="779"/>
      <c r="D232" s="779"/>
      <c r="E232" s="779"/>
      <c r="F232" s="779"/>
    </row>
    <row r="233" spans="1:7" s="844" customFormat="1" ht="17.5">
      <c r="A233" s="842" t="s">
        <v>2366</v>
      </c>
      <c r="B233" s="843" t="s">
        <v>2367</v>
      </c>
    </row>
    <row r="234" spans="1:7" ht="14.5" outlineLevel="1">
      <c r="B234" s="801"/>
      <c r="C234" s="16"/>
      <c r="D234" s="16"/>
      <c r="E234" s="16"/>
    </row>
    <row r="235" spans="1:7" ht="15" customHeight="1" outlineLevel="1">
      <c r="A235" s="1238" t="s">
        <v>2368</v>
      </c>
      <c r="B235" s="1238"/>
      <c r="C235" s="1238"/>
      <c r="D235" s="1238"/>
      <c r="E235" s="16"/>
      <c r="F235" s="16"/>
      <c r="G235" s="16"/>
    </row>
    <row r="236" spans="1:7" ht="15" customHeight="1" outlineLevel="1">
      <c r="A236" s="16"/>
      <c r="B236" s="16"/>
      <c r="C236" s="16"/>
      <c r="D236" s="16"/>
      <c r="E236" s="16"/>
      <c r="F236" s="16"/>
      <c r="G236" s="16"/>
    </row>
    <row r="237" spans="1:7" ht="15" customHeight="1" outlineLevel="1">
      <c r="A237" s="1235" t="s">
        <v>2309</v>
      </c>
      <c r="B237" s="1236"/>
      <c r="C237" s="1237"/>
      <c r="D237" s="1237"/>
      <c r="E237" s="779"/>
      <c r="F237" s="779"/>
    </row>
    <row r="238" spans="1:7" outlineLevel="1"/>
    <row r="239" spans="1:7" ht="14.5" outlineLevel="1">
      <c r="A239" s="801" t="s">
        <v>2327</v>
      </c>
      <c r="C239" s="16"/>
      <c r="D239" s="16"/>
      <c r="E239" s="16"/>
      <c r="F239" s="16"/>
    </row>
    <row r="240" spans="1:7" ht="79.5" customHeight="1" outlineLevel="1">
      <c r="A240" s="1233" t="s">
        <v>2369</v>
      </c>
      <c r="B240" s="1233"/>
      <c r="C240" s="1233"/>
      <c r="D240" s="1233"/>
      <c r="E240" s="782"/>
      <c r="F240" s="782"/>
      <c r="G240" s="782"/>
    </row>
    <row r="241" spans="1:8" ht="12" customHeight="1" outlineLevel="1">
      <c r="A241" s="850"/>
      <c r="B241" s="782"/>
      <c r="C241" s="782"/>
      <c r="D241" s="782"/>
      <c r="E241" s="782"/>
      <c r="F241" s="782"/>
      <c r="G241" s="782"/>
    </row>
    <row r="242" spans="1:8" ht="21.75" customHeight="1" outlineLevel="1">
      <c r="A242" s="850"/>
      <c r="B242" s="851" t="s">
        <v>2370</v>
      </c>
      <c r="C242" s="782"/>
      <c r="D242" s="782"/>
      <c r="E242" s="782"/>
      <c r="F242" s="782"/>
      <c r="G242" s="782"/>
    </row>
    <row r="243" spans="1:8" ht="39.75" customHeight="1" outlineLevel="1">
      <c r="A243" s="850"/>
      <c r="B243" s="782" t="s">
        <v>2371</v>
      </c>
      <c r="C243" s="782"/>
      <c r="D243" s="782"/>
      <c r="E243" s="782"/>
      <c r="F243" s="782"/>
      <c r="G243" s="782"/>
    </row>
    <row r="244" spans="1:8" ht="28" outlineLevel="1">
      <c r="A244" s="850"/>
      <c r="B244" s="845" t="s">
        <v>2372</v>
      </c>
      <c r="C244" s="845" t="s">
        <v>2362</v>
      </c>
      <c r="D244" s="845" t="s">
        <v>0</v>
      </c>
      <c r="E244" s="846" t="s">
        <v>2363</v>
      </c>
      <c r="F244" s="782"/>
      <c r="G244" s="845" t="s">
        <v>2315</v>
      </c>
      <c r="H244" s="845" t="s">
        <v>0</v>
      </c>
    </row>
    <row r="245" spans="1:8" ht="14.5" outlineLevel="1">
      <c r="A245" s="850"/>
      <c r="B245" s="852" t="s">
        <v>8</v>
      </c>
      <c r="C245" s="853"/>
      <c r="D245" s="854"/>
      <c r="E245" s="855" t="e">
        <f>+SUM(E246:E250)</f>
        <v>#N/A</v>
      </c>
      <c r="F245" s="782"/>
      <c r="G245" s="812"/>
      <c r="H245" s="812"/>
    </row>
    <row r="246" spans="1:8" ht="15" customHeight="1" outlineLevel="1">
      <c r="A246" s="856"/>
      <c r="B246" s="857" t="s">
        <v>2373</v>
      </c>
      <c r="C246" s="847"/>
      <c r="D246" s="858"/>
      <c r="E246" s="859" t="e">
        <f>$G246*VLOOKUP(Instructions!$C$5,'S1&amp;2 Lists'!$AW$3:$BV$280,22,TRUE)</f>
        <v>#N/A</v>
      </c>
      <c r="F246" s="860"/>
      <c r="G246" s="794">
        <f>IF($D246="1000 pounds",$C246*1194,
IF($D246="kbtu",$C246,
IF($D246="therms",$C246*100,
IF($D246="ton-hour",$C246*12,0))))</f>
        <v>0</v>
      </c>
      <c r="H246" s="815" t="s">
        <v>2374</v>
      </c>
    </row>
    <row r="247" spans="1:8" ht="15" customHeight="1" outlineLevel="1">
      <c r="A247" s="856"/>
      <c r="B247" s="857" t="s">
        <v>2375</v>
      </c>
      <c r="C247" s="847"/>
      <c r="D247" s="858"/>
      <c r="E247" s="859" t="e">
        <f>$G247*VLOOKUP(Instructions!$C$5,'S1&amp;2 Lists'!$AW$3:$BV$280,22,TRUE)</f>
        <v>#N/A</v>
      </c>
      <c r="F247" s="860"/>
      <c r="G247" s="794">
        <f>IF($D247="1000 pounds",$C247*1000,
IF($D247="kbtu",$C247,
IF($D247="therms",$C247*100,
IF($D247="ton-hour",$C247*12,0))))</f>
        <v>0</v>
      </c>
      <c r="H247" s="815" t="s">
        <v>2374</v>
      </c>
    </row>
    <row r="248" spans="1:8" ht="15" customHeight="1" outlineLevel="1">
      <c r="A248" s="861"/>
      <c r="B248" s="857" t="s">
        <v>2376</v>
      </c>
      <c r="C248" s="847"/>
      <c r="D248" s="858"/>
      <c r="E248" s="859" t="e">
        <f>$G248*VLOOKUP(Instructions!$C$5,'S1&amp;2 Lists'!$AW$3:$BV$280,22,TRUE)</f>
        <v>#N/A</v>
      </c>
      <c r="F248" s="860"/>
      <c r="G248" s="794">
        <f>IF($D248="1000 pounds",$C248*1000,
IF($D248="kbtu",$C248,
IF($D248="therms",$C248*100,
IF($D248="ton-hour",$C248*12,0))))</f>
        <v>0</v>
      </c>
      <c r="H248" s="815" t="s">
        <v>2374</v>
      </c>
    </row>
    <row r="249" spans="1:8" ht="15" customHeight="1" outlineLevel="1">
      <c r="A249" s="861"/>
      <c r="B249" s="857" t="s">
        <v>2377</v>
      </c>
      <c r="C249" s="847"/>
      <c r="D249" s="858"/>
      <c r="E249" s="859" t="e">
        <f>$G249*VLOOKUP(Instructions!$C$5,'S1&amp;2 Lists'!$AW$3:$BV$280,22,TRUE)</f>
        <v>#N/A</v>
      </c>
      <c r="F249" s="860"/>
      <c r="G249" s="794">
        <f>IF($D249="1000 pounds",$C249*1000,
IF($D249="kbtu",$C249,
IF($D249="therms",$C249*100,
IF($D249="ton-hour",$C249*12,0))))</f>
        <v>0</v>
      </c>
      <c r="H249" s="815" t="s">
        <v>2374</v>
      </c>
    </row>
    <row r="250" spans="1:8" ht="15" customHeight="1" outlineLevel="1">
      <c r="A250" s="861"/>
      <c r="B250" s="857" t="s">
        <v>2378</v>
      </c>
      <c r="C250" s="847"/>
      <c r="D250" s="858"/>
      <c r="E250" s="859" t="e">
        <f>$G250*VLOOKUP(Instructions!$C$5,'S1&amp;2 Lists'!$AW$3:$BV$280,22,TRUE)</f>
        <v>#N/A</v>
      </c>
      <c r="F250" s="860"/>
      <c r="G250" s="794">
        <f>IF($D250="1000 pounds",$C250*1000,
IF($D250="kbtu",$C250,
IF($D250="therms",$C250*100,
IF($D250="ton-hour",$C250*12,0))))</f>
        <v>0</v>
      </c>
      <c r="H250" s="815" t="s">
        <v>2374</v>
      </c>
    </row>
    <row r="251" spans="1:8" ht="15" customHeight="1" outlineLevel="1">
      <c r="A251" s="861"/>
      <c r="B251" s="861"/>
      <c r="C251" s="862"/>
      <c r="D251" s="862"/>
      <c r="E251" s="863"/>
      <c r="F251" s="860"/>
      <c r="G251" s="864"/>
    </row>
    <row r="252" spans="1:8" s="871" customFormat="1" ht="15" customHeight="1" outlineLevel="1">
      <c r="A252" s="865"/>
      <c r="B252" s="866"/>
      <c r="C252" s="867"/>
      <c r="D252" s="867"/>
      <c r="E252" s="868"/>
      <c r="F252" s="869"/>
      <c r="G252" s="870"/>
    </row>
    <row r="253" spans="1:8" s="871" customFormat="1" ht="36" customHeight="1" outlineLevel="1">
      <c r="A253" s="872"/>
      <c r="B253" s="873"/>
      <c r="C253" s="874"/>
      <c r="D253" s="874"/>
      <c r="E253" s="875"/>
      <c r="F253" s="874"/>
      <c r="G253" s="876"/>
    </row>
    <row r="254" spans="1:8" s="871" customFormat="1" ht="36" customHeight="1" outlineLevel="1">
      <c r="A254" s="872"/>
      <c r="B254" s="873"/>
      <c r="C254" s="874"/>
      <c r="D254" s="874"/>
      <c r="E254" s="874"/>
      <c r="F254" s="874"/>
      <c r="G254" s="876"/>
    </row>
    <row r="255" spans="1:8" s="871" customFormat="1" ht="19.5" customHeight="1" outlineLevel="1">
      <c r="A255" s="872"/>
      <c r="B255" s="873"/>
      <c r="C255" s="874"/>
      <c r="D255" s="874"/>
      <c r="E255" s="874"/>
      <c r="F255" s="874"/>
      <c r="G255" s="876"/>
    </row>
    <row r="256" spans="1:8" s="871" customFormat="1" ht="19.5" customHeight="1" outlineLevel="1">
      <c r="A256" s="872"/>
      <c r="B256" s="873"/>
      <c r="C256" s="874"/>
      <c r="D256" s="874"/>
      <c r="E256" s="874"/>
      <c r="F256" s="874"/>
      <c r="G256" s="876"/>
    </row>
    <row r="257" spans="1:10" s="871" customFormat="1" ht="28.5" customHeight="1" outlineLevel="1">
      <c r="A257" s="872"/>
      <c r="B257" s="873"/>
      <c r="C257" s="874"/>
      <c r="D257" s="874"/>
      <c r="E257" s="874"/>
      <c r="F257" s="874"/>
      <c r="G257" s="876"/>
    </row>
    <row r="258" spans="1:10" s="871" customFormat="1" ht="36" customHeight="1" outlineLevel="1">
      <c r="A258" s="872"/>
      <c r="B258" s="873"/>
      <c r="C258" s="874"/>
      <c r="D258" s="874"/>
      <c r="E258" s="874"/>
      <c r="F258" s="874"/>
      <c r="G258" s="876"/>
    </row>
    <row r="259" spans="1:10" s="871" customFormat="1" ht="15" customHeight="1" outlineLevel="1">
      <c r="A259" s="872"/>
      <c r="B259" s="877"/>
      <c r="C259" s="877"/>
      <c r="D259" s="877"/>
      <c r="E259" s="877"/>
      <c r="F259" s="877"/>
      <c r="G259" s="877"/>
    </row>
    <row r="260" spans="1:10" s="871" customFormat="1" ht="59.4" customHeight="1" outlineLevel="1">
      <c r="A260" s="872"/>
      <c r="B260" s="878"/>
      <c r="C260" s="878"/>
      <c r="D260" s="879"/>
      <c r="E260" s="879"/>
      <c r="F260" s="879"/>
      <c r="G260" s="879"/>
      <c r="H260" s="879"/>
      <c r="I260" s="879"/>
      <c r="J260" s="879"/>
    </row>
    <row r="261" spans="1:10" s="871" customFormat="1" ht="14.5" outlineLevel="1">
      <c r="A261" s="872"/>
      <c r="B261" s="1234"/>
      <c r="C261" s="1234"/>
      <c r="D261" s="1234"/>
      <c r="E261" s="1234"/>
      <c r="F261" s="880"/>
      <c r="G261" s="881"/>
      <c r="H261" s="881"/>
      <c r="I261" s="881"/>
      <c r="J261" s="881"/>
    </row>
    <row r="262" spans="1:10" s="871" customFormat="1" ht="21.9" customHeight="1" outlineLevel="1">
      <c r="A262" s="872"/>
      <c r="B262" s="882"/>
      <c r="C262" s="883"/>
      <c r="D262" s="884"/>
      <c r="E262" s="885"/>
      <c r="F262" s="880"/>
      <c r="G262" s="886"/>
      <c r="H262" s="886"/>
      <c r="I262" s="886"/>
      <c r="J262" s="886"/>
    </row>
    <row r="263" spans="1:10" s="871" customFormat="1" ht="21.9" customHeight="1" outlineLevel="1">
      <c r="A263" s="872"/>
      <c r="B263" s="882"/>
      <c r="C263" s="883"/>
      <c r="D263" s="884"/>
      <c r="E263" s="885"/>
      <c r="F263" s="880"/>
      <c r="G263" s="886"/>
      <c r="H263" s="886"/>
      <c r="I263" s="886"/>
      <c r="J263" s="886"/>
    </row>
    <row r="264" spans="1:10" s="871" customFormat="1" ht="21.9" customHeight="1" outlineLevel="1">
      <c r="A264" s="872"/>
      <c r="B264" s="882"/>
      <c r="C264" s="883"/>
      <c r="D264" s="884"/>
      <c r="E264" s="885"/>
      <c r="F264" s="880"/>
      <c r="G264" s="886"/>
      <c r="H264" s="886"/>
      <c r="I264" s="886"/>
      <c r="J264" s="886"/>
    </row>
    <row r="265" spans="1:10" s="871" customFormat="1" ht="14.5" outlineLevel="1">
      <c r="A265" s="887"/>
      <c r="B265" s="888"/>
      <c r="C265" s="883"/>
      <c r="D265" s="884"/>
      <c r="E265" s="885"/>
      <c r="F265" s="880"/>
      <c r="G265" s="886"/>
      <c r="H265" s="886"/>
      <c r="I265" s="886"/>
      <c r="J265" s="886"/>
    </row>
    <row r="266" spans="1:10" s="871" customFormat="1"/>
    <row r="268" spans="1:10">
      <c r="B268" s="781"/>
      <c r="C268" s="14"/>
    </row>
    <row r="272" spans="1:10" ht="20" collapsed="1">
      <c r="A272" s="774"/>
    </row>
    <row r="273" spans="1:7" ht="14.5">
      <c r="A273" s="16"/>
      <c r="B273" s="16"/>
      <c r="C273" s="16"/>
      <c r="D273" s="16"/>
      <c r="E273" s="16"/>
      <c r="F273" s="16"/>
      <c r="G273" s="16"/>
    </row>
    <row r="274" spans="1:7" ht="22.5" customHeight="1">
      <c r="A274" s="774"/>
      <c r="B274" s="889"/>
      <c r="C274" s="889"/>
      <c r="D274" s="889"/>
      <c r="E274" s="889"/>
      <c r="F274" s="889"/>
    </row>
    <row r="275" spans="1:7" ht="17.5">
      <c r="A275" s="890"/>
      <c r="B275" s="818"/>
    </row>
    <row r="276" spans="1:7" ht="19.5" customHeight="1" outlineLevel="1"/>
    <row r="277" spans="1:7" ht="17.25" customHeight="1" outlineLevel="1">
      <c r="A277" s="841"/>
      <c r="B277" s="841"/>
      <c r="C277" s="841"/>
      <c r="D277" s="841"/>
      <c r="E277" s="841"/>
      <c r="F277" s="841"/>
      <c r="G277" s="841"/>
    </row>
    <row r="278" spans="1:7" ht="15" customHeight="1" outlineLevel="1">
      <c r="B278" s="799"/>
      <c r="C278" s="799"/>
      <c r="D278" s="799"/>
      <c r="E278" s="799"/>
      <c r="F278" s="799"/>
      <c r="G278" s="799"/>
    </row>
    <row r="279" spans="1:7" ht="15" customHeight="1" outlineLevel="1">
      <c r="A279" s="800"/>
      <c r="B279" s="800"/>
      <c r="C279" s="1229"/>
      <c r="D279" s="1229"/>
      <c r="E279" s="779"/>
      <c r="F279" s="779"/>
    </row>
    <row r="280" spans="1:7" outlineLevel="1"/>
    <row r="281" spans="1:7" ht="14.5" outlineLevel="1">
      <c r="B281" s="801"/>
      <c r="C281" s="16"/>
      <c r="D281" s="16"/>
      <c r="E281" s="16"/>
      <c r="F281" s="16"/>
    </row>
    <row r="282" spans="1:7" ht="16.5" customHeight="1" outlineLevel="1">
      <c r="B282" s="1218"/>
      <c r="C282" s="1218"/>
      <c r="D282" s="1218"/>
      <c r="E282" s="1218"/>
      <c r="F282" s="891"/>
      <c r="G282" s="16"/>
    </row>
    <row r="283" spans="1:7" ht="15" customHeight="1" outlineLevel="1"/>
    <row r="284" spans="1:7" outlineLevel="1">
      <c r="B284" s="892"/>
      <c r="C284" s="893"/>
      <c r="D284" s="893"/>
      <c r="E284" s="893"/>
    </row>
    <row r="285" spans="1:7" outlineLevel="1">
      <c r="B285" s="894"/>
      <c r="C285" s="895"/>
      <c r="D285" s="896"/>
      <c r="E285" s="897"/>
    </row>
    <row r="286" spans="1:7" outlineLevel="1">
      <c r="C286" s="7"/>
      <c r="D286" s="8"/>
      <c r="E286" s="898"/>
    </row>
    <row r="287" spans="1:7" outlineLevel="1">
      <c r="C287" s="7"/>
      <c r="D287" s="8"/>
      <c r="E287" s="898"/>
    </row>
    <row r="288" spans="1:7" outlineLevel="1">
      <c r="C288" s="7"/>
      <c r="D288" s="8"/>
      <c r="E288" s="898"/>
    </row>
    <row r="289" spans="1:7" outlineLevel="1">
      <c r="C289" s="7"/>
      <c r="D289" s="8"/>
      <c r="E289" s="898"/>
    </row>
    <row r="290" spans="1:7" outlineLevel="1">
      <c r="C290" s="7"/>
      <c r="D290" s="8"/>
      <c r="E290" s="898"/>
    </row>
    <row r="291" spans="1:7" outlineLevel="1">
      <c r="C291" s="7"/>
      <c r="D291" s="8"/>
      <c r="E291" s="898"/>
    </row>
    <row r="292" spans="1:7" outlineLevel="1">
      <c r="C292" s="7"/>
      <c r="D292" s="8"/>
      <c r="E292" s="898"/>
    </row>
    <row r="293" spans="1:7" outlineLevel="1">
      <c r="C293" s="7"/>
      <c r="D293" s="8"/>
      <c r="E293" s="898"/>
    </row>
    <row r="294" spans="1:7" outlineLevel="1">
      <c r="C294" s="7"/>
      <c r="D294" s="8"/>
      <c r="E294" s="898"/>
    </row>
    <row r="295" spans="1:7" outlineLevel="1">
      <c r="C295" s="7"/>
      <c r="D295" s="8"/>
      <c r="E295" s="898"/>
    </row>
    <row r="296" spans="1:7" outlineLevel="1">
      <c r="C296" s="7"/>
      <c r="D296" s="8"/>
      <c r="E296" s="898"/>
    </row>
    <row r="297" spans="1:7" outlineLevel="1">
      <c r="C297" s="7"/>
      <c r="D297" s="8"/>
      <c r="E297" s="898"/>
    </row>
    <row r="298" spans="1:7" outlineLevel="1">
      <c r="C298" s="7"/>
      <c r="D298" s="8"/>
      <c r="E298" s="898"/>
    </row>
    <row r="299" spans="1:7" outlineLevel="1">
      <c r="C299" s="7"/>
      <c r="D299" s="8"/>
      <c r="E299" s="898"/>
    </row>
    <row r="300" spans="1:7" outlineLevel="1">
      <c r="C300" s="7"/>
      <c r="D300" s="8"/>
      <c r="E300" s="898"/>
    </row>
    <row r="301" spans="1:7" outlineLevel="1"/>
    <row r="302" spans="1:7" s="901" customFormat="1" ht="17.5">
      <c r="A302" s="899"/>
      <c r="B302" s="900"/>
    </row>
    <row r="303" spans="1:7" outlineLevel="1"/>
    <row r="304" spans="1:7" ht="14.5" outlineLevel="1">
      <c r="A304" s="736"/>
      <c r="B304" s="736"/>
      <c r="C304" s="736"/>
      <c r="D304" s="736"/>
      <c r="E304" s="736"/>
      <c r="F304" s="736"/>
      <c r="G304" s="736"/>
    </row>
    <row r="305" spans="1:7" ht="15" customHeight="1" outlineLevel="1">
      <c r="B305" s="799"/>
      <c r="C305" s="799"/>
      <c r="D305" s="799"/>
      <c r="E305" s="799"/>
      <c r="F305" s="799"/>
      <c r="G305" s="799"/>
    </row>
    <row r="306" spans="1:7" ht="15" customHeight="1" outlineLevel="1">
      <c r="A306" s="800"/>
      <c r="B306" s="800"/>
      <c r="C306" s="1229"/>
      <c r="D306" s="1229"/>
      <c r="E306" s="779"/>
      <c r="F306" s="779"/>
    </row>
    <row r="307" spans="1:7" outlineLevel="1"/>
    <row r="308" spans="1:7" ht="14.5" outlineLevel="1">
      <c r="B308" s="801"/>
      <c r="C308" s="16"/>
      <c r="D308" s="16"/>
      <c r="E308" s="16"/>
      <c r="F308" s="16"/>
    </row>
    <row r="309" spans="1:7" ht="18" customHeight="1" outlineLevel="1">
      <c r="B309" s="1218"/>
      <c r="C309" s="1218"/>
      <c r="D309" s="1218"/>
      <c r="E309" s="1218"/>
      <c r="F309" s="891"/>
    </row>
    <row r="310" spans="1:7" outlineLevel="1"/>
    <row r="311" spans="1:7" outlineLevel="1">
      <c r="B311" s="892"/>
      <c r="C311" s="893"/>
      <c r="D311" s="893"/>
      <c r="E311" s="893"/>
    </row>
    <row r="312" spans="1:7" outlineLevel="1">
      <c r="B312" s="894"/>
      <c r="C312" s="902"/>
      <c r="D312" s="896"/>
      <c r="E312" s="897"/>
    </row>
    <row r="313" spans="1:7" outlineLevel="1">
      <c r="C313" s="7"/>
      <c r="D313" s="8"/>
      <c r="E313" s="898"/>
    </row>
    <row r="314" spans="1:7" outlineLevel="1">
      <c r="C314" s="7"/>
      <c r="D314" s="8"/>
      <c r="E314" s="898"/>
    </row>
    <row r="315" spans="1:7" outlineLevel="1">
      <c r="C315" s="7"/>
      <c r="D315" s="8"/>
      <c r="E315" s="898"/>
    </row>
    <row r="316" spans="1:7" outlineLevel="1">
      <c r="C316" s="7"/>
      <c r="D316" s="8"/>
      <c r="E316" s="898"/>
    </row>
    <row r="317" spans="1:7" outlineLevel="1">
      <c r="C317" s="7"/>
      <c r="D317" s="8"/>
      <c r="E317" s="898"/>
    </row>
    <row r="318" spans="1:7" outlineLevel="1">
      <c r="C318" s="7"/>
      <c r="D318" s="8"/>
      <c r="E318" s="898"/>
    </row>
    <row r="319" spans="1:7" outlineLevel="1">
      <c r="C319" s="7"/>
      <c r="D319" s="8"/>
      <c r="E319" s="898"/>
    </row>
    <row r="320" spans="1:7" outlineLevel="1">
      <c r="C320" s="7"/>
      <c r="D320" s="8"/>
      <c r="E320" s="898"/>
    </row>
    <row r="321" spans="1:7" outlineLevel="1">
      <c r="C321" s="7"/>
      <c r="D321" s="8"/>
      <c r="E321" s="898"/>
    </row>
    <row r="322" spans="1:7" outlineLevel="1">
      <c r="C322" s="7"/>
      <c r="D322" s="8"/>
      <c r="E322" s="898"/>
    </row>
    <row r="323" spans="1:7" outlineLevel="1">
      <c r="C323" s="7"/>
      <c r="D323" s="8"/>
      <c r="E323" s="898"/>
    </row>
    <row r="324" spans="1:7" outlineLevel="1"/>
    <row r="325" spans="1:7" s="901" customFormat="1" ht="17.5">
      <c r="A325" s="899"/>
      <c r="B325" s="900"/>
    </row>
    <row r="326" spans="1:7" outlineLevel="1"/>
    <row r="327" spans="1:7" ht="14.5" outlineLevel="1">
      <c r="A327" s="736"/>
      <c r="B327" s="736"/>
      <c r="C327" s="736"/>
      <c r="D327" s="736"/>
      <c r="E327" s="736"/>
      <c r="F327" s="736"/>
      <c r="G327" s="736"/>
    </row>
    <row r="328" spans="1:7" ht="15" customHeight="1" outlineLevel="1">
      <c r="B328" s="799"/>
      <c r="C328" s="799"/>
      <c r="D328" s="799"/>
      <c r="E328" s="799"/>
      <c r="F328" s="799"/>
      <c r="G328" s="799"/>
    </row>
    <row r="329" spans="1:7" ht="15" customHeight="1" outlineLevel="1">
      <c r="A329" s="800"/>
      <c r="B329" s="800"/>
      <c r="C329" s="1229"/>
      <c r="D329" s="1229"/>
      <c r="E329" s="779"/>
      <c r="F329" s="779"/>
    </row>
    <row r="330" spans="1:7" outlineLevel="1"/>
    <row r="331" spans="1:7" ht="14.5" outlineLevel="1">
      <c r="B331" s="801"/>
      <c r="C331" s="16"/>
      <c r="D331" s="16"/>
      <c r="E331" s="16"/>
      <c r="F331" s="16"/>
    </row>
    <row r="332" spans="1:7" ht="57" customHeight="1" outlineLevel="1">
      <c r="B332" s="1218"/>
      <c r="C332" s="1218"/>
      <c r="D332" s="1218"/>
      <c r="E332" s="1218"/>
      <c r="F332" s="891"/>
    </row>
    <row r="333" spans="1:7" outlineLevel="1"/>
    <row r="334" spans="1:7" outlineLevel="1">
      <c r="B334" s="892"/>
      <c r="C334" s="760"/>
    </row>
    <row r="335" spans="1:7" outlineLevel="1"/>
    <row r="336" spans="1:7" outlineLevel="1"/>
    <row r="337" spans="2:5" outlineLevel="1">
      <c r="B337" s="892"/>
      <c r="C337" s="893"/>
      <c r="D337" s="893"/>
      <c r="E337" s="893"/>
    </row>
    <row r="338" spans="2:5" outlineLevel="1">
      <c r="B338" s="894"/>
      <c r="C338" s="902"/>
      <c r="D338" s="896"/>
      <c r="E338" s="897"/>
    </row>
    <row r="339" spans="2:5" outlineLevel="1">
      <c r="C339" s="7"/>
      <c r="D339" s="8"/>
      <c r="E339" s="898"/>
    </row>
    <row r="340" spans="2:5" outlineLevel="1">
      <c r="C340" s="7"/>
      <c r="D340" s="8"/>
      <c r="E340" s="898"/>
    </row>
    <row r="341" spans="2:5" outlineLevel="1">
      <c r="C341" s="7"/>
      <c r="D341" s="8"/>
      <c r="E341" s="898"/>
    </row>
    <row r="342" spans="2:5" outlineLevel="1">
      <c r="C342" s="7"/>
      <c r="D342" s="8"/>
      <c r="E342" s="898"/>
    </row>
    <row r="343" spans="2:5" outlineLevel="1">
      <c r="C343" s="7"/>
      <c r="D343" s="8"/>
      <c r="E343" s="898"/>
    </row>
    <row r="344" spans="2:5" outlineLevel="1">
      <c r="C344" s="7"/>
      <c r="D344" s="8"/>
      <c r="E344" s="898"/>
    </row>
    <row r="345" spans="2:5" outlineLevel="1">
      <c r="C345" s="7"/>
      <c r="D345" s="8"/>
      <c r="E345" s="898"/>
    </row>
    <row r="346" spans="2:5" outlineLevel="1">
      <c r="C346" s="7"/>
      <c r="D346" s="8"/>
      <c r="E346" s="898"/>
    </row>
    <row r="347" spans="2:5" outlineLevel="1">
      <c r="C347" s="7"/>
      <c r="D347" s="8"/>
      <c r="E347" s="898"/>
    </row>
    <row r="348" spans="2:5" outlineLevel="1">
      <c r="C348" s="7"/>
      <c r="D348" s="8"/>
      <c r="E348" s="898"/>
    </row>
    <row r="349" spans="2:5" outlineLevel="1">
      <c r="C349" s="7"/>
      <c r="D349" s="8"/>
      <c r="E349" s="898"/>
    </row>
    <row r="350" spans="2:5" outlineLevel="1"/>
    <row r="351" spans="2:5" outlineLevel="1"/>
    <row r="352" spans="2:5" outlineLevel="1">
      <c r="B352" s="892"/>
      <c r="C352" s="893"/>
      <c r="D352" s="893"/>
    </row>
    <row r="353" spans="1:7" outlineLevel="1">
      <c r="B353" s="894"/>
      <c r="C353" s="902"/>
      <c r="D353" s="897"/>
    </row>
    <row r="354" spans="1:7" outlineLevel="1">
      <c r="B354" s="903"/>
      <c r="C354" s="7"/>
      <c r="D354" s="904"/>
    </row>
    <row r="355" spans="1:7" outlineLevel="1">
      <c r="B355" s="903"/>
      <c r="C355" s="7"/>
      <c r="D355" s="904"/>
    </row>
    <row r="356" spans="1:7" outlineLevel="1">
      <c r="B356" s="903"/>
      <c r="C356" s="7"/>
      <c r="D356" s="904"/>
    </row>
    <row r="357" spans="1:7" outlineLevel="1">
      <c r="B357" s="903"/>
      <c r="C357" s="7"/>
      <c r="D357" s="904"/>
    </row>
    <row r="358" spans="1:7" outlineLevel="1">
      <c r="B358" s="903"/>
      <c r="C358" s="7"/>
      <c r="D358" s="904"/>
    </row>
    <row r="359" spans="1:7" outlineLevel="1">
      <c r="B359" s="903"/>
      <c r="C359" s="7"/>
      <c r="D359" s="904"/>
    </row>
    <row r="360" spans="1:7" outlineLevel="1">
      <c r="B360" s="903"/>
      <c r="C360" s="7"/>
      <c r="D360" s="904"/>
    </row>
    <row r="361" spans="1:7" outlineLevel="1"/>
    <row r="362" spans="1:7" ht="17.5">
      <c r="A362" s="890"/>
      <c r="B362" s="818"/>
    </row>
    <row r="363" spans="1:7" outlineLevel="1"/>
    <row r="364" spans="1:7" ht="15" customHeight="1" outlineLevel="1">
      <c r="A364" s="841"/>
      <c r="B364" s="841"/>
      <c r="C364" s="841"/>
      <c r="D364" s="841"/>
      <c r="E364" s="841"/>
      <c r="F364" s="841"/>
      <c r="G364" s="841"/>
    </row>
    <row r="365" spans="1:7" ht="15" customHeight="1" outlineLevel="1">
      <c r="B365" s="799"/>
      <c r="C365" s="799"/>
      <c r="D365" s="799"/>
      <c r="E365" s="799"/>
      <c r="F365" s="799"/>
      <c r="G365" s="799"/>
    </row>
    <row r="366" spans="1:7" ht="15" customHeight="1" outlineLevel="1">
      <c r="A366" s="800"/>
      <c r="B366" s="800"/>
      <c r="C366" s="1229"/>
      <c r="D366" s="1229"/>
      <c r="E366" s="779"/>
      <c r="F366" s="779"/>
    </row>
    <row r="367" spans="1:7" outlineLevel="1"/>
    <row r="368" spans="1:7" ht="14.5" outlineLevel="1">
      <c r="B368" s="801"/>
      <c r="C368" s="16"/>
      <c r="D368" s="16"/>
      <c r="E368" s="16"/>
      <c r="F368" s="16"/>
    </row>
    <row r="369" spans="1:7" ht="24" customHeight="1" outlineLevel="1">
      <c r="B369" s="782"/>
      <c r="C369" s="782"/>
      <c r="D369" s="782"/>
      <c r="E369" s="782"/>
      <c r="F369" s="782"/>
      <c r="G369" s="782"/>
    </row>
    <row r="370" spans="1:7" ht="19.5" customHeight="1" outlineLevel="1">
      <c r="B370" s="736"/>
      <c r="C370" s="736"/>
      <c r="D370" s="736"/>
      <c r="E370" s="736"/>
      <c r="F370" s="736"/>
      <c r="G370" s="782"/>
    </row>
    <row r="371" spans="1:7" ht="14.5" outlineLevel="1">
      <c r="B371" s="782"/>
      <c r="C371" s="782"/>
      <c r="D371" s="782"/>
      <c r="E371" s="782"/>
      <c r="F371" s="782"/>
      <c r="G371" s="782"/>
    </row>
    <row r="372" spans="1:7" outlineLevel="1">
      <c r="A372" s="905"/>
      <c r="B372" s="906"/>
    </row>
    <row r="373" spans="1:7" outlineLevel="1">
      <c r="A373" s="905"/>
      <c r="B373" s="906"/>
    </row>
    <row r="374" spans="1:7" outlineLevel="1">
      <c r="A374" s="905"/>
      <c r="B374" s="906"/>
    </row>
    <row r="375" spans="1:7" ht="15.9" customHeight="1" outlineLevel="1">
      <c r="A375" s="907"/>
    </row>
    <row r="376" spans="1:7" outlineLevel="1">
      <c r="A376" s="908"/>
      <c r="B376" s="892"/>
      <c r="C376" s="893"/>
      <c r="D376" s="893"/>
      <c r="E376" s="893"/>
    </row>
    <row r="377" spans="1:7" outlineLevel="1">
      <c r="B377" s="902"/>
      <c r="C377" s="902"/>
      <c r="D377" s="902"/>
      <c r="E377" s="896"/>
    </row>
    <row r="378" spans="1:7" outlineLevel="1">
      <c r="B378" s="902"/>
      <c r="C378" s="902"/>
      <c r="D378" s="902"/>
      <c r="E378" s="896"/>
    </row>
    <row r="379" spans="1:7" outlineLevel="1">
      <c r="B379" s="902"/>
      <c r="C379" s="902"/>
      <c r="D379" s="902"/>
      <c r="E379" s="896"/>
    </row>
    <row r="380" spans="1:7" ht="15.9" customHeight="1" outlineLevel="1">
      <c r="B380" s="909"/>
      <c r="C380" s="909"/>
      <c r="D380" s="909"/>
      <c r="E380" s="7"/>
    </row>
    <row r="381" spans="1:7" ht="15.9" customHeight="1" outlineLevel="1">
      <c r="B381" s="909"/>
      <c r="C381" s="909"/>
      <c r="D381" s="909"/>
      <c r="E381" s="7"/>
    </row>
    <row r="382" spans="1:7" ht="15.9" customHeight="1" outlineLevel="1">
      <c r="B382" s="909"/>
      <c r="C382" s="909"/>
      <c r="D382" s="909"/>
      <c r="E382" s="7"/>
    </row>
    <row r="383" spans="1:7" ht="15.9" customHeight="1" outlineLevel="1">
      <c r="B383" s="909"/>
      <c r="C383" s="909"/>
      <c r="D383" s="909"/>
      <c r="E383" s="7"/>
    </row>
    <row r="384" spans="1:7" ht="15.9" customHeight="1" outlineLevel="1">
      <c r="B384" s="909"/>
      <c r="C384" s="909"/>
      <c r="D384" s="909"/>
      <c r="E384" s="7"/>
    </row>
    <row r="385" spans="1:5" ht="15.9" customHeight="1" outlineLevel="1">
      <c r="B385" s="909"/>
      <c r="C385" s="909"/>
      <c r="D385" s="909"/>
      <c r="E385" s="7"/>
    </row>
    <row r="386" spans="1:5" ht="15.9" customHeight="1" outlineLevel="1">
      <c r="B386" s="909"/>
      <c r="C386" s="909"/>
      <c r="D386" s="909"/>
      <c r="E386" s="7"/>
    </row>
    <row r="387" spans="1:5" ht="15.9" customHeight="1" outlineLevel="1">
      <c r="B387" s="909"/>
      <c r="C387" s="909"/>
      <c r="D387" s="909"/>
      <c r="E387" s="7"/>
    </row>
    <row r="388" spans="1:5" ht="15.9" customHeight="1" outlineLevel="1">
      <c r="B388" s="909"/>
      <c r="C388" s="909"/>
      <c r="D388" s="909"/>
      <c r="E388" s="7"/>
    </row>
    <row r="389" spans="1:5" ht="15.9" customHeight="1" outlineLevel="1">
      <c r="B389" s="909"/>
      <c r="C389" s="909"/>
      <c r="D389" s="909"/>
      <c r="E389" s="7"/>
    </row>
    <row r="390" spans="1:5" ht="15.9" customHeight="1" outlineLevel="1"/>
    <row r="391" spans="1:5" ht="14.5" outlineLevel="1">
      <c r="A391" s="910"/>
    </row>
    <row r="392" spans="1:5" outlineLevel="1">
      <c r="B392" s="892"/>
      <c r="C392" s="893"/>
      <c r="D392" s="893"/>
      <c r="E392" s="893"/>
    </row>
    <row r="393" spans="1:5" outlineLevel="1">
      <c r="B393" s="902"/>
      <c r="C393" s="902"/>
      <c r="D393" s="902"/>
      <c r="E393" s="896"/>
    </row>
    <row r="394" spans="1:5" outlineLevel="1">
      <c r="B394" s="902"/>
      <c r="C394" s="902"/>
      <c r="D394" s="902"/>
      <c r="E394" s="896"/>
    </row>
    <row r="395" spans="1:5" outlineLevel="1">
      <c r="B395" s="902"/>
      <c r="C395" s="902"/>
      <c r="D395" s="902"/>
      <c r="E395" s="896"/>
    </row>
    <row r="396" spans="1:5" ht="15.9" customHeight="1" outlineLevel="1">
      <c r="B396" s="909"/>
      <c r="C396" s="909"/>
      <c r="D396" s="909"/>
      <c r="E396" s="7"/>
    </row>
    <row r="397" spans="1:5" ht="15.9" customHeight="1" outlineLevel="1">
      <c r="B397" s="909"/>
      <c r="C397" s="909"/>
      <c r="D397" s="909"/>
      <c r="E397" s="7"/>
    </row>
    <row r="398" spans="1:5" ht="15.9" customHeight="1" outlineLevel="1">
      <c r="B398" s="909"/>
      <c r="C398" s="909"/>
      <c r="D398" s="909"/>
      <c r="E398" s="7"/>
    </row>
    <row r="399" spans="1:5" ht="15.9" customHeight="1" outlineLevel="1">
      <c r="B399" s="909"/>
      <c r="C399" s="909"/>
      <c r="D399" s="909"/>
      <c r="E399" s="7"/>
    </row>
    <row r="400" spans="1:5" ht="15.9" customHeight="1" outlineLevel="1">
      <c r="B400" s="909"/>
      <c r="C400" s="909"/>
      <c r="D400" s="909"/>
      <c r="E400" s="7"/>
    </row>
    <row r="401" spans="1:5" ht="15.9" customHeight="1" outlineLevel="1">
      <c r="B401" s="909"/>
      <c r="C401" s="909"/>
      <c r="D401" s="909"/>
      <c r="E401" s="7"/>
    </row>
    <row r="402" spans="1:5" ht="15.9" customHeight="1" outlineLevel="1">
      <c r="B402" s="909"/>
      <c r="C402" s="909"/>
      <c r="D402" s="909"/>
      <c r="E402" s="7"/>
    </row>
    <row r="403" spans="1:5" ht="15.9" customHeight="1" outlineLevel="1">
      <c r="B403" s="909"/>
      <c r="C403" s="909"/>
      <c r="D403" s="909"/>
      <c r="E403" s="7"/>
    </row>
    <row r="404" spans="1:5" ht="15.9" customHeight="1" outlineLevel="1">
      <c r="B404" s="909"/>
      <c r="C404" s="909"/>
      <c r="D404" s="909"/>
      <c r="E404" s="7"/>
    </row>
    <row r="405" spans="1:5" ht="15.9" customHeight="1" outlineLevel="1">
      <c r="B405" s="909"/>
      <c r="C405" s="909"/>
      <c r="D405" s="909"/>
      <c r="E405" s="7"/>
    </row>
    <row r="406" spans="1:5" outlineLevel="1"/>
    <row r="407" spans="1:5" ht="14.5" outlineLevel="1">
      <c r="A407" s="910"/>
    </row>
    <row r="408" spans="1:5" outlineLevel="1">
      <c r="B408" s="892"/>
      <c r="C408" s="893"/>
      <c r="D408" s="893"/>
      <c r="E408" s="893"/>
    </row>
    <row r="409" spans="1:5" outlineLevel="1">
      <c r="B409" s="902"/>
      <c r="C409" s="902"/>
      <c r="D409" s="902"/>
      <c r="E409" s="896"/>
    </row>
    <row r="410" spans="1:5" outlineLevel="1">
      <c r="B410" s="902"/>
      <c r="C410" s="902"/>
      <c r="D410" s="902"/>
      <c r="E410" s="896"/>
    </row>
    <row r="411" spans="1:5" outlineLevel="1">
      <c r="B411" s="902"/>
      <c r="C411" s="902"/>
      <c r="D411" s="902"/>
      <c r="E411" s="896"/>
    </row>
    <row r="412" spans="1:5" ht="15.9" customHeight="1" outlineLevel="1">
      <c r="B412" s="909"/>
      <c r="C412" s="909"/>
      <c r="D412" s="909"/>
      <c r="E412" s="7"/>
    </row>
    <row r="413" spans="1:5" ht="15.9" customHeight="1" outlineLevel="1">
      <c r="B413" s="909"/>
      <c r="C413" s="909"/>
      <c r="D413" s="909"/>
      <c r="E413" s="7"/>
    </row>
    <row r="414" spans="1:5" ht="15.9" customHeight="1" outlineLevel="1">
      <c r="B414" s="909"/>
      <c r="C414" s="909"/>
      <c r="D414" s="909"/>
      <c r="E414" s="7"/>
    </row>
    <row r="415" spans="1:5" ht="15.9" customHeight="1" outlineLevel="1">
      <c r="B415" s="909"/>
      <c r="C415" s="909"/>
      <c r="D415" s="909"/>
      <c r="E415" s="7"/>
    </row>
    <row r="416" spans="1:5" ht="15.9" customHeight="1" outlineLevel="1">
      <c r="B416" s="909"/>
      <c r="C416" s="909"/>
      <c r="D416" s="909"/>
      <c r="E416" s="7"/>
    </row>
    <row r="417" spans="1:5" ht="15.9" customHeight="1" outlineLevel="1">
      <c r="B417" s="909"/>
      <c r="C417" s="909"/>
      <c r="D417" s="909"/>
      <c r="E417" s="7"/>
    </row>
    <row r="418" spans="1:5" ht="15.9" customHeight="1" outlineLevel="1">
      <c r="B418" s="909"/>
      <c r="C418" s="909"/>
      <c r="D418" s="909"/>
      <c r="E418" s="7"/>
    </row>
    <row r="419" spans="1:5" ht="15.9" customHeight="1" outlineLevel="1">
      <c r="B419" s="909"/>
      <c r="C419" s="909"/>
      <c r="D419" s="909"/>
      <c r="E419" s="7"/>
    </row>
    <row r="420" spans="1:5" ht="15.9" customHeight="1" outlineLevel="1">
      <c r="B420" s="909"/>
      <c r="C420" s="909"/>
      <c r="D420" s="909"/>
      <c r="E420" s="7"/>
    </row>
    <row r="421" spans="1:5" ht="15.9" customHeight="1" outlineLevel="1">
      <c r="B421" s="909"/>
      <c r="C421" s="909"/>
      <c r="D421" s="909"/>
      <c r="E421" s="7"/>
    </row>
    <row r="422" spans="1:5" ht="15.9" customHeight="1" outlineLevel="1">
      <c r="B422" s="7"/>
      <c r="C422" s="7"/>
      <c r="D422" s="7"/>
      <c r="E422" s="7"/>
    </row>
    <row r="423" spans="1:5" ht="15.9" customHeight="1" outlineLevel="1">
      <c r="B423" s="910"/>
      <c r="C423" s="911"/>
      <c r="D423" s="7"/>
      <c r="E423" s="7"/>
    </row>
    <row r="424" spans="1:5" ht="15.9" customHeight="1" outlineLevel="1">
      <c r="B424" s="912"/>
      <c r="C424" s="7"/>
      <c r="D424" s="7"/>
      <c r="E424" s="7"/>
    </row>
    <row r="425" spans="1:5" ht="15.9" customHeight="1" outlineLevel="1">
      <c r="B425" s="910"/>
      <c r="C425" s="913"/>
      <c r="D425" s="7"/>
      <c r="E425" s="7"/>
    </row>
    <row r="426" spans="1:5" outlineLevel="1">
      <c r="A426" s="905"/>
      <c r="B426" s="1228"/>
      <c r="C426" s="1228"/>
      <c r="D426" s="1228"/>
      <c r="E426" s="1228"/>
    </row>
    <row r="427" spans="1:5" outlineLevel="1">
      <c r="A427" s="893"/>
      <c r="B427" s="893"/>
      <c r="C427" s="893"/>
      <c r="D427" s="893"/>
      <c r="E427" s="893"/>
    </row>
    <row r="428" spans="1:5" outlineLevel="1">
      <c r="A428" s="894"/>
      <c r="B428" s="7"/>
      <c r="C428" s="7"/>
      <c r="D428" s="7"/>
      <c r="E428" s="7"/>
    </row>
    <row r="429" spans="1:5" outlineLevel="1">
      <c r="A429" s="894"/>
      <c r="B429" s="7"/>
      <c r="C429" s="7"/>
      <c r="D429" s="7"/>
      <c r="E429" s="7"/>
    </row>
    <row r="430" spans="1:5" outlineLevel="1">
      <c r="A430" s="894"/>
      <c r="B430" s="7"/>
      <c r="C430" s="7"/>
      <c r="D430" s="7"/>
      <c r="E430" s="7"/>
    </row>
    <row r="431" spans="1:5" outlineLevel="1">
      <c r="A431" s="894"/>
      <c r="B431" s="7"/>
      <c r="C431" s="7"/>
      <c r="D431" s="7"/>
      <c r="E431" s="7"/>
    </row>
    <row r="432" spans="1:5" outlineLevel="1">
      <c r="A432" s="905"/>
      <c r="B432" s="1228"/>
      <c r="C432" s="1228"/>
      <c r="D432" s="1228"/>
      <c r="E432" s="1228"/>
    </row>
    <row r="433" spans="1:7" outlineLevel="1">
      <c r="A433" s="893"/>
      <c r="B433" s="893"/>
      <c r="C433" s="893"/>
      <c r="D433" s="893"/>
      <c r="E433" s="893"/>
    </row>
    <row r="434" spans="1:7" outlineLevel="1">
      <c r="A434" s="894"/>
      <c r="B434" s="7"/>
      <c r="C434" s="7"/>
      <c r="D434" s="7"/>
      <c r="E434" s="7"/>
    </row>
    <row r="435" spans="1:7" outlineLevel="1">
      <c r="A435" s="894"/>
      <c r="B435" s="7"/>
      <c r="C435" s="7"/>
      <c r="D435" s="7"/>
      <c r="E435" s="7"/>
    </row>
    <row r="436" spans="1:7" ht="15.9" customHeight="1" outlineLevel="1">
      <c r="A436" s="894"/>
      <c r="B436" s="7"/>
      <c r="C436" s="7"/>
      <c r="D436" s="7"/>
      <c r="E436" s="7"/>
    </row>
    <row r="437" spans="1:7" ht="15.9" customHeight="1" outlineLevel="1">
      <c r="A437" s="894"/>
      <c r="B437" s="7"/>
      <c r="C437" s="7"/>
      <c r="D437" s="7"/>
      <c r="E437" s="7"/>
    </row>
    <row r="438" spans="1:7" outlineLevel="1"/>
    <row r="439" spans="1:7" s="901" customFormat="1" ht="17.5">
      <c r="A439" s="890"/>
      <c r="B439" s="818"/>
      <c r="C439"/>
      <c r="D439"/>
      <c r="E439"/>
    </row>
    <row r="440" spans="1:7" outlineLevel="1"/>
    <row r="441" spans="1:7" ht="30.9" customHeight="1" outlineLevel="1">
      <c r="A441" s="16"/>
      <c r="B441" s="16"/>
      <c r="C441" s="16"/>
      <c r="D441" s="16"/>
      <c r="E441" s="16"/>
      <c r="F441" s="16"/>
      <c r="G441" s="16"/>
    </row>
    <row r="442" spans="1:7" outlineLevel="1"/>
    <row r="443" spans="1:7" outlineLevel="1">
      <c r="A443" s="800"/>
      <c r="B443" s="800"/>
      <c r="C443" s="1232"/>
      <c r="D443" s="1232"/>
    </row>
    <row r="444" spans="1:7" outlineLevel="1"/>
    <row r="445" spans="1:7" outlineLevel="1">
      <c r="B445" s="892"/>
      <c r="C445" s="892"/>
      <c r="D445" s="892"/>
      <c r="E445" s="893"/>
    </row>
    <row r="446" spans="1:7" outlineLevel="1">
      <c r="B446" s="893"/>
      <c r="C446" s="7"/>
      <c r="D446" s="7"/>
      <c r="E446" s="8"/>
    </row>
    <row r="447" spans="1:7" outlineLevel="1">
      <c r="B447" s="893"/>
      <c r="C447" s="7"/>
      <c r="D447" s="7"/>
      <c r="E447" s="8"/>
    </row>
    <row r="448" spans="1:7" outlineLevel="1"/>
    <row r="449" spans="1:7" ht="15" customHeight="1">
      <c r="A449" s="890"/>
      <c r="B449" s="818"/>
    </row>
    <row r="450" spans="1:7" ht="12" customHeight="1"/>
    <row r="451" spans="1:7" ht="14.4" customHeight="1">
      <c r="A451" s="841"/>
      <c r="B451" s="841"/>
      <c r="C451" s="841"/>
      <c r="D451" s="841"/>
      <c r="E451" s="841"/>
      <c r="F451" s="841"/>
      <c r="G451" s="841"/>
    </row>
    <row r="452" spans="1:7">
      <c r="B452" s="799"/>
      <c r="C452" s="799"/>
      <c r="D452" s="799"/>
      <c r="E452" s="799"/>
      <c r="F452" s="799"/>
      <c r="G452" s="799"/>
    </row>
    <row r="453" spans="1:7">
      <c r="A453" s="800"/>
      <c r="B453" s="800"/>
      <c r="C453" s="1229"/>
      <c r="D453" s="1229"/>
      <c r="E453" s="779"/>
      <c r="F453" s="779"/>
    </row>
    <row r="455" spans="1:7" ht="14.5">
      <c r="B455" s="801"/>
      <c r="C455" s="16"/>
      <c r="D455" s="16"/>
      <c r="E455" s="16"/>
      <c r="F455" s="16"/>
    </row>
    <row r="456" spans="1:7" ht="14.5">
      <c r="B456" s="1218"/>
      <c r="C456" s="1218"/>
      <c r="D456" s="1218"/>
      <c r="E456" s="1218"/>
      <c r="F456" s="891"/>
      <c r="G456" s="16"/>
    </row>
    <row r="457" spans="1:7" ht="14.5">
      <c r="B457" s="736"/>
      <c r="C457" s="736"/>
      <c r="D457" s="736"/>
      <c r="E457" s="736"/>
      <c r="F457" s="16"/>
      <c r="G457" s="16"/>
    </row>
    <row r="458" spans="1:7" ht="23.25" customHeight="1">
      <c r="C458" s="893"/>
      <c r="D458" s="892"/>
      <c r="E458" s="893"/>
    </row>
    <row r="459" spans="1:7">
      <c r="C459" s="914"/>
      <c r="D459" s="915"/>
      <c r="E459" s="914"/>
    </row>
    <row r="461" spans="1:7">
      <c r="B461" s="781"/>
      <c r="C461" s="916"/>
    </row>
    <row r="462" spans="1:7">
      <c r="B462" s="781"/>
      <c r="C462" s="916"/>
    </row>
    <row r="464" spans="1:7" ht="20" collapsed="1">
      <c r="A464" s="774"/>
    </row>
    <row r="465" spans="1:7" ht="14.5">
      <c r="A465" s="16"/>
      <c r="B465" s="16"/>
      <c r="C465" s="16"/>
      <c r="D465" s="16"/>
      <c r="E465" s="16"/>
      <c r="F465" s="16"/>
      <c r="G465" s="16"/>
    </row>
    <row r="466" spans="1:7" ht="14.5">
      <c r="A466" s="16"/>
      <c r="B466" s="16"/>
      <c r="C466" s="16"/>
      <c r="D466" s="16"/>
      <c r="E466" s="16"/>
      <c r="F466" s="16"/>
      <c r="G466" s="16"/>
    </row>
    <row r="467" spans="1:7" ht="16.5">
      <c r="A467" s="917"/>
    </row>
    <row r="468" spans="1:7" ht="24" customHeight="1" outlineLevel="1">
      <c r="B468" s="801"/>
      <c r="C468" s="16"/>
      <c r="D468" s="16"/>
      <c r="E468" s="16"/>
      <c r="F468" s="16"/>
      <c r="G468" s="16"/>
    </row>
    <row r="469" spans="1:7" ht="17.25" customHeight="1" outlineLevel="1">
      <c r="A469" s="16"/>
      <c r="B469" s="782"/>
      <c r="C469" s="782"/>
      <c r="D469" s="782"/>
      <c r="E469" s="782"/>
      <c r="F469" s="782"/>
      <c r="G469" s="782"/>
    </row>
    <row r="470" spans="1:7" ht="14.5" outlineLevel="1">
      <c r="A470" s="16"/>
      <c r="B470" s="16"/>
      <c r="C470" s="16"/>
      <c r="D470" s="16"/>
      <c r="E470" s="16"/>
      <c r="F470" s="16"/>
      <c r="G470" s="16"/>
    </row>
    <row r="471" spans="1:7" ht="14.5" outlineLevel="1">
      <c r="A471" s="16"/>
      <c r="B471" s="893"/>
      <c r="C471" s="918"/>
      <c r="D471" s="16"/>
      <c r="E471" s="16"/>
      <c r="F471" s="16"/>
      <c r="G471" s="16"/>
    </row>
    <row r="472" spans="1:7" ht="20" outlineLevel="1">
      <c r="A472" s="774"/>
      <c r="B472" s="919"/>
      <c r="C472" s="916"/>
      <c r="D472" s="920"/>
    </row>
    <row r="473" spans="1:7" ht="20" outlineLevel="1">
      <c r="A473" s="774"/>
      <c r="B473" s="919"/>
      <c r="C473" s="916"/>
      <c r="D473" s="920"/>
    </row>
    <row r="474" spans="1:7" ht="20" outlineLevel="1">
      <c r="A474" s="774"/>
      <c r="B474" s="919"/>
      <c r="C474" s="916"/>
      <c r="D474" s="920"/>
    </row>
    <row r="475" spans="1:7" ht="20" outlineLevel="1">
      <c r="A475" s="774"/>
      <c r="B475" s="919"/>
      <c r="C475" s="916"/>
      <c r="D475" s="920"/>
    </row>
    <row r="476" spans="1:7" ht="20" outlineLevel="1">
      <c r="A476" s="774"/>
      <c r="B476" s="919"/>
      <c r="C476" s="916"/>
      <c r="D476" s="920"/>
    </row>
    <row r="477" spans="1:7" ht="20" outlineLevel="1">
      <c r="A477" s="774"/>
      <c r="B477" s="919"/>
      <c r="C477" s="916"/>
      <c r="D477" s="920"/>
    </row>
    <row r="478" spans="1:7" ht="20" outlineLevel="1">
      <c r="A478" s="774"/>
      <c r="B478" s="919"/>
      <c r="C478" s="916"/>
      <c r="D478" s="920"/>
    </row>
    <row r="479" spans="1:7" ht="20" outlineLevel="1">
      <c r="A479" s="774"/>
      <c r="B479" s="919"/>
      <c r="C479" s="916"/>
      <c r="D479" s="920"/>
    </row>
    <row r="480" spans="1:7" ht="20" outlineLevel="1">
      <c r="A480" s="774"/>
      <c r="B480" s="919"/>
      <c r="C480" s="921"/>
    </row>
    <row r="482" spans="1:11" s="923" customFormat="1" ht="16.5">
      <c r="A482" s="922"/>
      <c r="B482"/>
      <c r="C482"/>
      <c r="D482"/>
    </row>
    <row r="483" spans="1:11" outlineLevel="1"/>
    <row r="484" spans="1:11" outlineLevel="1">
      <c r="A484" s="924"/>
      <c r="B484" s="924"/>
      <c r="C484" s="924"/>
      <c r="D484" s="924"/>
      <c r="E484" s="924"/>
      <c r="F484" s="924"/>
      <c r="G484" s="924"/>
    </row>
    <row r="485" spans="1:11" ht="15" customHeight="1" outlineLevel="1">
      <c r="B485" s="799"/>
      <c r="C485" s="799"/>
      <c r="D485" s="799"/>
      <c r="E485" s="799"/>
      <c r="F485" s="799"/>
      <c r="G485" s="799"/>
    </row>
    <row r="486" spans="1:11" ht="15" customHeight="1" outlineLevel="1">
      <c r="A486" s="800"/>
      <c r="B486" s="800"/>
      <c r="C486" s="1229"/>
      <c r="D486" s="1229"/>
      <c r="E486" s="779"/>
      <c r="F486" s="779"/>
    </row>
    <row r="487" spans="1:11" ht="16.5" outlineLevel="1">
      <c r="A487" s="925"/>
    </row>
    <row r="488" spans="1:11" outlineLevel="1">
      <c r="A488" s="800"/>
      <c r="B488" s="800"/>
      <c r="C488" s="1229"/>
      <c r="D488" s="1229"/>
    </row>
    <row r="489" spans="1:11" ht="15.5" outlineLevel="1">
      <c r="A489" s="22"/>
      <c r="B489" s="22"/>
    </row>
    <row r="490" spans="1:11" ht="16.5" outlineLevel="1">
      <c r="A490" s="925"/>
    </row>
    <row r="491" spans="1:11" ht="17.5" outlineLevel="1">
      <c r="A491" s="818"/>
      <c r="B491" s="801"/>
      <c r="C491" s="16"/>
      <c r="D491" s="16"/>
      <c r="E491" s="16"/>
      <c r="F491" s="16"/>
    </row>
    <row r="492" spans="1:11" ht="14.5" outlineLevel="1">
      <c r="A492" s="850"/>
      <c r="B492" s="782"/>
      <c r="C492" s="782"/>
      <c r="D492" s="782"/>
      <c r="E492" s="782"/>
      <c r="F492" s="782"/>
      <c r="G492" s="782"/>
    </row>
    <row r="493" spans="1:11" ht="14.4" customHeight="1" outlineLevel="1">
      <c r="A493" s="850"/>
      <c r="B493" s="16"/>
      <c r="C493" s="16"/>
      <c r="D493" s="16"/>
      <c r="E493" s="16"/>
      <c r="F493" s="16"/>
      <c r="G493" s="16"/>
    </row>
    <row r="494" spans="1:11" ht="14.5" outlineLevel="1">
      <c r="A494" s="850"/>
      <c r="B494" s="782"/>
      <c r="C494" s="782"/>
      <c r="D494" s="782"/>
      <c r="E494" s="782"/>
      <c r="F494" s="782"/>
      <c r="G494" s="782"/>
    </row>
    <row r="495" spans="1:11" ht="14.5" outlineLevel="1">
      <c r="A495" s="850"/>
      <c r="B495" s="782"/>
      <c r="C495" s="782"/>
      <c r="D495" s="782"/>
      <c r="E495" s="782"/>
      <c r="F495" s="782"/>
      <c r="G495" s="782"/>
    </row>
    <row r="496" spans="1:11" ht="21.75" customHeight="1" outlineLevel="1">
      <c r="B496" s="893"/>
      <c r="C496" s="893"/>
      <c r="J496" s="893"/>
      <c r="K496" s="893"/>
    </row>
    <row r="497" spans="1:11" ht="21.75" customHeight="1" outlineLevel="1">
      <c r="B497" s="760"/>
      <c r="C497" s="760"/>
      <c r="J497" s="926"/>
      <c r="K497" s="892"/>
    </row>
    <row r="498" spans="1:11" ht="21.75" customHeight="1" outlineLevel="1"/>
    <row r="499" spans="1:11" ht="21.75" customHeight="1" outlineLevel="1">
      <c r="B499" s="893"/>
      <c r="C499" s="760"/>
      <c r="D499" s="927"/>
    </row>
    <row r="500" spans="1:11" ht="21.75" customHeight="1" outlineLevel="1">
      <c r="C500" s="918"/>
      <c r="D500" s="927"/>
    </row>
    <row r="501" spans="1:11" ht="21.75" customHeight="1" outlineLevel="1">
      <c r="C501" s="760"/>
      <c r="D501" s="927"/>
    </row>
    <row r="502" spans="1:11" ht="21.75" customHeight="1" outlineLevel="1"/>
    <row r="503" spans="1:11" ht="21.75" customHeight="1" outlineLevel="1">
      <c r="B503" s="893"/>
      <c r="C503" s="928"/>
    </row>
    <row r="504" spans="1:11" ht="21.75" customHeight="1" outlineLevel="1">
      <c r="B504" s="893"/>
      <c r="C504" s="928"/>
    </row>
    <row r="505" spans="1:11" ht="21.75" customHeight="1" outlineLevel="1"/>
    <row r="506" spans="1:11" ht="21.75" customHeight="1">
      <c r="A506" s="917"/>
    </row>
    <row r="507" spans="1:11" ht="21.75" customHeight="1" outlineLevel="1">
      <c r="A507" s="929"/>
    </row>
    <row r="508" spans="1:11" ht="21.75" customHeight="1" outlineLevel="1">
      <c r="A508" s="13"/>
      <c r="B508" s="13"/>
      <c r="C508" s="13"/>
      <c r="D508" s="13"/>
      <c r="E508" s="13"/>
      <c r="F508" s="13"/>
      <c r="G508" s="13"/>
      <c r="H508" s="930"/>
    </row>
    <row r="509" spans="1:11" ht="21.75" customHeight="1" outlineLevel="1">
      <c r="B509" s="799"/>
      <c r="C509" s="799"/>
      <c r="D509" s="799"/>
      <c r="E509" s="799"/>
      <c r="F509" s="799"/>
      <c r="G509" s="799"/>
    </row>
    <row r="510" spans="1:11" ht="21.75" customHeight="1" outlineLevel="1">
      <c r="A510" s="800"/>
      <c r="B510" s="800"/>
      <c r="C510" s="1231"/>
      <c r="D510" s="1231"/>
      <c r="E510" s="779"/>
      <c r="F510" s="779"/>
    </row>
    <row r="511" spans="1:11" ht="21.75" customHeight="1" outlineLevel="1">
      <c r="A511" s="925"/>
    </row>
    <row r="512" spans="1:11" ht="21.75" customHeight="1" outlineLevel="1">
      <c r="A512" s="800"/>
      <c r="B512" s="800"/>
      <c r="C512" s="1229"/>
      <c r="D512" s="1229"/>
    </row>
    <row r="513" spans="1:11" ht="21.75" customHeight="1" outlineLevel="1">
      <c r="A513" s="22"/>
      <c r="B513" s="22"/>
    </row>
    <row r="514" spans="1:11" ht="21.75" customHeight="1" outlineLevel="1">
      <c r="A514" s="929"/>
    </row>
    <row r="515" spans="1:11" ht="21.75" customHeight="1" outlineLevel="1">
      <c r="A515" s="929"/>
      <c r="B515" s="801"/>
      <c r="C515" s="16"/>
      <c r="D515" s="16"/>
      <c r="E515" s="16"/>
      <c r="F515" s="16"/>
    </row>
    <row r="516" spans="1:11" ht="21.75" customHeight="1" outlineLevel="1">
      <c r="A516" s="929"/>
      <c r="B516" s="16"/>
      <c r="C516" s="16"/>
      <c r="D516" s="16"/>
      <c r="E516" s="16"/>
      <c r="F516" s="16"/>
      <c r="G516" s="16"/>
    </row>
    <row r="517" spans="1:11" ht="21.75" customHeight="1" outlineLevel="1">
      <c r="A517" s="929"/>
      <c r="B517" s="16"/>
      <c r="C517" s="16"/>
      <c r="D517" s="16"/>
      <c r="E517" s="16"/>
      <c r="F517" s="16"/>
      <c r="G517" s="16"/>
    </row>
    <row r="518" spans="1:11" ht="21.75" customHeight="1" outlineLevel="1">
      <c r="A518" s="929"/>
    </row>
    <row r="519" spans="1:11" ht="21.75" customHeight="1" outlineLevel="1">
      <c r="C519" s="1228"/>
      <c r="D519" s="1228"/>
      <c r="E519" s="1228"/>
    </row>
    <row r="520" spans="1:11" ht="21.75" customHeight="1" outlineLevel="1">
      <c r="A520" s="893"/>
      <c r="B520" s="893"/>
      <c r="C520" s="893"/>
      <c r="D520" s="893"/>
      <c r="E520" s="893"/>
      <c r="J520" s="893"/>
      <c r="K520" s="893"/>
    </row>
    <row r="521" spans="1:11" ht="21.75" customHeight="1" outlineLevel="1">
      <c r="A521" s="909"/>
      <c r="B521" s="909"/>
      <c r="C521" s="8"/>
      <c r="D521" s="8"/>
      <c r="E521" s="8"/>
      <c r="J521" s="7"/>
      <c r="K521" s="7"/>
    </row>
    <row r="522" spans="1:11" ht="21.75" customHeight="1" outlineLevel="1">
      <c r="A522" s="929"/>
    </row>
    <row r="523" spans="1:11" s="901" customFormat="1" ht="16.5">
      <c r="A523" s="922"/>
    </row>
    <row r="524" spans="1:11" outlineLevel="1"/>
    <row r="525" spans="1:11" ht="35.25" customHeight="1" outlineLevel="1">
      <c r="A525" s="13"/>
      <c r="B525" s="13"/>
      <c r="C525" s="13"/>
      <c r="D525" s="13"/>
      <c r="E525" s="13"/>
      <c r="F525" s="13"/>
      <c r="G525" s="13"/>
      <c r="H525" s="930"/>
    </row>
    <row r="526" spans="1:11" ht="15" customHeight="1" outlineLevel="1">
      <c r="B526" s="799"/>
      <c r="C526" s="799"/>
      <c r="D526" s="799"/>
      <c r="E526" s="799"/>
      <c r="F526" s="799"/>
      <c r="G526" s="799"/>
    </row>
    <row r="527" spans="1:11" ht="15" customHeight="1" outlineLevel="1">
      <c r="A527" s="800"/>
      <c r="B527" s="800"/>
      <c r="C527" s="1229"/>
      <c r="D527" s="1229"/>
      <c r="E527" s="779"/>
      <c r="F527" s="779"/>
    </row>
    <row r="528" spans="1:11" ht="16.5" outlineLevel="1">
      <c r="A528" s="925"/>
    </row>
    <row r="529" spans="1:12" outlineLevel="1">
      <c r="A529" s="800"/>
      <c r="B529" s="800"/>
      <c r="C529" s="1229"/>
      <c r="D529" s="1229"/>
    </row>
    <row r="530" spans="1:12" ht="15.5" outlineLevel="1">
      <c r="A530" s="22"/>
      <c r="B530" s="22"/>
    </row>
    <row r="531" spans="1:12" outlineLevel="1"/>
    <row r="532" spans="1:12" ht="14.5" outlineLevel="1">
      <c r="B532" s="801"/>
      <c r="C532" s="16"/>
      <c r="D532" s="16"/>
      <c r="E532" s="16"/>
      <c r="F532" s="16"/>
    </row>
    <row r="533" spans="1:12" ht="15" customHeight="1" outlineLevel="1">
      <c r="B533" s="782"/>
      <c r="C533" s="782"/>
      <c r="D533" s="782"/>
      <c r="E533" s="782"/>
      <c r="F533" s="782"/>
      <c r="G533" s="831"/>
    </row>
    <row r="534" spans="1:12" ht="15" customHeight="1" outlineLevel="1">
      <c r="B534" s="16"/>
      <c r="C534" s="16"/>
      <c r="D534" s="16"/>
      <c r="E534" s="16"/>
      <c r="F534" s="16"/>
    </row>
    <row r="535" spans="1:12" ht="14.5" outlineLevel="1">
      <c r="K535" s="931"/>
    </row>
    <row r="536" spans="1:12" ht="14.5" outlineLevel="1">
      <c r="A536" s="893"/>
      <c r="B536" s="893"/>
      <c r="C536" s="893"/>
      <c r="D536" s="932"/>
      <c r="E536" s="932"/>
      <c r="F536" s="932"/>
      <c r="G536" s="932"/>
      <c r="H536" s="933"/>
      <c r="I536" s="893"/>
      <c r="K536" s="893"/>
      <c r="L536" s="893"/>
    </row>
    <row r="537" spans="1:12" outlineLevel="1">
      <c r="A537" s="934"/>
      <c r="B537" s="934"/>
      <c r="C537" s="934"/>
      <c r="D537" s="934"/>
      <c r="E537" s="934"/>
      <c r="F537" s="934"/>
      <c r="G537" s="934"/>
      <c r="H537" s="934"/>
      <c r="I537" s="8"/>
      <c r="K537" s="934"/>
      <c r="L537" s="934"/>
    </row>
    <row r="538" spans="1:12" outlineLevel="1">
      <c r="A538" s="7"/>
      <c r="B538" s="760"/>
      <c r="C538" s="760"/>
      <c r="D538" s="934"/>
      <c r="E538" s="934"/>
      <c r="F538" s="934"/>
      <c r="G538" s="934"/>
      <c r="H538" s="934"/>
      <c r="I538" s="926"/>
      <c r="K538" s="8"/>
      <c r="L538" s="7"/>
    </row>
    <row r="539" spans="1:12" outlineLevel="1">
      <c r="A539" s="7"/>
      <c r="B539" s="760"/>
      <c r="C539" s="760"/>
      <c r="D539" s="7"/>
      <c r="E539" s="7"/>
      <c r="F539" s="7"/>
      <c r="G539" s="7"/>
      <c r="H539" s="935"/>
      <c r="I539" s="926"/>
      <c r="K539" s="8"/>
      <c r="L539" s="7"/>
    </row>
    <row r="540" spans="1:12" outlineLevel="1">
      <c r="A540" s="7"/>
      <c r="B540" s="760"/>
      <c r="C540" s="760"/>
      <c r="D540" s="7"/>
      <c r="E540" s="7"/>
      <c r="F540" s="7"/>
      <c r="G540" s="7"/>
      <c r="H540" s="935"/>
      <c r="I540" s="926"/>
      <c r="J540" s="7"/>
      <c r="K540" s="8"/>
      <c r="L540" s="7"/>
    </row>
    <row r="541" spans="1:12" outlineLevel="1"/>
    <row r="542" spans="1:12" outlineLevel="1"/>
    <row r="544" spans="1:12" ht="20">
      <c r="A544" s="774"/>
      <c r="B544" s="889"/>
      <c r="C544" s="889"/>
      <c r="D544" s="889"/>
      <c r="E544" s="889"/>
      <c r="F544" s="889"/>
    </row>
    <row r="546" spans="2:5">
      <c r="B546" s="1230"/>
      <c r="C546" s="1230"/>
      <c r="D546" s="1230"/>
      <c r="E546" s="1230"/>
    </row>
    <row r="547" spans="2:5">
      <c r="B547" s="1230"/>
      <c r="C547" s="1230"/>
      <c r="D547" s="1230"/>
      <c r="E547" s="1230"/>
    </row>
    <row r="548" spans="2:5">
      <c r="B548" s="1230"/>
      <c r="C548" s="1230"/>
      <c r="D548" s="1230"/>
      <c r="E548" s="1230"/>
    </row>
  </sheetData>
  <sheetProtection algorithmName="SHA-512" hashValue="3CLwqslovJsrPNa3WZ6Pb6wwF9hM/RFHAommoP1f/2xFBSs45KCKba8t0TYwq+EacoH91j1Q6+0OG61L80MWTQ==" saltValue="q+jCkeMnUu3XsTPvK1dyhg==" spinCount="100000" sheet="1" objects="1" scenarios="1"/>
  <mergeCells count="59">
    <mergeCell ref="A23:B23"/>
    <mergeCell ref="A4:E4"/>
    <mergeCell ref="A13:G13"/>
    <mergeCell ref="A17:G17"/>
    <mergeCell ref="A19:G19"/>
    <mergeCell ref="C21:D21"/>
    <mergeCell ref="A70:H70"/>
    <mergeCell ref="A24:G24"/>
    <mergeCell ref="A25:G25"/>
    <mergeCell ref="D27:G27"/>
    <mergeCell ref="A42:G42"/>
    <mergeCell ref="A43:G43"/>
    <mergeCell ref="A45:B45"/>
    <mergeCell ref="C45:D45"/>
    <mergeCell ref="A49:D49"/>
    <mergeCell ref="A50:D50"/>
    <mergeCell ref="A51:D51"/>
    <mergeCell ref="A52:D52"/>
    <mergeCell ref="B68:C68"/>
    <mergeCell ref="A222:D222"/>
    <mergeCell ref="A72:B72"/>
    <mergeCell ref="C72:D72"/>
    <mergeCell ref="A75:D75"/>
    <mergeCell ref="A199:G199"/>
    <mergeCell ref="A201:B201"/>
    <mergeCell ref="C201:D201"/>
    <mergeCell ref="A204:D204"/>
    <mergeCell ref="C206:C208"/>
    <mergeCell ref="D206:D208"/>
    <mergeCell ref="E206:E208"/>
    <mergeCell ref="A218:G218"/>
    <mergeCell ref="A224:B224"/>
    <mergeCell ref="C224:D224"/>
    <mergeCell ref="A227:D227"/>
    <mergeCell ref="A235:D235"/>
    <mergeCell ref="A237:B237"/>
    <mergeCell ref="C237:D237"/>
    <mergeCell ref="C443:D443"/>
    <mergeCell ref="A240:D240"/>
    <mergeCell ref="B261:E261"/>
    <mergeCell ref="C279:D279"/>
    <mergeCell ref="B282:E282"/>
    <mergeCell ref="C306:D306"/>
    <mergeCell ref="B309:E309"/>
    <mergeCell ref="C329:D329"/>
    <mergeCell ref="B332:E332"/>
    <mergeCell ref="C366:D366"/>
    <mergeCell ref="B426:E426"/>
    <mergeCell ref="B432:E432"/>
    <mergeCell ref="C519:E519"/>
    <mergeCell ref="C527:D527"/>
    <mergeCell ref="C529:D529"/>
    <mergeCell ref="B546:E548"/>
    <mergeCell ref="C453:D453"/>
    <mergeCell ref="B456:E456"/>
    <mergeCell ref="C486:D486"/>
    <mergeCell ref="C488:D488"/>
    <mergeCell ref="C510:D510"/>
    <mergeCell ref="C512:D512"/>
  </mergeCells>
  <conditionalFormatting sqref="A27:D27">
    <cfRule type="expression" dxfId="10" priority="5">
      <formula>$C$21&lt;&gt;$B$6</formula>
    </cfRule>
  </conditionalFormatting>
  <conditionalFormatting sqref="A28:G38">
    <cfRule type="expression" dxfId="9" priority="4">
      <formula>$C$21&lt;&gt;$B$6</formula>
    </cfRule>
  </conditionalFormatting>
  <conditionalFormatting sqref="A55:H57 A58:E58 J58:K65 A59:H65">
    <cfRule type="expression" dxfId="8" priority="8">
      <formula>$C$45&lt;&gt;$B$6</formula>
    </cfRule>
  </conditionalFormatting>
  <conditionalFormatting sqref="A242:U243 A244:F250 I244:U250">
    <cfRule type="expression" dxfId="7" priority="2">
      <formula>AND(LEFT(Country_region,3)&lt;&gt;"US-",LEFT(Country_region,6)&lt;&gt;"Canada")</formula>
    </cfRule>
  </conditionalFormatting>
  <conditionalFormatting sqref="B77:E195">
    <cfRule type="expression" dxfId="6" priority="7">
      <formula>$C$72&lt;&gt;$B$6</formula>
    </cfRule>
  </conditionalFormatting>
  <conditionalFormatting sqref="B206:E206 B207:C208 E207:E208 B209:E215">
    <cfRule type="expression" dxfId="5" priority="6">
      <formula>$C$201&lt;&gt;$B$6</formula>
    </cfRule>
  </conditionalFormatting>
  <conditionalFormatting sqref="G244:H250">
    <cfRule type="expression" dxfId="4" priority="1">
      <formula>$C$45&lt;&gt;$B$6</formula>
    </cfRule>
  </conditionalFormatting>
  <conditionalFormatting sqref="I27:J28">
    <cfRule type="expression" dxfId="3" priority="3">
      <formula>$C$21&lt;&gt;$B$6</formula>
    </cfRule>
  </conditionalFormatting>
  <conditionalFormatting sqref="I30:J38">
    <cfRule type="expression" dxfId="2" priority="9">
      <formula>$C$21&lt;&gt;$B$6</formula>
    </cfRule>
  </conditionalFormatting>
  <dataValidations count="11">
    <dataValidation type="list" allowBlank="1" showInputMessage="1" showErrorMessage="1" sqref="C461:C462" xr:uid="{68ECB76C-3AAD-410B-A029-EE83D7643574}">
      <formula1>$CN$3:$CN$4</formula1>
    </dataValidation>
    <dataValidation type="list" allowBlank="1" showInputMessage="1" showErrorMessage="1" sqref="B521 C538:C540 C497" xr:uid="{B4EEA3CA-BD8D-44E0-A853-B27E2090D508}">
      <formula1>$CY$3:$CY$5</formula1>
    </dataValidation>
    <dataValidation type="list" allowBlank="1" showInputMessage="1" showErrorMessage="1" sqref="C529:D529 C488:D488" xr:uid="{E20C9D7F-EAFD-44E6-AEE8-BD7D7A1E8BE5}">
      <formula1>$DA$3:$DA$4</formula1>
    </dataValidation>
    <dataValidation type="list" allowBlank="1" showInputMessage="1" showErrorMessage="1" sqref="C412:C422 C396:C405" xr:uid="{C2B97EF9-2F63-4117-90BB-00AAB9B6A521}">
      <formula1>$DC$3:$DC$4</formula1>
    </dataValidation>
    <dataValidation type="list" allowBlank="1" showInputMessage="1" showErrorMessage="1" sqref="C262:C265" xr:uid="{2E0F8977-BA73-4628-8BAF-C7A0770EFC47}">
      <formula1>$DR$3:$DR$9</formula1>
    </dataValidation>
    <dataValidation type="decimal" operator="greaterThanOrEqual" allowBlank="1" showInputMessage="1" showErrorMessage="1" error="You can only enter numbers in this cell" sqref="C246" xr:uid="{89D79575-BD37-4993-8CE1-4F4ACBD085C8}">
      <formula1>0</formula1>
    </dataValidation>
    <dataValidation type="decimal" operator="greaterThanOrEqual" allowBlank="1" showInputMessage="1" showErrorMessage="1" error="You can only enter numbers in this cell." sqref="C230 C247:C250 B30:B38" xr:uid="{9BFC378D-0861-4622-85C5-57C28C15CFE1}">
      <formula1>0</formula1>
    </dataValidation>
    <dataValidation type="list" allowBlank="1" showInputMessage="1" showErrorMessage="1" sqref="C499:C501" xr:uid="{976A2491-EE07-46EB-895E-61CDD32A7734}">
      <formula1>"X"</formula1>
    </dataValidation>
    <dataValidation type="decimal" operator="greaterThan" allowBlank="1" showInputMessage="1" showErrorMessage="1" error="Solo puede ingresar números en esta celda." sqref="C472:C479" xr:uid="{013212F6-DC37-4559-8941-1E416540C16D}">
      <formula1>0</formula1>
    </dataValidation>
    <dataValidation type="decimal" operator="greaterThanOrEqual" allowBlank="1" showInputMessage="1" showErrorMessage="1" error="Solo puede ingresar números en esta celda." sqref="C39 B538:B540 B497 A521 C446:C447 C238 C231:C232 C234" xr:uid="{56E0E497-7165-407E-8773-0E4B66FE57E2}">
      <formula1>0</formula1>
    </dataValidation>
    <dataValidation type="list" allowBlank="1" showInputMessage="1" showErrorMessage="1" sqref="C306:D306 C21:D21 C279:D279 C329:D329 C527:D527 C486:D486 C224:D224 C201:D201 C45:D45 C72:D72 C510:D510 C366:D366 C453:D453 C237:D237" xr:uid="{4C21A8F7-B8E5-4189-9572-321D8F75E4F8}">
      <formula1>$B$6:$B$9</formula1>
    </dataValidation>
  </dataValidations>
  <hyperlinks>
    <hyperlink ref="F75" location="Refrigerants!A1" display="Complete &quot;Refrigerants&quot; sheet" xr:uid="{2C6622C7-5418-456A-BCE6-1DBB3237295B}"/>
    <hyperlink ref="F204" location="'Anesthetic Gases'!A1" display="Completar planilla &quot;Gases medicinales&quot;" xr:uid="{6CB642F0-953B-4508-B4CF-38D9AD70B582}"/>
  </hyperlinks>
  <pageMargins left="0.25" right="0.25" top="0.75" bottom="0.75" header="0.3" footer="0.3"/>
  <pageSetup paperSize="9" scale="47" orientation="landscape" r:id="rId1"/>
  <rowBreaks count="2" manualBreakCount="2">
    <brk id="38" max="16383" man="1"/>
    <brk id="195" max="16383" man="1"/>
  </rowBreaks>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D3C36215-2950-49EE-8340-E4DE8FBE8377}">
          <x14:formula1>
            <xm:f>'S1&amp;2 Lists'!$CU$3:$CU$8</xm:f>
          </x14:formula1>
          <xm:sqref>C30</xm:sqref>
        </x14:dataValidation>
        <x14:dataValidation type="list" allowBlank="1" showInputMessage="1" showErrorMessage="1" xr:uid="{D3CFA993-7875-49CA-AEA7-CA9EB2268B83}">
          <x14:formula1>
            <xm:f>'S1&amp;2 Lists'!$DS$3:$DS$6</xm:f>
          </x14:formula1>
          <xm:sqref>D246:D250</xm:sqref>
        </x14:dataValidation>
        <x14:dataValidation type="list" allowBlank="1" showInputMessage="1" showErrorMessage="1" xr:uid="{69FE9D66-F081-4A50-BA93-B8D27B6C5D1D}">
          <x14:formula1>
            <xm:f>'S1&amp;2 Lists'!$CM$3:$CM$4</xm:f>
          </x14:formula1>
          <xm:sqref>C471</xm:sqref>
        </x14:dataValidation>
        <x14:dataValidation type="list" allowBlank="1" showInputMessage="1" showErrorMessage="1" xr:uid="{2BCBF4E5-DCF4-47AC-ACE8-AC78ED836C9B}">
          <x14:formula1>
            <xm:f>'S1&amp;2 Lists'!$AR$3:$AR$5</xm:f>
          </x14:formula1>
          <xm:sqref>C334</xm:sqref>
        </x14:dataValidation>
        <x14:dataValidation type="list" allowBlank="1" showInputMessage="1" showErrorMessage="1" xr:uid="{0BED544C-68B3-4B57-84BE-E2371BD88917}">
          <x14:formula1>
            <xm:f>'S1&amp;2 Lists'!$CU$3:$CU$6</xm:f>
          </x14:formula1>
          <xm:sqref>D63</xm:sqref>
        </x14:dataValidation>
        <x14:dataValidation type="list" allowBlank="1" showInputMessage="1" showErrorMessage="1" xr:uid="{05855B0B-B9C8-4D8C-B831-410FCEA68170}">
          <x14:formula1>
            <xm:f>'S1&amp;2 Lists'!$CV$3:$CV$9</xm:f>
          </x14:formula1>
          <xm:sqref>C34</xm:sqref>
        </x14:dataValidation>
        <x14:dataValidation type="list" allowBlank="1" showInputMessage="1" showErrorMessage="1" xr:uid="{1262555C-D414-42E2-8026-F71E10B1554F}">
          <x14:formula1>
            <xm:f>'S1&amp;2 Lists'!$CX$3:$CX$5</xm:f>
          </x14:formula1>
          <xm:sqref>C36:C37</xm:sqref>
        </x14:dataValidation>
        <x14:dataValidation type="list" allowBlank="1" showInputMessage="1" showErrorMessage="1" xr:uid="{07250F8E-F26F-4837-B45B-952A4385BDDC}">
          <x14:formula1>
            <xm:f>'S1&amp;2 Lists'!$CZ$3:$CZ$4</xm:f>
          </x14:formula1>
          <xm:sqref>C512:D512</xm:sqref>
        </x14:dataValidation>
        <x14:dataValidation type="list" allowBlank="1" showInputMessage="1" showErrorMessage="1" xr:uid="{8585AD55-CB64-4AEB-B623-0837AFAE4AA7}">
          <x14:formula1>
            <xm:f>'S1&amp;2 Lists'!$DB$3:$DB$4</xm:f>
          </x14:formula1>
          <xm:sqref>C380:C389</xm:sqref>
        </x14:dataValidation>
        <x14:dataValidation type="list" allowBlank="1" showInputMessage="1" showErrorMessage="1" xr:uid="{3376907F-3F7F-481A-B4CF-414750AA2CBC}">
          <x14:formula1>
            <xm:f>'S1&amp;2 Lists'!$DQ$3:$DQ$9</xm:f>
          </x14:formula1>
          <xm:sqref>D266:D270</xm:sqref>
        </x14:dataValidation>
        <x14:dataValidation type="list" allowBlank="1" showInputMessage="1" showErrorMessage="1" xr:uid="{79B35216-B249-4F5C-AB46-10733F32E11D}">
          <x14:formula1>
            <xm:f>'S1&amp;2 Lists'!$CW$3:$CW$4</xm:f>
          </x14:formula1>
          <xm:sqref>D61:D62 C35 C38 C31:C33</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tabColor rgb="FF94E494"/>
  </sheetPr>
  <dimension ref="A1:M58"/>
  <sheetViews>
    <sheetView zoomScale="120" zoomScaleNormal="120" workbookViewId="0">
      <selection activeCell="C4" sqref="C4"/>
    </sheetView>
  </sheetViews>
  <sheetFormatPr defaultColWidth="8" defaultRowHeight="14"/>
  <cols>
    <col min="2" max="2" width="55.4140625" customWidth="1"/>
    <col min="3" max="3" width="22.5" customWidth="1"/>
    <col min="8" max="8" width="46.5" customWidth="1"/>
    <col min="11" max="11" width="56.58203125" customWidth="1"/>
    <col min="13" max="13" width="9.4140625" customWidth="1"/>
  </cols>
  <sheetData>
    <row r="1" spans="1:11" ht="151.5" customHeight="1">
      <c r="A1" s="17" t="s">
        <v>74</v>
      </c>
      <c r="B1" s="17" t="s">
        <v>75</v>
      </c>
      <c r="C1" s="17" t="s">
        <v>76</v>
      </c>
      <c r="D1" s="17" t="s">
        <v>77</v>
      </c>
      <c r="E1" s="10"/>
      <c r="F1" s="10"/>
      <c r="G1" s="17" t="s">
        <v>78</v>
      </c>
      <c r="H1" s="17" t="s">
        <v>79</v>
      </c>
      <c r="I1" s="17" t="s">
        <v>80</v>
      </c>
      <c r="J1" s="17" t="s">
        <v>81</v>
      </c>
      <c r="K1" s="17" t="s">
        <v>82</v>
      </c>
    </row>
    <row r="2" spans="1:11">
      <c r="A2" s="18" t="s">
        <v>27</v>
      </c>
      <c r="B2" s="18" t="s">
        <v>73</v>
      </c>
      <c r="C2" s="18" t="e">
        <f>VLOOKUP(#REF!,#REF!,5)</f>
        <v>#REF!</v>
      </c>
      <c r="D2" s="18" t="s">
        <v>83</v>
      </c>
      <c r="E2" s="10"/>
      <c r="F2" s="10"/>
      <c r="G2" s="18"/>
      <c r="H2" s="18" t="s">
        <v>84</v>
      </c>
      <c r="I2" s="18" t="s">
        <v>85</v>
      </c>
      <c r="J2" s="18" t="s">
        <v>73</v>
      </c>
      <c r="K2" s="18" t="s">
        <v>29</v>
      </c>
    </row>
    <row r="3" spans="1:11">
      <c r="A3" s="10">
        <v>1</v>
      </c>
      <c r="B3" s="10" t="s">
        <v>86</v>
      </c>
      <c r="C3" s="19" t="e">
        <f>VLOOKUP(C$2&amp;B3,#REF!,2,FALSE)</f>
        <v>#REF!</v>
      </c>
      <c r="D3" s="10">
        <v>1</v>
      </c>
      <c r="E3" s="10"/>
      <c r="F3" s="10"/>
      <c r="G3" s="10">
        <v>1</v>
      </c>
      <c r="H3" s="10" t="s">
        <v>87</v>
      </c>
      <c r="I3" s="19" t="e">
        <f>C3</f>
        <v>#REF!</v>
      </c>
      <c r="J3" s="10">
        <v>1</v>
      </c>
      <c r="K3" s="10"/>
    </row>
    <row r="4" spans="1:11">
      <c r="A4" s="10">
        <v>2</v>
      </c>
      <c r="B4" s="10" t="s">
        <v>88</v>
      </c>
      <c r="C4" s="19" t="e">
        <f>VLOOKUP(C$2&amp;B4,#REF!,2,FALSE)</f>
        <v>#REF!</v>
      </c>
      <c r="D4" s="10"/>
      <c r="E4" s="10"/>
      <c r="F4" s="10"/>
      <c r="G4" s="10">
        <v>2</v>
      </c>
      <c r="H4" s="10" t="s">
        <v>89</v>
      </c>
      <c r="I4" s="19" t="e">
        <f>C5</f>
        <v>#REF!</v>
      </c>
      <c r="J4" s="10">
        <v>3</v>
      </c>
      <c r="K4" s="10"/>
    </row>
    <row r="5" spans="1:11">
      <c r="A5" s="10">
        <v>3</v>
      </c>
      <c r="B5" s="10" t="s">
        <v>90</v>
      </c>
      <c r="C5" s="19" t="e">
        <f>VLOOKUP(C$2&amp;B5,#REF!,2,FALSE)</f>
        <v>#REF!</v>
      </c>
      <c r="D5" s="10">
        <v>2</v>
      </c>
      <c r="E5" s="10"/>
      <c r="F5" s="10"/>
      <c r="G5" s="10">
        <v>3</v>
      </c>
      <c r="H5" s="10" t="s">
        <v>91</v>
      </c>
      <c r="I5" s="19" t="e">
        <f>C6</f>
        <v>#REF!</v>
      </c>
      <c r="J5" s="10">
        <v>4</v>
      </c>
      <c r="K5" s="10"/>
    </row>
    <row r="6" spans="1:11">
      <c r="A6" s="10">
        <v>4</v>
      </c>
      <c r="B6" s="10" t="s">
        <v>92</v>
      </c>
      <c r="C6" s="19" t="e">
        <f>VLOOKUP(C$2&amp;B6,#REF!,2,FALSE)</f>
        <v>#REF!</v>
      </c>
      <c r="D6" s="10">
        <v>3</v>
      </c>
      <c r="E6" s="10"/>
      <c r="F6" s="10"/>
      <c r="G6" s="10">
        <v>4</v>
      </c>
      <c r="H6" s="10" t="s">
        <v>93</v>
      </c>
      <c r="I6" s="19" t="e">
        <f>C7</f>
        <v>#REF!</v>
      </c>
      <c r="J6" s="10">
        <v>5</v>
      </c>
      <c r="K6" s="10"/>
    </row>
    <row r="7" spans="1:11">
      <c r="A7" s="10">
        <v>5</v>
      </c>
      <c r="B7" s="10" t="s">
        <v>94</v>
      </c>
      <c r="C7" s="19" t="e">
        <f>VLOOKUP(C$2&amp;B7,#REF!,2,FALSE)</f>
        <v>#REF!</v>
      </c>
      <c r="D7" s="10">
        <v>4</v>
      </c>
      <c r="E7" s="10"/>
      <c r="F7" s="10"/>
      <c r="G7" s="10">
        <v>5</v>
      </c>
      <c r="H7" s="10" t="s">
        <v>95</v>
      </c>
      <c r="I7" s="19" t="e">
        <f>C8</f>
        <v>#REF!</v>
      </c>
      <c r="J7" s="10">
        <v>6</v>
      </c>
      <c r="K7" s="10"/>
    </row>
    <row r="8" spans="1:11">
      <c r="A8" s="10">
        <v>6</v>
      </c>
      <c r="B8" s="10" t="s">
        <v>96</v>
      </c>
      <c r="C8" s="19" t="e">
        <f>VLOOKUP(C$2&amp;B8,#REF!,2,FALSE)</f>
        <v>#REF!</v>
      </c>
      <c r="D8" s="10" t="s">
        <v>97</v>
      </c>
      <c r="E8" s="10"/>
      <c r="F8" s="10"/>
      <c r="G8" s="10">
        <v>6</v>
      </c>
      <c r="H8" s="10" t="s">
        <v>98</v>
      </c>
      <c r="I8" s="19" t="e">
        <f>AVERAGEIF(C9:C10,"&lt;&gt;0")</f>
        <v>#REF!</v>
      </c>
      <c r="J8" s="10" t="s">
        <v>99</v>
      </c>
      <c r="K8" s="10" t="s">
        <v>100</v>
      </c>
    </row>
    <row r="9" spans="1:11">
      <c r="A9" s="10">
        <v>7</v>
      </c>
      <c r="B9" s="10" t="s">
        <v>101</v>
      </c>
      <c r="C9" s="19" t="e">
        <f>VLOOKUP(C$2&amp;B9,#REF!,2,FALSE)</f>
        <v>#REF!</v>
      </c>
      <c r="D9" s="10">
        <v>6</v>
      </c>
      <c r="E9" s="10"/>
      <c r="F9" s="10"/>
      <c r="G9" s="10">
        <v>7</v>
      </c>
      <c r="H9" s="10" t="s">
        <v>102</v>
      </c>
      <c r="I9" s="19" t="e">
        <f>(C12+C13+C16)/((C12&lt;&gt;0)+(C13&lt;&gt;0)+(C16&lt;&gt;0))</f>
        <v>#REF!</v>
      </c>
      <c r="J9" s="10" t="s">
        <v>103</v>
      </c>
      <c r="K9" s="10" t="s">
        <v>104</v>
      </c>
    </row>
    <row r="10" spans="1:11">
      <c r="A10" s="10">
        <v>8</v>
      </c>
      <c r="B10" s="10" t="s">
        <v>105</v>
      </c>
      <c r="C10" s="19" t="e">
        <f>VLOOKUP(C$2&amp;B10,#REF!,2,FALSE)</f>
        <v>#REF!</v>
      </c>
      <c r="D10" s="10">
        <v>6</v>
      </c>
      <c r="E10" s="10"/>
      <c r="F10" s="10"/>
      <c r="G10" s="10">
        <v>8</v>
      </c>
      <c r="H10" s="10" t="s">
        <v>106</v>
      </c>
      <c r="I10" s="19" t="e">
        <f>AVERAGEIF(C17:C18,"&lt;&gt;0")</f>
        <v>#REF!</v>
      </c>
      <c r="J10" s="10" t="s">
        <v>107</v>
      </c>
      <c r="K10" s="10" t="s">
        <v>108</v>
      </c>
    </row>
    <row r="11" spans="1:11">
      <c r="A11" s="10">
        <v>9</v>
      </c>
      <c r="B11" s="10" t="s">
        <v>109</v>
      </c>
      <c r="C11" s="19" t="e">
        <f>VLOOKUP(C$2&amp;B11,#REF!,2,FALSE)</f>
        <v>#REF!</v>
      </c>
      <c r="D11" s="10"/>
      <c r="E11" s="10"/>
      <c r="F11" s="10"/>
      <c r="G11" s="10">
        <v>9</v>
      </c>
      <c r="H11" s="10" t="s">
        <v>110</v>
      </c>
      <c r="I11" s="19" t="e">
        <f>AVERAGEIF(C19:C21,"&lt;&gt;0")</f>
        <v>#REF!</v>
      </c>
      <c r="J11" s="10" t="s">
        <v>111</v>
      </c>
      <c r="K11" s="10" t="s">
        <v>112</v>
      </c>
    </row>
    <row r="12" spans="1:11">
      <c r="A12" s="10">
        <v>10</v>
      </c>
      <c r="B12" s="10" t="s">
        <v>113</v>
      </c>
      <c r="C12" s="19" t="e">
        <f>VLOOKUP(C$2&amp;B12,#REF!,2,FALSE)</f>
        <v>#REF!</v>
      </c>
      <c r="D12" s="10">
        <v>7</v>
      </c>
      <c r="E12" s="10"/>
      <c r="F12" s="10"/>
      <c r="G12" s="10">
        <v>10</v>
      </c>
      <c r="H12" s="10" t="s">
        <v>114</v>
      </c>
      <c r="I12" s="19" t="e">
        <f>AVERAGEIF(C11:C12,"&lt;&gt;0")</f>
        <v>#REF!</v>
      </c>
      <c r="J12" s="10" t="s">
        <v>115</v>
      </c>
      <c r="K12" s="10" t="s">
        <v>116</v>
      </c>
    </row>
    <row r="13" spans="1:11">
      <c r="A13" s="10">
        <v>11</v>
      </c>
      <c r="B13" s="10" t="s">
        <v>117</v>
      </c>
      <c r="C13" s="19" t="e">
        <f>VLOOKUP(C$2&amp;B13,#REF!,2,FALSE)</f>
        <v>#REF!</v>
      </c>
      <c r="D13" s="10">
        <v>7</v>
      </c>
      <c r="E13" s="10"/>
      <c r="F13" s="10"/>
      <c r="G13" s="10">
        <v>11</v>
      </c>
      <c r="H13" s="10" t="s">
        <v>118</v>
      </c>
      <c r="I13" s="19" t="e">
        <f>C24</f>
        <v>#REF!</v>
      </c>
      <c r="J13" s="10">
        <v>22</v>
      </c>
      <c r="K13" s="10"/>
    </row>
    <row r="14" spans="1:11">
      <c r="A14" s="10">
        <v>12</v>
      </c>
      <c r="B14" s="10" t="s">
        <v>119</v>
      </c>
      <c r="C14" s="19" t="e">
        <f>VLOOKUP(C$2&amp;B14,#REF!,2,FALSE)</f>
        <v>#REF!</v>
      </c>
      <c r="D14" s="10">
        <v>24</v>
      </c>
      <c r="E14" s="10"/>
      <c r="F14" s="10"/>
      <c r="G14" s="10">
        <v>12</v>
      </c>
      <c r="H14" s="10" t="s">
        <v>120</v>
      </c>
      <c r="I14" s="19" t="e">
        <f>C28</f>
        <v>#REF!</v>
      </c>
      <c r="J14" s="10">
        <v>26</v>
      </c>
      <c r="K14" s="10"/>
    </row>
    <row r="15" spans="1:11">
      <c r="A15" s="10">
        <v>13</v>
      </c>
      <c r="B15" s="10" t="s">
        <v>121</v>
      </c>
      <c r="C15" s="19" t="e">
        <f>VLOOKUP(C$2&amp;B15,#REF!,2,FALSE)</f>
        <v>#REF!</v>
      </c>
      <c r="D15" s="10" t="s">
        <v>122</v>
      </c>
      <c r="E15" s="10"/>
      <c r="F15" s="10"/>
      <c r="G15" s="10">
        <v>13</v>
      </c>
      <c r="H15" s="10" t="s">
        <v>123</v>
      </c>
      <c r="I15" s="19" t="e">
        <f>C26</f>
        <v>#REF!</v>
      </c>
      <c r="J15" s="10" t="s">
        <v>124</v>
      </c>
      <c r="K15" s="10" t="s">
        <v>125</v>
      </c>
    </row>
    <row r="16" spans="1:11">
      <c r="A16" s="10">
        <v>14</v>
      </c>
      <c r="B16" s="10" t="s">
        <v>126</v>
      </c>
      <c r="C16" s="19" t="e">
        <f>VLOOKUP(C$2&amp;B16,#REF!,2,FALSE)</f>
        <v>#REF!</v>
      </c>
      <c r="D16" s="10">
        <v>7</v>
      </c>
      <c r="E16" s="10"/>
      <c r="F16" s="10"/>
      <c r="G16" s="10">
        <v>14</v>
      </c>
      <c r="H16" s="10" t="s">
        <v>2</v>
      </c>
      <c r="I16" s="19" t="e">
        <f>C29</f>
        <v>#REF!</v>
      </c>
      <c r="J16" s="10">
        <v>27</v>
      </c>
      <c r="K16" s="10"/>
    </row>
    <row r="17" spans="1:13">
      <c r="A17" s="10">
        <v>15</v>
      </c>
      <c r="B17" s="10" t="s">
        <v>127</v>
      </c>
      <c r="C17" s="19" t="e">
        <f>VLOOKUP(C$2&amp;B17,#REF!,2,FALSE)</f>
        <v>#REF!</v>
      </c>
      <c r="D17" s="10">
        <v>8</v>
      </c>
      <c r="E17" s="10"/>
      <c r="F17" s="10"/>
      <c r="G17" s="10">
        <v>15</v>
      </c>
      <c r="H17" s="10" t="s">
        <v>128</v>
      </c>
      <c r="I17" s="19" t="e">
        <f>C25</f>
        <v>#REF!</v>
      </c>
      <c r="J17" s="10">
        <v>23</v>
      </c>
      <c r="K17" s="10"/>
    </row>
    <row r="18" spans="1:13">
      <c r="A18" s="10">
        <v>16</v>
      </c>
      <c r="B18" s="10" t="s">
        <v>129</v>
      </c>
      <c r="C18" s="19" t="e">
        <f>VLOOKUP(C$2&amp;B18,#REF!,2,FALSE)</f>
        <v>#REF!</v>
      </c>
      <c r="D18" s="10" t="s">
        <v>130</v>
      </c>
      <c r="E18" s="10"/>
      <c r="F18" s="10"/>
      <c r="G18" s="10">
        <v>16</v>
      </c>
      <c r="H18" s="10" t="s">
        <v>131</v>
      </c>
      <c r="I18" s="19" t="e">
        <f>AVERAGEIF(C30:C31,"&lt;&gt;0")</f>
        <v>#REF!</v>
      </c>
      <c r="J18" s="10" t="s">
        <v>132</v>
      </c>
      <c r="K18" s="10" t="s">
        <v>133</v>
      </c>
    </row>
    <row r="19" spans="1:13">
      <c r="A19" s="10">
        <v>17</v>
      </c>
      <c r="B19" s="10" t="s">
        <v>134</v>
      </c>
      <c r="C19" s="19" t="e">
        <f>VLOOKUP(C$2&amp;B19,#REF!,2,FALSE)</f>
        <v>#REF!</v>
      </c>
      <c r="D19" s="10">
        <v>9</v>
      </c>
      <c r="E19" s="10"/>
      <c r="F19" s="10"/>
      <c r="G19" s="10">
        <v>17</v>
      </c>
      <c r="H19" s="10" t="s">
        <v>135</v>
      </c>
      <c r="I19" s="19" t="e">
        <f>C32</f>
        <v>#REF!</v>
      </c>
      <c r="J19" s="10">
        <v>30</v>
      </c>
      <c r="K19" s="10"/>
    </row>
    <row r="20" spans="1:13">
      <c r="A20" s="10">
        <v>18</v>
      </c>
      <c r="B20" s="10" t="s">
        <v>136</v>
      </c>
      <c r="C20" s="19" t="e">
        <f>VLOOKUP(C$2&amp;B20,#REF!,2,FALSE)</f>
        <v>#REF!</v>
      </c>
      <c r="D20" s="10">
        <v>9</v>
      </c>
      <c r="E20" s="10"/>
      <c r="F20" s="10"/>
      <c r="G20" s="10">
        <v>18</v>
      </c>
      <c r="H20" s="10" t="s">
        <v>137</v>
      </c>
      <c r="I20" s="19" t="e">
        <f>C38</f>
        <v>#REF!</v>
      </c>
      <c r="J20" s="10">
        <v>36</v>
      </c>
      <c r="K20" s="10"/>
    </row>
    <row r="21" spans="1:13">
      <c r="A21" s="10">
        <v>19</v>
      </c>
      <c r="B21" s="10" t="s">
        <v>138</v>
      </c>
      <c r="C21" s="19" t="e">
        <f>VLOOKUP(C$2&amp;B21,#REF!,2,FALSE)</f>
        <v>#REF!</v>
      </c>
      <c r="D21" s="10">
        <v>9</v>
      </c>
      <c r="E21" s="10"/>
      <c r="F21" s="10"/>
      <c r="G21" s="10">
        <v>19</v>
      </c>
      <c r="H21" s="10" t="s">
        <v>32</v>
      </c>
      <c r="I21" s="19" t="e">
        <f>AVERAGEIF(C33:C35,"&lt;&gt;0")</f>
        <v>#REF!</v>
      </c>
      <c r="J21" s="10" t="s">
        <v>139</v>
      </c>
      <c r="K21" s="10" t="s">
        <v>140</v>
      </c>
    </row>
    <row r="22" spans="1:13">
      <c r="A22" s="10">
        <v>20</v>
      </c>
      <c r="B22" s="10" t="s">
        <v>141</v>
      </c>
      <c r="C22" s="19" t="e">
        <f>VLOOKUP(C$2&amp;B22,#REF!,2,FALSE)</f>
        <v>#REF!</v>
      </c>
      <c r="D22" s="10">
        <v>10</v>
      </c>
      <c r="E22" s="10"/>
      <c r="F22" s="10"/>
      <c r="G22" s="10">
        <v>20</v>
      </c>
      <c r="H22" s="10" t="s">
        <v>142</v>
      </c>
      <c r="I22" s="19" t="e">
        <f>(C37+C41)/((C37&lt;&gt;0)+(C41&lt;&gt;0))</f>
        <v>#REF!</v>
      </c>
      <c r="J22" s="10" t="s">
        <v>143</v>
      </c>
      <c r="K22" s="10" t="s">
        <v>144</v>
      </c>
    </row>
    <row r="23" spans="1:13">
      <c r="A23" s="10">
        <v>21</v>
      </c>
      <c r="B23" s="10" t="s">
        <v>145</v>
      </c>
      <c r="C23" s="19" t="e">
        <f>VLOOKUP(C$2&amp;B23,#REF!,2,FALSE)</f>
        <v>#REF!</v>
      </c>
      <c r="D23" s="10">
        <v>10</v>
      </c>
      <c r="E23" s="10"/>
      <c r="F23" s="10"/>
      <c r="G23" s="10">
        <v>21</v>
      </c>
      <c r="H23" s="10" t="s">
        <v>146</v>
      </c>
      <c r="I23" s="19" t="e">
        <f>AVERAGEIF(C43:C45,"&lt;&gt;0")</f>
        <v>#REF!</v>
      </c>
      <c r="J23" s="10" t="s">
        <v>147</v>
      </c>
      <c r="K23" s="10" t="s">
        <v>148</v>
      </c>
    </row>
    <row r="24" spans="1:13">
      <c r="A24" s="10">
        <v>22</v>
      </c>
      <c r="B24" s="10" t="s">
        <v>149</v>
      </c>
      <c r="C24" s="19" t="e">
        <f>VLOOKUP(C$2&amp;B24,#REF!,2,FALSE)</f>
        <v>#REF!</v>
      </c>
      <c r="D24" s="10">
        <v>11</v>
      </c>
      <c r="E24" s="10"/>
      <c r="F24" s="10"/>
      <c r="G24" s="10">
        <v>22</v>
      </c>
      <c r="H24" s="10" t="s">
        <v>150</v>
      </c>
      <c r="I24" s="19" t="e">
        <f>C53</f>
        <v>#REF!</v>
      </c>
      <c r="J24" s="10">
        <v>51</v>
      </c>
      <c r="K24" s="10"/>
    </row>
    <row r="25" spans="1:13" ht="15" customHeight="1">
      <c r="A25" s="10">
        <v>23</v>
      </c>
      <c r="B25" s="10" t="s">
        <v>151</v>
      </c>
      <c r="C25" s="19" t="e">
        <f>VLOOKUP(C$2&amp;B25,#REF!,2,FALSE)</f>
        <v>#REF!</v>
      </c>
      <c r="D25" s="10">
        <v>15</v>
      </c>
      <c r="E25" s="10"/>
      <c r="F25" s="10"/>
      <c r="G25" s="10">
        <v>23</v>
      </c>
      <c r="H25" s="10" t="s">
        <v>152</v>
      </c>
      <c r="I25" s="19" t="e">
        <f>AVERAGEIF(C54:C56,"&lt;&gt;0")</f>
        <v>#REF!</v>
      </c>
      <c r="J25" s="10" t="s">
        <v>153</v>
      </c>
      <c r="K25" s="10" t="s">
        <v>154</v>
      </c>
    </row>
    <row r="26" spans="1:13" ht="15" customHeight="1">
      <c r="A26" s="10">
        <v>24</v>
      </c>
      <c r="B26" s="10" t="s">
        <v>155</v>
      </c>
      <c r="C26" s="19" t="e">
        <f>VLOOKUP(C$2&amp;B26,#REF!,2,FALSE)</f>
        <v>#REF!</v>
      </c>
      <c r="D26" s="10">
        <v>13</v>
      </c>
      <c r="E26" s="10"/>
      <c r="F26" s="10"/>
      <c r="G26" s="10">
        <v>24</v>
      </c>
      <c r="H26" s="10" t="s">
        <v>156</v>
      </c>
      <c r="I26" s="19" t="e">
        <f>IF(C14&lt;&gt;0,C14,I30)</f>
        <v>#REF!</v>
      </c>
      <c r="J26" s="10">
        <v>12</v>
      </c>
      <c r="K26" s="10" t="s">
        <v>157</v>
      </c>
      <c r="M26" s="20"/>
    </row>
    <row r="27" spans="1:13" ht="15" customHeight="1">
      <c r="A27" s="10">
        <v>25</v>
      </c>
      <c r="B27" s="10" t="s">
        <v>158</v>
      </c>
      <c r="C27" s="19" t="e">
        <f>VLOOKUP(C$2&amp;B27,#REF!,2,FALSE)</f>
        <v>#REF!</v>
      </c>
      <c r="D27" s="10">
        <v>13</v>
      </c>
      <c r="E27" s="10"/>
      <c r="F27" s="10"/>
      <c r="G27" s="10">
        <v>25</v>
      </c>
      <c r="H27" s="10" t="s">
        <v>159</v>
      </c>
      <c r="I27" s="21" t="e">
        <f>(C15+C19+C21)/((C15&lt;&gt;0)+(C19&lt;&gt;0)+(C21&lt;&gt;0))</f>
        <v>#REF!</v>
      </c>
      <c r="J27" s="10" t="s">
        <v>160</v>
      </c>
      <c r="K27" s="10" t="s">
        <v>161</v>
      </c>
      <c r="M27" s="20"/>
    </row>
    <row r="28" spans="1:13" ht="15" customHeight="1">
      <c r="A28" s="10">
        <v>26</v>
      </c>
      <c r="B28" s="10" t="s">
        <v>162</v>
      </c>
      <c r="C28" s="19" t="e">
        <f>VLOOKUP(C$2&amp;B28,#REF!,2,FALSE)</f>
        <v>#REF!</v>
      </c>
      <c r="D28" s="10">
        <v>12</v>
      </c>
      <c r="E28" s="10"/>
      <c r="F28" s="10"/>
      <c r="G28" s="10">
        <v>26</v>
      </c>
      <c r="H28" s="10" t="s">
        <v>163</v>
      </c>
      <c r="I28" s="21" t="e">
        <f>(C8+C15+C18)/((C8&lt;&gt;0)+(C15&lt;&gt;0)+(C18&lt;&gt;0))</f>
        <v>#REF!</v>
      </c>
      <c r="J28" s="10" t="s">
        <v>164</v>
      </c>
      <c r="K28" s="10" t="s">
        <v>165</v>
      </c>
      <c r="M28" s="20"/>
    </row>
    <row r="29" spans="1:13" ht="15" customHeight="1">
      <c r="A29" s="10">
        <v>27</v>
      </c>
      <c r="B29" s="10" t="s">
        <v>2</v>
      </c>
      <c r="C29" s="19" t="e">
        <f>VLOOKUP(C$2&amp;B29,#REF!,2,FALSE)</f>
        <v>#REF!</v>
      </c>
      <c r="D29" s="10">
        <v>14</v>
      </c>
      <c r="E29" s="10"/>
      <c r="F29" s="10"/>
      <c r="G29" s="10"/>
      <c r="H29" s="10"/>
      <c r="I29" s="10"/>
      <c r="J29" s="10"/>
      <c r="K29" s="10"/>
    </row>
    <row r="30" spans="1:13">
      <c r="A30" s="10">
        <v>28</v>
      </c>
      <c r="B30" s="10" t="s">
        <v>166</v>
      </c>
      <c r="C30" s="19" t="e">
        <f>VLOOKUP(C$2&amp;B30,#REF!,2,FALSE)</f>
        <v>#REF!</v>
      </c>
      <c r="D30" s="10">
        <v>16</v>
      </c>
      <c r="E30" s="10"/>
      <c r="F30" s="10"/>
      <c r="G30" s="10" t="s">
        <v>35</v>
      </c>
      <c r="H30" s="10" t="s">
        <v>156</v>
      </c>
      <c r="I30" s="21" t="e">
        <f>VLOOKUP("ROW"&amp;B14,#REF!,2,FALSE)</f>
        <v>#REF!</v>
      </c>
      <c r="J30" s="10"/>
      <c r="K30" s="10" t="s">
        <v>167</v>
      </c>
    </row>
    <row r="31" spans="1:13">
      <c r="A31" s="10">
        <v>29</v>
      </c>
      <c r="B31" s="10" t="s">
        <v>168</v>
      </c>
      <c r="C31" s="19" t="e">
        <f>VLOOKUP(C$2&amp;B31,#REF!,2,FALSE)</f>
        <v>#REF!</v>
      </c>
      <c r="D31" s="10">
        <v>16</v>
      </c>
      <c r="E31" s="10"/>
      <c r="F31" s="10"/>
      <c r="G31" s="10"/>
      <c r="H31" s="10"/>
      <c r="I31" s="10"/>
      <c r="J31" s="10"/>
      <c r="K31" s="10"/>
    </row>
    <row r="32" spans="1:13">
      <c r="A32" s="10">
        <v>30</v>
      </c>
      <c r="B32" s="10" t="s">
        <v>169</v>
      </c>
      <c r="C32" s="19" t="e">
        <f>VLOOKUP(C$2&amp;B32,#REF!,2,FALSE)</f>
        <v>#REF!</v>
      </c>
      <c r="D32" s="10">
        <v>17</v>
      </c>
      <c r="E32" s="10"/>
      <c r="F32" s="10"/>
      <c r="G32" s="10"/>
      <c r="H32" s="10"/>
      <c r="I32" s="10"/>
      <c r="J32" s="10"/>
      <c r="K32" s="10"/>
    </row>
    <row r="33" spans="1:11">
      <c r="A33" s="10">
        <v>31</v>
      </c>
      <c r="B33" s="10" t="s">
        <v>170</v>
      </c>
      <c r="C33" s="19" t="e">
        <f>VLOOKUP(C$2&amp;B33,#REF!,2,FALSE)</f>
        <v>#REF!</v>
      </c>
      <c r="D33" s="10">
        <v>19</v>
      </c>
      <c r="E33" s="10"/>
      <c r="F33" s="10"/>
      <c r="G33" s="10"/>
      <c r="H33" s="10"/>
      <c r="I33" s="10"/>
      <c r="J33" s="10"/>
      <c r="K33" s="10"/>
    </row>
    <row r="34" spans="1:11">
      <c r="A34" s="10">
        <v>32</v>
      </c>
      <c r="B34" s="10" t="s">
        <v>171</v>
      </c>
      <c r="C34" s="19" t="e">
        <f>VLOOKUP(C$2&amp;B34,#REF!,2,FALSE)</f>
        <v>#REF!</v>
      </c>
      <c r="D34" s="10">
        <v>19</v>
      </c>
      <c r="E34" s="10"/>
      <c r="F34" s="10"/>
      <c r="G34" s="10"/>
      <c r="H34" s="10"/>
      <c r="I34" s="10"/>
      <c r="J34" s="10"/>
      <c r="K34" s="10"/>
    </row>
    <row r="35" spans="1:11">
      <c r="A35" s="10">
        <v>33</v>
      </c>
      <c r="B35" s="10" t="s">
        <v>21</v>
      </c>
      <c r="C35" s="19" t="e">
        <f>VLOOKUP(C$2&amp;B35,#REF!,2,FALSE)</f>
        <v>#REF!</v>
      </c>
      <c r="D35" s="10">
        <v>19</v>
      </c>
      <c r="E35" s="10"/>
      <c r="F35" s="10"/>
      <c r="G35" s="10"/>
      <c r="H35" s="10"/>
      <c r="I35" s="10"/>
      <c r="J35" s="10"/>
      <c r="K35" s="10"/>
    </row>
    <row r="36" spans="1:11">
      <c r="A36" s="10">
        <v>34</v>
      </c>
      <c r="B36" s="10" t="s">
        <v>172</v>
      </c>
      <c r="C36" s="19" t="e">
        <f>VLOOKUP(C$2&amp;B36,#REF!,2,FALSE)</f>
        <v>#REF!</v>
      </c>
      <c r="D36" s="10"/>
      <c r="E36" s="10"/>
      <c r="F36" s="10"/>
      <c r="G36" s="10"/>
      <c r="H36" s="10"/>
      <c r="I36" s="10"/>
      <c r="J36" s="10"/>
      <c r="K36" s="10"/>
    </row>
    <row r="37" spans="1:11">
      <c r="A37" s="10">
        <v>35</v>
      </c>
      <c r="B37" s="10" t="s">
        <v>173</v>
      </c>
      <c r="C37" s="19" t="e">
        <f>VLOOKUP(C$2&amp;B37,#REF!,2,FALSE)</f>
        <v>#REF!</v>
      </c>
      <c r="D37" s="10">
        <v>20</v>
      </c>
      <c r="E37" s="10"/>
      <c r="F37" s="10"/>
      <c r="G37" s="10"/>
      <c r="H37" s="10"/>
      <c r="I37" s="10"/>
      <c r="J37" s="10"/>
      <c r="K37" s="10"/>
    </row>
    <row r="38" spans="1:11">
      <c r="A38" s="10">
        <v>36</v>
      </c>
      <c r="B38" s="10" t="s">
        <v>174</v>
      </c>
      <c r="C38" s="19" t="e">
        <f>VLOOKUP(C$2&amp;B38,#REF!,2,FALSE)</f>
        <v>#REF!</v>
      </c>
      <c r="D38" s="10">
        <v>18</v>
      </c>
      <c r="E38" s="10"/>
      <c r="F38" s="10"/>
      <c r="G38" s="10"/>
      <c r="H38" s="10"/>
      <c r="I38" s="10"/>
      <c r="J38" s="10"/>
      <c r="K38" s="10"/>
    </row>
    <row r="39" spans="1:11">
      <c r="A39" s="10">
        <v>37</v>
      </c>
      <c r="B39" s="10" t="s">
        <v>175</v>
      </c>
      <c r="C39" s="19" t="e">
        <f>VLOOKUP(C$2&amp;B39,#REF!,2,FALSE)</f>
        <v>#REF!</v>
      </c>
      <c r="D39" s="10"/>
      <c r="E39" s="10"/>
      <c r="F39" s="10"/>
      <c r="G39" s="10"/>
      <c r="H39" s="10"/>
      <c r="I39" s="10"/>
      <c r="J39" s="10"/>
      <c r="K39" s="10"/>
    </row>
    <row r="40" spans="1:11">
      <c r="A40" s="10">
        <v>38</v>
      </c>
      <c r="B40" s="10" t="s">
        <v>176</v>
      </c>
      <c r="C40" s="19" t="e">
        <f>VLOOKUP(C$2&amp;B40,#REF!,2,FALSE)</f>
        <v>#REF!</v>
      </c>
      <c r="D40" s="10"/>
      <c r="E40" s="10"/>
      <c r="F40" s="10"/>
      <c r="G40" s="10"/>
      <c r="H40" s="10"/>
      <c r="I40" s="10"/>
      <c r="J40" s="10"/>
      <c r="K40" s="10"/>
    </row>
    <row r="41" spans="1:11">
      <c r="A41" s="10">
        <v>39</v>
      </c>
      <c r="B41" s="10" t="s">
        <v>22</v>
      </c>
      <c r="C41" s="19" t="e">
        <f>VLOOKUP(C$2&amp;B41,#REF!,2,FALSE)</f>
        <v>#REF!</v>
      </c>
      <c r="D41" s="10">
        <v>20</v>
      </c>
      <c r="E41" s="10"/>
      <c r="F41" s="10"/>
      <c r="G41" s="10"/>
      <c r="H41" s="10"/>
      <c r="I41" s="10"/>
      <c r="J41" s="10"/>
      <c r="K41" s="10"/>
    </row>
    <row r="42" spans="1:11">
      <c r="A42" s="10">
        <v>40</v>
      </c>
      <c r="B42" s="10" t="s">
        <v>177</v>
      </c>
      <c r="C42" s="19" t="e">
        <f>VLOOKUP(C$2&amp;B42,#REF!,2,FALSE)</f>
        <v>#REF!</v>
      </c>
      <c r="D42" s="10"/>
      <c r="E42" s="10"/>
      <c r="F42" s="10"/>
      <c r="G42" s="10"/>
      <c r="H42" s="10"/>
      <c r="I42" s="10"/>
      <c r="J42" s="10"/>
      <c r="K42" s="10"/>
    </row>
    <row r="43" spans="1:11">
      <c r="A43" s="10">
        <v>41</v>
      </c>
      <c r="B43" s="10" t="s">
        <v>178</v>
      </c>
      <c r="C43" s="19" t="e">
        <f>VLOOKUP(C$2&amp;B43,#REF!,2,FALSE)</f>
        <v>#REF!</v>
      </c>
      <c r="D43" s="10">
        <v>21</v>
      </c>
      <c r="E43" s="10"/>
      <c r="F43" s="10"/>
      <c r="G43" s="10"/>
      <c r="H43" s="10"/>
      <c r="I43" s="10"/>
      <c r="J43" s="10"/>
      <c r="K43" s="10"/>
    </row>
    <row r="44" spans="1:11">
      <c r="A44" s="10">
        <v>42</v>
      </c>
      <c r="B44" s="10" t="s">
        <v>179</v>
      </c>
      <c r="C44" s="19" t="e">
        <f>VLOOKUP(C$2&amp;B44,#REF!,2,FALSE)</f>
        <v>#REF!</v>
      </c>
      <c r="D44" s="10">
        <v>21</v>
      </c>
      <c r="E44" s="10"/>
      <c r="F44" s="10"/>
      <c r="G44" s="10"/>
      <c r="H44" s="10"/>
      <c r="I44" s="10"/>
      <c r="J44" s="10"/>
      <c r="K44" s="10"/>
    </row>
    <row r="45" spans="1:11">
      <c r="A45" s="10">
        <v>43</v>
      </c>
      <c r="B45" s="10" t="s">
        <v>180</v>
      </c>
      <c r="C45" s="19" t="e">
        <f>VLOOKUP(C$2&amp;B45,#REF!,2,FALSE)</f>
        <v>#REF!</v>
      </c>
      <c r="D45" s="10">
        <v>21</v>
      </c>
      <c r="E45" s="10"/>
      <c r="F45" s="10"/>
      <c r="G45" s="10"/>
      <c r="H45" s="10"/>
      <c r="I45" s="10"/>
      <c r="J45" s="10"/>
      <c r="K45" s="10"/>
    </row>
    <row r="46" spans="1:11">
      <c r="A46" s="10">
        <v>44</v>
      </c>
      <c r="B46" s="10" t="s">
        <v>181</v>
      </c>
      <c r="C46" s="19" t="e">
        <f>VLOOKUP(C$2&amp;B46,#REF!,2,FALSE)</f>
        <v>#REF!</v>
      </c>
      <c r="D46" s="10"/>
      <c r="E46" s="10"/>
      <c r="F46" s="10"/>
      <c r="G46" s="10"/>
      <c r="H46" s="10"/>
      <c r="I46" s="10"/>
      <c r="J46" s="10"/>
      <c r="K46" s="10"/>
    </row>
    <row r="47" spans="1:11">
      <c r="A47" s="10">
        <v>45</v>
      </c>
      <c r="B47" s="10" t="s">
        <v>182</v>
      </c>
      <c r="C47" s="19" t="e">
        <f>VLOOKUP(C$2&amp;B47,#REF!,2,FALSE)</f>
        <v>#REF!</v>
      </c>
      <c r="D47" s="10"/>
      <c r="E47" s="10"/>
      <c r="F47" s="10"/>
      <c r="G47" s="10"/>
      <c r="H47" s="10"/>
      <c r="I47" s="10"/>
      <c r="J47" s="10"/>
      <c r="K47" s="10"/>
    </row>
    <row r="48" spans="1:11">
      <c r="A48" s="10">
        <v>46</v>
      </c>
      <c r="B48" s="10" t="s">
        <v>183</v>
      </c>
      <c r="C48" s="19" t="e">
        <f>VLOOKUP(C$2&amp;B48,#REF!,2,FALSE)</f>
        <v>#REF!</v>
      </c>
      <c r="D48" s="10"/>
      <c r="E48" s="10"/>
      <c r="F48" s="10"/>
      <c r="G48" s="10"/>
      <c r="H48" s="10"/>
      <c r="I48" s="10"/>
      <c r="J48" s="10"/>
      <c r="K48" s="10"/>
    </row>
    <row r="49" spans="1:11">
      <c r="A49" s="10">
        <v>47</v>
      </c>
      <c r="B49" s="10" t="s">
        <v>23</v>
      </c>
      <c r="C49" s="19" t="e">
        <f>VLOOKUP(C$2&amp;B49,#REF!,2,FALSE)</f>
        <v>#REF!</v>
      </c>
      <c r="D49" s="10"/>
      <c r="E49" s="10"/>
      <c r="F49" s="10"/>
      <c r="G49" s="10"/>
      <c r="H49" s="10"/>
      <c r="I49" s="10"/>
      <c r="J49" s="10"/>
      <c r="K49" s="10"/>
    </row>
    <row r="50" spans="1:11">
      <c r="A50" s="10">
        <v>48</v>
      </c>
      <c r="B50" s="10" t="s">
        <v>184</v>
      </c>
      <c r="C50" s="19" t="e">
        <f>VLOOKUP(C$2&amp;B50,#REF!,2,FALSE)</f>
        <v>#REF!</v>
      </c>
      <c r="D50" s="10"/>
      <c r="E50" s="10"/>
      <c r="F50" s="10"/>
      <c r="G50" s="10"/>
      <c r="H50" s="10"/>
      <c r="I50" s="10"/>
      <c r="J50" s="10"/>
      <c r="K50" s="10"/>
    </row>
    <row r="51" spans="1:11">
      <c r="A51" s="10">
        <v>49</v>
      </c>
      <c r="B51" s="10" t="s">
        <v>185</v>
      </c>
      <c r="C51" s="19" t="e">
        <f>VLOOKUP(C$2&amp;B51,#REF!,2,FALSE)</f>
        <v>#REF!</v>
      </c>
      <c r="D51" s="10"/>
      <c r="E51" s="10"/>
      <c r="F51" s="10"/>
      <c r="G51" s="10"/>
      <c r="H51" s="10"/>
      <c r="I51" s="10"/>
      <c r="J51" s="10"/>
      <c r="K51" s="10"/>
    </row>
    <row r="52" spans="1:11">
      <c r="A52" s="10">
        <v>50</v>
      </c>
      <c r="B52" s="10" t="s">
        <v>186</v>
      </c>
      <c r="C52" s="19" t="e">
        <f>VLOOKUP(C$2&amp;B52,#REF!,2,FALSE)</f>
        <v>#REF!</v>
      </c>
      <c r="D52" s="10"/>
      <c r="E52" s="10"/>
      <c r="F52" s="10"/>
      <c r="G52" s="10"/>
      <c r="H52" s="10"/>
      <c r="I52" s="10"/>
      <c r="J52" s="10"/>
      <c r="K52" s="10"/>
    </row>
    <row r="53" spans="1:11">
      <c r="A53" s="10">
        <v>51</v>
      </c>
      <c r="B53" s="10" t="s">
        <v>187</v>
      </c>
      <c r="C53" s="19" t="e">
        <f>VLOOKUP(C$2&amp;B53,#REF!,2,FALSE)</f>
        <v>#REF!</v>
      </c>
      <c r="D53" s="10">
        <v>22</v>
      </c>
      <c r="E53" s="10"/>
      <c r="F53" s="10"/>
      <c r="G53" s="10"/>
      <c r="H53" s="10"/>
      <c r="I53" s="10"/>
      <c r="J53" s="10"/>
      <c r="K53" s="10"/>
    </row>
    <row r="54" spans="1:11">
      <c r="A54" s="10">
        <v>52</v>
      </c>
      <c r="B54" s="10" t="s">
        <v>188</v>
      </c>
      <c r="C54" s="19" t="e">
        <f>VLOOKUP(C$2&amp;B54,#REF!,2,FALSE)</f>
        <v>#REF!</v>
      </c>
      <c r="D54" s="10">
        <v>23</v>
      </c>
      <c r="E54" s="10"/>
      <c r="F54" s="10"/>
      <c r="G54" s="10"/>
      <c r="H54" s="10"/>
      <c r="I54" s="10"/>
      <c r="J54" s="10"/>
      <c r="K54" s="10"/>
    </row>
    <row r="55" spans="1:11">
      <c r="A55" s="10">
        <v>53</v>
      </c>
      <c r="B55" s="10" t="s">
        <v>189</v>
      </c>
      <c r="C55" s="19" t="e">
        <f>VLOOKUP(C$2&amp;B55,#REF!,2,FALSE)</f>
        <v>#REF!</v>
      </c>
      <c r="D55" s="10">
        <v>23</v>
      </c>
      <c r="E55" s="10"/>
      <c r="F55" s="10"/>
      <c r="G55" s="10"/>
      <c r="H55" s="10"/>
      <c r="I55" s="10"/>
      <c r="J55" s="10"/>
      <c r="K55" s="10"/>
    </row>
    <row r="56" spans="1:11">
      <c r="A56" s="10">
        <v>54</v>
      </c>
      <c r="B56" s="10" t="s">
        <v>190</v>
      </c>
      <c r="C56" s="19" t="e">
        <f>VLOOKUP(C$2&amp;B56,#REF!,2,FALSE)</f>
        <v>#REF!</v>
      </c>
      <c r="D56" s="10">
        <v>23</v>
      </c>
      <c r="E56" s="10"/>
      <c r="F56" s="10"/>
      <c r="G56" s="10"/>
      <c r="H56" s="10"/>
      <c r="I56" s="10"/>
      <c r="J56" s="10"/>
      <c r="K56" s="10"/>
    </row>
    <row r="57" spans="1:11">
      <c r="A57" s="10">
        <v>55</v>
      </c>
      <c r="B57" s="10" t="s">
        <v>191</v>
      </c>
      <c r="C57" s="19" t="e">
        <f>VLOOKUP(C$2&amp;B57,#REF!,2,FALSE)</f>
        <v>#REF!</v>
      </c>
      <c r="D57" s="10"/>
      <c r="E57" s="10"/>
      <c r="F57" s="10"/>
      <c r="G57" s="10"/>
      <c r="H57" s="10"/>
      <c r="I57" s="10"/>
      <c r="J57" s="10"/>
      <c r="K57" s="10"/>
    </row>
    <row r="58" spans="1:11">
      <c r="A58" s="10">
        <v>56</v>
      </c>
      <c r="B58" s="10" t="s">
        <v>192</v>
      </c>
      <c r="C58" s="19" t="e">
        <f>VLOOKUP(C$2&amp;B58,#REF!,2,FALSE)</f>
        <v>#REF!</v>
      </c>
      <c r="D58" s="10"/>
      <c r="E58" s="10"/>
      <c r="F58" s="10"/>
      <c r="G58" s="10"/>
      <c r="H58" s="10"/>
      <c r="I58" s="10"/>
      <c r="J58" s="10"/>
      <c r="K58" s="10"/>
    </row>
  </sheetData>
  <sheetProtection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090F2-6341-40D0-B7F7-89B4B343CB53}">
  <sheetPr>
    <tabColor theme="2" tint="-0.249977111117893"/>
  </sheetPr>
  <dimension ref="A1:DT280"/>
  <sheetViews>
    <sheetView topLeftCell="G1" zoomScaleNormal="100" workbookViewId="0">
      <pane ySplit="2" topLeftCell="A3" activePane="bottomLeft" state="frozen"/>
      <selection activeCell="C8" sqref="C8"/>
      <selection pane="bottomLeft" activeCell="CU3" sqref="CU3"/>
    </sheetView>
  </sheetViews>
  <sheetFormatPr defaultColWidth="10.5" defaultRowHeight="13"/>
  <cols>
    <col min="1" max="1" width="5.9140625" style="943" customWidth="1"/>
    <col min="2" max="2" width="1.08203125" style="953" customWidth="1"/>
    <col min="3" max="3" width="30.9140625" style="977" customWidth="1"/>
    <col min="4" max="4" width="11.4140625" style="943" customWidth="1"/>
    <col min="5" max="5" width="13" style="977" customWidth="1"/>
    <col min="6" max="6" width="13" style="943" customWidth="1"/>
    <col min="7" max="7" width="10.08203125" style="1006" customWidth="1"/>
    <col min="8" max="8" width="13" style="943" customWidth="1"/>
    <col min="9" max="9" width="10.08203125" style="1006" customWidth="1"/>
    <col min="10" max="10" width="17.4140625" style="943" customWidth="1"/>
    <col min="11" max="11" width="1.08203125" style="953" customWidth="1"/>
    <col min="12" max="12" width="13.08203125" style="977" customWidth="1"/>
    <col min="13" max="13" width="14.08203125" style="977" customWidth="1"/>
    <col min="14" max="14" width="17.58203125" style="977" customWidth="1"/>
    <col min="15" max="21" width="14.08203125" style="977" customWidth="1"/>
    <col min="22" max="22" width="24.08203125" style="977" customWidth="1"/>
    <col min="23" max="23" width="1.08203125" style="953" customWidth="1"/>
    <col min="24" max="24" width="27" style="977" customWidth="1"/>
    <col min="25" max="25" width="18.08203125" style="977" customWidth="1"/>
    <col min="26" max="26" width="17.58203125" style="977" bestFit="1" customWidth="1"/>
    <col min="27" max="27" width="19" style="977" customWidth="1"/>
    <col min="28" max="28" width="9.4140625" style="977" bestFit="1" customWidth="1"/>
    <col min="29" max="29" width="16.9140625" style="977" customWidth="1"/>
    <col min="30" max="30" width="1.08203125" style="953" customWidth="1"/>
    <col min="31" max="31" width="9.4140625" style="977" bestFit="1" customWidth="1"/>
    <col min="32" max="32" width="15.08203125" style="977" customWidth="1"/>
    <col min="33" max="33" width="1.08203125" style="953" customWidth="1"/>
    <col min="34" max="34" width="25.9140625" style="977" customWidth="1"/>
    <col min="35" max="35" width="1.08203125" style="953" customWidth="1"/>
    <col min="36" max="36" width="25.9140625" style="977" customWidth="1"/>
    <col min="37" max="37" width="1.08203125" style="953" customWidth="1"/>
    <col min="38" max="38" width="10.5" style="977"/>
    <col min="39" max="39" width="1.08203125" style="953" customWidth="1"/>
    <col min="40" max="40" width="46.5" style="977" customWidth="1"/>
    <col min="41" max="41" width="1.08203125" style="953" customWidth="1"/>
    <col min="42" max="42" width="38.9140625" style="903" bestFit="1" customWidth="1"/>
    <col min="43" max="43" width="1.08203125" style="953" customWidth="1"/>
    <col min="44" max="44" width="10.5" style="943"/>
    <col min="45" max="45" width="11.4140625" style="943" customWidth="1"/>
    <col min="46" max="46" width="1.08203125" style="953" customWidth="1"/>
    <col min="47" max="47" width="22.4140625" style="977" bestFit="1" customWidth="1"/>
    <col min="48" max="48" width="1.08203125" style="953" customWidth="1"/>
    <col min="49" max="51" width="26.4140625" style="977" customWidth="1"/>
    <col min="52" max="54" width="10.5" style="977" customWidth="1"/>
    <col min="55" max="55" width="20.58203125" style="977" customWidth="1"/>
    <col min="56" max="56" width="10.5" style="977" customWidth="1"/>
    <col min="57" max="57" width="12.58203125" style="977" customWidth="1"/>
    <col min="58" max="58" width="12.4140625" style="977" customWidth="1"/>
    <col min="59" max="59" width="10.5" style="977" customWidth="1"/>
    <col min="60" max="60" width="13" style="977" customWidth="1"/>
    <col min="61" max="61" width="8" style="977" customWidth="1"/>
    <col min="62" max="62" width="15.08203125" style="977" customWidth="1"/>
    <col min="63" max="63" width="6.58203125" style="977" customWidth="1"/>
    <col min="64" max="64" width="11.4140625" style="977" customWidth="1"/>
    <col min="65" max="66" width="9.58203125" style="977" customWidth="1"/>
    <col min="67" max="68" width="5.5" style="977" customWidth="1"/>
    <col min="69" max="69" width="11.58203125" style="977" customWidth="1"/>
    <col min="70" max="70" width="13.9140625" style="977" customWidth="1"/>
    <col min="71" max="71" width="17" style="977" customWidth="1"/>
    <col min="72" max="72" width="24.5" style="977" customWidth="1"/>
    <col min="73" max="73" width="26.58203125" style="977" customWidth="1"/>
    <col min="74" max="75" width="30.9140625" style="977" customWidth="1"/>
    <col min="76" max="76" width="24.58203125" style="977" bestFit="1" customWidth="1"/>
    <col min="77" max="77" width="1.08203125" style="953" customWidth="1"/>
    <col min="78" max="78" width="13.58203125" style="977" customWidth="1"/>
    <col min="79" max="87" width="10.5" style="977"/>
    <col min="88" max="88" width="1.08203125" style="953" customWidth="1"/>
    <col min="89" max="89" width="40.58203125" style="977" customWidth="1"/>
    <col min="90" max="90" width="1.08203125" style="953" customWidth="1"/>
    <col min="91" max="91" width="10.5" style="943"/>
    <col min="92" max="92" width="1.08203125" style="953" customWidth="1"/>
    <col min="93" max="93" width="6.58203125" style="943" customWidth="1"/>
    <col min="94" max="97" width="10.5" style="943"/>
    <col min="98" max="98" width="1.08203125" style="953" customWidth="1"/>
    <col min="99" max="99" width="12.4140625" style="943" customWidth="1"/>
    <col min="100" max="100" width="12" style="977" customWidth="1"/>
    <col min="101" max="101" width="26.08203125" style="977" customWidth="1"/>
    <col min="102" max="102" width="13.08203125" style="977" customWidth="1"/>
    <col min="103" max="103" width="1.08203125" style="953" customWidth="1"/>
    <col min="104" max="104" width="10.5" style="943"/>
    <col min="105" max="105" width="1.08203125" style="953" customWidth="1"/>
    <col min="106" max="106" width="10.5" style="977"/>
    <col min="107" max="107" width="21.4140625" style="977" customWidth="1"/>
    <col min="108" max="108" width="16" style="977" customWidth="1"/>
    <col min="109" max="109" width="1.08203125" style="953" customWidth="1"/>
    <col min="110" max="110" width="19.9140625" style="977" customWidth="1"/>
    <col min="111" max="111" width="1.08203125" style="953" customWidth="1"/>
    <col min="112" max="112" width="35.58203125" style="977" customWidth="1"/>
    <col min="113" max="113" width="15.08203125" style="977" bestFit="1" customWidth="1"/>
    <col min="114" max="114" width="23.58203125" style="977" bestFit="1" customWidth="1"/>
    <col min="115" max="116" width="10.5" style="977"/>
    <col min="117" max="117" width="1.08203125" style="953" customWidth="1"/>
    <col min="118" max="118" width="26.58203125" style="977" customWidth="1"/>
    <col min="119" max="119" width="13.5" style="977" customWidth="1"/>
    <col min="120" max="120" width="1.08203125" style="953" customWidth="1"/>
    <col min="121" max="121" width="36.08203125" style="977" customWidth="1"/>
    <col min="122" max="122" width="1.08203125" style="953" customWidth="1"/>
    <col min="123" max="124" width="20.9140625" style="977" customWidth="1"/>
    <col min="125" max="16384" width="10.5" style="977"/>
  </cols>
  <sheetData>
    <row r="1" spans="1:124" s="943" customFormat="1" ht="15" customHeight="1">
      <c r="A1" s="1288" t="s">
        <v>1</v>
      </c>
      <c r="B1" s="936"/>
      <c r="C1" s="1257" t="s">
        <v>2343</v>
      </c>
      <c r="D1" s="1257" t="s">
        <v>2379</v>
      </c>
      <c r="E1" s="1257" t="s">
        <v>2380</v>
      </c>
      <c r="F1" s="1257" t="s">
        <v>2381</v>
      </c>
      <c r="G1" s="1285" t="s">
        <v>26</v>
      </c>
      <c r="H1" s="1257" t="s">
        <v>2382</v>
      </c>
      <c r="I1" s="1285" t="s">
        <v>26</v>
      </c>
      <c r="J1" s="1286" t="s">
        <v>2383</v>
      </c>
      <c r="K1" s="936"/>
      <c r="L1" s="1257" t="s">
        <v>2384</v>
      </c>
      <c r="M1" s="1257" t="s">
        <v>2385</v>
      </c>
      <c r="N1" s="1257" t="s">
        <v>2386</v>
      </c>
      <c r="O1" s="1257" t="s">
        <v>2387</v>
      </c>
      <c r="P1" s="1257" t="s">
        <v>2388</v>
      </c>
      <c r="Q1" s="1257" t="s">
        <v>2389</v>
      </c>
      <c r="R1" s="1257" t="s">
        <v>2390</v>
      </c>
      <c r="S1" s="1257" t="s">
        <v>2391</v>
      </c>
      <c r="T1" s="1257" t="s">
        <v>2392</v>
      </c>
      <c r="U1" s="1257" t="s">
        <v>2393</v>
      </c>
      <c r="V1" s="1257" t="s">
        <v>2383</v>
      </c>
      <c r="W1" s="936"/>
      <c r="X1" s="1257" t="s">
        <v>2394</v>
      </c>
      <c r="Y1" s="1257" t="s">
        <v>2395</v>
      </c>
      <c r="Z1" s="1257" t="s">
        <v>2396</v>
      </c>
      <c r="AA1" s="1257" t="s">
        <v>2397</v>
      </c>
      <c r="AB1" s="1257" t="s">
        <v>26</v>
      </c>
      <c r="AC1" s="1257" t="s">
        <v>2383</v>
      </c>
      <c r="AD1" s="936"/>
      <c r="AE1" s="1257" t="s">
        <v>2398</v>
      </c>
      <c r="AF1" s="1257" t="s">
        <v>2399</v>
      </c>
      <c r="AG1" s="936"/>
      <c r="AH1" s="1257" t="s">
        <v>2400</v>
      </c>
      <c r="AI1" s="936"/>
      <c r="AJ1" s="1257" t="s">
        <v>2401</v>
      </c>
      <c r="AK1" s="936"/>
      <c r="AL1" s="1257" t="s">
        <v>2402</v>
      </c>
      <c r="AM1" s="936"/>
      <c r="AN1" s="1257" t="s">
        <v>2403</v>
      </c>
      <c r="AO1" s="936"/>
      <c r="AP1" s="1257" t="s">
        <v>2404</v>
      </c>
      <c r="AQ1" s="936"/>
      <c r="AR1" s="1257" t="s">
        <v>2405</v>
      </c>
      <c r="AS1" s="1257" t="s">
        <v>2406</v>
      </c>
      <c r="AT1" s="936"/>
      <c r="AU1" s="1257" t="s">
        <v>2407</v>
      </c>
      <c r="AV1" s="936"/>
      <c r="AW1" s="938"/>
      <c r="AX1" s="938"/>
      <c r="AY1" s="938"/>
      <c r="AZ1" s="1259" t="s">
        <v>2408</v>
      </c>
      <c r="BA1" s="1260"/>
      <c r="BB1" s="1259" t="s">
        <v>2409</v>
      </c>
      <c r="BC1" s="1260"/>
      <c r="BD1" s="1259" t="s">
        <v>2410</v>
      </c>
      <c r="BE1" s="1260"/>
      <c r="BF1" s="1260"/>
      <c r="BG1" s="1281"/>
      <c r="BH1" s="1282" t="s">
        <v>2411</v>
      </c>
      <c r="BI1" s="1283"/>
      <c r="BJ1" s="1283"/>
      <c r="BK1" s="1283"/>
      <c r="BL1" s="1283"/>
      <c r="BM1" s="1283"/>
      <c r="BN1" s="1283"/>
      <c r="BO1" s="1283"/>
      <c r="BP1" s="1283"/>
      <c r="BQ1" s="1284"/>
      <c r="BR1" s="1259" t="s">
        <v>2373</v>
      </c>
      <c r="BS1" s="1260"/>
      <c r="BT1" s="1260"/>
      <c r="BU1" s="1260"/>
      <c r="BV1" s="1260"/>
      <c r="BW1" s="1260"/>
      <c r="BX1" s="1260"/>
      <c r="BY1" s="939"/>
      <c r="BZ1" s="1279" t="s">
        <v>2412</v>
      </c>
      <c r="CA1" s="1273" t="s">
        <v>2411</v>
      </c>
      <c r="CB1" s="1274"/>
      <c r="CC1" s="1274"/>
      <c r="CD1" s="1274"/>
      <c r="CE1" s="1274"/>
      <c r="CF1" s="1274"/>
      <c r="CG1" s="1274"/>
      <c r="CH1" s="1274"/>
      <c r="CI1" s="1275"/>
      <c r="CJ1" s="940"/>
      <c r="CK1" s="1257" t="s">
        <v>2413</v>
      </c>
      <c r="CL1" s="936"/>
      <c r="CM1" s="1257" t="s">
        <v>2414</v>
      </c>
      <c r="CN1" s="936"/>
      <c r="CO1" s="1276" t="s">
        <v>2415</v>
      </c>
      <c r="CP1" s="1277"/>
      <c r="CQ1" s="1276" t="s">
        <v>2416</v>
      </c>
      <c r="CR1" s="1277"/>
      <c r="CS1" s="1278" t="s">
        <v>26</v>
      </c>
      <c r="CT1" s="936"/>
      <c r="CU1" s="1265" t="str">
        <f>+L3</f>
        <v>Natural gas</v>
      </c>
      <c r="CV1" s="1267" t="str">
        <f>+L7</f>
        <v>Liquefied Petroleum Gases (LPG)</v>
      </c>
      <c r="CW1" s="1267" t="s">
        <v>2417</v>
      </c>
      <c r="CX1" s="1268" t="s">
        <v>2418</v>
      </c>
      <c r="CY1" s="936"/>
      <c r="CZ1" s="1257" t="s">
        <v>2419</v>
      </c>
      <c r="DA1" s="936"/>
      <c r="DB1" s="1270" t="s">
        <v>2420</v>
      </c>
      <c r="DC1" s="1271"/>
      <c r="DD1" s="1272"/>
      <c r="DE1" s="936"/>
      <c r="DF1" s="1257" t="s">
        <v>2421</v>
      </c>
      <c r="DG1" s="936"/>
      <c r="DH1" s="938"/>
      <c r="DI1" s="938"/>
      <c r="DJ1" s="938"/>
      <c r="DK1" s="1259" t="s">
        <v>2422</v>
      </c>
      <c r="DL1" s="1260"/>
      <c r="DM1" s="936"/>
      <c r="DN1" s="938" t="s">
        <v>2423</v>
      </c>
      <c r="DO1" s="938"/>
      <c r="DP1" s="936"/>
      <c r="DQ1" s="938" t="s">
        <v>2424</v>
      </c>
      <c r="DR1" s="936"/>
      <c r="DS1" s="938" t="s">
        <v>2425</v>
      </c>
      <c r="DT1" s="1261" t="s">
        <v>2426</v>
      </c>
    </row>
    <row r="2" spans="1:124" s="803" customFormat="1" ht="27" customHeight="1" thickBot="1">
      <c r="A2" s="1289"/>
      <c r="B2" s="944"/>
      <c r="C2" s="1258"/>
      <c r="D2" s="1258"/>
      <c r="E2" s="1258"/>
      <c r="F2" s="1258"/>
      <c r="G2" s="1285"/>
      <c r="H2" s="1258"/>
      <c r="I2" s="1285"/>
      <c r="J2" s="1287"/>
      <c r="K2" s="944"/>
      <c r="L2" s="1258"/>
      <c r="M2" s="1258"/>
      <c r="N2" s="1258"/>
      <c r="O2" s="1258"/>
      <c r="P2" s="1258"/>
      <c r="Q2" s="1258"/>
      <c r="R2" s="1258"/>
      <c r="S2" s="1258"/>
      <c r="T2" s="1258"/>
      <c r="U2" s="1258"/>
      <c r="V2" s="1258"/>
      <c r="W2" s="944"/>
      <c r="X2" s="1258"/>
      <c r="Y2" s="1258"/>
      <c r="Z2" s="1258"/>
      <c r="AA2" s="1258"/>
      <c r="AB2" s="1258"/>
      <c r="AC2" s="1258"/>
      <c r="AD2" s="944"/>
      <c r="AE2" s="1258"/>
      <c r="AF2" s="1258"/>
      <c r="AG2" s="944"/>
      <c r="AH2" s="1258"/>
      <c r="AI2" s="944"/>
      <c r="AJ2" s="1258"/>
      <c r="AK2" s="944"/>
      <c r="AL2" s="1258"/>
      <c r="AM2" s="944"/>
      <c r="AN2" s="1258"/>
      <c r="AO2" s="944"/>
      <c r="AP2" s="1258"/>
      <c r="AQ2" s="944"/>
      <c r="AR2" s="1258"/>
      <c r="AS2" s="1258"/>
      <c r="AT2" s="944"/>
      <c r="AU2" s="1258"/>
      <c r="AV2" s="944"/>
      <c r="AW2" s="945" t="s">
        <v>4</v>
      </c>
      <c r="AX2" s="946" t="s">
        <v>2427</v>
      </c>
      <c r="AY2" s="946" t="s">
        <v>2428</v>
      </c>
      <c r="AZ2" s="945" t="s">
        <v>2429</v>
      </c>
      <c r="BA2" s="945" t="s">
        <v>2430</v>
      </c>
      <c r="BB2" s="945" t="s">
        <v>2431</v>
      </c>
      <c r="BC2" s="937" t="s">
        <v>2430</v>
      </c>
      <c r="BD2" s="945" t="s">
        <v>2432</v>
      </c>
      <c r="BE2" s="945" t="s">
        <v>2433</v>
      </c>
      <c r="BF2" s="937" t="s">
        <v>26</v>
      </c>
      <c r="BG2" s="945" t="s">
        <v>2383</v>
      </c>
      <c r="BH2" s="945" t="s">
        <v>2434</v>
      </c>
      <c r="BI2" s="945" t="s">
        <v>2435</v>
      </c>
      <c r="BJ2" s="945" t="s">
        <v>2436</v>
      </c>
      <c r="BK2" s="945" t="s">
        <v>30</v>
      </c>
      <c r="BL2" s="945" t="s">
        <v>2437</v>
      </c>
      <c r="BM2" s="945" t="s">
        <v>2438</v>
      </c>
      <c r="BN2" s="945" t="s">
        <v>20</v>
      </c>
      <c r="BO2" s="945" t="s">
        <v>2439</v>
      </c>
      <c r="BP2" s="941" t="s">
        <v>8</v>
      </c>
      <c r="BQ2" s="942" t="s">
        <v>26</v>
      </c>
      <c r="BR2" s="945" t="s">
        <v>2440</v>
      </c>
      <c r="BS2" s="945" t="s">
        <v>2441</v>
      </c>
      <c r="BT2" s="945" t="s">
        <v>2376</v>
      </c>
      <c r="BU2" s="945" t="s">
        <v>2377</v>
      </c>
      <c r="BV2" s="945" t="s">
        <v>2378</v>
      </c>
      <c r="BW2" s="941" t="s">
        <v>0</v>
      </c>
      <c r="BX2" s="942" t="s">
        <v>26</v>
      </c>
      <c r="BY2" s="947"/>
      <c r="BZ2" s="1280"/>
      <c r="CA2" s="948" t="str">
        <f t="shared" ref="CA2:CH2" si="0">+BH2</f>
        <v>Paper/cardboard</v>
      </c>
      <c r="CB2" s="948" t="str">
        <f t="shared" si="0"/>
        <v>Textiles</v>
      </c>
      <c r="CC2" s="948" t="str">
        <f t="shared" si="0"/>
        <v>Food waste</v>
      </c>
      <c r="CD2" s="948" t="str">
        <f t="shared" si="0"/>
        <v>Wood</v>
      </c>
      <c r="CE2" s="948" t="str">
        <f t="shared" si="0"/>
        <v>Garden and Park Waste</v>
      </c>
      <c r="CF2" s="948" t="str">
        <f t="shared" si="0"/>
        <v>Nappies</v>
      </c>
      <c r="CG2" s="948" t="str">
        <f t="shared" si="0"/>
        <v>Plastics</v>
      </c>
      <c r="CH2" s="948" t="str">
        <f t="shared" si="0"/>
        <v>Other</v>
      </c>
      <c r="CI2" s="949" t="s">
        <v>8</v>
      </c>
      <c r="CJ2" s="950"/>
      <c r="CK2" s="1258"/>
      <c r="CL2" s="944"/>
      <c r="CM2" s="1258" t="s">
        <v>2442</v>
      </c>
      <c r="CN2" s="944"/>
      <c r="CO2" s="942" t="s">
        <v>2443</v>
      </c>
      <c r="CP2" s="942" t="s">
        <v>0</v>
      </c>
      <c r="CQ2" s="942" t="s">
        <v>2443</v>
      </c>
      <c r="CR2" s="942" t="s">
        <v>2444</v>
      </c>
      <c r="CS2" s="1278"/>
      <c r="CT2" s="944"/>
      <c r="CU2" s="1266"/>
      <c r="CV2" s="1267"/>
      <c r="CW2" s="1267"/>
      <c r="CX2" s="1269"/>
      <c r="CY2" s="944"/>
      <c r="CZ2" s="1258" t="s">
        <v>2442</v>
      </c>
      <c r="DA2" s="944"/>
      <c r="DB2" s="951" t="s">
        <v>33</v>
      </c>
      <c r="DC2" s="951" t="s">
        <v>2445</v>
      </c>
      <c r="DD2" s="951" t="s">
        <v>26</v>
      </c>
      <c r="DE2" s="944"/>
      <c r="DF2" s="1258" t="s">
        <v>2442</v>
      </c>
      <c r="DG2" s="944"/>
      <c r="DH2" s="945" t="s">
        <v>4</v>
      </c>
      <c r="DI2" s="946" t="s">
        <v>2427</v>
      </c>
      <c r="DJ2" s="946" t="s">
        <v>2428</v>
      </c>
      <c r="DK2" s="945" t="s">
        <v>2446</v>
      </c>
      <c r="DL2" s="945" t="s">
        <v>2447</v>
      </c>
      <c r="DM2" s="944"/>
      <c r="DN2" s="945" t="s">
        <v>2448</v>
      </c>
      <c r="DO2" s="946" t="s">
        <v>2449</v>
      </c>
      <c r="DP2" s="944"/>
      <c r="DQ2" s="945" t="s">
        <v>2450</v>
      </c>
      <c r="DR2" s="944"/>
      <c r="DS2" s="945" t="s">
        <v>2451</v>
      </c>
      <c r="DT2" s="1261"/>
    </row>
    <row r="3" spans="1:124" ht="37.5">
      <c r="A3" s="952">
        <v>2015</v>
      </c>
      <c r="C3" s="827" t="s">
        <v>2452</v>
      </c>
      <c r="D3" s="954" t="s">
        <v>2453</v>
      </c>
      <c r="E3" s="955">
        <v>29.8</v>
      </c>
      <c r="F3" s="956"/>
      <c r="G3" s="957" t="s">
        <v>2454</v>
      </c>
      <c r="H3" s="956"/>
      <c r="I3" s="957"/>
      <c r="J3" s="956"/>
      <c r="L3" s="958" t="s">
        <v>10</v>
      </c>
      <c r="M3" s="959" t="s">
        <v>2455</v>
      </c>
      <c r="N3" s="959">
        <v>0.7</v>
      </c>
      <c r="O3" s="952">
        <v>48</v>
      </c>
      <c r="P3" s="959">
        <v>56.1</v>
      </c>
      <c r="Q3" s="952">
        <v>5.0000000000000001E-3</v>
      </c>
      <c r="R3" s="952">
        <v>1E-4</v>
      </c>
      <c r="S3" s="959">
        <v>56.1</v>
      </c>
      <c r="T3" s="959">
        <v>9.1999999999999998E-2</v>
      </c>
      <c r="U3" s="959">
        <v>3.0000000000000001E-3</v>
      </c>
      <c r="V3" s="959" t="s">
        <v>2456</v>
      </c>
      <c r="X3" s="960" t="s">
        <v>2457</v>
      </c>
      <c r="Y3" s="961">
        <f>451.11/$Y$25</f>
        <v>280.30745523009432</v>
      </c>
      <c r="Z3" s="962">
        <f>0.0005/$Y$25</f>
        <v>3.1068636832490336E-4</v>
      </c>
      <c r="AA3" s="962">
        <f>0.001/$Y$25</f>
        <v>6.2137273664980672E-4</v>
      </c>
      <c r="AB3" s="963" t="s">
        <v>2458</v>
      </c>
      <c r="AC3" s="962"/>
      <c r="AE3" s="964" t="s">
        <v>2452</v>
      </c>
      <c r="AF3" s="952">
        <v>4</v>
      </c>
      <c r="AH3" s="964" t="str">
        <f>+X3</f>
        <v>Private car (diesel)</v>
      </c>
      <c r="AJ3" s="964" t="str">
        <f>+X3</f>
        <v>Private car (diesel)</v>
      </c>
      <c r="AL3" s="964">
        <v>4</v>
      </c>
      <c r="AN3" s="965" t="s">
        <v>2459</v>
      </c>
      <c r="AP3" s="966" t="s">
        <v>2460</v>
      </c>
      <c r="AR3" s="967" t="s">
        <v>2461</v>
      </c>
      <c r="AS3" s="952">
        <v>52</v>
      </c>
      <c r="AU3" s="964" t="s">
        <v>2462</v>
      </c>
      <c r="AW3" s="968" t="s">
        <v>2463</v>
      </c>
      <c r="AX3" s="969" t="s">
        <v>2464</v>
      </c>
      <c r="AY3" s="970" t="str">
        <f>+BZ4</f>
        <v>South-Central Asia</v>
      </c>
      <c r="AZ3" s="969">
        <v>206</v>
      </c>
      <c r="BA3" s="971" t="s">
        <v>2465</v>
      </c>
      <c r="BB3" s="972">
        <v>13.490630673342661</v>
      </c>
      <c r="BC3" s="971" t="s">
        <v>2466</v>
      </c>
      <c r="BD3" s="973"/>
      <c r="BE3" s="973"/>
      <c r="BF3" s="971"/>
      <c r="BG3" s="973"/>
      <c r="BH3" s="974">
        <f t="shared" ref="BH3:BH10" si="1">+VLOOKUP($AY3,$BZ$3:$CH$21,2,FALSE)</f>
        <v>11.3</v>
      </c>
      <c r="BI3" s="974">
        <f t="shared" ref="BI3:BI10" si="2">+VLOOKUP($AY3,$BZ$3:$CH$21,3,FALSE)</f>
        <v>2.5</v>
      </c>
      <c r="BJ3" s="974">
        <f t="shared" ref="BJ3:BJ10" si="3">+VLOOKUP($AY3,$BZ$3:$CH$21,4,FALSE)</f>
        <v>40.299999999999997</v>
      </c>
      <c r="BK3" s="974">
        <f t="shared" ref="BK3:BK10" si="4">+VLOOKUP($AY3,$BZ$3:$CH$21,5,FALSE)</f>
        <v>7.9</v>
      </c>
      <c r="BL3" s="974">
        <f t="shared" ref="BL3:BL10" si="5">+VLOOKUP($AY3,$BZ$3:$CH$21,6,FALSE)</f>
        <v>9.5</v>
      </c>
      <c r="BM3" s="974">
        <f t="shared" ref="BM3:BM10" si="6">+VLOOKUP($AY3,$BZ$3:$CH$21,7,FALSE)</f>
        <v>5.6</v>
      </c>
      <c r="BN3" s="974">
        <f t="shared" ref="BN3:BN10" si="7">+VLOOKUP($AY3,$BZ$3:$CH$21,8,FALSE)</f>
        <v>6.4</v>
      </c>
      <c r="BO3" s="974">
        <f t="shared" ref="BO3:BO10" si="8">+VLOOKUP($AY3,$BZ$3:$CH$21,9,FALSE)</f>
        <v>16.5</v>
      </c>
      <c r="BP3" s="974">
        <f t="shared" ref="BP3:BP8" si="9">+SUM(BH3:BO3)</f>
        <v>100</v>
      </c>
      <c r="BQ3" s="971" t="s">
        <v>2467</v>
      </c>
      <c r="BR3" s="975"/>
      <c r="BS3" s="975"/>
      <c r="BT3" s="975"/>
      <c r="BU3" s="975"/>
      <c r="BV3" s="975"/>
      <c r="BW3" s="975"/>
      <c r="BX3" s="971"/>
      <c r="BZ3" s="976" t="s">
        <v>2468</v>
      </c>
      <c r="CA3" s="974">
        <v>18.8</v>
      </c>
      <c r="CB3" s="974">
        <v>3.5</v>
      </c>
      <c r="CC3" s="974">
        <v>26.2</v>
      </c>
      <c r="CD3" s="974">
        <v>3.5</v>
      </c>
      <c r="CE3" s="974">
        <v>9.5</v>
      </c>
      <c r="CF3" s="974">
        <v>5.6</v>
      </c>
      <c r="CG3" s="974">
        <v>14.3</v>
      </c>
      <c r="CH3" s="974">
        <f>100-SUM(CA3:CG3)</f>
        <v>18.600000000000009</v>
      </c>
      <c r="CI3" s="974">
        <f>+SUM(CA3:CH3)</f>
        <v>100</v>
      </c>
      <c r="CK3" s="977" t="str">
        <f>+'Results &amp; Summary'!B25</f>
        <v>Capital goods</v>
      </c>
      <c r="CM3" s="943" t="s">
        <v>2469</v>
      </c>
      <c r="CO3" s="943">
        <v>1</v>
      </c>
      <c r="CP3" s="943" t="s">
        <v>2470</v>
      </c>
      <c r="CQ3" s="978">
        <f>1/(+ROUND(1/0.001026,6)/CQ4)</f>
        <v>3.6228813574030939E-2</v>
      </c>
      <c r="CR3" s="943" t="s">
        <v>2471</v>
      </c>
      <c r="CS3" s="971" t="s">
        <v>2472</v>
      </c>
      <c r="CU3" s="943" t="s">
        <v>2470</v>
      </c>
      <c r="CV3" s="943" t="s">
        <v>12</v>
      </c>
      <c r="CW3" s="943" t="s">
        <v>2473</v>
      </c>
      <c r="CX3" s="943" t="s">
        <v>12</v>
      </c>
      <c r="CZ3" s="943" t="s">
        <v>2474</v>
      </c>
      <c r="DB3" s="943" t="s">
        <v>2475</v>
      </c>
      <c r="DC3" s="943">
        <v>0.5</v>
      </c>
      <c r="DD3" s="971" t="s">
        <v>2476</v>
      </c>
      <c r="DF3" s="943" t="s">
        <v>12</v>
      </c>
      <c r="DH3" s="977" t="str">
        <f t="shared" ref="DH3:DJ19" si="10">AW3</f>
        <v>Canada-Alberta (AB)</v>
      </c>
      <c r="DI3" s="977" t="str">
        <f t="shared" si="10"/>
        <v>Asia</v>
      </c>
      <c r="DJ3" s="977" t="str">
        <f t="shared" si="10"/>
        <v>South-Central Asia</v>
      </c>
      <c r="DL3" s="977" t="s">
        <v>35</v>
      </c>
      <c r="DN3" s="977" t="s">
        <v>2477</v>
      </c>
      <c r="DO3" s="977" t="s">
        <v>2478</v>
      </c>
      <c r="DQ3" s="977" t="s">
        <v>2479</v>
      </c>
      <c r="DS3" s="979" t="s">
        <v>2374</v>
      </c>
      <c r="DT3" s="977" t="s">
        <v>2480</v>
      </c>
    </row>
    <row r="4" spans="1:124" ht="39" customHeight="1">
      <c r="A4" s="952">
        <f>+A3+1</f>
        <v>2016</v>
      </c>
      <c r="C4" s="827" t="s">
        <v>2481</v>
      </c>
      <c r="D4" s="954" t="s">
        <v>2453</v>
      </c>
      <c r="E4" s="955">
        <v>273</v>
      </c>
      <c r="F4" s="956" t="s">
        <v>2482</v>
      </c>
      <c r="G4" s="957" t="s">
        <v>2454</v>
      </c>
      <c r="H4" s="980">
        <v>1.875</v>
      </c>
      <c r="I4" s="957" t="s">
        <v>2483</v>
      </c>
      <c r="J4" s="956" t="s">
        <v>2484</v>
      </c>
      <c r="L4" s="958" t="s">
        <v>16</v>
      </c>
      <c r="M4" s="959" t="s">
        <v>2485</v>
      </c>
      <c r="N4" s="959">
        <v>0.84</v>
      </c>
      <c r="O4" s="959">
        <v>43</v>
      </c>
      <c r="P4" s="952">
        <v>74.099999999999994</v>
      </c>
      <c r="Q4" s="952">
        <v>0.01</v>
      </c>
      <c r="R4" s="952">
        <v>5.9999999999999995E-4</v>
      </c>
      <c r="S4" s="959">
        <v>74.099999999999994</v>
      </c>
      <c r="T4" s="959">
        <v>3.8999999999999998E-3</v>
      </c>
      <c r="U4" s="959">
        <v>3.8999999999999998E-3</v>
      </c>
      <c r="V4" s="959" t="s">
        <v>2486</v>
      </c>
      <c r="X4" s="960" t="s">
        <v>2487</v>
      </c>
      <c r="Y4" s="961">
        <f>391.5/$Y$25</f>
        <v>243.26742639839935</v>
      </c>
      <c r="Z4" s="962">
        <f>0.0147/$Y$25</f>
        <v>9.1341792287521588E-3</v>
      </c>
      <c r="AA4" s="962">
        <f>0.0079/$Y$25</f>
        <v>4.9088446195334739E-3</v>
      </c>
      <c r="AB4" s="963" t="s">
        <v>2458</v>
      </c>
      <c r="AC4" s="962"/>
      <c r="AE4" s="964" t="s">
        <v>2481</v>
      </c>
      <c r="AF4" s="952">
        <v>0.3</v>
      </c>
      <c r="AH4" s="964" t="str">
        <f>+X4</f>
        <v>Private car (gasoline)</v>
      </c>
      <c r="AJ4" s="964" t="str">
        <f>+X4</f>
        <v>Private car (gasoline)</v>
      </c>
      <c r="AL4" s="964">
        <v>8</v>
      </c>
      <c r="AN4" s="965" t="s">
        <v>2488</v>
      </c>
      <c r="AP4" s="966" t="s">
        <v>2489</v>
      </c>
      <c r="AR4" s="967" t="s">
        <v>2490</v>
      </c>
      <c r="AS4" s="952">
        <v>12</v>
      </c>
      <c r="AU4" s="964" t="s">
        <v>2491</v>
      </c>
      <c r="AW4" s="968" t="s">
        <v>2492</v>
      </c>
      <c r="AX4" s="969" t="s">
        <v>2493</v>
      </c>
      <c r="AY4" s="970" t="str">
        <f>+BZ14</f>
        <v>Southern Europe</v>
      </c>
      <c r="AZ4" s="969">
        <v>43</v>
      </c>
      <c r="BA4" s="971" t="s">
        <v>2465</v>
      </c>
      <c r="BB4" s="972">
        <v>23.69</v>
      </c>
      <c r="BC4" s="971" t="s">
        <v>2494</v>
      </c>
      <c r="BD4" s="973"/>
      <c r="BE4" s="973"/>
      <c r="BF4" s="971"/>
      <c r="BG4" s="973"/>
      <c r="BH4" s="974">
        <f t="shared" si="1"/>
        <v>17</v>
      </c>
      <c r="BI4" s="974">
        <f t="shared" si="2"/>
        <v>6.8</v>
      </c>
      <c r="BJ4" s="974">
        <f t="shared" si="3"/>
        <v>36.9</v>
      </c>
      <c r="BK4" s="974">
        <f t="shared" si="4"/>
        <v>10.6</v>
      </c>
      <c r="BL4" s="974">
        <f t="shared" si="5"/>
        <v>9.5</v>
      </c>
      <c r="BM4" s="974">
        <f t="shared" si="6"/>
        <v>5.6</v>
      </c>
      <c r="BN4" s="974">
        <f t="shared" si="7"/>
        <v>6.8</v>
      </c>
      <c r="BO4" s="974">
        <f t="shared" si="8"/>
        <v>6.8</v>
      </c>
      <c r="BP4" s="974">
        <f t="shared" si="9"/>
        <v>99.999999999999986</v>
      </c>
      <c r="BQ4" s="971" t="s">
        <v>2467</v>
      </c>
      <c r="BR4" s="975"/>
      <c r="BS4" s="975"/>
      <c r="BT4" s="975"/>
      <c r="BU4" s="975"/>
      <c r="BV4" s="975"/>
      <c r="BW4" s="975"/>
      <c r="BX4" s="971"/>
      <c r="BZ4" s="976" t="s">
        <v>2495</v>
      </c>
      <c r="CA4" s="974">
        <v>11.3</v>
      </c>
      <c r="CB4" s="974">
        <v>2.5</v>
      </c>
      <c r="CC4" s="974">
        <v>40.299999999999997</v>
      </c>
      <c r="CD4" s="974">
        <v>7.9</v>
      </c>
      <c r="CE4" s="974">
        <v>9.5</v>
      </c>
      <c r="CF4" s="974">
        <v>5.6</v>
      </c>
      <c r="CG4" s="974">
        <v>6.4</v>
      </c>
      <c r="CH4" s="974">
        <f t="shared" ref="CH4:CH13" si="11">100-SUM(CA4:CG4)</f>
        <v>16.5</v>
      </c>
      <c r="CI4" s="974">
        <f t="shared" ref="CI4:CI21" si="12">+SUM(CA4:CH4)</f>
        <v>100</v>
      </c>
      <c r="CK4" s="977" t="str">
        <f>+'Results &amp; Summary'!B34</f>
        <v>Use of sold products</v>
      </c>
      <c r="CM4" s="943" t="s">
        <v>2496</v>
      </c>
      <c r="CO4" s="943">
        <v>1</v>
      </c>
      <c r="CP4" s="943" t="s">
        <v>2470</v>
      </c>
      <c r="CQ4" s="981">
        <f>1/0.02832</f>
        <v>35.310734463276837</v>
      </c>
      <c r="CR4" s="943" t="s">
        <v>2497</v>
      </c>
      <c r="CS4" s="971" t="s">
        <v>2472</v>
      </c>
      <c r="CU4" s="943" t="s">
        <v>2471</v>
      </c>
      <c r="CV4" s="943" t="s">
        <v>13</v>
      </c>
      <c r="CW4" s="943" t="s">
        <v>2498</v>
      </c>
      <c r="CX4" s="943" t="s">
        <v>13</v>
      </c>
      <c r="CZ4" s="943" t="s">
        <v>2499</v>
      </c>
      <c r="DB4" s="943" t="s">
        <v>2500</v>
      </c>
      <c r="DC4" s="943">
        <v>0.02</v>
      </c>
      <c r="DD4" s="971" t="s">
        <v>2476</v>
      </c>
      <c r="DF4" s="943" t="s">
        <v>2498</v>
      </c>
      <c r="DH4" s="977" t="str">
        <f t="shared" si="10"/>
        <v>Canada-British Columbia (BC)</v>
      </c>
      <c r="DI4" s="977" t="str">
        <f t="shared" si="10"/>
        <v>Europe</v>
      </c>
      <c r="DJ4" s="977" t="str">
        <f t="shared" si="10"/>
        <v>Southern Europe</v>
      </c>
      <c r="DL4" s="977" t="s">
        <v>35</v>
      </c>
      <c r="DN4" s="977" t="s">
        <v>2501</v>
      </c>
      <c r="DO4" s="977" t="s">
        <v>2502</v>
      </c>
      <c r="DQ4" s="977" t="s">
        <v>2503</v>
      </c>
      <c r="DS4" s="982" t="s">
        <v>2504</v>
      </c>
      <c r="DT4" s="977" t="s">
        <v>2505</v>
      </c>
    </row>
    <row r="5" spans="1:124" ht="62.5">
      <c r="A5" s="952">
        <f>+A4+1</f>
        <v>2017</v>
      </c>
      <c r="C5" s="836" t="s">
        <v>2506</v>
      </c>
      <c r="D5" s="954"/>
      <c r="E5" s="955">
        <v>539</v>
      </c>
      <c r="F5" s="956" t="s">
        <v>2482</v>
      </c>
      <c r="G5" s="957" t="s">
        <v>2507</v>
      </c>
      <c r="H5" s="956"/>
      <c r="I5" s="957"/>
      <c r="J5" s="956"/>
      <c r="L5" s="958" t="s">
        <v>2508</v>
      </c>
      <c r="M5" s="959" t="s">
        <v>2485</v>
      </c>
      <c r="N5" s="959">
        <v>0.94</v>
      </c>
      <c r="O5" s="959">
        <v>40.4</v>
      </c>
      <c r="P5" s="952">
        <v>77.400000000000006</v>
      </c>
      <c r="Q5" s="952">
        <v>0.01</v>
      </c>
      <c r="R5" s="952">
        <v>5.9999999999999995E-4</v>
      </c>
      <c r="S5" s="952" t="s">
        <v>2453</v>
      </c>
      <c r="T5" s="952" t="s">
        <v>2453</v>
      </c>
      <c r="U5" s="952" t="s">
        <v>2453</v>
      </c>
      <c r="V5" s="959" t="s">
        <v>2509</v>
      </c>
      <c r="X5" s="960" t="s">
        <v>2510</v>
      </c>
      <c r="Y5" s="961">
        <v>214.19</v>
      </c>
      <c r="Z5" s="962">
        <v>0</v>
      </c>
      <c r="AA5" s="962">
        <v>0</v>
      </c>
      <c r="AB5" s="971" t="s">
        <v>2511</v>
      </c>
      <c r="AC5" s="983" t="s">
        <v>2512</v>
      </c>
      <c r="AE5" s="957" t="s">
        <v>2513</v>
      </c>
      <c r="AF5" s="971" t="s">
        <v>2514</v>
      </c>
      <c r="AH5" s="960" t="str">
        <f>+X5</f>
        <v>Private car (CNG)</v>
      </c>
      <c r="AJ5" s="960" t="str">
        <f>+X5</f>
        <v>Private car (CNG)</v>
      </c>
      <c r="AL5" s="964">
        <v>12</v>
      </c>
      <c r="AN5" s="965" t="s">
        <v>2515</v>
      </c>
      <c r="AP5" s="966" t="s">
        <v>2516</v>
      </c>
      <c r="AR5" s="967" t="s">
        <v>2517</v>
      </c>
      <c r="AS5" s="952">
        <v>1</v>
      </c>
      <c r="AU5" s="964" t="s">
        <v>2518</v>
      </c>
      <c r="AW5" s="968" t="s">
        <v>2519</v>
      </c>
      <c r="AX5" s="969" t="s">
        <v>2520</v>
      </c>
      <c r="AY5" s="970" t="str">
        <f>+BZ9</f>
        <v>Northern Africa</v>
      </c>
      <c r="AZ5" s="969">
        <v>429</v>
      </c>
      <c r="BA5" s="971" t="s">
        <v>2465</v>
      </c>
      <c r="BB5" s="972">
        <v>17.13</v>
      </c>
      <c r="BC5" s="971" t="s">
        <v>2494</v>
      </c>
      <c r="BD5" s="973"/>
      <c r="BE5" s="973"/>
      <c r="BF5" s="971"/>
      <c r="BG5" s="973"/>
      <c r="BH5" s="974">
        <f t="shared" si="1"/>
        <v>16.5</v>
      </c>
      <c r="BI5" s="974">
        <f t="shared" si="2"/>
        <v>2.5</v>
      </c>
      <c r="BJ5" s="974">
        <f t="shared" si="3"/>
        <v>51.1</v>
      </c>
      <c r="BK5" s="974">
        <f t="shared" si="4"/>
        <v>2</v>
      </c>
      <c r="BL5" s="974">
        <f t="shared" si="5"/>
        <v>9.5</v>
      </c>
      <c r="BM5" s="974">
        <f t="shared" si="6"/>
        <v>5.6</v>
      </c>
      <c r="BN5" s="974">
        <f t="shared" si="7"/>
        <v>4.5</v>
      </c>
      <c r="BO5" s="974">
        <f t="shared" si="8"/>
        <v>8.3000000000000114</v>
      </c>
      <c r="BP5" s="974">
        <f t="shared" si="9"/>
        <v>100</v>
      </c>
      <c r="BQ5" s="971" t="s">
        <v>2467</v>
      </c>
      <c r="BR5" s="975"/>
      <c r="BS5" s="975"/>
      <c r="BT5" s="975"/>
      <c r="BU5" s="975"/>
      <c r="BV5" s="975"/>
      <c r="BW5" s="975"/>
      <c r="BX5" s="971"/>
      <c r="BZ5" s="976" t="s">
        <v>2521</v>
      </c>
      <c r="CA5" s="974">
        <v>12.9</v>
      </c>
      <c r="CB5" s="974">
        <v>2.7</v>
      </c>
      <c r="CC5" s="974">
        <v>43.5</v>
      </c>
      <c r="CD5" s="974">
        <v>9.9</v>
      </c>
      <c r="CE5" s="974">
        <v>9.5</v>
      </c>
      <c r="CF5" s="974">
        <v>5.6</v>
      </c>
      <c r="CG5" s="974">
        <v>7.2</v>
      </c>
      <c r="CH5" s="974">
        <f t="shared" si="11"/>
        <v>8.7000000000000028</v>
      </c>
      <c r="CI5" s="974">
        <f t="shared" si="12"/>
        <v>100</v>
      </c>
      <c r="CK5" s="977" t="str">
        <f>+'Results &amp; Summary'!B11</f>
        <v>Refrigerants and Fire Suppression</v>
      </c>
      <c r="CO5" s="943">
        <v>1</v>
      </c>
      <c r="CP5" s="943" t="s">
        <v>2470</v>
      </c>
      <c r="CQ5" s="978">
        <f>1/(+ROUND(1/0.001026,6)/10/CQ4)</f>
        <v>0.36228813574030932</v>
      </c>
      <c r="CR5" s="943" t="s">
        <v>15</v>
      </c>
      <c r="CS5" s="971" t="s">
        <v>2472</v>
      </c>
      <c r="CU5" s="943" t="s">
        <v>2497</v>
      </c>
      <c r="CV5" s="943" t="s">
        <v>2473</v>
      </c>
      <c r="CW5" s="943"/>
      <c r="CX5" s="943" t="s">
        <v>2522</v>
      </c>
      <c r="DF5" s="943" t="s">
        <v>2473</v>
      </c>
      <c r="DH5" s="977" t="str">
        <f t="shared" si="10"/>
        <v>Canada-Manitoba (MT)</v>
      </c>
      <c r="DI5" s="977" t="str">
        <f t="shared" si="10"/>
        <v>Africa</v>
      </c>
      <c r="DJ5" s="977" t="str">
        <f t="shared" si="10"/>
        <v>Northern Africa</v>
      </c>
      <c r="DL5" s="977" t="s">
        <v>35</v>
      </c>
      <c r="DN5" s="977" t="s">
        <v>2523</v>
      </c>
      <c r="DO5" s="977" t="s">
        <v>2524</v>
      </c>
      <c r="DQ5" s="977" t="s">
        <v>2525</v>
      </c>
      <c r="DS5" s="982" t="s">
        <v>11</v>
      </c>
      <c r="DT5" s="977" t="s">
        <v>2526</v>
      </c>
    </row>
    <row r="6" spans="1:124" ht="26">
      <c r="A6" s="952">
        <f>+A5+1</f>
        <v>2018</v>
      </c>
      <c r="C6" s="836" t="s">
        <v>2527</v>
      </c>
      <c r="D6" s="954"/>
      <c r="E6" s="955">
        <v>195</v>
      </c>
      <c r="F6" s="956" t="s">
        <v>2482</v>
      </c>
      <c r="G6" s="957" t="s">
        <v>2507</v>
      </c>
      <c r="H6" s="956"/>
      <c r="I6" s="957"/>
      <c r="J6" s="956"/>
      <c r="L6" s="958" t="s">
        <v>17</v>
      </c>
      <c r="M6" s="959" t="s">
        <v>2485</v>
      </c>
      <c r="N6" s="959">
        <v>0.74</v>
      </c>
      <c r="O6" s="959">
        <v>44.3</v>
      </c>
      <c r="P6" s="952">
        <v>69.3</v>
      </c>
      <c r="Q6" s="952">
        <v>0.01</v>
      </c>
      <c r="R6" s="952">
        <v>5.9999999999999995E-4</v>
      </c>
      <c r="S6" s="959">
        <v>69.3</v>
      </c>
      <c r="T6" s="959">
        <v>3.3000000000000002E-2</v>
      </c>
      <c r="U6" s="959">
        <v>3.2000000000000002E-3</v>
      </c>
      <c r="V6" s="959" t="s">
        <v>2528</v>
      </c>
      <c r="X6" s="960" t="s">
        <v>2529</v>
      </c>
      <c r="Y6" s="961">
        <f>296.36/1.9/1.08</f>
        <v>144.42495126705654</v>
      </c>
      <c r="Z6" s="984">
        <f>0.06/1.08/$E$3</f>
        <v>1.8642803877703205E-3</v>
      </c>
      <c r="AA6" s="984">
        <f>1.53/1.08/$E$4</f>
        <v>5.189255189255189E-3</v>
      </c>
      <c r="AB6" s="963" t="s">
        <v>2530</v>
      </c>
      <c r="AC6" s="984"/>
      <c r="AH6" s="964" t="s">
        <v>2531</v>
      </c>
      <c r="AJ6" s="964" t="str">
        <f>+X9</f>
        <v>Bus</v>
      </c>
      <c r="AL6" s="964">
        <v>18</v>
      </c>
      <c r="AN6" s="965" t="s">
        <v>2532</v>
      </c>
      <c r="AP6" s="966" t="s">
        <v>2533</v>
      </c>
      <c r="AU6" s="964" t="s">
        <v>2534</v>
      </c>
      <c r="AW6" s="968" t="s">
        <v>2535</v>
      </c>
      <c r="AX6" s="969" t="s">
        <v>2536</v>
      </c>
      <c r="AY6" s="970" t="str">
        <f>+BZ17</f>
        <v>Rest of Oceania</v>
      </c>
      <c r="AZ6" s="969">
        <v>544</v>
      </c>
      <c r="BA6" s="971" t="s">
        <v>2465</v>
      </c>
      <c r="BB6" s="972">
        <v>5.4123414965002699</v>
      </c>
      <c r="BC6" s="971" t="s">
        <v>2537</v>
      </c>
      <c r="BD6" s="973"/>
      <c r="BE6" s="973"/>
      <c r="BF6" s="971"/>
      <c r="BG6" s="973"/>
      <c r="BH6" s="974">
        <f t="shared" si="1"/>
        <v>6</v>
      </c>
      <c r="BI6" s="974">
        <f t="shared" si="2"/>
        <v>2.97</v>
      </c>
      <c r="BJ6" s="974">
        <f t="shared" si="3"/>
        <v>67.5</v>
      </c>
      <c r="BK6" s="974">
        <f t="shared" si="4"/>
        <v>2.5</v>
      </c>
      <c r="BL6" s="974">
        <f t="shared" si="5"/>
        <v>9.5</v>
      </c>
      <c r="BM6" s="974">
        <f t="shared" si="6"/>
        <v>5.6</v>
      </c>
      <c r="BN6" s="974">
        <f t="shared" si="7"/>
        <v>2.97</v>
      </c>
      <c r="BO6" s="974">
        <f t="shared" si="8"/>
        <v>2.9666666666666668</v>
      </c>
      <c r="BP6" s="974">
        <f t="shared" si="9"/>
        <v>100.00666666666666</v>
      </c>
      <c r="BQ6" s="971" t="s">
        <v>2467</v>
      </c>
      <c r="BR6" s="975"/>
      <c r="BS6" s="975"/>
      <c r="BT6" s="975"/>
      <c r="BU6" s="975"/>
      <c r="BV6" s="975"/>
      <c r="BW6" s="975"/>
      <c r="BX6" s="971"/>
      <c r="BZ6" s="976" t="s">
        <v>2538</v>
      </c>
      <c r="CA6" s="974">
        <v>18</v>
      </c>
      <c r="CB6" s="974">
        <v>2.9</v>
      </c>
      <c r="CC6" s="974">
        <v>41.1</v>
      </c>
      <c r="CD6" s="974">
        <v>9.8000000000000007</v>
      </c>
      <c r="CE6" s="974">
        <v>9.5</v>
      </c>
      <c r="CF6" s="974">
        <v>5.6</v>
      </c>
      <c r="CG6" s="974">
        <v>6.3</v>
      </c>
      <c r="CH6" s="974">
        <f t="shared" si="11"/>
        <v>6.8000000000000114</v>
      </c>
      <c r="CI6" s="974">
        <f t="shared" si="12"/>
        <v>100</v>
      </c>
      <c r="CK6" s="977">
        <f>+'Scope 1 and 2 Data'!B439</f>
        <v>0</v>
      </c>
      <c r="CO6" s="943">
        <v>1</v>
      </c>
      <c r="CP6" s="943" t="s">
        <v>12</v>
      </c>
      <c r="CQ6" s="985">
        <v>2.2050000000000001</v>
      </c>
      <c r="CR6" s="943" t="s">
        <v>13</v>
      </c>
      <c r="CS6" s="971" t="s">
        <v>2472</v>
      </c>
      <c r="CU6" s="943" t="s">
        <v>2539</v>
      </c>
      <c r="CV6" s="943" t="s">
        <v>2470</v>
      </c>
      <c r="CW6" s="943"/>
      <c r="CX6" s="943"/>
      <c r="DH6" s="977" t="str">
        <f t="shared" si="10"/>
        <v>Canada-New Brunswick (NB)</v>
      </c>
      <c r="DI6" s="977" t="str">
        <f t="shared" si="10"/>
        <v>Oceania</v>
      </c>
      <c r="DJ6" s="977" t="str">
        <f t="shared" si="10"/>
        <v>Rest of Oceania</v>
      </c>
      <c r="DL6" s="977" t="s">
        <v>35</v>
      </c>
      <c r="DN6" s="977" t="s">
        <v>2540</v>
      </c>
      <c r="DO6" s="977" t="s">
        <v>2541</v>
      </c>
      <c r="DQ6" s="977" t="s">
        <v>10</v>
      </c>
      <c r="DS6" s="982" t="s">
        <v>2542</v>
      </c>
    </row>
    <row r="7" spans="1:124" ht="37.5">
      <c r="A7" s="952">
        <f>+A6+1</f>
        <v>2019</v>
      </c>
      <c r="C7" s="836" t="s">
        <v>2543</v>
      </c>
      <c r="D7" s="954"/>
      <c r="E7" s="955">
        <v>2590</v>
      </c>
      <c r="F7" s="956" t="s">
        <v>2482</v>
      </c>
      <c r="G7" s="957" t="s">
        <v>2507</v>
      </c>
      <c r="H7" s="956"/>
      <c r="I7" s="957"/>
      <c r="J7" s="956"/>
      <c r="L7" s="958" t="s">
        <v>2544</v>
      </c>
      <c r="M7" s="959" t="s">
        <v>12</v>
      </c>
      <c r="N7" s="959">
        <v>0.54</v>
      </c>
      <c r="O7" s="959">
        <v>47.3</v>
      </c>
      <c r="P7" s="952">
        <v>63.1</v>
      </c>
      <c r="Q7" s="952">
        <v>5.0000000000000001E-3</v>
      </c>
      <c r="R7" s="952">
        <v>1E-4</v>
      </c>
      <c r="S7" s="959">
        <v>63.1</v>
      </c>
      <c r="T7" s="959">
        <v>6.2E-2</v>
      </c>
      <c r="U7" s="959">
        <v>2.0000000000000001E-4</v>
      </c>
      <c r="V7" s="959"/>
      <c r="X7" s="960" t="s">
        <v>2545</v>
      </c>
      <c r="Y7" s="961">
        <f>168.85/1.9/1.08</f>
        <v>82.285575048732937</v>
      </c>
      <c r="Z7" s="984">
        <f>0.01/1.08/$E$3</f>
        <v>3.1071339796172006E-4</v>
      </c>
      <c r="AA7" s="984">
        <f>0.87/1.08/$E$4</f>
        <v>2.9507529507529504E-3</v>
      </c>
      <c r="AB7" s="963" t="s">
        <v>2530</v>
      </c>
      <c r="AC7" s="984"/>
      <c r="AH7" s="964" t="s">
        <v>9</v>
      </c>
      <c r="AJ7" s="960" t="str">
        <f t="shared" ref="AJ7:AJ13" si="13">+X11</f>
        <v>Private SUV or truck (diesel)</v>
      </c>
      <c r="AL7" s="964">
        <v>24</v>
      </c>
      <c r="AN7" s="965" t="s">
        <v>2546</v>
      </c>
      <c r="AP7" s="966" t="s">
        <v>2547</v>
      </c>
      <c r="AU7" s="964" t="s">
        <v>2548</v>
      </c>
      <c r="AW7" s="968" t="s">
        <v>2549</v>
      </c>
      <c r="AX7" s="969" t="s">
        <v>2493</v>
      </c>
      <c r="AY7" s="970" t="str">
        <f>+BZ14</f>
        <v>Southern Europe</v>
      </c>
      <c r="AZ7" s="969">
        <v>43</v>
      </c>
      <c r="BA7" s="971" t="s">
        <v>2465</v>
      </c>
      <c r="BB7" s="972">
        <v>6.2171813834411278</v>
      </c>
      <c r="BC7" s="971" t="s">
        <v>2550</v>
      </c>
      <c r="BD7" s="973"/>
      <c r="BE7" s="973"/>
      <c r="BF7" s="971"/>
      <c r="BG7" s="973"/>
      <c r="BH7" s="974">
        <f t="shared" si="1"/>
        <v>17</v>
      </c>
      <c r="BI7" s="974">
        <f t="shared" si="2"/>
        <v>6.8</v>
      </c>
      <c r="BJ7" s="974">
        <f t="shared" si="3"/>
        <v>36.9</v>
      </c>
      <c r="BK7" s="974">
        <f t="shared" si="4"/>
        <v>10.6</v>
      </c>
      <c r="BL7" s="974">
        <f t="shared" si="5"/>
        <v>9.5</v>
      </c>
      <c r="BM7" s="974">
        <f t="shared" si="6"/>
        <v>5.6</v>
      </c>
      <c r="BN7" s="974">
        <f t="shared" si="7"/>
        <v>6.8</v>
      </c>
      <c r="BO7" s="974">
        <f t="shared" si="8"/>
        <v>6.8</v>
      </c>
      <c r="BP7" s="974">
        <f t="shared" si="9"/>
        <v>99.999999999999986</v>
      </c>
      <c r="BQ7" s="971" t="s">
        <v>2467</v>
      </c>
      <c r="BR7" s="975"/>
      <c r="BS7" s="975"/>
      <c r="BT7" s="975"/>
      <c r="BU7" s="975"/>
      <c r="BV7" s="975"/>
      <c r="BW7" s="975"/>
      <c r="BX7" s="971"/>
      <c r="BZ7" s="976" t="s">
        <v>2551</v>
      </c>
      <c r="CA7" s="974">
        <v>7.7</v>
      </c>
      <c r="CB7" s="974">
        <v>1.7</v>
      </c>
      <c r="CC7" s="974">
        <v>53.9</v>
      </c>
      <c r="CD7" s="974">
        <v>7</v>
      </c>
      <c r="CE7" s="974">
        <v>9.5</v>
      </c>
      <c r="CF7" s="974">
        <v>5.6</v>
      </c>
      <c r="CG7" s="974">
        <v>5.5</v>
      </c>
      <c r="CH7" s="974">
        <f t="shared" si="11"/>
        <v>9.1000000000000085</v>
      </c>
      <c r="CI7" s="974">
        <f t="shared" si="12"/>
        <v>100</v>
      </c>
      <c r="CK7" s="977" t="str">
        <f>+'Results &amp; Summary'!B26</f>
        <v>Fuel- &amp; energy-related emissions</v>
      </c>
      <c r="CO7" s="943">
        <v>1</v>
      </c>
      <c r="CP7" s="943" t="s">
        <v>12</v>
      </c>
      <c r="CQ7" s="943">
        <f>1/1000</f>
        <v>1E-3</v>
      </c>
      <c r="CR7" s="943" t="s">
        <v>2522</v>
      </c>
      <c r="CS7" s="971" t="s">
        <v>2472</v>
      </c>
      <c r="CU7" s="943" t="s">
        <v>2552</v>
      </c>
      <c r="CV7" s="943" t="s">
        <v>2498</v>
      </c>
      <c r="DH7" s="977" t="str">
        <f t="shared" si="10"/>
        <v>Canada-Newfoundland and Labrador (NL)</v>
      </c>
      <c r="DI7" s="977" t="str">
        <f t="shared" si="10"/>
        <v>Europe</v>
      </c>
      <c r="DJ7" s="977" t="str">
        <f t="shared" si="10"/>
        <v>Southern Europe</v>
      </c>
      <c r="DL7" s="977" t="s">
        <v>35</v>
      </c>
      <c r="DN7" s="977" t="s">
        <v>2553</v>
      </c>
      <c r="DO7" s="977" t="s">
        <v>2554</v>
      </c>
      <c r="DQ7" s="977" t="s">
        <v>2555</v>
      </c>
    </row>
    <row r="8" spans="1:124" ht="37.5">
      <c r="A8" s="952">
        <f t="shared" ref="A8:A13" si="14">+A7+1</f>
        <v>2020</v>
      </c>
      <c r="C8" s="827" t="s">
        <v>28</v>
      </c>
      <c r="D8" s="954" t="s">
        <v>2453</v>
      </c>
      <c r="E8" s="955">
        <v>1</v>
      </c>
      <c r="F8" s="956"/>
      <c r="G8" s="957" t="s">
        <v>2454</v>
      </c>
      <c r="H8" s="980">
        <v>1.8720000000000001</v>
      </c>
      <c r="I8" s="957" t="s">
        <v>2556</v>
      </c>
      <c r="J8" s="956" t="s">
        <v>2484</v>
      </c>
      <c r="L8" s="958" t="s">
        <v>2557</v>
      </c>
      <c r="M8" s="959" t="s">
        <v>2485</v>
      </c>
      <c r="N8" s="959">
        <v>0.8</v>
      </c>
      <c r="O8" s="959">
        <v>43.8</v>
      </c>
      <c r="P8" s="952">
        <v>71.900000000000006</v>
      </c>
      <c r="Q8" s="952">
        <v>0.01</v>
      </c>
      <c r="R8" s="952">
        <v>5.9999999999999995E-4</v>
      </c>
      <c r="S8" s="952" t="s">
        <v>2453</v>
      </c>
      <c r="T8" s="952" t="s">
        <v>2453</v>
      </c>
      <c r="U8" s="952" t="s">
        <v>2453</v>
      </c>
      <c r="V8" s="959" t="s">
        <v>2558</v>
      </c>
      <c r="X8" s="960" t="s">
        <v>2559</v>
      </c>
      <c r="Y8" s="961">
        <f>197.09/1.9/1.08</f>
        <v>96.047758284600391</v>
      </c>
      <c r="Z8" s="984">
        <f>0.01/1.08/$E$3</f>
        <v>3.1071339796172006E-4</v>
      </c>
      <c r="AA8" s="984">
        <f>1.03/1.08/$E$4</f>
        <v>3.4934201600868267E-3</v>
      </c>
      <c r="AB8" s="963" t="s">
        <v>2530</v>
      </c>
      <c r="AC8" s="984"/>
      <c r="AH8" s="960" t="str">
        <f t="shared" ref="AH8:AH14" si="15">+X11</f>
        <v>Private SUV or truck (diesel)</v>
      </c>
      <c r="AJ8" s="960" t="str">
        <f t="shared" si="13"/>
        <v>Private SUV (gasolina)</v>
      </c>
      <c r="AN8" s="965" t="s">
        <v>2272</v>
      </c>
      <c r="AP8" s="966" t="s">
        <v>2560</v>
      </c>
      <c r="AU8" s="964" t="s">
        <v>2561</v>
      </c>
      <c r="AW8" s="968" t="s">
        <v>2562</v>
      </c>
      <c r="AX8" s="969" t="s">
        <v>2520</v>
      </c>
      <c r="AY8" s="970" t="str">
        <f>+BZ8</f>
        <v>Middle Africa</v>
      </c>
      <c r="AZ8" s="969">
        <v>426</v>
      </c>
      <c r="BA8" s="971" t="s">
        <v>2465</v>
      </c>
      <c r="BB8" s="972">
        <v>11.27</v>
      </c>
      <c r="BC8" s="971" t="s">
        <v>2494</v>
      </c>
      <c r="BD8" s="973"/>
      <c r="BE8" s="973"/>
      <c r="BF8" s="971"/>
      <c r="BG8" s="973"/>
      <c r="BH8" s="974">
        <f t="shared" si="1"/>
        <v>16.8</v>
      </c>
      <c r="BI8" s="974">
        <f t="shared" si="2"/>
        <v>2.5</v>
      </c>
      <c r="BJ8" s="974">
        <f t="shared" si="3"/>
        <v>43.4</v>
      </c>
      <c r="BK8" s="974">
        <f t="shared" si="4"/>
        <v>6.5</v>
      </c>
      <c r="BL8" s="974">
        <f t="shared" si="5"/>
        <v>9.5</v>
      </c>
      <c r="BM8" s="974">
        <f t="shared" si="6"/>
        <v>5.6</v>
      </c>
      <c r="BN8" s="974">
        <f t="shared" si="7"/>
        <v>4.5</v>
      </c>
      <c r="BO8" s="974">
        <f t="shared" si="8"/>
        <v>11.200000000000003</v>
      </c>
      <c r="BP8" s="974">
        <f t="shared" si="9"/>
        <v>100</v>
      </c>
      <c r="BQ8" s="971" t="s">
        <v>2467</v>
      </c>
      <c r="BR8" s="975"/>
      <c r="BS8" s="975"/>
      <c r="BT8" s="975"/>
      <c r="BU8" s="975"/>
      <c r="BV8" s="975"/>
      <c r="BW8" s="975"/>
      <c r="BX8" s="971"/>
      <c r="BZ8" s="976" t="s">
        <v>2563</v>
      </c>
      <c r="CA8" s="974">
        <v>16.8</v>
      </c>
      <c r="CB8" s="974">
        <v>2.5</v>
      </c>
      <c r="CC8" s="974">
        <v>43.4</v>
      </c>
      <c r="CD8" s="974">
        <v>6.5</v>
      </c>
      <c r="CE8" s="974">
        <v>9.5</v>
      </c>
      <c r="CF8" s="974">
        <v>5.6</v>
      </c>
      <c r="CG8" s="974">
        <v>4.5</v>
      </c>
      <c r="CH8" s="974">
        <f t="shared" si="11"/>
        <v>11.200000000000003</v>
      </c>
      <c r="CI8" s="974">
        <f t="shared" si="12"/>
        <v>100</v>
      </c>
      <c r="CK8" s="977" t="e">
        <f>+Supply_Chain</f>
        <v>#REF!</v>
      </c>
      <c r="CO8" s="943">
        <v>1</v>
      </c>
      <c r="CP8" s="943" t="s">
        <v>2473</v>
      </c>
      <c r="CQ8" s="985">
        <v>0.26419999999999999</v>
      </c>
      <c r="CR8" s="943" t="s">
        <v>14</v>
      </c>
      <c r="CS8" s="971" t="s">
        <v>2472</v>
      </c>
      <c r="CU8" s="943" t="s">
        <v>2564</v>
      </c>
      <c r="CV8" s="943" t="s">
        <v>2552</v>
      </c>
      <c r="DH8" s="977" t="str">
        <f t="shared" si="10"/>
        <v>Canada-Nova Scotia (NS)</v>
      </c>
      <c r="DI8" s="977" t="str">
        <f t="shared" si="10"/>
        <v>Africa</v>
      </c>
      <c r="DJ8" s="977" t="str">
        <f t="shared" si="10"/>
        <v>Middle Africa</v>
      </c>
      <c r="DL8" s="977" t="s">
        <v>35</v>
      </c>
      <c r="DN8" s="977" t="s">
        <v>2565</v>
      </c>
      <c r="DO8" s="977" t="s">
        <v>2566</v>
      </c>
      <c r="DQ8" s="977" t="s">
        <v>2439</v>
      </c>
    </row>
    <row r="9" spans="1:124" ht="26">
      <c r="A9" s="952">
        <f t="shared" si="14"/>
        <v>2021</v>
      </c>
      <c r="C9" s="827" t="s">
        <v>2567</v>
      </c>
      <c r="D9" s="986" t="s">
        <v>2568</v>
      </c>
      <c r="E9" s="955">
        <v>14600</v>
      </c>
      <c r="F9" s="956" t="s">
        <v>2569</v>
      </c>
      <c r="G9" s="957" t="s">
        <v>2454</v>
      </c>
      <c r="H9" s="956"/>
      <c r="I9" s="957"/>
      <c r="J9" s="956"/>
      <c r="L9" s="958" t="s">
        <v>19</v>
      </c>
      <c r="M9" s="959" t="s">
        <v>12</v>
      </c>
      <c r="N9" s="952" t="s">
        <v>2453</v>
      </c>
      <c r="O9" s="959">
        <v>25.8</v>
      </c>
      <c r="P9" s="952">
        <v>94.6</v>
      </c>
      <c r="Q9" s="952">
        <v>1E-3</v>
      </c>
      <c r="R9" s="952">
        <v>1.5E-3</v>
      </c>
      <c r="S9" s="952" t="s">
        <v>2453</v>
      </c>
      <c r="T9" s="952" t="s">
        <v>2453</v>
      </c>
      <c r="U9" s="952" t="s">
        <v>2453</v>
      </c>
      <c r="V9" s="959" t="s">
        <v>2570</v>
      </c>
      <c r="X9" s="960" t="s">
        <v>9</v>
      </c>
      <c r="Y9" s="961">
        <v>157.26</v>
      </c>
      <c r="Z9" s="984">
        <v>9.5200000000000007E-3</v>
      </c>
      <c r="AA9" s="984">
        <v>4.1000000000000003E-3</v>
      </c>
      <c r="AB9" s="963" t="s">
        <v>2571</v>
      </c>
      <c r="AC9" s="984"/>
      <c r="AH9" s="960" t="str">
        <f t="shared" si="15"/>
        <v>Private SUV (gasolina)</v>
      </c>
      <c r="AJ9" s="960" t="str">
        <f t="shared" si="13"/>
        <v>Private SUC or truck (CNG)</v>
      </c>
      <c r="AN9" s="965" t="s">
        <v>2572</v>
      </c>
      <c r="AP9" s="966" t="s">
        <v>2573</v>
      </c>
      <c r="AU9" s="964" t="s">
        <v>2574</v>
      </c>
      <c r="AW9" s="968" t="s">
        <v>2575</v>
      </c>
      <c r="AX9" s="987" t="s">
        <v>2576</v>
      </c>
      <c r="AY9" s="970" t="str">
        <f>+BZ21</f>
        <v>Caribbean</v>
      </c>
      <c r="AZ9" s="969">
        <v>493</v>
      </c>
      <c r="BA9" s="971" t="s">
        <v>2465</v>
      </c>
      <c r="BB9" s="972">
        <v>9.3894684857089938</v>
      </c>
      <c r="BC9" s="971" t="s">
        <v>2577</v>
      </c>
      <c r="BD9" s="973"/>
      <c r="BE9" s="973"/>
      <c r="BF9" s="971"/>
      <c r="BG9" s="973"/>
      <c r="BH9" s="974">
        <f t="shared" si="1"/>
        <v>17</v>
      </c>
      <c r="BI9" s="974">
        <f t="shared" si="2"/>
        <v>5.0999999999999996</v>
      </c>
      <c r="BJ9" s="974">
        <f t="shared" si="3"/>
        <v>46.9</v>
      </c>
      <c r="BK9" s="974">
        <f t="shared" si="4"/>
        <v>2.4</v>
      </c>
      <c r="BL9" s="974">
        <f t="shared" si="5"/>
        <v>9.5</v>
      </c>
      <c r="BM9" s="974">
        <f t="shared" si="6"/>
        <v>5.6</v>
      </c>
      <c r="BN9" s="974">
        <f t="shared" si="7"/>
        <v>9.9</v>
      </c>
      <c r="BO9" s="974">
        <f t="shared" si="8"/>
        <v>3.5999999999999943</v>
      </c>
      <c r="BP9" s="974">
        <f t="shared" ref="BP9:BP67" si="16">+SUM(BH9:BO9)</f>
        <v>100</v>
      </c>
      <c r="BQ9" s="971" t="s">
        <v>2467</v>
      </c>
      <c r="BR9" s="975"/>
      <c r="BS9" s="975"/>
      <c r="BT9" s="975"/>
      <c r="BU9" s="975"/>
      <c r="BV9" s="975"/>
      <c r="BW9" s="975"/>
      <c r="BX9" s="971"/>
      <c r="BZ9" s="976" t="s">
        <v>2578</v>
      </c>
      <c r="CA9" s="974">
        <v>16.5</v>
      </c>
      <c r="CB9" s="974">
        <v>2.5</v>
      </c>
      <c r="CC9" s="974">
        <v>51.1</v>
      </c>
      <c r="CD9" s="974">
        <v>2</v>
      </c>
      <c r="CE9" s="974">
        <v>9.5</v>
      </c>
      <c r="CF9" s="974">
        <v>5.6</v>
      </c>
      <c r="CG9" s="974">
        <v>4.5</v>
      </c>
      <c r="CH9" s="974">
        <f t="shared" si="11"/>
        <v>8.3000000000000114</v>
      </c>
      <c r="CI9" s="974">
        <f t="shared" si="12"/>
        <v>100</v>
      </c>
      <c r="CK9" s="977" t="str">
        <f>+'Results &amp; Summary'!B35</f>
        <v>End-of-life treatment of sold products</v>
      </c>
      <c r="CO9" s="943">
        <v>1</v>
      </c>
      <c r="CP9" s="943" t="s">
        <v>12</v>
      </c>
      <c r="CQ9" s="988">
        <f>1/$N$7/1000</f>
        <v>1.8518518518518517E-3</v>
      </c>
      <c r="CR9" s="943" t="s">
        <v>2470</v>
      </c>
      <c r="CS9" s="971" t="s">
        <v>2579</v>
      </c>
      <c r="CV9" s="989" t="s">
        <v>2564</v>
      </c>
      <c r="DH9" s="977" t="str">
        <f t="shared" si="10"/>
        <v>Canada-Northwest Territories (NT)</v>
      </c>
      <c r="DI9" s="977" t="str">
        <f t="shared" si="10"/>
        <v>Americas</v>
      </c>
      <c r="DJ9" s="977" t="str">
        <f t="shared" si="10"/>
        <v>Caribbean</v>
      </c>
      <c r="DL9" s="977" t="s">
        <v>35</v>
      </c>
      <c r="DN9" s="977" t="s">
        <v>2580</v>
      </c>
      <c r="DO9" s="977" t="s">
        <v>2581</v>
      </c>
      <c r="DQ9" s="977" t="s">
        <v>2582</v>
      </c>
    </row>
    <row r="10" spans="1:124" ht="26">
      <c r="A10" s="952">
        <f t="shared" si="14"/>
        <v>2022</v>
      </c>
      <c r="C10" s="827" t="s">
        <v>2583</v>
      </c>
      <c r="D10" s="986" t="s">
        <v>2568</v>
      </c>
      <c r="E10" s="955">
        <v>771</v>
      </c>
      <c r="F10" s="956" t="s">
        <v>2569</v>
      </c>
      <c r="G10" s="957" t="s">
        <v>2454</v>
      </c>
      <c r="H10" s="956"/>
      <c r="I10" s="957"/>
      <c r="J10" s="956"/>
      <c r="L10" s="958" t="s">
        <v>30</v>
      </c>
      <c r="M10" s="959" t="s">
        <v>12</v>
      </c>
      <c r="N10" s="952" t="s">
        <v>2453</v>
      </c>
      <c r="O10" s="959">
        <v>15.6</v>
      </c>
      <c r="P10" s="952">
        <v>0</v>
      </c>
      <c r="Q10" s="952">
        <v>0.3</v>
      </c>
      <c r="R10" s="952">
        <v>4.0000000000000001E-3</v>
      </c>
      <c r="S10" s="952" t="s">
        <v>2453</v>
      </c>
      <c r="T10" s="952" t="s">
        <v>2453</v>
      </c>
      <c r="U10" s="952" t="s">
        <v>2453</v>
      </c>
      <c r="V10" s="959" t="s">
        <v>2584</v>
      </c>
      <c r="X10" s="960" t="s">
        <v>2585</v>
      </c>
      <c r="Y10" s="961">
        <v>30</v>
      </c>
      <c r="Z10" s="984">
        <v>3.81E-3</v>
      </c>
      <c r="AA10" s="984">
        <v>1.8E-3</v>
      </c>
      <c r="AB10" s="963" t="s">
        <v>2571</v>
      </c>
      <c r="AC10" s="984"/>
      <c r="AH10" s="960" t="str">
        <f t="shared" si="15"/>
        <v>Private SUC or truck (CNG)</v>
      </c>
      <c r="AJ10" s="964" t="str">
        <f t="shared" si="13"/>
        <v>Subway</v>
      </c>
      <c r="AN10" s="965" t="s">
        <v>2586</v>
      </c>
      <c r="AU10" s="964" t="s">
        <v>2587</v>
      </c>
      <c r="AW10" s="968" t="s">
        <v>2588</v>
      </c>
      <c r="AX10" s="987" t="s">
        <v>2576</v>
      </c>
      <c r="AY10" s="970" t="str">
        <f>+BZ21</f>
        <v>Caribbean</v>
      </c>
      <c r="AZ10" s="969">
        <v>527</v>
      </c>
      <c r="BA10" s="971" t="s">
        <v>2465</v>
      </c>
      <c r="BB10" s="972">
        <v>9.3894684857089938</v>
      </c>
      <c r="BC10" s="971" t="s">
        <v>2577</v>
      </c>
      <c r="BD10" s="973"/>
      <c r="BE10" s="973"/>
      <c r="BF10" s="971"/>
      <c r="BG10" s="973"/>
      <c r="BH10" s="974">
        <f t="shared" si="1"/>
        <v>17</v>
      </c>
      <c r="BI10" s="974">
        <f t="shared" si="2"/>
        <v>5.0999999999999996</v>
      </c>
      <c r="BJ10" s="974">
        <f t="shared" si="3"/>
        <v>46.9</v>
      </c>
      <c r="BK10" s="974">
        <f t="shared" si="4"/>
        <v>2.4</v>
      </c>
      <c r="BL10" s="974">
        <f t="shared" si="5"/>
        <v>9.5</v>
      </c>
      <c r="BM10" s="974">
        <f t="shared" si="6"/>
        <v>5.6</v>
      </c>
      <c r="BN10" s="974">
        <f t="shared" si="7"/>
        <v>9.9</v>
      </c>
      <c r="BO10" s="974">
        <f t="shared" si="8"/>
        <v>3.5999999999999943</v>
      </c>
      <c r="BP10" s="974">
        <f t="shared" si="16"/>
        <v>100</v>
      </c>
      <c r="BQ10" s="971" t="s">
        <v>2467</v>
      </c>
      <c r="BR10" s="975"/>
      <c r="BS10" s="975"/>
      <c r="BT10" s="975"/>
      <c r="BU10" s="975"/>
      <c r="BV10" s="975"/>
      <c r="BW10" s="975"/>
      <c r="BX10" s="971"/>
      <c r="BZ10" s="976" t="s">
        <v>2589</v>
      </c>
      <c r="CA10" s="974">
        <v>25</v>
      </c>
      <c r="CB10" s="974">
        <f>+(100-$CA10-$CC10-$CD10-$CE10-$CF10)/3</f>
        <v>7.3</v>
      </c>
      <c r="CC10" s="974">
        <v>23</v>
      </c>
      <c r="CD10" s="974">
        <v>15</v>
      </c>
      <c r="CE10" s="974">
        <v>9.5</v>
      </c>
      <c r="CF10" s="974">
        <v>5.6</v>
      </c>
      <c r="CG10" s="974">
        <f>+(100-$CA10-$CC10-$CD10-$CE10-$CF10)/3</f>
        <v>7.3</v>
      </c>
      <c r="CH10" s="974">
        <f>+(100-$CA10-$CC10-$CD10-$CE10-$CF10)/3</f>
        <v>7.3</v>
      </c>
      <c r="CI10" s="974">
        <f t="shared" si="12"/>
        <v>99.999999999999986</v>
      </c>
      <c r="CK10" s="977">
        <f>+'Scope 1 and 2 Data'!B362</f>
        <v>0</v>
      </c>
      <c r="CO10" s="943">
        <v>1</v>
      </c>
      <c r="CP10" s="943" t="s">
        <v>12</v>
      </c>
      <c r="CQ10" s="990">
        <f>1/N7</f>
        <v>1.8518518518518516</v>
      </c>
      <c r="CR10" s="943" t="s">
        <v>2473</v>
      </c>
      <c r="CS10" s="971" t="s">
        <v>2579</v>
      </c>
      <c r="DH10" s="977" t="str">
        <f t="shared" si="10"/>
        <v>Canada-Nunavut (NU)</v>
      </c>
      <c r="DI10" s="977" t="str">
        <f t="shared" si="10"/>
        <v>Americas</v>
      </c>
      <c r="DJ10" s="977" t="str">
        <f t="shared" si="10"/>
        <v>Caribbean</v>
      </c>
      <c r="DL10" s="977" t="s">
        <v>35</v>
      </c>
      <c r="DN10" s="977" t="s">
        <v>2590</v>
      </c>
      <c r="DO10" s="977" t="s">
        <v>2591</v>
      </c>
    </row>
    <row r="11" spans="1:124" ht="14">
      <c r="A11" s="952">
        <f t="shared" si="14"/>
        <v>2023</v>
      </c>
      <c r="C11" s="827" t="s">
        <v>2592</v>
      </c>
      <c r="D11" s="986" t="s">
        <v>2568</v>
      </c>
      <c r="E11" s="955">
        <v>135</v>
      </c>
      <c r="F11" s="956" t="s">
        <v>2569</v>
      </c>
      <c r="G11" s="957" t="s">
        <v>2454</v>
      </c>
      <c r="H11" s="956"/>
      <c r="I11" s="957"/>
      <c r="J11" s="956"/>
      <c r="L11" s="958" t="s">
        <v>18</v>
      </c>
      <c r="M11" s="959" t="s">
        <v>2485</v>
      </c>
      <c r="N11" s="959">
        <v>0.88</v>
      </c>
      <c r="O11" s="959">
        <v>27</v>
      </c>
      <c r="P11" s="952">
        <v>0</v>
      </c>
      <c r="Q11" s="952">
        <v>0.01</v>
      </c>
      <c r="R11" s="952">
        <v>5.9999999999999995E-4</v>
      </c>
      <c r="S11" s="952">
        <v>0</v>
      </c>
      <c r="T11" s="959">
        <v>3.8999999999999998E-3</v>
      </c>
      <c r="U11" s="959">
        <v>3.8999999999999998E-3</v>
      </c>
      <c r="X11" s="960" t="s">
        <v>2593</v>
      </c>
      <c r="Y11" s="961">
        <f>626.5/$Y$25</f>
        <v>389.29001951110394</v>
      </c>
      <c r="Z11" s="984">
        <f>0.001/$Y$25</f>
        <v>6.2137273664980672E-4</v>
      </c>
      <c r="AA11" s="984">
        <f>0.0015/$Y$25</f>
        <v>9.3205910497471019E-4</v>
      </c>
      <c r="AB11" s="963" t="s">
        <v>2458</v>
      </c>
      <c r="AC11" s="984"/>
      <c r="AH11" s="964" t="str">
        <f t="shared" si="15"/>
        <v>Subway</v>
      </c>
      <c r="AJ11" s="964" t="str">
        <f t="shared" si="13"/>
        <v>Motorbike</v>
      </c>
      <c r="AN11" s="965" t="s">
        <v>2594</v>
      </c>
      <c r="AU11" s="964" t="s">
        <v>2595</v>
      </c>
      <c r="AW11" s="968" t="s">
        <v>2596</v>
      </c>
      <c r="AX11" s="987" t="s">
        <v>2576</v>
      </c>
      <c r="AY11" s="991" t="str">
        <f>+BZ20</f>
        <v>South America</v>
      </c>
      <c r="AZ11" s="987">
        <v>366</v>
      </c>
      <c r="BA11" s="971" t="s">
        <v>2597</v>
      </c>
      <c r="BB11" s="992">
        <v>14.66</v>
      </c>
      <c r="BC11" s="971" t="s">
        <v>2494</v>
      </c>
      <c r="BD11" s="987">
        <v>9.7000000000000003E-2</v>
      </c>
      <c r="BE11" s="987">
        <v>0.112</v>
      </c>
      <c r="BF11" s="971" t="s">
        <v>2598</v>
      </c>
      <c r="BG11" s="973"/>
      <c r="BH11" s="952">
        <v>13.99</v>
      </c>
      <c r="BI11" s="952">
        <v>3.08</v>
      </c>
      <c r="BJ11" s="952">
        <v>49.94</v>
      </c>
      <c r="BK11" s="952">
        <v>0.64</v>
      </c>
      <c r="BL11" s="952">
        <v>11.05</v>
      </c>
      <c r="BM11" s="952">
        <v>5.75</v>
      </c>
      <c r="BN11" s="952"/>
      <c r="BO11" s="952">
        <f>100-SUM(BH11:BN11)</f>
        <v>15.550000000000011</v>
      </c>
      <c r="BP11" s="974">
        <f t="shared" si="16"/>
        <v>100</v>
      </c>
      <c r="BQ11" s="971" t="s">
        <v>2599</v>
      </c>
      <c r="BR11" s="975"/>
      <c r="BS11" s="975"/>
      <c r="BT11" s="975"/>
      <c r="BU11" s="975"/>
      <c r="BV11" s="975"/>
      <c r="BW11" s="975"/>
      <c r="BX11" s="971"/>
      <c r="BZ11" s="976" t="s">
        <v>2600</v>
      </c>
      <c r="CA11" s="974">
        <v>9.8000000000000007</v>
      </c>
      <c r="CB11" s="974">
        <v>1</v>
      </c>
      <c r="CC11" s="974">
        <v>40.4</v>
      </c>
      <c r="CD11" s="974">
        <v>4.4000000000000004</v>
      </c>
      <c r="CE11" s="974">
        <v>9.5</v>
      </c>
      <c r="CF11" s="974">
        <v>5.6</v>
      </c>
      <c r="CG11" s="974">
        <v>3</v>
      </c>
      <c r="CH11" s="974">
        <f t="shared" si="11"/>
        <v>26.300000000000011</v>
      </c>
      <c r="CI11" s="974">
        <f t="shared" si="12"/>
        <v>100</v>
      </c>
      <c r="CK11" s="977" t="str">
        <f>+'Results &amp; Summary'!B12</f>
        <v>Inhaled Anesthetic Gases</v>
      </c>
      <c r="DH11" s="977" t="str">
        <f t="shared" si="10"/>
        <v>Canada-Ontario (ON)</v>
      </c>
      <c r="DI11" s="977" t="str">
        <f t="shared" si="10"/>
        <v>Americas</v>
      </c>
      <c r="DJ11" s="977" t="str">
        <f t="shared" si="10"/>
        <v>South America</v>
      </c>
      <c r="DL11" s="977" t="s">
        <v>35</v>
      </c>
      <c r="DN11" s="977" t="s">
        <v>2601</v>
      </c>
      <c r="DO11" s="977" t="s">
        <v>2602</v>
      </c>
    </row>
    <row r="12" spans="1:124" ht="14">
      <c r="A12" s="952">
        <f t="shared" si="14"/>
        <v>2024</v>
      </c>
      <c r="C12" s="827" t="s">
        <v>2603</v>
      </c>
      <c r="D12" s="986" t="s">
        <v>2568</v>
      </c>
      <c r="E12" s="955">
        <v>3740</v>
      </c>
      <c r="F12" s="956" t="s">
        <v>2569</v>
      </c>
      <c r="G12" s="957" t="s">
        <v>2454</v>
      </c>
      <c r="H12" s="956"/>
      <c r="I12" s="957"/>
      <c r="J12" s="956"/>
      <c r="L12" s="964" t="s">
        <v>2604</v>
      </c>
      <c r="M12" s="959" t="s">
        <v>2485</v>
      </c>
      <c r="N12" s="959">
        <v>0.79200000000000004</v>
      </c>
      <c r="O12" s="959">
        <v>27</v>
      </c>
      <c r="P12" s="952">
        <v>0</v>
      </c>
      <c r="Q12" s="952">
        <v>0.01</v>
      </c>
      <c r="R12" s="952">
        <v>5.9999999999999995E-4</v>
      </c>
      <c r="S12" s="952">
        <v>0</v>
      </c>
      <c r="T12" s="959">
        <v>3.3000000000000002E-2</v>
      </c>
      <c r="U12" s="959">
        <v>3.2000000000000002E-3</v>
      </c>
      <c r="V12" s="959" t="s">
        <v>2605</v>
      </c>
      <c r="X12" s="960" t="s">
        <v>2606</v>
      </c>
      <c r="Y12" s="961">
        <f>543.8/$Y$25</f>
        <v>337.90249419016487</v>
      </c>
      <c r="Z12" s="962">
        <f>0.0157/$Y$25</f>
        <v>9.7555519654019644E-3</v>
      </c>
      <c r="AA12" s="962">
        <f>0.0101/$Y$25</f>
        <v>6.2758646401630484E-3</v>
      </c>
      <c r="AB12" s="963" t="s">
        <v>2458</v>
      </c>
      <c r="AC12" s="962"/>
      <c r="AH12" s="964" t="str">
        <f t="shared" si="15"/>
        <v>Motorbike</v>
      </c>
      <c r="AJ12" s="964" t="str">
        <f t="shared" si="13"/>
        <v>Taxi</v>
      </c>
      <c r="AN12" s="965" t="s">
        <v>2607</v>
      </c>
      <c r="AW12" s="968" t="s">
        <v>2608</v>
      </c>
      <c r="AX12" s="969" t="s">
        <v>2464</v>
      </c>
      <c r="AY12" s="970" t="str">
        <f>+BZ6</f>
        <v>Western Asia &amp; Middle East</v>
      </c>
      <c r="AZ12" s="969">
        <v>247</v>
      </c>
      <c r="BA12" s="971" t="s">
        <v>2465</v>
      </c>
      <c r="BB12" s="972">
        <v>11.99</v>
      </c>
      <c r="BC12" s="971" t="s">
        <v>2494</v>
      </c>
      <c r="BD12" s="973"/>
      <c r="BE12" s="973"/>
      <c r="BF12" s="971"/>
      <c r="BG12" s="973"/>
      <c r="BH12" s="974">
        <f t="shared" ref="BH12:BH72" si="17">+VLOOKUP($AY12,$BZ$3:$CH$21,2,FALSE)</f>
        <v>18</v>
      </c>
      <c r="BI12" s="974">
        <f t="shared" ref="BI12:BI72" si="18">+VLOOKUP($AY12,$BZ$3:$CH$21,3,FALSE)</f>
        <v>2.9</v>
      </c>
      <c r="BJ12" s="974">
        <f t="shared" ref="BJ12:BJ72" si="19">+VLOOKUP($AY12,$BZ$3:$CH$21,4,FALSE)</f>
        <v>41.1</v>
      </c>
      <c r="BK12" s="974">
        <f t="shared" ref="BK12:BK72" si="20">+VLOOKUP($AY12,$BZ$3:$CH$21,5,FALSE)</f>
        <v>9.8000000000000007</v>
      </c>
      <c r="BL12" s="974">
        <f t="shared" ref="BL12:BL72" si="21">+VLOOKUP($AY12,$BZ$3:$CH$21,6,FALSE)</f>
        <v>9.5</v>
      </c>
      <c r="BM12" s="974">
        <f t="shared" ref="BM12:BM72" si="22">+VLOOKUP($AY12,$BZ$3:$CH$21,7,FALSE)</f>
        <v>5.6</v>
      </c>
      <c r="BN12" s="974">
        <f t="shared" ref="BN12:BN72" si="23">+VLOOKUP($AY12,$BZ$3:$CH$21,8,FALSE)</f>
        <v>6.3</v>
      </c>
      <c r="BO12" s="974">
        <f t="shared" ref="BO12:BO72" si="24">+VLOOKUP($AY12,$BZ$3:$CH$21,9,FALSE)</f>
        <v>6.8000000000000114</v>
      </c>
      <c r="BP12" s="974">
        <f t="shared" si="16"/>
        <v>100</v>
      </c>
      <c r="BQ12" s="971" t="s">
        <v>2467</v>
      </c>
      <c r="BR12" s="975"/>
      <c r="BS12" s="975"/>
      <c r="BT12" s="975"/>
      <c r="BU12" s="975"/>
      <c r="BV12" s="975"/>
      <c r="BW12" s="975"/>
      <c r="BX12" s="971"/>
      <c r="BZ12" s="976" t="s">
        <v>2609</v>
      </c>
      <c r="CA12" s="974">
        <v>21.8</v>
      </c>
      <c r="CB12" s="974">
        <v>4.7</v>
      </c>
      <c r="CC12" s="974">
        <v>30.1</v>
      </c>
      <c r="CD12" s="974">
        <v>7.5</v>
      </c>
      <c r="CE12" s="974">
        <v>9.5</v>
      </c>
      <c r="CF12" s="974">
        <v>5.6</v>
      </c>
      <c r="CG12" s="974">
        <v>6.2</v>
      </c>
      <c r="CH12" s="974">
        <f t="shared" si="11"/>
        <v>14.600000000000009</v>
      </c>
      <c r="CI12" s="974">
        <f t="shared" si="12"/>
        <v>100</v>
      </c>
      <c r="CK12" s="977" t="str">
        <f>+'Results &amp; Summary'!B9</f>
        <v>Mobile Combustion</v>
      </c>
      <c r="DH12" s="977" t="str">
        <f t="shared" si="10"/>
        <v>Canada-Prince Edward Island (PE)</v>
      </c>
      <c r="DI12" s="977" t="str">
        <f t="shared" si="10"/>
        <v>Asia</v>
      </c>
      <c r="DJ12" s="977" t="str">
        <f t="shared" si="10"/>
        <v>Western Asia &amp; Middle East</v>
      </c>
      <c r="DL12" s="977" t="s">
        <v>35</v>
      </c>
      <c r="DN12" s="977" t="s">
        <v>2610</v>
      </c>
      <c r="DO12" s="977" t="s">
        <v>2611</v>
      </c>
    </row>
    <row r="13" spans="1:124" ht="26">
      <c r="A13" s="952">
        <f t="shared" si="14"/>
        <v>2025</v>
      </c>
      <c r="C13" s="827" t="s">
        <v>2612</v>
      </c>
      <c r="D13" s="986" t="s">
        <v>2568</v>
      </c>
      <c r="E13" s="955">
        <v>1260</v>
      </c>
      <c r="F13" s="956" t="s">
        <v>2569</v>
      </c>
      <c r="G13" s="957" t="s">
        <v>2454</v>
      </c>
      <c r="H13" s="956"/>
      <c r="I13" s="957"/>
      <c r="J13" s="956"/>
      <c r="L13" s="993" t="s">
        <v>26</v>
      </c>
      <c r="M13" s="994"/>
      <c r="N13" s="994" t="s">
        <v>2613</v>
      </c>
      <c r="O13" s="971" t="s">
        <v>2614</v>
      </c>
      <c r="P13" s="971" t="s">
        <v>2615</v>
      </c>
      <c r="Q13" s="971" t="s">
        <v>2615</v>
      </c>
      <c r="R13" s="971" t="s">
        <v>2615</v>
      </c>
      <c r="S13" s="971" t="s">
        <v>2616</v>
      </c>
      <c r="T13" s="971" t="s">
        <v>2617</v>
      </c>
      <c r="U13" s="971" t="s">
        <v>2617</v>
      </c>
      <c r="V13" s="971"/>
      <c r="X13" s="960" t="s">
        <v>2618</v>
      </c>
      <c r="Y13" s="961">
        <v>238.26</v>
      </c>
      <c r="Z13" s="962">
        <f>0.737/$Y$25</f>
        <v>0.45795170691090759</v>
      </c>
      <c r="AA13" s="962">
        <f>0.05/$Y$25</f>
        <v>3.1068636832490341E-2</v>
      </c>
      <c r="AB13" s="971" t="s">
        <v>2619</v>
      </c>
      <c r="AH13" s="964" t="str">
        <f t="shared" si="15"/>
        <v>Taxi</v>
      </c>
      <c r="AJ13" s="964" t="str">
        <f t="shared" si="13"/>
        <v>Train</v>
      </c>
      <c r="AN13" s="965" t="s">
        <v>2620</v>
      </c>
      <c r="AW13" s="968" t="s">
        <v>2621</v>
      </c>
      <c r="AX13" s="987" t="s">
        <v>2576</v>
      </c>
      <c r="AY13" s="970" t="str">
        <f>+BZ21</f>
        <v>Caribbean</v>
      </c>
      <c r="AZ13" s="969">
        <v>450</v>
      </c>
      <c r="BA13" s="971" t="s">
        <v>2465</v>
      </c>
      <c r="BB13" s="972">
        <v>9.3894684857089938</v>
      </c>
      <c r="BC13" s="971" t="s">
        <v>2577</v>
      </c>
      <c r="BD13" s="973"/>
      <c r="BE13" s="973"/>
      <c r="BF13" s="971"/>
      <c r="BG13" s="973"/>
      <c r="BH13" s="974">
        <f t="shared" si="17"/>
        <v>17</v>
      </c>
      <c r="BI13" s="974">
        <f t="shared" si="18"/>
        <v>5.0999999999999996</v>
      </c>
      <c r="BJ13" s="974">
        <f t="shared" si="19"/>
        <v>46.9</v>
      </c>
      <c r="BK13" s="974">
        <f t="shared" si="20"/>
        <v>2.4</v>
      </c>
      <c r="BL13" s="974">
        <f t="shared" si="21"/>
        <v>9.5</v>
      </c>
      <c r="BM13" s="974">
        <f t="shared" si="22"/>
        <v>5.6</v>
      </c>
      <c r="BN13" s="974">
        <f t="shared" si="23"/>
        <v>9.9</v>
      </c>
      <c r="BO13" s="974">
        <f t="shared" si="24"/>
        <v>3.5999999999999943</v>
      </c>
      <c r="BP13" s="974">
        <f t="shared" si="16"/>
        <v>100</v>
      </c>
      <c r="BQ13" s="971" t="s">
        <v>2467</v>
      </c>
      <c r="BR13" s="975"/>
      <c r="BS13" s="975"/>
      <c r="BT13" s="975"/>
      <c r="BU13" s="975"/>
      <c r="BV13" s="975"/>
      <c r="BW13" s="975"/>
      <c r="BX13" s="971"/>
      <c r="BZ13" s="976" t="s">
        <v>2622</v>
      </c>
      <c r="CA13" s="974">
        <v>30.6</v>
      </c>
      <c r="CB13" s="974">
        <v>2</v>
      </c>
      <c r="CC13" s="974">
        <v>23.8</v>
      </c>
      <c r="CD13" s="974">
        <v>10</v>
      </c>
      <c r="CE13" s="974">
        <v>9.5</v>
      </c>
      <c r="CF13" s="974">
        <v>5.6</v>
      </c>
      <c r="CG13" s="974">
        <v>13</v>
      </c>
      <c r="CH13" s="974">
        <f t="shared" si="11"/>
        <v>5.5</v>
      </c>
      <c r="CI13" s="974">
        <f t="shared" si="12"/>
        <v>100</v>
      </c>
      <c r="CK13" s="977" t="str">
        <f>+'Results &amp; Summary'!B27</f>
        <v>Upstream transportation &amp; distribution</v>
      </c>
      <c r="DH13" s="977" t="str">
        <f t="shared" si="10"/>
        <v>Canada-Quebec (QC)</v>
      </c>
      <c r="DI13" s="977" t="str">
        <f t="shared" si="10"/>
        <v>Americas</v>
      </c>
      <c r="DJ13" s="977" t="str">
        <f t="shared" si="10"/>
        <v>Caribbean</v>
      </c>
      <c r="DL13" s="977" t="s">
        <v>35</v>
      </c>
      <c r="DN13" s="977" t="s">
        <v>2623</v>
      </c>
      <c r="DO13" s="977" t="s">
        <v>2624</v>
      </c>
    </row>
    <row r="14" spans="1:124">
      <c r="C14" s="827" t="s">
        <v>34</v>
      </c>
      <c r="D14" s="986" t="s">
        <v>2568</v>
      </c>
      <c r="E14" s="955">
        <v>1530</v>
      </c>
      <c r="F14" s="956" t="s">
        <v>2569</v>
      </c>
      <c r="G14" s="957" t="s">
        <v>2454</v>
      </c>
      <c r="H14" s="956"/>
      <c r="I14" s="957"/>
      <c r="J14" s="956"/>
      <c r="M14" s="17"/>
      <c r="N14" s="17"/>
      <c r="O14" s="17"/>
      <c r="P14" s="17"/>
      <c r="Q14" s="17"/>
      <c r="R14" s="17"/>
      <c r="S14" s="17"/>
      <c r="T14" s="17"/>
      <c r="U14" s="17"/>
      <c r="V14" s="17"/>
      <c r="X14" s="960" t="s">
        <v>2625</v>
      </c>
      <c r="Y14" s="961">
        <v>74.14</v>
      </c>
      <c r="Z14" s="962">
        <v>1.9E-3</v>
      </c>
      <c r="AA14" s="962">
        <v>1.4E-3</v>
      </c>
      <c r="AB14" s="963" t="s">
        <v>2571</v>
      </c>
      <c r="AC14" s="962"/>
      <c r="AH14" s="964" t="str">
        <f t="shared" si="15"/>
        <v>Train</v>
      </c>
      <c r="AW14" s="968" t="s">
        <v>2626</v>
      </c>
      <c r="AX14" s="987" t="s">
        <v>2536</v>
      </c>
      <c r="AY14" s="991" t="str">
        <f>+BZ16</f>
        <v>Australia and New Zealand</v>
      </c>
      <c r="AZ14" s="987">
        <v>810</v>
      </c>
      <c r="BA14" s="971" t="s">
        <v>2627</v>
      </c>
      <c r="BB14" s="992">
        <v>4.78</v>
      </c>
      <c r="BC14" s="971" t="s">
        <v>2494</v>
      </c>
      <c r="BD14" s="973"/>
      <c r="BE14" s="973"/>
      <c r="BF14" s="971"/>
      <c r="BG14" s="973"/>
      <c r="BH14" s="974">
        <f t="shared" si="17"/>
        <v>30</v>
      </c>
      <c r="BI14" s="974">
        <f t="shared" si="18"/>
        <v>2</v>
      </c>
      <c r="BJ14" s="974">
        <f t="shared" si="19"/>
        <v>36</v>
      </c>
      <c r="BK14" s="974">
        <f t="shared" si="20"/>
        <v>24</v>
      </c>
      <c r="BL14" s="974">
        <f t="shared" si="21"/>
        <v>2</v>
      </c>
      <c r="BM14" s="974">
        <f t="shared" si="22"/>
        <v>2</v>
      </c>
      <c r="BN14" s="974">
        <f t="shared" si="23"/>
        <v>2</v>
      </c>
      <c r="BO14" s="974">
        <f t="shared" si="24"/>
        <v>2</v>
      </c>
      <c r="BP14" s="974">
        <f t="shared" si="16"/>
        <v>100</v>
      </c>
      <c r="BQ14" s="971" t="s">
        <v>2467</v>
      </c>
      <c r="BR14" s="975"/>
      <c r="BS14" s="975"/>
      <c r="BT14" s="975"/>
      <c r="BU14" s="975"/>
      <c r="BV14" s="975"/>
      <c r="BW14" s="975"/>
      <c r="BX14" s="971"/>
      <c r="BZ14" s="976" t="s">
        <v>2628</v>
      </c>
      <c r="CA14" s="974">
        <v>17</v>
      </c>
      <c r="CB14" s="974">
        <v>6.8</v>
      </c>
      <c r="CC14" s="974">
        <v>36.9</v>
      </c>
      <c r="CD14" s="974">
        <v>10.6</v>
      </c>
      <c r="CE14" s="974">
        <v>9.5</v>
      </c>
      <c r="CF14" s="974">
        <v>5.6</v>
      </c>
      <c r="CG14" s="974">
        <v>6.8</v>
      </c>
      <c r="CH14" s="974">
        <f>+(100-$CA14-$CC14-$CD14-$CE14-$CF14)/3</f>
        <v>6.8</v>
      </c>
      <c r="CI14" s="974">
        <f t="shared" si="12"/>
        <v>99.999999999999986</v>
      </c>
      <c r="CK14" s="977" t="str">
        <f>+'Results &amp; Summary'!B21</f>
        <v>Purchased Electricity</v>
      </c>
      <c r="DH14" s="977" t="str">
        <f t="shared" si="10"/>
        <v>Canada-Saskatchewan (SK)</v>
      </c>
      <c r="DI14" s="977" t="str">
        <f t="shared" si="10"/>
        <v>Oceania</v>
      </c>
      <c r="DJ14" s="977" t="str">
        <f t="shared" si="10"/>
        <v>Australia and New Zealand</v>
      </c>
      <c r="DK14" s="977" t="e">
        <f>VLOOKUP(DH14,#REF!,1)</f>
        <v>#REF!</v>
      </c>
      <c r="DL14" s="977" t="e">
        <f>VLOOKUP(DK14,#REF!,2,FALSE)</f>
        <v>#REF!</v>
      </c>
      <c r="DN14" s="977" t="s">
        <v>2629</v>
      </c>
      <c r="DO14" s="977" t="s">
        <v>2630</v>
      </c>
    </row>
    <row r="15" spans="1:124">
      <c r="C15" s="827" t="s">
        <v>2631</v>
      </c>
      <c r="D15" s="986" t="s">
        <v>2568</v>
      </c>
      <c r="E15" s="955">
        <v>364</v>
      </c>
      <c r="F15" s="956" t="s">
        <v>2569</v>
      </c>
      <c r="G15" s="957" t="s">
        <v>2454</v>
      </c>
      <c r="H15" s="956"/>
      <c r="I15" s="957"/>
      <c r="J15" s="956"/>
      <c r="L15" s="17"/>
      <c r="M15" s="17"/>
      <c r="N15" s="17"/>
      <c r="O15" s="17"/>
      <c r="P15" s="17"/>
      <c r="Q15" s="17"/>
      <c r="R15" s="17"/>
      <c r="S15" s="17"/>
      <c r="T15" s="17"/>
      <c r="U15" s="17"/>
      <c r="V15" s="17"/>
      <c r="X15" s="960" t="s">
        <v>36</v>
      </c>
      <c r="Y15" s="961">
        <f>203/$Y$25</f>
        <v>126.13866553991078</v>
      </c>
      <c r="Z15" s="962">
        <f>0.0899/$Y$25</f>
        <v>5.5861409024817621E-2</v>
      </c>
      <c r="AA15" s="962">
        <f>0.0087/$Y$25</f>
        <v>5.405942808853318E-3</v>
      </c>
      <c r="AB15" s="963" t="s">
        <v>2458</v>
      </c>
      <c r="AC15" s="962"/>
      <c r="AW15" s="968" t="s">
        <v>2632</v>
      </c>
      <c r="AX15" s="987" t="s">
        <v>2536</v>
      </c>
      <c r="AY15" s="991" t="str">
        <f>+BZ16</f>
        <v>Australia and New Zealand</v>
      </c>
      <c r="AZ15" s="987">
        <v>1020</v>
      </c>
      <c r="BA15" s="971" t="s">
        <v>2627</v>
      </c>
      <c r="BB15" s="992">
        <v>4.78</v>
      </c>
      <c r="BC15" s="971" t="s">
        <v>2494</v>
      </c>
      <c r="BD15" s="973"/>
      <c r="BE15" s="973"/>
      <c r="BF15" s="971"/>
      <c r="BG15" s="973"/>
      <c r="BH15" s="974">
        <f t="shared" si="17"/>
        <v>30</v>
      </c>
      <c r="BI15" s="974">
        <f t="shared" si="18"/>
        <v>2</v>
      </c>
      <c r="BJ15" s="974">
        <f t="shared" si="19"/>
        <v>36</v>
      </c>
      <c r="BK15" s="974">
        <f t="shared" si="20"/>
        <v>24</v>
      </c>
      <c r="BL15" s="974">
        <f t="shared" si="21"/>
        <v>2</v>
      </c>
      <c r="BM15" s="974">
        <f t="shared" si="22"/>
        <v>2</v>
      </c>
      <c r="BN15" s="974">
        <f t="shared" si="23"/>
        <v>2</v>
      </c>
      <c r="BO15" s="974">
        <f t="shared" si="24"/>
        <v>2</v>
      </c>
      <c r="BP15" s="974">
        <f t="shared" si="16"/>
        <v>100</v>
      </c>
      <c r="BQ15" s="971" t="s">
        <v>2467</v>
      </c>
      <c r="BR15" s="975"/>
      <c r="BS15" s="975"/>
      <c r="BT15" s="975"/>
      <c r="BU15" s="975"/>
      <c r="BV15" s="975"/>
      <c r="BW15" s="975"/>
      <c r="BX15" s="971"/>
      <c r="BZ15" s="976" t="s">
        <v>2633</v>
      </c>
      <c r="CA15" s="974">
        <v>27.5</v>
      </c>
      <c r="CB15" s="974">
        <v>7.4</v>
      </c>
      <c r="CC15" s="974">
        <v>24.2</v>
      </c>
      <c r="CD15" s="974">
        <v>11</v>
      </c>
      <c r="CE15" s="974">
        <v>9.5</v>
      </c>
      <c r="CF15" s="974">
        <v>5.6</v>
      </c>
      <c r="CG15" s="974">
        <v>7.4</v>
      </c>
      <c r="CH15" s="974">
        <f>+(100-$CA15-$CC15-$CD15-$CE15-$CF15)/3</f>
        <v>7.3999999999999986</v>
      </c>
      <c r="CI15" s="974">
        <f t="shared" si="12"/>
        <v>100</v>
      </c>
      <c r="CK15" s="977" t="str">
        <f>+'Scope 1 and 2 Data'!B233</f>
        <v>Purchased Steam, Hot and Chilled Water</v>
      </c>
      <c r="DH15" s="977" t="str">
        <f t="shared" si="10"/>
        <v>Canada-Yukon Territory (YT)</v>
      </c>
      <c r="DI15" s="977" t="str">
        <f t="shared" si="10"/>
        <v>Oceania</v>
      </c>
      <c r="DJ15" s="977" t="str">
        <f t="shared" si="10"/>
        <v>Australia and New Zealand</v>
      </c>
      <c r="DK15" s="977" t="e">
        <f>VLOOKUP(DH15,#REF!,1)</f>
        <v>#REF!</v>
      </c>
      <c r="DL15" s="977" t="e">
        <f>VLOOKUP(DK15,#REF!,2,FALSE)</f>
        <v>#REF!</v>
      </c>
      <c r="DN15" s="977" t="s">
        <v>2634</v>
      </c>
      <c r="DO15" s="977" t="s">
        <v>2635</v>
      </c>
    </row>
    <row r="16" spans="1:124" ht="25">
      <c r="C16" s="827" t="s">
        <v>2636</v>
      </c>
      <c r="D16" s="986" t="s">
        <v>2568</v>
      </c>
      <c r="E16" s="955">
        <v>5810</v>
      </c>
      <c r="F16" s="956" t="s">
        <v>2569</v>
      </c>
      <c r="G16" s="957" t="s">
        <v>2454</v>
      </c>
      <c r="H16" s="956"/>
      <c r="I16" s="957"/>
      <c r="J16" s="956"/>
      <c r="M16" s="17"/>
      <c r="N16" s="17"/>
      <c r="O16" s="17"/>
      <c r="P16" s="17">
        <f>(2453847.952*'S1&amp;2 Lists'!N3*'S1&amp;2 Lists'!O3*'S1&amp;2 Lists'!P3)/1000</f>
        <v>4625405.2356019197</v>
      </c>
      <c r="Q16" s="17"/>
      <c r="R16" s="17"/>
      <c r="S16" s="17"/>
      <c r="T16" s="17"/>
      <c r="U16" s="17"/>
      <c r="V16" s="17"/>
      <c r="X16" s="960" t="s">
        <v>2637</v>
      </c>
      <c r="Y16" s="961">
        <v>152.30000000000001</v>
      </c>
      <c r="Z16" s="962">
        <v>1.6999999999999999E-3</v>
      </c>
      <c r="AA16" s="962">
        <v>3.8E-3</v>
      </c>
      <c r="AB16" s="963" t="s">
        <v>2571</v>
      </c>
      <c r="AC16" s="962"/>
      <c r="AW16" s="968" t="s">
        <v>2638</v>
      </c>
      <c r="AX16" s="987" t="s">
        <v>2536</v>
      </c>
      <c r="AY16" s="991" t="str">
        <f>+BZ16</f>
        <v>Australia and New Zealand</v>
      </c>
      <c r="AZ16" s="995">
        <v>479.82821487199993</v>
      </c>
      <c r="BA16" s="971" t="s">
        <v>2627</v>
      </c>
      <c r="BB16" s="992">
        <v>4.78</v>
      </c>
      <c r="BC16" s="971" t="s">
        <v>2494</v>
      </c>
      <c r="BD16" s="973"/>
      <c r="BE16" s="973"/>
      <c r="BF16" s="971"/>
      <c r="BG16" s="973"/>
      <c r="BH16" s="974">
        <f t="shared" si="17"/>
        <v>30</v>
      </c>
      <c r="BI16" s="974">
        <f t="shared" si="18"/>
        <v>2</v>
      </c>
      <c r="BJ16" s="974">
        <f t="shared" si="19"/>
        <v>36</v>
      </c>
      <c r="BK16" s="974">
        <f t="shared" si="20"/>
        <v>24</v>
      </c>
      <c r="BL16" s="974">
        <f t="shared" si="21"/>
        <v>2</v>
      </c>
      <c r="BM16" s="974">
        <f t="shared" si="22"/>
        <v>2</v>
      </c>
      <c r="BN16" s="974">
        <f t="shared" si="23"/>
        <v>2</v>
      </c>
      <c r="BO16" s="974">
        <f t="shared" si="24"/>
        <v>2</v>
      </c>
      <c r="BP16" s="974">
        <f t="shared" si="16"/>
        <v>100</v>
      </c>
      <c r="BQ16" s="971" t="s">
        <v>2467</v>
      </c>
      <c r="BR16" s="975"/>
      <c r="BS16" s="975"/>
      <c r="BT16" s="975"/>
      <c r="BU16" s="975"/>
      <c r="BV16" s="975"/>
      <c r="BW16" s="975"/>
      <c r="BX16" s="971"/>
      <c r="BZ16" s="976" t="s">
        <v>2639</v>
      </c>
      <c r="CA16" s="974">
        <v>30</v>
      </c>
      <c r="CB16" s="974">
        <v>2</v>
      </c>
      <c r="CC16" s="974">
        <v>36</v>
      </c>
      <c r="CD16" s="974">
        <v>24</v>
      </c>
      <c r="CE16" s="974">
        <v>2</v>
      </c>
      <c r="CF16" s="974">
        <v>2</v>
      </c>
      <c r="CG16" s="974">
        <v>2</v>
      </c>
      <c r="CH16" s="974">
        <f>+(100-$CA16-$CC16-$CD16)/5</f>
        <v>2</v>
      </c>
      <c r="CI16" s="974">
        <f t="shared" si="12"/>
        <v>100</v>
      </c>
      <c r="CK16" s="977" t="str">
        <f>+'Results &amp; Summary'!B33</f>
        <v>Processing of sold products</v>
      </c>
      <c r="DH16" s="977" t="str">
        <f t="shared" si="10"/>
        <v>US-AKGD (ASCC Alaska Grid)</v>
      </c>
      <c r="DI16" s="977" t="str">
        <f t="shared" si="10"/>
        <v>Oceania</v>
      </c>
      <c r="DJ16" s="977" t="str">
        <f t="shared" si="10"/>
        <v>Australia and New Zealand</v>
      </c>
      <c r="DK16" s="977" t="e">
        <f>VLOOKUP(DH16,#REF!,1)</f>
        <v>#REF!</v>
      </c>
      <c r="DL16" s="977" t="e">
        <f>VLOOKUP(DK16,#REF!,2,FALSE)</f>
        <v>#REF!</v>
      </c>
      <c r="DN16" s="977" t="s">
        <v>2640</v>
      </c>
      <c r="DO16" s="977" t="s">
        <v>2641</v>
      </c>
    </row>
    <row r="17" spans="3:119" ht="12.75" customHeight="1">
      <c r="C17" s="827" t="s">
        <v>2642</v>
      </c>
      <c r="D17" s="986" t="s">
        <v>2568</v>
      </c>
      <c r="E17" s="955">
        <v>21.5</v>
      </c>
      <c r="F17" s="956" t="s">
        <v>2569</v>
      </c>
      <c r="G17" s="957" t="s">
        <v>2454</v>
      </c>
      <c r="H17" s="956"/>
      <c r="I17" s="957"/>
      <c r="J17" s="956"/>
      <c r="L17" s="17"/>
      <c r="M17" s="17"/>
      <c r="N17" s="17"/>
      <c r="O17" s="17"/>
      <c r="P17" s="17"/>
      <c r="Q17" s="17"/>
      <c r="R17" s="17"/>
      <c r="S17" s="17"/>
      <c r="T17" s="17"/>
      <c r="U17" s="17"/>
      <c r="V17" s="17"/>
      <c r="X17" s="960" t="s">
        <v>2643</v>
      </c>
      <c r="Y17" s="961">
        <v>76.8</v>
      </c>
      <c r="Z17" s="962">
        <v>1.9E-3</v>
      </c>
      <c r="AA17" s="962">
        <v>1.4E-3</v>
      </c>
      <c r="AB17" s="963" t="s">
        <v>2571</v>
      </c>
      <c r="AC17" s="962"/>
      <c r="AW17" s="968" t="s">
        <v>2243</v>
      </c>
      <c r="AX17" s="987" t="s">
        <v>2536</v>
      </c>
      <c r="AY17" s="991" t="str">
        <f>+BZ16</f>
        <v>Australia and New Zealand</v>
      </c>
      <c r="AZ17" s="995">
        <v>225.687874744</v>
      </c>
      <c r="BA17" s="971" t="s">
        <v>2627</v>
      </c>
      <c r="BB17" s="992">
        <v>4.78</v>
      </c>
      <c r="BC17" s="971" t="s">
        <v>2494</v>
      </c>
      <c r="BD17" s="973"/>
      <c r="BE17" s="973"/>
      <c r="BF17" s="971"/>
      <c r="BG17" s="973"/>
      <c r="BH17" s="974">
        <f t="shared" si="17"/>
        <v>30</v>
      </c>
      <c r="BI17" s="974">
        <f t="shared" si="18"/>
        <v>2</v>
      </c>
      <c r="BJ17" s="974">
        <f t="shared" si="19"/>
        <v>36</v>
      </c>
      <c r="BK17" s="974">
        <f t="shared" si="20"/>
        <v>24</v>
      </c>
      <c r="BL17" s="974">
        <f t="shared" si="21"/>
        <v>2</v>
      </c>
      <c r="BM17" s="974">
        <f t="shared" si="22"/>
        <v>2</v>
      </c>
      <c r="BN17" s="974">
        <f t="shared" si="23"/>
        <v>2</v>
      </c>
      <c r="BO17" s="974">
        <f t="shared" si="24"/>
        <v>2</v>
      </c>
      <c r="BP17" s="974">
        <f t="shared" si="16"/>
        <v>100</v>
      </c>
      <c r="BQ17" s="971" t="s">
        <v>2467</v>
      </c>
      <c r="BR17" s="975"/>
      <c r="BS17" s="975"/>
      <c r="BT17" s="975"/>
      <c r="BU17" s="975"/>
      <c r="BV17" s="975"/>
      <c r="BW17" s="975"/>
      <c r="BX17" s="971"/>
      <c r="BZ17" s="976" t="s">
        <v>2644</v>
      </c>
      <c r="CA17" s="974">
        <v>6</v>
      </c>
      <c r="CB17" s="974">
        <v>2.97</v>
      </c>
      <c r="CC17" s="974">
        <v>67.5</v>
      </c>
      <c r="CD17" s="974">
        <v>2.5</v>
      </c>
      <c r="CE17" s="974">
        <v>9.5</v>
      </c>
      <c r="CF17" s="974">
        <v>5.6</v>
      </c>
      <c r="CG17" s="974">
        <v>2.97</v>
      </c>
      <c r="CH17" s="974">
        <f>+(100-$CA17-$CC17-$CD17-$CE17-$CF17)/3</f>
        <v>2.9666666666666668</v>
      </c>
      <c r="CI17" s="974">
        <f t="shared" si="12"/>
        <v>100.00666666666666</v>
      </c>
      <c r="CK17" s="977" t="str">
        <f>+'Results &amp; Summary'!B8</f>
        <v>Stationary Combustion</v>
      </c>
      <c r="DH17" s="977" t="str">
        <f t="shared" si="10"/>
        <v>US-AKMS (ASCC Miscellaneous)</v>
      </c>
      <c r="DI17" s="977" t="str">
        <f t="shared" si="10"/>
        <v>Oceania</v>
      </c>
      <c r="DJ17" s="977" t="str">
        <f t="shared" si="10"/>
        <v>Australia and New Zealand</v>
      </c>
      <c r="DK17" s="977" t="e">
        <f>VLOOKUP(DH17,#REF!,1)</f>
        <v>#REF!</v>
      </c>
      <c r="DL17" s="977" t="e">
        <f>VLOOKUP(DK17,#REF!,2,FALSE)</f>
        <v>#REF!</v>
      </c>
      <c r="DN17" s="977" t="s">
        <v>2645</v>
      </c>
      <c r="DO17" s="977" t="s">
        <v>2646</v>
      </c>
    </row>
    <row r="18" spans="3:119">
      <c r="C18" s="827" t="s">
        <v>2647</v>
      </c>
      <c r="D18" s="986" t="s">
        <v>2568</v>
      </c>
      <c r="E18" s="955">
        <v>164</v>
      </c>
      <c r="F18" s="956" t="s">
        <v>2569</v>
      </c>
      <c r="G18" s="957" t="s">
        <v>2454</v>
      </c>
      <c r="H18" s="956"/>
      <c r="I18" s="957"/>
      <c r="J18" s="956"/>
      <c r="L18" s="17"/>
      <c r="M18" s="17"/>
      <c r="N18" s="17"/>
      <c r="O18" s="17"/>
      <c r="P18" s="17"/>
      <c r="Q18" s="17"/>
      <c r="R18" s="17"/>
      <c r="S18" s="17"/>
      <c r="T18" s="17"/>
      <c r="U18" s="17"/>
      <c r="V18" s="17"/>
      <c r="X18" s="1262" t="str">
        <f>+"* Not applicable for "&amp;X3&amp;", "&amp;X4&amp;", "&amp;X11&amp;", "&amp;X12&amp;" y "&amp;X15&amp;" where units are [g(GAS)/km]"</f>
        <v>* Not applicable for Private car (diesel), Private car (gasoline), Private SUV or truck (diesel), Private SUV (gasolina) y Motorbike where units are [g(GAS)/km]</v>
      </c>
      <c r="Y18" s="1263"/>
      <c r="Z18" s="1263"/>
      <c r="AA18" s="1263"/>
      <c r="AB18" s="1263"/>
      <c r="AC18" s="1264"/>
      <c r="AW18" s="968" t="s">
        <v>2648</v>
      </c>
      <c r="AX18" s="987" t="s">
        <v>2536</v>
      </c>
      <c r="AY18" s="991" t="str">
        <f>+BZ16</f>
        <v>Australia and New Zealand</v>
      </c>
      <c r="AZ18" s="995">
        <v>353.521440144</v>
      </c>
      <c r="BA18" s="971" t="s">
        <v>2627</v>
      </c>
      <c r="BB18" s="992">
        <v>4.78</v>
      </c>
      <c r="BC18" s="971" t="s">
        <v>2494</v>
      </c>
      <c r="BD18" s="973"/>
      <c r="BE18" s="973"/>
      <c r="BF18" s="971"/>
      <c r="BG18" s="973"/>
      <c r="BH18" s="974">
        <f t="shared" si="17"/>
        <v>30</v>
      </c>
      <c r="BI18" s="974">
        <f t="shared" si="18"/>
        <v>2</v>
      </c>
      <c r="BJ18" s="974">
        <f t="shared" si="19"/>
        <v>36</v>
      </c>
      <c r="BK18" s="974">
        <f t="shared" si="20"/>
        <v>24</v>
      </c>
      <c r="BL18" s="974">
        <f t="shared" si="21"/>
        <v>2</v>
      </c>
      <c r="BM18" s="974">
        <f t="shared" si="22"/>
        <v>2</v>
      </c>
      <c r="BN18" s="974">
        <f t="shared" si="23"/>
        <v>2</v>
      </c>
      <c r="BO18" s="974">
        <f t="shared" si="24"/>
        <v>2</v>
      </c>
      <c r="BP18" s="974">
        <f t="shared" si="16"/>
        <v>100</v>
      </c>
      <c r="BQ18" s="971" t="s">
        <v>2467</v>
      </c>
      <c r="BR18" s="975"/>
      <c r="BS18" s="975"/>
      <c r="BT18" s="975"/>
      <c r="BU18" s="975"/>
      <c r="BV18" s="975"/>
      <c r="BW18" s="975"/>
      <c r="BX18" s="971"/>
      <c r="BZ18" s="976" t="s">
        <v>2649</v>
      </c>
      <c r="CA18" s="974">
        <v>23.2</v>
      </c>
      <c r="CB18" s="974">
        <v>3.9</v>
      </c>
      <c r="CC18" s="974">
        <v>33.9</v>
      </c>
      <c r="CD18" s="974">
        <v>6.2</v>
      </c>
      <c r="CE18" s="974">
        <v>9.5</v>
      </c>
      <c r="CF18" s="974">
        <v>5.6</v>
      </c>
      <c r="CG18" s="974">
        <v>8.5</v>
      </c>
      <c r="CH18" s="974">
        <f>100-SUM(CA18:CG18)</f>
        <v>9.2000000000000028</v>
      </c>
      <c r="CI18" s="974">
        <f t="shared" si="12"/>
        <v>100</v>
      </c>
      <c r="DH18" s="977" t="str">
        <f t="shared" si="10"/>
        <v>US-AZNM (WECC Southwest)</v>
      </c>
      <c r="DI18" s="977" t="str">
        <f t="shared" si="10"/>
        <v>Oceania</v>
      </c>
      <c r="DJ18" s="977" t="str">
        <f t="shared" si="10"/>
        <v>Australia and New Zealand</v>
      </c>
      <c r="DK18" s="977" t="e">
        <f>VLOOKUP(DH18,#REF!,1)</f>
        <v>#REF!</v>
      </c>
      <c r="DL18" s="977" t="e">
        <f>VLOOKUP(DK18,#REF!,2,FALSE)</f>
        <v>#REF!</v>
      </c>
      <c r="DN18" s="977" t="s">
        <v>2650</v>
      </c>
      <c r="DO18" s="977" t="s">
        <v>2651</v>
      </c>
    </row>
    <row r="19" spans="3:119">
      <c r="C19" s="827" t="s">
        <v>2652</v>
      </c>
      <c r="D19" s="986" t="s">
        <v>2568</v>
      </c>
      <c r="E19" s="955">
        <v>4.84</v>
      </c>
      <c r="F19" s="956" t="s">
        <v>2569</v>
      </c>
      <c r="G19" s="957" t="s">
        <v>2454</v>
      </c>
      <c r="H19" s="956"/>
      <c r="I19" s="957"/>
      <c r="J19" s="956"/>
      <c r="L19" s="17"/>
      <c r="M19" s="17"/>
      <c r="N19" s="17"/>
      <c r="O19" s="17"/>
      <c r="P19" s="17"/>
      <c r="Q19" s="17"/>
      <c r="R19" s="17"/>
      <c r="S19" s="17"/>
      <c r="T19" s="17"/>
      <c r="U19" s="17"/>
      <c r="V19" s="17"/>
      <c r="AW19" s="968" t="s">
        <v>2653</v>
      </c>
      <c r="AX19" s="987" t="s">
        <v>2536</v>
      </c>
      <c r="AY19" s="991" t="str">
        <f>+BZ16</f>
        <v>Australia and New Zealand</v>
      </c>
      <c r="AZ19" s="995">
        <v>226.46850657600001</v>
      </c>
      <c r="BA19" s="971" t="s">
        <v>2627</v>
      </c>
      <c r="BB19" s="992">
        <v>4.78</v>
      </c>
      <c r="BC19" s="971" t="s">
        <v>2494</v>
      </c>
      <c r="BD19" s="973"/>
      <c r="BE19" s="973"/>
      <c r="BF19" s="971"/>
      <c r="BG19" s="973"/>
      <c r="BH19" s="974">
        <f t="shared" si="17"/>
        <v>30</v>
      </c>
      <c r="BI19" s="974">
        <f t="shared" si="18"/>
        <v>2</v>
      </c>
      <c r="BJ19" s="974">
        <f t="shared" si="19"/>
        <v>36</v>
      </c>
      <c r="BK19" s="974">
        <f t="shared" si="20"/>
        <v>24</v>
      </c>
      <c r="BL19" s="974">
        <f t="shared" si="21"/>
        <v>2</v>
      </c>
      <c r="BM19" s="974">
        <f t="shared" si="22"/>
        <v>2</v>
      </c>
      <c r="BN19" s="974">
        <f t="shared" si="23"/>
        <v>2</v>
      </c>
      <c r="BO19" s="974">
        <f t="shared" si="24"/>
        <v>2</v>
      </c>
      <c r="BP19" s="974">
        <f t="shared" si="16"/>
        <v>100</v>
      </c>
      <c r="BQ19" s="971" t="s">
        <v>2467</v>
      </c>
      <c r="BR19" s="975"/>
      <c r="BS19" s="975"/>
      <c r="BT19" s="975"/>
      <c r="BU19" s="975"/>
      <c r="BV19" s="975"/>
      <c r="BW19" s="975"/>
      <c r="BX19" s="971"/>
      <c r="BZ19" s="976" t="s">
        <v>2654</v>
      </c>
      <c r="CA19" s="974">
        <v>13.7</v>
      </c>
      <c r="CB19" s="974">
        <v>2.6</v>
      </c>
      <c r="CC19" s="974">
        <v>43.8</v>
      </c>
      <c r="CD19" s="974">
        <v>13.5</v>
      </c>
      <c r="CE19" s="974">
        <v>9.5</v>
      </c>
      <c r="CF19" s="974">
        <v>5.6</v>
      </c>
      <c r="CG19" s="974">
        <v>6.7</v>
      </c>
      <c r="CH19" s="974">
        <f>100-SUM(CA19:CG19)</f>
        <v>4.6000000000000085</v>
      </c>
      <c r="CI19" s="974">
        <f t="shared" si="12"/>
        <v>100</v>
      </c>
      <c r="DH19" s="977" t="str">
        <f t="shared" si="10"/>
        <v>US-CAMX (WECC California)</v>
      </c>
      <c r="DI19" s="977" t="str">
        <f t="shared" si="10"/>
        <v>Oceania</v>
      </c>
      <c r="DJ19" s="977" t="str">
        <f t="shared" si="10"/>
        <v>Australia and New Zealand</v>
      </c>
      <c r="DK19" s="977" t="e">
        <f>VLOOKUP(DH19,#REF!,1)</f>
        <v>#REF!</v>
      </c>
      <c r="DL19" s="977" t="e">
        <f>VLOOKUP(DK19,#REF!,2,FALSE)</f>
        <v>#REF!</v>
      </c>
      <c r="DN19" s="977" t="s">
        <v>2655</v>
      </c>
      <c r="DO19" s="977" t="s">
        <v>2656</v>
      </c>
    </row>
    <row r="20" spans="3:119">
      <c r="C20" s="827" t="s">
        <v>37</v>
      </c>
      <c r="D20" s="986" t="s">
        <v>2568</v>
      </c>
      <c r="E20" s="955">
        <v>3600</v>
      </c>
      <c r="F20" s="956" t="s">
        <v>2569</v>
      </c>
      <c r="G20" s="957" t="s">
        <v>2454</v>
      </c>
      <c r="H20" s="956"/>
      <c r="I20" s="957"/>
      <c r="J20" s="956"/>
      <c r="X20" s="945" t="s">
        <v>2657</v>
      </c>
      <c r="Y20" s="945" t="s">
        <v>2658</v>
      </c>
      <c r="Z20" s="945" t="s">
        <v>2659</v>
      </c>
      <c r="AA20" s="996" t="s">
        <v>26</v>
      </c>
      <c r="AW20" s="968" t="s">
        <v>2660</v>
      </c>
      <c r="AX20" s="987" t="s">
        <v>2536</v>
      </c>
      <c r="AY20" s="991" t="str">
        <f>+BZ16</f>
        <v>Australia and New Zealand</v>
      </c>
      <c r="AZ20" s="995">
        <v>351.21537841600002</v>
      </c>
      <c r="BA20" s="971" t="s">
        <v>2627</v>
      </c>
      <c r="BB20" s="992">
        <v>4.78</v>
      </c>
      <c r="BC20" s="971" t="s">
        <v>2494</v>
      </c>
      <c r="BD20" s="973"/>
      <c r="BE20" s="973"/>
      <c r="BF20" s="971"/>
      <c r="BG20" s="973"/>
      <c r="BH20" s="974">
        <f t="shared" si="17"/>
        <v>30</v>
      </c>
      <c r="BI20" s="974">
        <f t="shared" si="18"/>
        <v>2</v>
      </c>
      <c r="BJ20" s="974">
        <f t="shared" si="19"/>
        <v>36</v>
      </c>
      <c r="BK20" s="974">
        <f t="shared" si="20"/>
        <v>24</v>
      </c>
      <c r="BL20" s="974">
        <f t="shared" si="21"/>
        <v>2</v>
      </c>
      <c r="BM20" s="974">
        <f t="shared" si="22"/>
        <v>2</v>
      </c>
      <c r="BN20" s="974">
        <f t="shared" si="23"/>
        <v>2</v>
      </c>
      <c r="BO20" s="974">
        <f t="shared" si="24"/>
        <v>2</v>
      </c>
      <c r="BP20" s="974">
        <f t="shared" si="16"/>
        <v>100</v>
      </c>
      <c r="BQ20" s="971" t="s">
        <v>2467</v>
      </c>
      <c r="BR20" s="975"/>
      <c r="BS20" s="975"/>
      <c r="BT20" s="975"/>
      <c r="BU20" s="975"/>
      <c r="BV20" s="975"/>
      <c r="BW20" s="975"/>
      <c r="BX20" s="971"/>
      <c r="BZ20" s="976" t="s">
        <v>2661</v>
      </c>
      <c r="CA20" s="974">
        <v>17.100000000000001</v>
      </c>
      <c r="CB20" s="974">
        <v>2.6</v>
      </c>
      <c r="CC20" s="974">
        <v>44.9</v>
      </c>
      <c r="CD20" s="974">
        <v>4.7</v>
      </c>
      <c r="CE20" s="974">
        <v>9.5</v>
      </c>
      <c r="CF20" s="974">
        <v>5.6</v>
      </c>
      <c r="CG20" s="974">
        <v>10.8</v>
      </c>
      <c r="CH20" s="974">
        <f>100-SUM(CA20:CG20)</f>
        <v>4.8000000000000114</v>
      </c>
      <c r="CI20" s="974">
        <f t="shared" si="12"/>
        <v>100</v>
      </c>
      <c r="DH20" s="977" t="str">
        <f t="shared" ref="DH20:DJ39" si="25">AW20</f>
        <v>US-ERCT (ERCOT All)</v>
      </c>
      <c r="DI20" s="977" t="str">
        <f t="shared" si="25"/>
        <v>Oceania</v>
      </c>
      <c r="DJ20" s="977" t="str">
        <f t="shared" si="25"/>
        <v>Australia and New Zealand</v>
      </c>
      <c r="DK20" s="977" t="e">
        <f>VLOOKUP(DH20,#REF!,1)</f>
        <v>#REF!</v>
      </c>
      <c r="DL20" s="977" t="e">
        <f>VLOOKUP(DK20,#REF!,2,FALSE)</f>
        <v>#REF!</v>
      </c>
      <c r="DN20" s="977" t="s">
        <v>2662</v>
      </c>
      <c r="DO20" s="977" t="s">
        <v>2663</v>
      </c>
    </row>
    <row r="21" spans="3:119">
      <c r="C21" s="827" t="s">
        <v>2664</v>
      </c>
      <c r="D21" s="986" t="s">
        <v>2568</v>
      </c>
      <c r="E21" s="955">
        <v>1350</v>
      </c>
      <c r="F21" s="956" t="s">
        <v>2569</v>
      </c>
      <c r="G21" s="957" t="s">
        <v>2454</v>
      </c>
      <c r="H21" s="956"/>
      <c r="I21" s="957"/>
      <c r="J21" s="956"/>
      <c r="X21" s="964" t="s">
        <v>38</v>
      </c>
      <c r="Y21" s="952">
        <v>0</v>
      </c>
      <c r="Z21" s="952">
        <v>500</v>
      </c>
      <c r="AA21" s="963" t="s">
        <v>2665</v>
      </c>
      <c r="AW21" s="968" t="s">
        <v>2666</v>
      </c>
      <c r="AX21" s="987" t="s">
        <v>2536</v>
      </c>
      <c r="AY21" s="991" t="str">
        <f>+BZ16</f>
        <v>Australia and New Zealand</v>
      </c>
      <c r="AZ21" s="995">
        <v>370.53612965600001</v>
      </c>
      <c r="BA21" s="971" t="s">
        <v>2627</v>
      </c>
      <c r="BB21" s="992">
        <v>4.78</v>
      </c>
      <c r="BC21" s="971" t="s">
        <v>2494</v>
      </c>
      <c r="BD21" s="973"/>
      <c r="BE21" s="973"/>
      <c r="BF21" s="971"/>
      <c r="BG21" s="973"/>
      <c r="BH21" s="974">
        <f t="shared" si="17"/>
        <v>30</v>
      </c>
      <c r="BI21" s="974">
        <f t="shared" si="18"/>
        <v>2</v>
      </c>
      <c r="BJ21" s="974">
        <f t="shared" si="19"/>
        <v>36</v>
      </c>
      <c r="BK21" s="974">
        <f t="shared" si="20"/>
        <v>24</v>
      </c>
      <c r="BL21" s="974">
        <f t="shared" si="21"/>
        <v>2</v>
      </c>
      <c r="BM21" s="974">
        <f t="shared" si="22"/>
        <v>2</v>
      </c>
      <c r="BN21" s="974">
        <f t="shared" si="23"/>
        <v>2</v>
      </c>
      <c r="BO21" s="974">
        <f t="shared" si="24"/>
        <v>2</v>
      </c>
      <c r="BP21" s="974">
        <f t="shared" si="16"/>
        <v>100</v>
      </c>
      <c r="BQ21" s="971" t="s">
        <v>2467</v>
      </c>
      <c r="BR21" s="975"/>
      <c r="BS21" s="975"/>
      <c r="BT21" s="975"/>
      <c r="BU21" s="975"/>
      <c r="BV21" s="975"/>
      <c r="BW21" s="975"/>
      <c r="BX21" s="971"/>
      <c r="BZ21" s="976" t="s">
        <v>2667</v>
      </c>
      <c r="CA21" s="974">
        <v>17</v>
      </c>
      <c r="CB21" s="974">
        <v>5.0999999999999996</v>
      </c>
      <c r="CC21" s="974">
        <v>46.9</v>
      </c>
      <c r="CD21" s="974">
        <v>2.4</v>
      </c>
      <c r="CE21" s="974">
        <v>9.5</v>
      </c>
      <c r="CF21" s="974">
        <v>5.6</v>
      </c>
      <c r="CG21" s="974">
        <v>9.9</v>
      </c>
      <c r="CH21" s="974">
        <f>100-SUM(CA21:CG21)</f>
        <v>3.5999999999999943</v>
      </c>
      <c r="CI21" s="974">
        <f t="shared" si="12"/>
        <v>100</v>
      </c>
      <c r="DH21" s="977" t="str">
        <f t="shared" si="25"/>
        <v>US-FRCC (FRCC All)</v>
      </c>
      <c r="DI21" s="977" t="str">
        <f t="shared" si="25"/>
        <v>Oceania</v>
      </c>
      <c r="DJ21" s="977" t="str">
        <f t="shared" si="25"/>
        <v>Australia and New Zealand</v>
      </c>
      <c r="DK21" s="977" t="e">
        <f>VLOOKUP(DH21,#REF!,1)</f>
        <v>#REF!</v>
      </c>
      <c r="DL21" s="977" t="e">
        <f>VLOOKUP(DK21,#REF!,2,FALSE)</f>
        <v>#REF!</v>
      </c>
      <c r="DN21" s="977" t="s">
        <v>2668</v>
      </c>
      <c r="DO21" s="977" t="s">
        <v>2669</v>
      </c>
    </row>
    <row r="22" spans="3:119" ht="40.5" customHeight="1">
      <c r="C22" s="827" t="s">
        <v>2670</v>
      </c>
      <c r="D22" s="986" t="s">
        <v>2568</v>
      </c>
      <c r="E22" s="955">
        <v>1500</v>
      </c>
      <c r="F22" s="956" t="s">
        <v>2569</v>
      </c>
      <c r="G22" s="957" t="s">
        <v>2454</v>
      </c>
      <c r="H22" s="956"/>
      <c r="I22" s="957"/>
      <c r="J22" s="956"/>
      <c r="X22" s="964" t="s">
        <v>39</v>
      </c>
      <c r="Y22" s="952">
        <v>500</v>
      </c>
      <c r="Z22" s="952">
        <v>3700</v>
      </c>
      <c r="AA22" s="963" t="s">
        <v>2671</v>
      </c>
      <c r="AW22" s="968" t="s">
        <v>2672</v>
      </c>
      <c r="AX22" s="987" t="s">
        <v>2536</v>
      </c>
      <c r="AY22" s="991" t="str">
        <f>+BZ16</f>
        <v>Australia and New Zealand</v>
      </c>
      <c r="AZ22" s="995">
        <v>527.55697948</v>
      </c>
      <c r="BA22" s="971" t="s">
        <v>2627</v>
      </c>
      <c r="BB22" s="992">
        <v>4.78</v>
      </c>
      <c r="BC22" s="971" t="s">
        <v>2494</v>
      </c>
      <c r="BD22" s="973"/>
      <c r="BE22" s="973"/>
      <c r="BF22" s="971"/>
      <c r="BG22" s="973"/>
      <c r="BH22" s="974">
        <f t="shared" si="17"/>
        <v>30</v>
      </c>
      <c r="BI22" s="974">
        <f t="shared" si="18"/>
        <v>2</v>
      </c>
      <c r="BJ22" s="974">
        <f t="shared" si="19"/>
        <v>36</v>
      </c>
      <c r="BK22" s="974">
        <f t="shared" si="20"/>
        <v>24</v>
      </c>
      <c r="BL22" s="974">
        <f t="shared" si="21"/>
        <v>2</v>
      </c>
      <c r="BM22" s="974">
        <f t="shared" si="22"/>
        <v>2</v>
      </c>
      <c r="BN22" s="974">
        <f t="shared" si="23"/>
        <v>2</v>
      </c>
      <c r="BO22" s="974">
        <f t="shared" si="24"/>
        <v>2</v>
      </c>
      <c r="BP22" s="974">
        <f t="shared" si="16"/>
        <v>100</v>
      </c>
      <c r="BQ22" s="971" t="s">
        <v>2467</v>
      </c>
      <c r="BR22" s="975"/>
      <c r="BS22" s="975"/>
      <c r="BT22" s="975"/>
      <c r="BU22" s="975"/>
      <c r="BV22" s="975"/>
      <c r="BW22" s="975"/>
      <c r="BX22" s="971"/>
      <c r="DH22" s="977" t="str">
        <f t="shared" si="25"/>
        <v>US-HIMS (HICC Miscellaneous)</v>
      </c>
      <c r="DI22" s="977" t="str">
        <f t="shared" si="25"/>
        <v>Oceania</v>
      </c>
      <c r="DJ22" s="977" t="str">
        <f t="shared" si="25"/>
        <v>Australia and New Zealand</v>
      </c>
      <c r="DK22" s="977" t="e">
        <f>VLOOKUP(DH22,#REF!,1)</f>
        <v>#REF!</v>
      </c>
      <c r="DL22" s="977" t="e">
        <f>VLOOKUP(DK22,#REF!,2,FALSE)</f>
        <v>#REF!</v>
      </c>
      <c r="DN22" s="977" t="s">
        <v>2673</v>
      </c>
      <c r="DO22" s="977" t="s">
        <v>2674</v>
      </c>
    </row>
    <row r="23" spans="3:119">
      <c r="C23" s="827" t="s">
        <v>2675</v>
      </c>
      <c r="D23" s="986" t="s">
        <v>2568</v>
      </c>
      <c r="E23" s="955">
        <v>8690</v>
      </c>
      <c r="F23" s="956" t="s">
        <v>2569</v>
      </c>
      <c r="G23" s="957" t="s">
        <v>2454</v>
      </c>
      <c r="H23" s="956"/>
      <c r="I23" s="957"/>
      <c r="J23" s="956"/>
      <c r="X23" s="964" t="s">
        <v>40</v>
      </c>
      <c r="Y23" s="952">
        <v>3700</v>
      </c>
      <c r="Z23" s="952" t="s">
        <v>2676</v>
      </c>
      <c r="AA23" s="963" t="s">
        <v>2671</v>
      </c>
      <c r="AW23" s="968" t="s">
        <v>2677</v>
      </c>
      <c r="AX23" s="969" t="s">
        <v>2493</v>
      </c>
      <c r="AY23" s="970" t="str">
        <f>+BZ15</f>
        <v>Western Europe</v>
      </c>
      <c r="AZ23" s="995">
        <v>719.82646362399998</v>
      </c>
      <c r="BA23" s="971" t="s">
        <v>2678</v>
      </c>
      <c r="BB23" s="972">
        <v>5.33</v>
      </c>
      <c r="BC23" s="971" t="s">
        <v>2494</v>
      </c>
      <c r="BD23" s="987">
        <v>5.7500000000000002E-2</v>
      </c>
      <c r="BE23" s="987">
        <v>3.5000000000000003E-2</v>
      </c>
      <c r="BF23" s="971" t="s">
        <v>2679</v>
      </c>
      <c r="BG23" s="973"/>
      <c r="BH23" s="974">
        <f t="shared" si="17"/>
        <v>27.5</v>
      </c>
      <c r="BI23" s="974">
        <f t="shared" si="18"/>
        <v>7.4</v>
      </c>
      <c r="BJ23" s="974">
        <f t="shared" si="19"/>
        <v>24.2</v>
      </c>
      <c r="BK23" s="974">
        <f t="shared" si="20"/>
        <v>11</v>
      </c>
      <c r="BL23" s="974">
        <f t="shared" si="21"/>
        <v>9.5</v>
      </c>
      <c r="BM23" s="974">
        <f t="shared" si="22"/>
        <v>5.6</v>
      </c>
      <c r="BN23" s="974">
        <f t="shared" si="23"/>
        <v>7.4</v>
      </c>
      <c r="BO23" s="974">
        <f t="shared" si="24"/>
        <v>7.3999999999999986</v>
      </c>
      <c r="BP23" s="974">
        <f t="shared" si="16"/>
        <v>100</v>
      </c>
      <c r="BQ23" s="971" t="s">
        <v>2467</v>
      </c>
      <c r="BR23" s="975"/>
      <c r="BS23" s="975"/>
      <c r="BT23" s="975"/>
      <c r="BU23" s="975"/>
      <c r="BV23" s="975"/>
      <c r="BW23" s="975"/>
      <c r="BX23" s="971"/>
      <c r="DH23" s="977" t="str">
        <f t="shared" si="25"/>
        <v>US-HIOA (HICC Oahu)</v>
      </c>
      <c r="DI23" s="977" t="str">
        <f t="shared" si="25"/>
        <v>Europe</v>
      </c>
      <c r="DJ23" s="977" t="str">
        <f t="shared" si="25"/>
        <v>Western Europe</v>
      </c>
      <c r="DK23" s="977" t="e">
        <f>VLOOKUP(DH23,#REF!,1)</f>
        <v>#REF!</v>
      </c>
      <c r="DL23" s="977" t="e">
        <f>VLOOKUP(DK23,#REF!,2,FALSE)</f>
        <v>#REF!</v>
      </c>
      <c r="DN23" s="977" t="s">
        <v>2680</v>
      </c>
      <c r="DO23" s="977" t="s">
        <v>2681</v>
      </c>
    </row>
    <row r="24" spans="3:119">
      <c r="C24" s="827" t="s">
        <v>2682</v>
      </c>
      <c r="D24" s="986" t="s">
        <v>2568</v>
      </c>
      <c r="E24" s="955">
        <v>787</v>
      </c>
      <c r="F24" s="956" t="s">
        <v>2569</v>
      </c>
      <c r="G24" s="957" t="s">
        <v>2454</v>
      </c>
      <c r="H24" s="956"/>
      <c r="I24" s="957"/>
      <c r="J24" s="956"/>
      <c r="X24" s="997"/>
      <c r="AW24" s="968" t="s">
        <v>2683</v>
      </c>
      <c r="AX24" s="969" t="s">
        <v>2464</v>
      </c>
      <c r="AY24" s="970" t="str">
        <f>+BZ6</f>
        <v>Western Asia &amp; Middle East</v>
      </c>
      <c r="AZ24" s="995">
        <v>675.25696729600008</v>
      </c>
      <c r="BA24" s="971" t="s">
        <v>2465</v>
      </c>
      <c r="BB24" s="972">
        <v>13.6</v>
      </c>
      <c r="BC24" s="971" t="s">
        <v>2494</v>
      </c>
      <c r="BD24" s="973"/>
      <c r="BE24" s="973"/>
      <c r="BF24" s="971"/>
      <c r="BG24" s="973"/>
      <c r="BH24" s="974">
        <f t="shared" si="17"/>
        <v>18</v>
      </c>
      <c r="BI24" s="974">
        <f t="shared" si="18"/>
        <v>2.9</v>
      </c>
      <c r="BJ24" s="974">
        <f t="shared" si="19"/>
        <v>41.1</v>
      </c>
      <c r="BK24" s="974">
        <f t="shared" si="20"/>
        <v>9.8000000000000007</v>
      </c>
      <c r="BL24" s="974">
        <f t="shared" si="21"/>
        <v>9.5</v>
      </c>
      <c r="BM24" s="974">
        <f t="shared" si="22"/>
        <v>5.6</v>
      </c>
      <c r="BN24" s="974">
        <f t="shared" si="23"/>
        <v>6.3</v>
      </c>
      <c r="BO24" s="974">
        <f t="shared" si="24"/>
        <v>6.8000000000000114</v>
      </c>
      <c r="BP24" s="974">
        <f t="shared" si="16"/>
        <v>100</v>
      </c>
      <c r="BQ24" s="971" t="s">
        <v>2467</v>
      </c>
      <c r="BR24" s="975"/>
      <c r="BS24" s="975"/>
      <c r="BT24" s="975"/>
      <c r="BU24" s="975"/>
      <c r="BV24" s="975"/>
      <c r="BW24" s="975"/>
      <c r="BX24" s="971"/>
      <c r="DH24" s="977" t="str">
        <f t="shared" si="25"/>
        <v>US-MROE (MRO East)</v>
      </c>
      <c r="DI24" s="977" t="str">
        <f t="shared" si="25"/>
        <v>Asia</v>
      </c>
      <c r="DJ24" s="977" t="str">
        <f t="shared" si="25"/>
        <v>Western Asia &amp; Middle East</v>
      </c>
      <c r="DL24" s="977" t="s">
        <v>35</v>
      </c>
      <c r="DN24" s="977" t="s">
        <v>2684</v>
      </c>
      <c r="DO24" s="977" t="s">
        <v>2685</v>
      </c>
    </row>
    <row r="25" spans="3:119">
      <c r="C25" s="827" t="s">
        <v>2686</v>
      </c>
      <c r="D25" s="986" t="s">
        <v>2568</v>
      </c>
      <c r="E25" s="955">
        <v>962</v>
      </c>
      <c r="F25" s="956" t="s">
        <v>2569</v>
      </c>
      <c r="G25" s="957" t="s">
        <v>2454</v>
      </c>
      <c r="H25" s="956"/>
      <c r="I25" s="957"/>
      <c r="J25" s="956"/>
      <c r="X25" s="977" t="s">
        <v>2687</v>
      </c>
      <c r="Y25" s="977">
        <v>1.60934</v>
      </c>
      <c r="Z25" s="977" t="s">
        <v>2688</v>
      </c>
      <c r="AW25" s="968" t="s">
        <v>2689</v>
      </c>
      <c r="AX25" s="969" t="s">
        <v>2493</v>
      </c>
      <c r="AY25" s="970" t="str">
        <f>+BZ14</f>
        <v>Southern Europe</v>
      </c>
      <c r="AZ25" s="995">
        <v>427.92685745599999</v>
      </c>
      <c r="BA25" s="971" t="s">
        <v>2465</v>
      </c>
      <c r="BB25" s="972">
        <v>10.025212186531689</v>
      </c>
      <c r="BC25" s="971" t="s">
        <v>2690</v>
      </c>
      <c r="BD25" s="973"/>
      <c r="BE25" s="973"/>
      <c r="BF25" s="971"/>
      <c r="BG25" s="973"/>
      <c r="BH25" s="974">
        <f t="shared" si="17"/>
        <v>17</v>
      </c>
      <c r="BI25" s="974">
        <f t="shared" si="18"/>
        <v>6.8</v>
      </c>
      <c r="BJ25" s="974">
        <f t="shared" si="19"/>
        <v>36.9</v>
      </c>
      <c r="BK25" s="974">
        <f t="shared" si="20"/>
        <v>10.6</v>
      </c>
      <c r="BL25" s="974">
        <f t="shared" si="21"/>
        <v>9.5</v>
      </c>
      <c r="BM25" s="974">
        <f t="shared" si="22"/>
        <v>5.6</v>
      </c>
      <c r="BN25" s="974">
        <f t="shared" si="23"/>
        <v>6.8</v>
      </c>
      <c r="BO25" s="974">
        <f t="shared" si="24"/>
        <v>6.8</v>
      </c>
      <c r="BP25" s="974">
        <f t="shared" si="16"/>
        <v>99.999999999999986</v>
      </c>
      <c r="BQ25" s="971" t="s">
        <v>2467</v>
      </c>
      <c r="BR25" s="975"/>
      <c r="BS25" s="975"/>
      <c r="BT25" s="975"/>
      <c r="BU25" s="975"/>
      <c r="BV25" s="975"/>
      <c r="BW25" s="975"/>
      <c r="BX25" s="971"/>
      <c r="DH25" s="977" t="str">
        <f t="shared" si="25"/>
        <v>US-MROW (MRO West)</v>
      </c>
      <c r="DI25" s="977" t="str">
        <f t="shared" si="25"/>
        <v>Europe</v>
      </c>
      <c r="DJ25" s="977" t="str">
        <f t="shared" si="25"/>
        <v>Southern Europe</v>
      </c>
      <c r="DL25" s="977" t="s">
        <v>35</v>
      </c>
      <c r="DN25" s="977" t="s">
        <v>2691</v>
      </c>
      <c r="DO25" s="977" t="s">
        <v>2692</v>
      </c>
    </row>
    <row r="26" spans="3:119" ht="26">
      <c r="C26" s="827" t="s">
        <v>2693</v>
      </c>
      <c r="D26" s="986" t="s">
        <v>2568</v>
      </c>
      <c r="E26" s="955">
        <v>914</v>
      </c>
      <c r="F26" s="956" t="s">
        <v>2569</v>
      </c>
      <c r="G26" s="957" t="s">
        <v>2454</v>
      </c>
      <c r="H26" s="956"/>
      <c r="I26" s="957"/>
      <c r="J26" s="956"/>
      <c r="AW26" s="968" t="s">
        <v>2694</v>
      </c>
      <c r="AX26" s="987" t="s">
        <v>2576</v>
      </c>
      <c r="AY26" s="970" t="str">
        <f>+BZ21</f>
        <v>Caribbean</v>
      </c>
      <c r="AZ26" s="995">
        <v>245.15740416</v>
      </c>
      <c r="BA26" s="971" t="s">
        <v>2465</v>
      </c>
      <c r="BB26" s="972">
        <v>9.3894684857089938</v>
      </c>
      <c r="BC26" s="971" t="s">
        <v>2577</v>
      </c>
      <c r="BD26" s="973"/>
      <c r="BE26" s="973"/>
      <c r="BF26" s="971"/>
      <c r="BG26" s="973"/>
      <c r="BH26" s="974">
        <f t="shared" si="17"/>
        <v>17</v>
      </c>
      <c r="BI26" s="974">
        <f t="shared" si="18"/>
        <v>5.0999999999999996</v>
      </c>
      <c r="BJ26" s="974">
        <f t="shared" si="19"/>
        <v>46.9</v>
      </c>
      <c r="BK26" s="974">
        <f t="shared" si="20"/>
        <v>2.4</v>
      </c>
      <c r="BL26" s="974">
        <f t="shared" si="21"/>
        <v>9.5</v>
      </c>
      <c r="BM26" s="974">
        <f t="shared" si="22"/>
        <v>5.6</v>
      </c>
      <c r="BN26" s="974">
        <f t="shared" si="23"/>
        <v>9.9</v>
      </c>
      <c r="BO26" s="974">
        <f t="shared" si="24"/>
        <v>3.5999999999999943</v>
      </c>
      <c r="BP26" s="974">
        <f t="shared" si="16"/>
        <v>100</v>
      </c>
      <c r="BQ26" s="971" t="s">
        <v>2467</v>
      </c>
      <c r="BR26" s="975"/>
      <c r="BS26" s="975"/>
      <c r="BT26" s="975"/>
      <c r="BU26" s="975"/>
      <c r="BV26" s="975"/>
      <c r="BW26" s="975"/>
      <c r="BX26" s="971"/>
      <c r="DH26" s="977" t="str">
        <f t="shared" si="25"/>
        <v>US-NEWE (NPCC New England)</v>
      </c>
      <c r="DI26" s="977" t="str">
        <f t="shared" si="25"/>
        <v>Americas</v>
      </c>
      <c r="DJ26" s="977" t="str">
        <f t="shared" si="25"/>
        <v>Caribbean</v>
      </c>
      <c r="DL26" s="977" t="s">
        <v>35</v>
      </c>
      <c r="DN26" s="977" t="s">
        <v>2695</v>
      </c>
      <c r="DO26" s="977" t="s">
        <v>2696</v>
      </c>
    </row>
    <row r="27" spans="3:119">
      <c r="C27" s="827" t="s">
        <v>2697</v>
      </c>
      <c r="D27" s="986" t="s">
        <v>2568</v>
      </c>
      <c r="E27" s="955">
        <v>1600</v>
      </c>
      <c r="F27" s="956" t="s">
        <v>2569</v>
      </c>
      <c r="G27" s="957" t="s">
        <v>2454</v>
      </c>
      <c r="H27" s="956"/>
      <c r="I27" s="957"/>
      <c r="J27" s="956"/>
      <c r="AW27" s="968" t="s">
        <v>2698</v>
      </c>
      <c r="AX27" s="969" t="s">
        <v>2464</v>
      </c>
      <c r="AY27" s="970" t="str">
        <f>+BZ6</f>
        <v>Western Asia &amp; Middle East</v>
      </c>
      <c r="AZ27" s="995">
        <v>274.81869222399996</v>
      </c>
      <c r="BA27" s="971" t="s">
        <v>2465</v>
      </c>
      <c r="BB27" s="972">
        <v>3.94</v>
      </c>
      <c r="BC27" s="971" t="s">
        <v>2494</v>
      </c>
      <c r="BD27" s="973"/>
      <c r="BE27" s="973"/>
      <c r="BF27" s="971"/>
      <c r="BG27" s="973"/>
      <c r="BH27" s="974">
        <f t="shared" si="17"/>
        <v>18</v>
      </c>
      <c r="BI27" s="974">
        <f t="shared" si="18"/>
        <v>2.9</v>
      </c>
      <c r="BJ27" s="974">
        <f t="shared" si="19"/>
        <v>41.1</v>
      </c>
      <c r="BK27" s="974">
        <f t="shared" si="20"/>
        <v>9.8000000000000007</v>
      </c>
      <c r="BL27" s="974">
        <f t="shared" si="21"/>
        <v>9.5</v>
      </c>
      <c r="BM27" s="974">
        <f t="shared" si="22"/>
        <v>5.6</v>
      </c>
      <c r="BN27" s="974">
        <f t="shared" si="23"/>
        <v>6.3</v>
      </c>
      <c r="BO27" s="974">
        <f t="shared" si="24"/>
        <v>6.8000000000000114</v>
      </c>
      <c r="BP27" s="974">
        <f t="shared" si="16"/>
        <v>100</v>
      </c>
      <c r="BQ27" s="971" t="s">
        <v>2467</v>
      </c>
      <c r="BR27" s="975"/>
      <c r="BS27" s="975"/>
      <c r="BT27" s="975"/>
      <c r="BU27" s="975"/>
      <c r="BV27" s="975"/>
      <c r="BW27" s="975"/>
      <c r="BX27" s="971"/>
      <c r="DH27" s="977" t="str">
        <f t="shared" si="25"/>
        <v>US-NWPP (WECC Northwest)</v>
      </c>
      <c r="DI27" s="977" t="str">
        <f t="shared" si="25"/>
        <v>Asia</v>
      </c>
      <c r="DJ27" s="977" t="str">
        <f t="shared" si="25"/>
        <v>Western Asia &amp; Middle East</v>
      </c>
      <c r="DL27" s="977" t="s">
        <v>35</v>
      </c>
      <c r="DN27" s="977" t="s">
        <v>2699</v>
      </c>
      <c r="DO27" s="977" t="s">
        <v>2700</v>
      </c>
    </row>
    <row r="28" spans="3:119">
      <c r="C28" s="998" t="s">
        <v>2701</v>
      </c>
      <c r="D28" s="954" t="s">
        <v>2453</v>
      </c>
      <c r="E28" s="955">
        <v>24300</v>
      </c>
      <c r="F28" s="956" t="s">
        <v>2569</v>
      </c>
      <c r="G28" s="957" t="s">
        <v>2454</v>
      </c>
      <c r="H28" s="956"/>
      <c r="I28" s="957"/>
      <c r="J28" s="956"/>
      <c r="AW28" s="968" t="s">
        <v>2702</v>
      </c>
      <c r="AX28" s="969" t="s">
        <v>2464</v>
      </c>
      <c r="AY28" s="970" t="str">
        <f>+BZ4</f>
        <v>South-Central Asia</v>
      </c>
      <c r="AZ28" s="995">
        <v>402.14559536000002</v>
      </c>
      <c r="BA28" s="971" t="s">
        <v>2465</v>
      </c>
      <c r="BB28" s="972">
        <v>11.4</v>
      </c>
      <c r="BC28" s="971" t="s">
        <v>2494</v>
      </c>
      <c r="BD28" s="973"/>
      <c r="BE28" s="973"/>
      <c r="BF28" s="971"/>
      <c r="BG28" s="973"/>
      <c r="BH28" s="974">
        <f t="shared" si="17"/>
        <v>11.3</v>
      </c>
      <c r="BI28" s="974">
        <f t="shared" si="18"/>
        <v>2.5</v>
      </c>
      <c r="BJ28" s="974">
        <f t="shared" si="19"/>
        <v>40.299999999999997</v>
      </c>
      <c r="BK28" s="974">
        <f t="shared" si="20"/>
        <v>7.9</v>
      </c>
      <c r="BL28" s="974">
        <f t="shared" si="21"/>
        <v>9.5</v>
      </c>
      <c r="BM28" s="974">
        <f t="shared" si="22"/>
        <v>5.6</v>
      </c>
      <c r="BN28" s="974">
        <f t="shared" si="23"/>
        <v>6.4</v>
      </c>
      <c r="BO28" s="974">
        <f t="shared" si="24"/>
        <v>16.5</v>
      </c>
      <c r="BP28" s="974">
        <f t="shared" si="16"/>
        <v>100</v>
      </c>
      <c r="BQ28" s="971" t="s">
        <v>2467</v>
      </c>
      <c r="BR28" s="975"/>
      <c r="BS28" s="975"/>
      <c r="BT28" s="975"/>
      <c r="BU28" s="975"/>
      <c r="BV28" s="975"/>
      <c r="BW28" s="975"/>
      <c r="BX28" s="971"/>
      <c r="DH28" s="977" t="str">
        <f t="shared" si="25"/>
        <v>US-NYCW (NPCC NYC/Westchester)</v>
      </c>
      <c r="DI28" s="977" t="str">
        <f t="shared" si="25"/>
        <v>Asia</v>
      </c>
      <c r="DJ28" s="977" t="str">
        <f t="shared" si="25"/>
        <v>South-Central Asia</v>
      </c>
      <c r="DL28" s="977" t="s">
        <v>35</v>
      </c>
      <c r="DN28" s="977" t="s">
        <v>2703</v>
      </c>
      <c r="DO28" s="977" t="s">
        <v>2704</v>
      </c>
    </row>
    <row r="29" spans="3:119" ht="26">
      <c r="C29" s="998" t="s">
        <v>2705</v>
      </c>
      <c r="D29" s="954" t="s">
        <v>2453</v>
      </c>
      <c r="E29" s="955">
        <v>17400</v>
      </c>
      <c r="F29" s="956" t="s">
        <v>2569</v>
      </c>
      <c r="G29" s="957" t="s">
        <v>2454</v>
      </c>
      <c r="H29" s="956"/>
      <c r="I29" s="957"/>
      <c r="J29" s="956"/>
      <c r="AW29" s="968" t="s">
        <v>2706</v>
      </c>
      <c r="AX29" s="987" t="s">
        <v>2576</v>
      </c>
      <c r="AY29" s="970" t="str">
        <f>+BZ21</f>
        <v>Caribbean</v>
      </c>
      <c r="AZ29" s="995">
        <v>548.53379511200001</v>
      </c>
      <c r="BA29" s="971" t="s">
        <v>2465</v>
      </c>
      <c r="BB29" s="972">
        <v>9.3894684857089938</v>
      </c>
      <c r="BC29" s="971" t="s">
        <v>2577</v>
      </c>
      <c r="BD29" s="973"/>
      <c r="BE29" s="973"/>
      <c r="BF29" s="971"/>
      <c r="BG29" s="973"/>
      <c r="BH29" s="974">
        <f t="shared" si="17"/>
        <v>17</v>
      </c>
      <c r="BI29" s="974">
        <f t="shared" si="18"/>
        <v>5.0999999999999996</v>
      </c>
      <c r="BJ29" s="974">
        <f t="shared" si="19"/>
        <v>46.9</v>
      </c>
      <c r="BK29" s="974">
        <f t="shared" si="20"/>
        <v>2.4</v>
      </c>
      <c r="BL29" s="974">
        <f t="shared" si="21"/>
        <v>9.5</v>
      </c>
      <c r="BM29" s="974">
        <f t="shared" si="22"/>
        <v>5.6</v>
      </c>
      <c r="BN29" s="974">
        <f t="shared" si="23"/>
        <v>9.9</v>
      </c>
      <c r="BO29" s="974">
        <f t="shared" si="24"/>
        <v>3.5999999999999943</v>
      </c>
      <c r="BP29" s="974">
        <f t="shared" si="16"/>
        <v>100</v>
      </c>
      <c r="BQ29" s="971" t="s">
        <v>2467</v>
      </c>
      <c r="BR29" s="975"/>
      <c r="BS29" s="975"/>
      <c r="BT29" s="975"/>
      <c r="BU29" s="975"/>
      <c r="BV29" s="975"/>
      <c r="BW29" s="975"/>
      <c r="BX29" s="971"/>
      <c r="DH29" s="977" t="str">
        <f t="shared" si="25"/>
        <v>US-NYLI (NPCC Long Island)</v>
      </c>
      <c r="DI29" s="977" t="str">
        <f t="shared" si="25"/>
        <v>Americas</v>
      </c>
      <c r="DJ29" s="977" t="str">
        <f t="shared" si="25"/>
        <v>Caribbean</v>
      </c>
      <c r="DL29" s="977" t="s">
        <v>35</v>
      </c>
      <c r="DN29" s="977" t="s">
        <v>2707</v>
      </c>
      <c r="DO29" s="977" t="s">
        <v>2708</v>
      </c>
    </row>
    <row r="30" spans="3:119">
      <c r="C30" s="827" t="s">
        <v>2709</v>
      </c>
      <c r="D30" s="986" t="s">
        <v>2710</v>
      </c>
      <c r="E30" s="955">
        <v>7380</v>
      </c>
      <c r="F30" s="956" t="s">
        <v>2569</v>
      </c>
      <c r="G30" s="957" t="s">
        <v>2454</v>
      </c>
      <c r="H30" s="956"/>
      <c r="I30" s="957"/>
      <c r="J30" s="956"/>
      <c r="AW30" s="968" t="s">
        <v>2711</v>
      </c>
      <c r="AX30" s="969" t="s">
        <v>2493</v>
      </c>
      <c r="AY30" s="970" t="str">
        <f>+BZ12</f>
        <v>Eastern Europe</v>
      </c>
      <c r="AZ30" s="995">
        <v>124.914247288</v>
      </c>
      <c r="BA30" s="971" t="s">
        <v>2465</v>
      </c>
      <c r="BB30" s="972">
        <v>9.18</v>
      </c>
      <c r="BC30" s="971" t="s">
        <v>2494</v>
      </c>
      <c r="BD30" s="973"/>
      <c r="BE30" s="973"/>
      <c r="BF30" s="971"/>
      <c r="BG30" s="973"/>
      <c r="BH30" s="974">
        <f t="shared" si="17"/>
        <v>21.8</v>
      </c>
      <c r="BI30" s="974">
        <f t="shared" si="18"/>
        <v>4.7</v>
      </c>
      <c r="BJ30" s="974">
        <f t="shared" si="19"/>
        <v>30.1</v>
      </c>
      <c r="BK30" s="974">
        <f t="shared" si="20"/>
        <v>7.5</v>
      </c>
      <c r="BL30" s="974">
        <f t="shared" si="21"/>
        <v>9.5</v>
      </c>
      <c r="BM30" s="974">
        <f t="shared" si="22"/>
        <v>5.6</v>
      </c>
      <c r="BN30" s="974">
        <f t="shared" si="23"/>
        <v>6.2</v>
      </c>
      <c r="BO30" s="974">
        <f t="shared" si="24"/>
        <v>14.600000000000009</v>
      </c>
      <c r="BP30" s="974">
        <f t="shared" si="16"/>
        <v>100</v>
      </c>
      <c r="BQ30" s="971" t="s">
        <v>2467</v>
      </c>
      <c r="BR30" s="975"/>
      <c r="BS30" s="975"/>
      <c r="BT30" s="975"/>
      <c r="BU30" s="975"/>
      <c r="BV30" s="975"/>
      <c r="BW30" s="975"/>
      <c r="BX30" s="971"/>
      <c r="DH30" s="977" t="str">
        <f t="shared" si="25"/>
        <v>US-NYUP (NPCC Upstate NY)</v>
      </c>
      <c r="DI30" s="977" t="str">
        <f t="shared" si="25"/>
        <v>Europe</v>
      </c>
      <c r="DJ30" s="977" t="str">
        <f t="shared" si="25"/>
        <v>Eastern Europe</v>
      </c>
      <c r="DL30" s="977" t="s">
        <v>35</v>
      </c>
      <c r="DN30" s="977" t="s">
        <v>2712</v>
      </c>
      <c r="DO30" s="977" t="s">
        <v>2713</v>
      </c>
    </row>
    <row r="31" spans="3:119">
      <c r="C31" s="827" t="s">
        <v>2714</v>
      </c>
      <c r="D31" s="986" t="s">
        <v>2710</v>
      </c>
      <c r="E31" s="955">
        <v>12400</v>
      </c>
      <c r="F31" s="956" t="s">
        <v>2569</v>
      </c>
      <c r="G31" s="957" t="s">
        <v>2454</v>
      </c>
      <c r="H31" s="956"/>
      <c r="I31" s="957"/>
      <c r="J31" s="956"/>
      <c r="AW31" s="968" t="s">
        <v>2715</v>
      </c>
      <c r="AX31" s="969" t="s">
        <v>2493</v>
      </c>
      <c r="AY31" s="970" t="str">
        <f>+BZ15</f>
        <v>Western Europe</v>
      </c>
      <c r="AZ31" s="995">
        <v>299.51178711200004</v>
      </c>
      <c r="BA31" s="971" t="s">
        <v>2678</v>
      </c>
      <c r="BB31" s="972">
        <v>5.43</v>
      </c>
      <c r="BC31" s="971" t="s">
        <v>2494</v>
      </c>
      <c r="BD31" s="987">
        <v>5.7500000000000002E-2</v>
      </c>
      <c r="BE31" s="987">
        <v>8.5000000000000006E-2</v>
      </c>
      <c r="BF31" s="971" t="s">
        <v>2679</v>
      </c>
      <c r="BG31" s="973"/>
      <c r="BH31" s="974">
        <f t="shared" si="17"/>
        <v>27.5</v>
      </c>
      <c r="BI31" s="974">
        <f t="shared" si="18"/>
        <v>7.4</v>
      </c>
      <c r="BJ31" s="974">
        <f t="shared" si="19"/>
        <v>24.2</v>
      </c>
      <c r="BK31" s="974">
        <f t="shared" si="20"/>
        <v>11</v>
      </c>
      <c r="BL31" s="974">
        <f t="shared" si="21"/>
        <v>9.5</v>
      </c>
      <c r="BM31" s="974">
        <f t="shared" si="22"/>
        <v>5.6</v>
      </c>
      <c r="BN31" s="974">
        <f t="shared" si="23"/>
        <v>7.4</v>
      </c>
      <c r="BO31" s="974">
        <f t="shared" si="24"/>
        <v>7.3999999999999986</v>
      </c>
      <c r="BP31" s="974">
        <f t="shared" si="16"/>
        <v>100</v>
      </c>
      <c r="BQ31" s="971" t="s">
        <v>2467</v>
      </c>
      <c r="BR31" s="975"/>
      <c r="BS31" s="975"/>
      <c r="BT31" s="975"/>
      <c r="BU31" s="975"/>
      <c r="BV31" s="975"/>
      <c r="BW31" s="975"/>
      <c r="BX31" s="971"/>
      <c r="DH31" s="977" t="str">
        <f t="shared" si="25"/>
        <v>US-RFCE (RFC East)</v>
      </c>
      <c r="DI31" s="977" t="str">
        <f t="shared" si="25"/>
        <v>Europe</v>
      </c>
      <c r="DJ31" s="977" t="str">
        <f t="shared" si="25"/>
        <v>Western Europe</v>
      </c>
      <c r="DK31" s="977" t="e">
        <f>VLOOKUP(DH31,#REF!,1)</f>
        <v>#REF!</v>
      </c>
      <c r="DL31" s="977" t="e">
        <f>VLOOKUP(DK31,#REF!,2,FALSE)</f>
        <v>#REF!</v>
      </c>
      <c r="DN31" s="977" t="s">
        <v>2716</v>
      </c>
      <c r="DO31" s="977" t="s">
        <v>2717</v>
      </c>
    </row>
    <row r="32" spans="3:119" ht="26">
      <c r="C32" s="827" t="s">
        <v>2718</v>
      </c>
      <c r="D32" s="986" t="s">
        <v>2710</v>
      </c>
      <c r="E32" s="955">
        <v>9290</v>
      </c>
      <c r="F32" s="956" t="s">
        <v>2569</v>
      </c>
      <c r="G32" s="957" t="s">
        <v>2454</v>
      </c>
      <c r="H32" s="956"/>
      <c r="I32" s="957"/>
      <c r="J32" s="956"/>
      <c r="AW32" s="968" t="s">
        <v>2719</v>
      </c>
      <c r="AX32" s="987" t="s">
        <v>2576</v>
      </c>
      <c r="AY32" s="970" t="str">
        <f>+BZ19</f>
        <v>Central America</v>
      </c>
      <c r="AZ32" s="995">
        <v>555.28142970399995</v>
      </c>
      <c r="BA32" s="971" t="s">
        <v>2465</v>
      </c>
      <c r="BB32" s="972">
        <v>15.618667277425265</v>
      </c>
      <c r="BC32" s="971" t="s">
        <v>2720</v>
      </c>
      <c r="BD32" s="973"/>
      <c r="BE32" s="973"/>
      <c r="BF32" s="971"/>
      <c r="BG32" s="973"/>
      <c r="BH32" s="974">
        <f t="shared" si="17"/>
        <v>13.7</v>
      </c>
      <c r="BI32" s="974">
        <f t="shared" si="18"/>
        <v>2.6</v>
      </c>
      <c r="BJ32" s="974">
        <f t="shared" si="19"/>
        <v>43.8</v>
      </c>
      <c r="BK32" s="974">
        <f t="shared" si="20"/>
        <v>13.5</v>
      </c>
      <c r="BL32" s="974">
        <f t="shared" si="21"/>
        <v>9.5</v>
      </c>
      <c r="BM32" s="974">
        <f t="shared" si="22"/>
        <v>5.6</v>
      </c>
      <c r="BN32" s="974">
        <f t="shared" si="23"/>
        <v>6.7</v>
      </c>
      <c r="BO32" s="974">
        <f t="shared" si="24"/>
        <v>4.6000000000000085</v>
      </c>
      <c r="BP32" s="974">
        <f t="shared" si="16"/>
        <v>100</v>
      </c>
      <c r="BQ32" s="971" t="s">
        <v>2467</v>
      </c>
      <c r="BR32" s="975"/>
      <c r="BS32" s="975"/>
      <c r="BT32" s="975"/>
      <c r="BU32" s="975"/>
      <c r="BV32" s="975"/>
      <c r="BW32" s="975"/>
      <c r="BX32" s="971"/>
      <c r="DH32" s="977" t="str">
        <f t="shared" si="25"/>
        <v>US-RFCM (RFC Michigan)</v>
      </c>
      <c r="DI32" s="977" t="str">
        <f t="shared" si="25"/>
        <v>Americas</v>
      </c>
      <c r="DJ32" s="977" t="str">
        <f t="shared" si="25"/>
        <v>Central America</v>
      </c>
      <c r="DL32" s="977" t="s">
        <v>35</v>
      </c>
      <c r="DN32" s="977" t="s">
        <v>2721</v>
      </c>
      <c r="DO32" s="977" t="s">
        <v>2722</v>
      </c>
    </row>
    <row r="33" spans="3:119" ht="26">
      <c r="C33" s="827" t="s">
        <v>2723</v>
      </c>
      <c r="D33" s="986" t="s">
        <v>2710</v>
      </c>
      <c r="E33" s="955">
        <v>10200</v>
      </c>
      <c r="F33" s="956" t="s">
        <v>2569</v>
      </c>
      <c r="G33" s="957" t="s">
        <v>2454</v>
      </c>
      <c r="H33" s="956"/>
      <c r="I33" s="957"/>
      <c r="J33" s="956"/>
      <c r="AW33" s="968" t="s">
        <v>2724</v>
      </c>
      <c r="AX33" s="969" t="s">
        <v>2520</v>
      </c>
      <c r="AY33" s="970" t="str">
        <f>+BZ11</f>
        <v>Western Africa</v>
      </c>
      <c r="AZ33" s="995">
        <v>456.27000716800001</v>
      </c>
      <c r="BA33" s="971" t="s">
        <v>2465</v>
      </c>
      <c r="BB33" s="972">
        <v>13.490630673342661</v>
      </c>
      <c r="BC33" s="971" t="s">
        <v>2725</v>
      </c>
      <c r="BD33" s="973"/>
      <c r="BE33" s="973"/>
      <c r="BF33" s="971"/>
      <c r="BG33" s="973"/>
      <c r="BH33" s="974">
        <f t="shared" si="17"/>
        <v>9.8000000000000007</v>
      </c>
      <c r="BI33" s="974">
        <f t="shared" si="18"/>
        <v>1</v>
      </c>
      <c r="BJ33" s="974">
        <f t="shared" si="19"/>
        <v>40.4</v>
      </c>
      <c r="BK33" s="974">
        <f t="shared" si="20"/>
        <v>4.4000000000000004</v>
      </c>
      <c r="BL33" s="974">
        <f t="shared" si="21"/>
        <v>9.5</v>
      </c>
      <c r="BM33" s="974">
        <f t="shared" si="22"/>
        <v>5.6</v>
      </c>
      <c r="BN33" s="974">
        <f t="shared" si="23"/>
        <v>3</v>
      </c>
      <c r="BO33" s="974">
        <f t="shared" si="24"/>
        <v>26.300000000000011</v>
      </c>
      <c r="BP33" s="974">
        <f t="shared" si="16"/>
        <v>100</v>
      </c>
      <c r="BQ33" s="971" t="s">
        <v>2467</v>
      </c>
      <c r="BR33" s="975"/>
      <c r="BS33" s="975"/>
      <c r="BT33" s="975"/>
      <c r="BU33" s="975"/>
      <c r="BV33" s="975"/>
      <c r="BW33" s="975"/>
      <c r="BX33" s="971"/>
      <c r="DH33" s="977" t="str">
        <f t="shared" si="25"/>
        <v>US-RFCW (RFC West)</v>
      </c>
      <c r="DI33" s="977" t="str">
        <f t="shared" si="25"/>
        <v>Africa</v>
      </c>
      <c r="DJ33" s="977" t="str">
        <f t="shared" si="25"/>
        <v>Western Africa</v>
      </c>
      <c r="DL33" s="977" t="s">
        <v>35</v>
      </c>
      <c r="DN33" s="977" t="s">
        <v>2726</v>
      </c>
      <c r="DO33" s="977" t="s">
        <v>2727</v>
      </c>
    </row>
    <row r="34" spans="3:119" ht="26">
      <c r="C34" s="827" t="s">
        <v>2728</v>
      </c>
      <c r="D34" s="986" t="s">
        <v>2710</v>
      </c>
      <c r="E34" s="955">
        <v>10000</v>
      </c>
      <c r="F34" s="956" t="s">
        <v>2569</v>
      </c>
      <c r="G34" s="957" t="s">
        <v>2454</v>
      </c>
      <c r="H34" s="956"/>
      <c r="I34" s="957"/>
      <c r="J34" s="956"/>
      <c r="AW34" s="968" t="s">
        <v>2729</v>
      </c>
      <c r="AX34" s="987" t="s">
        <v>2576</v>
      </c>
      <c r="AY34" s="970" t="str">
        <f>+BZ18</f>
        <v>North America</v>
      </c>
      <c r="AZ34" s="995">
        <v>513.34503493599993</v>
      </c>
      <c r="BA34" s="971" t="s">
        <v>2465</v>
      </c>
      <c r="BB34" s="972">
        <v>9.3894684857089938</v>
      </c>
      <c r="BC34" s="971" t="s">
        <v>2577</v>
      </c>
      <c r="BD34" s="973"/>
      <c r="BE34" s="973"/>
      <c r="BF34" s="971"/>
      <c r="BG34" s="973"/>
      <c r="BH34" s="974">
        <f t="shared" si="17"/>
        <v>23.2</v>
      </c>
      <c r="BI34" s="974">
        <f t="shared" si="18"/>
        <v>3.9</v>
      </c>
      <c r="BJ34" s="974">
        <f t="shared" si="19"/>
        <v>33.9</v>
      </c>
      <c r="BK34" s="974">
        <f t="shared" si="20"/>
        <v>6.2</v>
      </c>
      <c r="BL34" s="974">
        <f t="shared" si="21"/>
        <v>9.5</v>
      </c>
      <c r="BM34" s="974">
        <f t="shared" si="22"/>
        <v>5.6</v>
      </c>
      <c r="BN34" s="974">
        <f t="shared" si="23"/>
        <v>8.5</v>
      </c>
      <c r="BO34" s="974">
        <f t="shared" si="24"/>
        <v>9.2000000000000028</v>
      </c>
      <c r="BP34" s="974">
        <f t="shared" si="16"/>
        <v>100</v>
      </c>
      <c r="BQ34" s="971" t="s">
        <v>2467</v>
      </c>
      <c r="BR34" s="975"/>
      <c r="BS34" s="975"/>
      <c r="BT34" s="975"/>
      <c r="BU34" s="975"/>
      <c r="BV34" s="975"/>
      <c r="BW34" s="975"/>
      <c r="BX34" s="971"/>
      <c r="DH34" s="977" t="str">
        <f t="shared" si="25"/>
        <v>US-RMPA (WECC Rockies)</v>
      </c>
      <c r="DI34" s="977" t="str">
        <f t="shared" si="25"/>
        <v>Americas</v>
      </c>
      <c r="DJ34" s="977" t="str">
        <f t="shared" si="25"/>
        <v>North America</v>
      </c>
      <c r="DL34" s="977" t="s">
        <v>35</v>
      </c>
      <c r="DN34" s="977" t="s">
        <v>2730</v>
      </c>
      <c r="DO34" s="977" t="s">
        <v>2731</v>
      </c>
    </row>
    <row r="35" spans="3:119" ht="26">
      <c r="C35" s="827" t="s">
        <v>2732</v>
      </c>
      <c r="D35" s="986" t="s">
        <v>2710</v>
      </c>
      <c r="E35" s="955">
        <v>9220</v>
      </c>
      <c r="F35" s="956" t="s">
        <v>2569</v>
      </c>
      <c r="G35" s="957" t="s">
        <v>2454</v>
      </c>
      <c r="H35" s="956"/>
      <c r="I35" s="957"/>
      <c r="J35" s="956"/>
      <c r="AW35" s="968" t="s">
        <v>2733</v>
      </c>
      <c r="AX35" s="969" t="s">
        <v>2464</v>
      </c>
      <c r="AY35" s="970" t="str">
        <f>+BZ4</f>
        <v>South-Central Asia</v>
      </c>
      <c r="AZ35" s="995">
        <v>435.16754655199998</v>
      </c>
      <c r="BA35" s="971" t="s">
        <v>2465</v>
      </c>
      <c r="BB35" s="972">
        <v>18.8367793271604</v>
      </c>
      <c r="BC35" s="971" t="s">
        <v>2734</v>
      </c>
      <c r="BD35" s="973"/>
      <c r="BE35" s="973"/>
      <c r="BF35" s="971"/>
      <c r="BG35" s="973"/>
      <c r="BH35" s="974">
        <f t="shared" si="17"/>
        <v>11.3</v>
      </c>
      <c r="BI35" s="974">
        <f t="shared" si="18"/>
        <v>2.5</v>
      </c>
      <c r="BJ35" s="974">
        <f t="shared" si="19"/>
        <v>40.299999999999997</v>
      </c>
      <c r="BK35" s="974">
        <f t="shared" si="20"/>
        <v>7.9</v>
      </c>
      <c r="BL35" s="974">
        <f t="shared" si="21"/>
        <v>9.5</v>
      </c>
      <c r="BM35" s="974">
        <f t="shared" si="22"/>
        <v>5.6</v>
      </c>
      <c r="BN35" s="974">
        <f t="shared" si="23"/>
        <v>6.4</v>
      </c>
      <c r="BO35" s="974">
        <f t="shared" si="24"/>
        <v>16.5</v>
      </c>
      <c r="BP35" s="974">
        <f t="shared" si="16"/>
        <v>100</v>
      </c>
      <c r="BQ35" s="971" t="s">
        <v>2467</v>
      </c>
      <c r="BR35" s="975"/>
      <c r="BS35" s="975"/>
      <c r="BT35" s="975"/>
      <c r="BU35" s="975"/>
      <c r="BV35" s="975"/>
      <c r="BW35" s="975"/>
      <c r="BX35" s="971"/>
      <c r="DH35" s="977" t="str">
        <f t="shared" si="25"/>
        <v>US-SPNO (SPP North)</v>
      </c>
      <c r="DI35" s="977" t="str">
        <f t="shared" si="25"/>
        <v>Asia</v>
      </c>
      <c r="DJ35" s="977" t="str">
        <f t="shared" si="25"/>
        <v>South-Central Asia</v>
      </c>
      <c r="DL35" s="977" t="s">
        <v>35</v>
      </c>
      <c r="DN35" s="977" t="s">
        <v>2735</v>
      </c>
      <c r="DO35" s="977" t="s">
        <v>2736</v>
      </c>
    </row>
    <row r="36" spans="3:119">
      <c r="C36" s="827" t="s">
        <v>2737</v>
      </c>
      <c r="D36" s="986" t="s">
        <v>2710</v>
      </c>
      <c r="E36" s="955">
        <v>8620</v>
      </c>
      <c r="F36" s="956" t="s">
        <v>2569</v>
      </c>
      <c r="G36" s="957" t="s">
        <v>2454</v>
      </c>
      <c r="H36" s="956"/>
      <c r="I36" s="957"/>
      <c r="J36" s="956"/>
      <c r="AW36" s="968" t="s">
        <v>2738</v>
      </c>
      <c r="AX36" s="987" t="s">
        <v>2576</v>
      </c>
      <c r="AY36" s="991" t="str">
        <f>+BZ20</f>
        <v>South America</v>
      </c>
      <c r="AZ36" s="995">
        <v>442.36695877599999</v>
      </c>
      <c r="BA36" s="971" t="s">
        <v>2465</v>
      </c>
      <c r="BB36" s="972">
        <v>9.19</v>
      </c>
      <c r="BC36" s="971" t="s">
        <v>2494</v>
      </c>
      <c r="BD36" s="973"/>
      <c r="BE36" s="973"/>
      <c r="BF36" s="971"/>
      <c r="BG36" s="973"/>
      <c r="BH36" s="974">
        <f t="shared" si="17"/>
        <v>17.100000000000001</v>
      </c>
      <c r="BI36" s="974">
        <f t="shared" si="18"/>
        <v>2.6</v>
      </c>
      <c r="BJ36" s="974">
        <f t="shared" si="19"/>
        <v>44.9</v>
      </c>
      <c r="BK36" s="974">
        <f t="shared" si="20"/>
        <v>4.7</v>
      </c>
      <c r="BL36" s="974">
        <f t="shared" si="21"/>
        <v>9.5</v>
      </c>
      <c r="BM36" s="974">
        <f t="shared" si="22"/>
        <v>5.6</v>
      </c>
      <c r="BN36" s="974">
        <f t="shared" si="23"/>
        <v>10.8</v>
      </c>
      <c r="BO36" s="974">
        <f t="shared" si="24"/>
        <v>4.8000000000000114</v>
      </c>
      <c r="BP36" s="974">
        <f t="shared" si="16"/>
        <v>100</v>
      </c>
      <c r="BQ36" s="971" t="s">
        <v>2467</v>
      </c>
      <c r="BR36" s="975"/>
      <c r="BS36" s="975"/>
      <c r="BT36" s="975"/>
      <c r="BU36" s="975"/>
      <c r="BV36" s="975"/>
      <c r="BW36" s="975"/>
      <c r="BX36" s="971"/>
      <c r="DH36" s="977" t="str">
        <f t="shared" si="25"/>
        <v>US-SPSO (SPP South)</v>
      </c>
      <c r="DI36" s="977" t="str">
        <f t="shared" si="25"/>
        <v>Americas</v>
      </c>
      <c r="DJ36" s="977" t="str">
        <f t="shared" si="25"/>
        <v>South America</v>
      </c>
      <c r="DL36" s="977" t="s">
        <v>35</v>
      </c>
      <c r="DN36" s="977" t="s">
        <v>2739</v>
      </c>
      <c r="DO36" s="977" t="s">
        <v>2740</v>
      </c>
    </row>
    <row r="37" spans="3:119">
      <c r="C37" s="827" t="s">
        <v>2741</v>
      </c>
      <c r="D37" s="986" t="s">
        <v>2710</v>
      </c>
      <c r="E37" s="955">
        <v>7480</v>
      </c>
      <c r="F37" s="956" t="s">
        <v>2569</v>
      </c>
      <c r="G37" s="957" t="s">
        <v>2454</v>
      </c>
      <c r="H37" s="956"/>
      <c r="I37" s="957"/>
      <c r="J37" s="956"/>
      <c r="AW37" s="968" t="s">
        <v>2742</v>
      </c>
      <c r="AX37" s="969" t="s">
        <v>2493</v>
      </c>
      <c r="AY37" s="970" t="str">
        <f>+BZ14</f>
        <v>Southern Europe</v>
      </c>
      <c r="AZ37" s="995">
        <v>364.53283953599998</v>
      </c>
      <c r="BA37" s="971" t="s">
        <v>2465</v>
      </c>
      <c r="BB37" s="972">
        <v>8.18</v>
      </c>
      <c r="BC37" s="971" t="s">
        <v>2494</v>
      </c>
      <c r="BD37" s="973"/>
      <c r="BE37" s="973"/>
      <c r="BF37" s="971"/>
      <c r="BG37" s="973"/>
      <c r="BH37" s="974">
        <f t="shared" si="17"/>
        <v>17</v>
      </c>
      <c r="BI37" s="974">
        <f t="shared" si="18"/>
        <v>6.8</v>
      </c>
      <c r="BJ37" s="974">
        <f t="shared" si="19"/>
        <v>36.9</v>
      </c>
      <c r="BK37" s="974">
        <f t="shared" si="20"/>
        <v>10.6</v>
      </c>
      <c r="BL37" s="974">
        <f t="shared" si="21"/>
        <v>9.5</v>
      </c>
      <c r="BM37" s="974">
        <f t="shared" si="22"/>
        <v>5.6</v>
      </c>
      <c r="BN37" s="974">
        <f t="shared" si="23"/>
        <v>6.8</v>
      </c>
      <c r="BO37" s="974">
        <f t="shared" si="24"/>
        <v>6.8</v>
      </c>
      <c r="BP37" s="974">
        <f t="shared" si="16"/>
        <v>99.999999999999986</v>
      </c>
      <c r="BQ37" s="971" t="s">
        <v>2467</v>
      </c>
      <c r="BR37" s="975"/>
      <c r="BS37" s="975"/>
      <c r="BT37" s="975"/>
      <c r="BU37" s="975"/>
      <c r="BV37" s="975"/>
      <c r="BW37" s="975"/>
      <c r="BX37" s="971"/>
      <c r="DH37" s="977" t="str">
        <f t="shared" si="25"/>
        <v>US-SRMV (SERC Mississippi Valley)</v>
      </c>
      <c r="DI37" s="977" t="str">
        <f t="shared" si="25"/>
        <v>Europe</v>
      </c>
      <c r="DJ37" s="977" t="str">
        <f t="shared" si="25"/>
        <v>Southern Europe</v>
      </c>
      <c r="DL37" s="977" t="s">
        <v>35</v>
      </c>
      <c r="DN37" s="977" t="s">
        <v>2743</v>
      </c>
      <c r="DO37" s="977" t="s">
        <v>2744</v>
      </c>
    </row>
    <row r="38" spans="3:119">
      <c r="C38" s="998" t="s">
        <v>2745</v>
      </c>
      <c r="D38" s="986" t="s">
        <v>2710</v>
      </c>
      <c r="E38" s="955">
        <v>18500</v>
      </c>
      <c r="F38" s="956" t="s">
        <v>2569</v>
      </c>
      <c r="G38" s="957" t="s">
        <v>2454</v>
      </c>
      <c r="H38" s="956"/>
      <c r="I38" s="957"/>
      <c r="J38" s="956"/>
      <c r="AW38" s="968" t="s">
        <v>2746</v>
      </c>
      <c r="AX38" s="969" t="s">
        <v>2520</v>
      </c>
      <c r="AY38" s="970" t="str">
        <f>+BZ10</f>
        <v>Southern Africa</v>
      </c>
      <c r="AZ38" s="995">
        <v>626.02681316799999</v>
      </c>
      <c r="BA38" s="971" t="s">
        <v>2465</v>
      </c>
      <c r="BB38" s="972">
        <v>11.02</v>
      </c>
      <c r="BC38" s="971" t="s">
        <v>2494</v>
      </c>
      <c r="BD38" s="973"/>
      <c r="BE38" s="973"/>
      <c r="BF38" s="971"/>
      <c r="BG38" s="973"/>
      <c r="BH38" s="974">
        <f t="shared" si="17"/>
        <v>25</v>
      </c>
      <c r="BI38" s="974">
        <f t="shared" si="18"/>
        <v>7.3</v>
      </c>
      <c r="BJ38" s="974">
        <f t="shared" si="19"/>
        <v>23</v>
      </c>
      <c r="BK38" s="974">
        <f t="shared" si="20"/>
        <v>15</v>
      </c>
      <c r="BL38" s="974">
        <f t="shared" si="21"/>
        <v>9.5</v>
      </c>
      <c r="BM38" s="974">
        <f t="shared" si="22"/>
        <v>5.6</v>
      </c>
      <c r="BN38" s="974">
        <f t="shared" si="23"/>
        <v>7.3</v>
      </c>
      <c r="BO38" s="974">
        <f t="shared" si="24"/>
        <v>7.3</v>
      </c>
      <c r="BP38" s="974">
        <f t="shared" si="16"/>
        <v>99.999999999999986</v>
      </c>
      <c r="BQ38" s="971" t="s">
        <v>2467</v>
      </c>
      <c r="BR38" s="975"/>
      <c r="BS38" s="975"/>
      <c r="BT38" s="975"/>
      <c r="BU38" s="975"/>
      <c r="BV38" s="975"/>
      <c r="BW38" s="975"/>
      <c r="BX38" s="971"/>
      <c r="DH38" s="977" t="str">
        <f t="shared" si="25"/>
        <v>US-SRMW (SERC Midwest)</v>
      </c>
      <c r="DI38" s="977" t="str">
        <f t="shared" si="25"/>
        <v>Africa</v>
      </c>
      <c r="DJ38" s="977" t="str">
        <f t="shared" si="25"/>
        <v>Southern Africa</v>
      </c>
      <c r="DL38" s="977" t="s">
        <v>35</v>
      </c>
      <c r="DN38" s="977" t="s">
        <v>2747</v>
      </c>
      <c r="DO38" s="977" t="s">
        <v>2748</v>
      </c>
    </row>
    <row r="39" spans="3:119">
      <c r="C39" s="836" t="s">
        <v>2753</v>
      </c>
      <c r="D39" s="986" t="s">
        <v>2754</v>
      </c>
      <c r="E39" s="955">
        <v>6230</v>
      </c>
      <c r="F39" s="956" t="s">
        <v>2569</v>
      </c>
      <c r="G39" s="957" t="s">
        <v>2454</v>
      </c>
      <c r="H39" s="956"/>
      <c r="I39" s="957"/>
      <c r="J39" s="956"/>
      <c r="AW39" s="968" t="s">
        <v>2749</v>
      </c>
      <c r="AX39" s="987" t="s">
        <v>2576</v>
      </c>
      <c r="AY39" s="970" t="str">
        <f>+BZ20</f>
        <v>South America</v>
      </c>
      <c r="AZ39" s="995">
        <v>407.17094112799998</v>
      </c>
      <c r="BA39" s="971" t="s">
        <v>2750</v>
      </c>
      <c r="BB39" s="972">
        <v>15.77</v>
      </c>
      <c r="BC39" s="971" t="s">
        <v>2494</v>
      </c>
      <c r="BD39" s="987">
        <v>0.11</v>
      </c>
      <c r="BE39" s="987">
        <v>0.44</v>
      </c>
      <c r="BF39" s="971" t="s">
        <v>2679</v>
      </c>
      <c r="BG39" s="973"/>
      <c r="BH39" s="974">
        <f t="shared" si="17"/>
        <v>17.100000000000001</v>
      </c>
      <c r="BI39" s="974">
        <f t="shared" si="18"/>
        <v>2.6</v>
      </c>
      <c r="BJ39" s="974">
        <f t="shared" si="19"/>
        <v>44.9</v>
      </c>
      <c r="BK39" s="974">
        <f t="shared" si="20"/>
        <v>4.7</v>
      </c>
      <c r="BL39" s="974">
        <f t="shared" si="21"/>
        <v>9.5</v>
      </c>
      <c r="BM39" s="974">
        <f t="shared" si="22"/>
        <v>5.6</v>
      </c>
      <c r="BN39" s="974">
        <f t="shared" si="23"/>
        <v>10.8</v>
      </c>
      <c r="BO39" s="974">
        <f t="shared" si="24"/>
        <v>4.8000000000000114</v>
      </c>
      <c r="BP39" s="974">
        <f t="shared" si="16"/>
        <v>100</v>
      </c>
      <c r="BQ39" s="971" t="s">
        <v>2467</v>
      </c>
      <c r="BR39" s="975"/>
      <c r="BS39" s="975"/>
      <c r="BT39" s="975"/>
      <c r="BU39" s="975"/>
      <c r="BV39" s="975"/>
      <c r="BW39" s="975"/>
      <c r="BX39" s="971"/>
      <c r="DH39" s="977" t="str">
        <f t="shared" si="25"/>
        <v>US-SRSO (SERC South)</v>
      </c>
      <c r="DI39" s="977" t="str">
        <f t="shared" si="25"/>
        <v>Americas</v>
      </c>
      <c r="DJ39" s="977" t="str">
        <f t="shared" si="25"/>
        <v>South America</v>
      </c>
      <c r="DK39" s="977" t="e">
        <f>VLOOKUP(DH39,#REF!,1)</f>
        <v>#REF!</v>
      </c>
      <c r="DL39" s="977" t="e">
        <f>VLOOKUP(DK39,#REF!,2,FALSE)</f>
        <v>#REF!</v>
      </c>
      <c r="DN39" s="977" t="s">
        <v>2751</v>
      </c>
      <c r="DO39" s="977" t="s">
        <v>2752</v>
      </c>
    </row>
    <row r="40" spans="3:119" ht="26">
      <c r="C40" s="836" t="s">
        <v>2758</v>
      </c>
      <c r="D40" s="986" t="s">
        <v>2754</v>
      </c>
      <c r="E40" s="955">
        <v>12500</v>
      </c>
      <c r="F40" s="956" t="s">
        <v>2569</v>
      </c>
      <c r="G40" s="957" t="s">
        <v>2759</v>
      </c>
      <c r="H40" s="956"/>
      <c r="I40" s="957"/>
      <c r="J40" s="956"/>
      <c r="AW40" s="968" t="s">
        <v>2755</v>
      </c>
      <c r="AX40" s="987" t="s">
        <v>2576</v>
      </c>
      <c r="AY40" s="970" t="str">
        <f>+BZ21</f>
        <v>Caribbean</v>
      </c>
      <c r="AZ40" s="995">
        <v>425.752791</v>
      </c>
      <c r="BA40" s="971" t="s">
        <v>2465</v>
      </c>
      <c r="BB40" s="972">
        <v>9.3894684857089938</v>
      </c>
      <c r="BC40" s="971" t="s">
        <v>2577</v>
      </c>
      <c r="BD40" s="973"/>
      <c r="BE40" s="973"/>
      <c r="BF40" s="971"/>
      <c r="BG40" s="973"/>
      <c r="BH40" s="974">
        <f t="shared" si="17"/>
        <v>17</v>
      </c>
      <c r="BI40" s="974">
        <f t="shared" si="18"/>
        <v>5.0999999999999996</v>
      </c>
      <c r="BJ40" s="974">
        <f t="shared" si="19"/>
        <v>46.9</v>
      </c>
      <c r="BK40" s="974">
        <f t="shared" si="20"/>
        <v>2.4</v>
      </c>
      <c r="BL40" s="974">
        <f t="shared" si="21"/>
        <v>9.5</v>
      </c>
      <c r="BM40" s="974">
        <f t="shared" si="22"/>
        <v>5.6</v>
      </c>
      <c r="BN40" s="974">
        <f t="shared" si="23"/>
        <v>9.9</v>
      </c>
      <c r="BO40" s="974">
        <f t="shared" si="24"/>
        <v>3.5999999999999943</v>
      </c>
      <c r="BP40" s="974">
        <f t="shared" si="16"/>
        <v>100</v>
      </c>
      <c r="BQ40" s="971" t="s">
        <v>2467</v>
      </c>
      <c r="BR40" s="975"/>
      <c r="BS40" s="975"/>
      <c r="BT40" s="975"/>
      <c r="BU40" s="975"/>
      <c r="BV40" s="975"/>
      <c r="BW40" s="975"/>
      <c r="BX40" s="971"/>
      <c r="DH40" s="977" t="str">
        <f t="shared" ref="DH40:DJ76" si="26">AW40</f>
        <v>US-SRTV (SERC Tennessee Valley)</v>
      </c>
      <c r="DI40" s="977" t="str">
        <f t="shared" si="26"/>
        <v>Americas</v>
      </c>
      <c r="DJ40" s="977" t="str">
        <f t="shared" si="26"/>
        <v>Caribbean</v>
      </c>
      <c r="DL40" s="977" t="s">
        <v>35</v>
      </c>
      <c r="DN40" s="977" t="s">
        <v>2756</v>
      </c>
      <c r="DO40" s="977" t="s">
        <v>2757</v>
      </c>
    </row>
    <row r="41" spans="3:119">
      <c r="C41" s="836" t="s">
        <v>2763</v>
      </c>
      <c r="D41" s="986" t="s">
        <v>2764</v>
      </c>
      <c r="E41" s="955">
        <v>1960</v>
      </c>
      <c r="F41" s="956" t="s">
        <v>2569</v>
      </c>
      <c r="G41" s="957" t="s">
        <v>2759</v>
      </c>
      <c r="H41" s="956"/>
      <c r="I41" s="957"/>
      <c r="J41" s="956"/>
      <c r="AW41" s="968" t="s">
        <v>2760</v>
      </c>
      <c r="AX41" s="969" t="s">
        <v>2464</v>
      </c>
      <c r="AY41" s="970" t="str">
        <f>+BZ5</f>
        <v>South-Eastern Asia</v>
      </c>
      <c r="AZ41" s="995">
        <v>283.891439408</v>
      </c>
      <c r="BA41" s="971" t="s">
        <v>2465</v>
      </c>
      <c r="BB41" s="972">
        <v>6.41</v>
      </c>
      <c r="BC41" s="971" t="s">
        <v>2494</v>
      </c>
      <c r="BD41" s="973"/>
      <c r="BE41" s="973"/>
      <c r="BF41" s="971"/>
      <c r="BG41" s="973"/>
      <c r="BH41" s="974">
        <f t="shared" si="17"/>
        <v>12.9</v>
      </c>
      <c r="BI41" s="974">
        <f t="shared" si="18"/>
        <v>2.7</v>
      </c>
      <c r="BJ41" s="974">
        <f t="shared" si="19"/>
        <v>43.5</v>
      </c>
      <c r="BK41" s="974">
        <f t="shared" si="20"/>
        <v>9.9</v>
      </c>
      <c r="BL41" s="974">
        <f t="shared" si="21"/>
        <v>9.5</v>
      </c>
      <c r="BM41" s="974">
        <f t="shared" si="22"/>
        <v>5.6</v>
      </c>
      <c r="BN41" s="974">
        <f t="shared" si="23"/>
        <v>7.2</v>
      </c>
      <c r="BO41" s="974">
        <f t="shared" si="24"/>
        <v>8.7000000000000028</v>
      </c>
      <c r="BP41" s="974">
        <f t="shared" si="16"/>
        <v>100</v>
      </c>
      <c r="BQ41" s="971" t="s">
        <v>2467</v>
      </c>
      <c r="BR41" s="975"/>
      <c r="BS41" s="975"/>
      <c r="BT41" s="975"/>
      <c r="BU41" s="975"/>
      <c r="BV41" s="975"/>
      <c r="BW41" s="975"/>
      <c r="BX41" s="971"/>
      <c r="DH41" s="977" t="str">
        <f t="shared" si="26"/>
        <v>US-SRVC (SERC Virginia/Carolina)</v>
      </c>
      <c r="DI41" s="977" t="str">
        <f t="shared" si="26"/>
        <v>Asia</v>
      </c>
      <c r="DJ41" s="977" t="str">
        <f t="shared" si="26"/>
        <v>South-Eastern Asia</v>
      </c>
      <c r="DL41" s="977" t="s">
        <v>35</v>
      </c>
      <c r="DN41" s="977" t="s">
        <v>2761</v>
      </c>
      <c r="DO41" s="977" t="s">
        <v>2762</v>
      </c>
    </row>
    <row r="42" spans="3:119">
      <c r="C42" s="836" t="s">
        <v>2768</v>
      </c>
      <c r="D42" s="986" t="s">
        <v>2453</v>
      </c>
      <c r="E42" s="955">
        <v>1</v>
      </c>
      <c r="F42" s="956" t="s">
        <v>2569</v>
      </c>
      <c r="G42" s="957" t="s">
        <v>2454</v>
      </c>
      <c r="H42" s="956"/>
      <c r="I42" s="957"/>
      <c r="J42" s="956" t="s">
        <v>28</v>
      </c>
      <c r="AW42" s="969" t="s">
        <v>2765</v>
      </c>
      <c r="AX42" s="969" t="s">
        <v>2493</v>
      </c>
      <c r="AY42" s="970" t="str">
        <f>+BZ12</f>
        <v>Eastern Europe</v>
      </c>
      <c r="AZ42" s="969"/>
      <c r="BA42" s="971" t="s">
        <v>2678</v>
      </c>
      <c r="BB42" s="972">
        <v>8.5500000000000007</v>
      </c>
      <c r="BC42" s="971" t="s">
        <v>2494</v>
      </c>
      <c r="BD42" s="987">
        <v>5.7500000000000002E-2</v>
      </c>
      <c r="BE42" s="987">
        <v>0.09</v>
      </c>
      <c r="BF42" s="971" t="s">
        <v>2679</v>
      </c>
      <c r="BG42" s="973"/>
      <c r="BH42" s="974">
        <f t="shared" si="17"/>
        <v>21.8</v>
      </c>
      <c r="BI42" s="974">
        <f t="shared" si="18"/>
        <v>4.7</v>
      </c>
      <c r="BJ42" s="974">
        <f t="shared" si="19"/>
        <v>30.1</v>
      </c>
      <c r="BK42" s="974">
        <f t="shared" si="20"/>
        <v>7.5</v>
      </c>
      <c r="BL42" s="974">
        <f t="shared" si="21"/>
        <v>9.5</v>
      </c>
      <c r="BM42" s="974">
        <f t="shared" si="22"/>
        <v>5.6</v>
      </c>
      <c r="BN42" s="974">
        <f t="shared" si="23"/>
        <v>6.2</v>
      </c>
      <c r="BO42" s="974">
        <f t="shared" si="24"/>
        <v>14.600000000000009</v>
      </c>
      <c r="BP42" s="974">
        <f t="shared" si="16"/>
        <v>100</v>
      </c>
      <c r="BQ42" s="971" t="s">
        <v>2467</v>
      </c>
      <c r="BR42" s="975"/>
      <c r="BS42" s="975"/>
      <c r="BT42" s="975"/>
      <c r="BU42" s="975"/>
      <c r="BV42" s="975"/>
      <c r="BW42" s="975"/>
      <c r="BX42" s="971"/>
      <c r="DH42" s="977" t="str">
        <f t="shared" si="26"/>
        <v>Bulgaria</v>
      </c>
      <c r="DI42" s="977" t="str">
        <f t="shared" si="26"/>
        <v>Europe</v>
      </c>
      <c r="DJ42" s="977" t="str">
        <f t="shared" si="26"/>
        <v>Eastern Europe</v>
      </c>
      <c r="DK42" s="977" t="e">
        <f>VLOOKUP(DH42,#REF!,1)</f>
        <v>#REF!</v>
      </c>
      <c r="DL42" s="977" t="e">
        <f>VLOOKUP(DK42,#REF!,2,FALSE)</f>
        <v>#REF!</v>
      </c>
      <c r="DN42" s="977" t="s">
        <v>2766</v>
      </c>
      <c r="DO42" s="977" t="s">
        <v>2767</v>
      </c>
    </row>
    <row r="43" spans="3:119" ht="26">
      <c r="C43" s="836" t="s">
        <v>2772</v>
      </c>
      <c r="D43" s="986" t="s">
        <v>2764</v>
      </c>
      <c r="E43" s="955">
        <v>90.4</v>
      </c>
      <c r="F43" s="956" t="s">
        <v>2569</v>
      </c>
      <c r="G43" s="957" t="s">
        <v>2454</v>
      </c>
      <c r="H43" s="956"/>
      <c r="I43" s="957"/>
      <c r="J43" s="956"/>
      <c r="AW43" s="969" t="s">
        <v>2769</v>
      </c>
      <c r="AX43" s="969" t="s">
        <v>2520</v>
      </c>
      <c r="AY43" s="970" t="str">
        <f>+BZ11</f>
        <v>Western Africa</v>
      </c>
      <c r="AZ43" s="969">
        <v>636</v>
      </c>
      <c r="BA43" s="971" t="s">
        <v>2465</v>
      </c>
      <c r="BB43" s="972">
        <v>13.490630673342661</v>
      </c>
      <c r="BC43" s="971" t="s">
        <v>2725</v>
      </c>
      <c r="BD43" s="973"/>
      <c r="BE43" s="973"/>
      <c r="BF43" s="971"/>
      <c r="BG43" s="973"/>
      <c r="BH43" s="974">
        <f t="shared" si="17"/>
        <v>9.8000000000000007</v>
      </c>
      <c r="BI43" s="974">
        <f t="shared" si="18"/>
        <v>1</v>
      </c>
      <c r="BJ43" s="974">
        <f t="shared" si="19"/>
        <v>40.4</v>
      </c>
      <c r="BK43" s="974">
        <f t="shared" si="20"/>
        <v>4.4000000000000004</v>
      </c>
      <c r="BL43" s="974">
        <f t="shared" si="21"/>
        <v>9.5</v>
      </c>
      <c r="BM43" s="974">
        <f t="shared" si="22"/>
        <v>5.6</v>
      </c>
      <c r="BN43" s="974">
        <f t="shared" si="23"/>
        <v>3</v>
      </c>
      <c r="BO43" s="974">
        <f t="shared" si="24"/>
        <v>26.300000000000011</v>
      </c>
      <c r="BP43" s="974">
        <f t="shared" si="16"/>
        <v>100</v>
      </c>
      <c r="BQ43" s="971" t="s">
        <v>2467</v>
      </c>
      <c r="BR43" s="975"/>
      <c r="BS43" s="975"/>
      <c r="BT43" s="975"/>
      <c r="BU43" s="975"/>
      <c r="BV43" s="975"/>
      <c r="BW43" s="975"/>
      <c r="BX43" s="971"/>
      <c r="DH43" s="977" t="str">
        <f t="shared" si="26"/>
        <v>Burkina Faso</v>
      </c>
      <c r="DI43" s="977" t="str">
        <f t="shared" si="26"/>
        <v>Africa</v>
      </c>
      <c r="DJ43" s="977" t="str">
        <f t="shared" si="26"/>
        <v>Western Africa</v>
      </c>
      <c r="DL43" s="977" t="s">
        <v>35</v>
      </c>
      <c r="DN43" s="977" t="s">
        <v>2770</v>
      </c>
      <c r="DO43" s="977" t="s">
        <v>2771</v>
      </c>
    </row>
    <row r="44" spans="3:119" ht="26">
      <c r="C44" s="836" t="s">
        <v>2777</v>
      </c>
      <c r="D44" s="986" t="s">
        <v>2778</v>
      </c>
      <c r="E44" s="955">
        <v>3</v>
      </c>
      <c r="F44" s="956" t="s">
        <v>2569</v>
      </c>
      <c r="G44" s="957" t="s">
        <v>2779</v>
      </c>
      <c r="H44" s="956"/>
      <c r="I44" s="957"/>
      <c r="J44" s="956" t="s">
        <v>41</v>
      </c>
      <c r="AW44" s="969" t="s">
        <v>2773</v>
      </c>
      <c r="AX44" s="969" t="s">
        <v>2520</v>
      </c>
      <c r="AY44" s="970" t="str">
        <f>+BZ7</f>
        <v>Eastern Africa</v>
      </c>
      <c r="AZ44" s="969">
        <v>316</v>
      </c>
      <c r="BA44" s="971" t="s">
        <v>2465</v>
      </c>
      <c r="BB44" s="972">
        <v>11.740747004194485</v>
      </c>
      <c r="BC44" s="971" t="s">
        <v>2774</v>
      </c>
      <c r="BD44" s="973"/>
      <c r="BE44" s="973"/>
      <c r="BF44" s="971"/>
      <c r="BG44" s="973"/>
      <c r="BH44" s="974">
        <f t="shared" si="17"/>
        <v>7.7</v>
      </c>
      <c r="BI44" s="974">
        <f t="shared" si="18"/>
        <v>1.7</v>
      </c>
      <c r="BJ44" s="974">
        <f t="shared" si="19"/>
        <v>53.9</v>
      </c>
      <c r="BK44" s="974">
        <f t="shared" si="20"/>
        <v>7</v>
      </c>
      <c r="BL44" s="974">
        <f t="shared" si="21"/>
        <v>9.5</v>
      </c>
      <c r="BM44" s="974">
        <f t="shared" si="22"/>
        <v>5.6</v>
      </c>
      <c r="BN44" s="974">
        <f t="shared" si="23"/>
        <v>5.5</v>
      </c>
      <c r="BO44" s="974">
        <f t="shared" si="24"/>
        <v>9.1000000000000085</v>
      </c>
      <c r="BP44" s="974">
        <f t="shared" si="16"/>
        <v>100</v>
      </c>
      <c r="BQ44" s="971" t="s">
        <v>2467</v>
      </c>
      <c r="BR44" s="975"/>
      <c r="BS44" s="975"/>
      <c r="BT44" s="975"/>
      <c r="BU44" s="975"/>
      <c r="BV44" s="975"/>
      <c r="BW44" s="975"/>
      <c r="BX44" s="971"/>
      <c r="DH44" s="977" t="str">
        <f t="shared" si="26"/>
        <v>Burundi</v>
      </c>
      <c r="DI44" s="977" t="str">
        <f t="shared" si="26"/>
        <v>Africa</v>
      </c>
      <c r="DJ44" s="977" t="str">
        <f t="shared" si="26"/>
        <v>Eastern Africa</v>
      </c>
      <c r="DL44" s="977" t="s">
        <v>35</v>
      </c>
      <c r="DN44" s="977" t="s">
        <v>2775</v>
      </c>
      <c r="DO44" s="977" t="s">
        <v>2776</v>
      </c>
    </row>
    <row r="45" spans="3:119">
      <c r="C45" s="836" t="s">
        <v>2788</v>
      </c>
      <c r="D45" s="986" t="s">
        <v>2783</v>
      </c>
      <c r="E45" s="955">
        <v>21</v>
      </c>
      <c r="F45" s="956" t="s">
        <v>2569</v>
      </c>
      <c r="G45" s="957" t="s">
        <v>2784</v>
      </c>
      <c r="H45" s="956"/>
      <c r="I45" s="957"/>
      <c r="J45" s="956"/>
      <c r="AW45" s="969" t="s">
        <v>2780</v>
      </c>
      <c r="AX45" s="969" t="s">
        <v>2464</v>
      </c>
      <c r="AY45" s="970" t="str">
        <f>+BZ5</f>
        <v>South-Eastern Asia</v>
      </c>
      <c r="AZ45" s="969">
        <v>580</v>
      </c>
      <c r="BA45" s="971" t="s">
        <v>2465</v>
      </c>
      <c r="BB45" s="972">
        <v>23.416067929457871</v>
      </c>
      <c r="BC45" s="971" t="s">
        <v>2494</v>
      </c>
      <c r="BD45" s="973"/>
      <c r="BE45" s="973"/>
      <c r="BF45" s="971"/>
      <c r="BG45" s="973"/>
      <c r="BH45" s="974">
        <f t="shared" si="17"/>
        <v>12.9</v>
      </c>
      <c r="BI45" s="974">
        <f t="shared" si="18"/>
        <v>2.7</v>
      </c>
      <c r="BJ45" s="974">
        <f t="shared" si="19"/>
        <v>43.5</v>
      </c>
      <c r="BK45" s="974">
        <f t="shared" si="20"/>
        <v>9.9</v>
      </c>
      <c r="BL45" s="974">
        <f t="shared" si="21"/>
        <v>9.5</v>
      </c>
      <c r="BM45" s="974">
        <f t="shared" si="22"/>
        <v>5.6</v>
      </c>
      <c r="BN45" s="974">
        <f t="shared" si="23"/>
        <v>7.2</v>
      </c>
      <c r="BO45" s="974">
        <f t="shared" si="24"/>
        <v>8.7000000000000028</v>
      </c>
      <c r="BP45" s="974">
        <f t="shared" si="16"/>
        <v>100</v>
      </c>
      <c r="BQ45" s="971" t="s">
        <v>2467</v>
      </c>
      <c r="BR45" s="975"/>
      <c r="BS45" s="975"/>
      <c r="BT45" s="975"/>
      <c r="BU45" s="975"/>
      <c r="BV45" s="975"/>
      <c r="BW45" s="975"/>
      <c r="BX45" s="971"/>
      <c r="DH45" s="977" t="str">
        <f t="shared" si="26"/>
        <v>Cambodia</v>
      </c>
      <c r="DI45" s="977" t="str">
        <f t="shared" si="26"/>
        <v>Asia</v>
      </c>
      <c r="DJ45" s="977" t="str">
        <f t="shared" si="26"/>
        <v>South-Eastern Asia</v>
      </c>
      <c r="DL45" s="977" t="s">
        <v>35</v>
      </c>
      <c r="DN45" s="977" t="s">
        <v>2781</v>
      </c>
      <c r="DO45" s="977" t="s">
        <v>2782</v>
      </c>
    </row>
    <row r="46" spans="3:119">
      <c r="C46" s="836" t="s">
        <v>2794</v>
      </c>
      <c r="D46" s="986" t="s">
        <v>2783</v>
      </c>
      <c r="E46" s="955">
        <v>18</v>
      </c>
      <c r="F46" s="956" t="s">
        <v>2569</v>
      </c>
      <c r="G46" s="957" t="s">
        <v>2784</v>
      </c>
      <c r="H46" s="956"/>
      <c r="I46" s="957"/>
      <c r="J46" s="956"/>
      <c r="AW46" s="969" t="s">
        <v>2785</v>
      </c>
      <c r="AX46" s="969" t="s">
        <v>2520</v>
      </c>
      <c r="AY46" s="970" t="str">
        <f>+BZ8</f>
        <v>Middle Africa</v>
      </c>
      <c r="AZ46" s="969">
        <v>275</v>
      </c>
      <c r="BA46" s="971" t="s">
        <v>2465</v>
      </c>
      <c r="BB46" s="972">
        <v>11.053315994798439</v>
      </c>
      <c r="BC46" s="971" t="s">
        <v>2494</v>
      </c>
      <c r="BD46" s="973"/>
      <c r="BE46" s="973"/>
      <c r="BF46" s="971"/>
      <c r="BG46" s="973"/>
      <c r="BH46" s="974">
        <f t="shared" si="17"/>
        <v>16.8</v>
      </c>
      <c r="BI46" s="974">
        <f t="shared" si="18"/>
        <v>2.5</v>
      </c>
      <c r="BJ46" s="974">
        <f t="shared" si="19"/>
        <v>43.4</v>
      </c>
      <c r="BK46" s="974">
        <f t="shared" si="20"/>
        <v>6.5</v>
      </c>
      <c r="BL46" s="974">
        <f t="shared" si="21"/>
        <v>9.5</v>
      </c>
      <c r="BM46" s="974">
        <f t="shared" si="22"/>
        <v>5.6</v>
      </c>
      <c r="BN46" s="974">
        <f t="shared" si="23"/>
        <v>4.5</v>
      </c>
      <c r="BO46" s="974">
        <f t="shared" si="24"/>
        <v>11.200000000000003</v>
      </c>
      <c r="BP46" s="974">
        <f t="shared" si="16"/>
        <v>100</v>
      </c>
      <c r="BQ46" s="971" t="s">
        <v>2467</v>
      </c>
      <c r="BR46" s="999"/>
      <c r="BS46" s="999"/>
      <c r="BT46" s="999"/>
      <c r="BU46" s="999"/>
      <c r="BV46" s="999"/>
      <c r="BW46" s="975"/>
      <c r="BX46" s="971"/>
      <c r="DH46" s="977" t="str">
        <f t="shared" si="26"/>
        <v>Cameroon</v>
      </c>
      <c r="DI46" s="977" t="str">
        <f t="shared" si="26"/>
        <v>Africa</v>
      </c>
      <c r="DJ46" s="977" t="str">
        <f t="shared" si="26"/>
        <v>Middle Africa</v>
      </c>
      <c r="DL46" s="977" t="s">
        <v>35</v>
      </c>
      <c r="DN46" s="977" t="s">
        <v>2786</v>
      </c>
      <c r="DO46" s="977" t="s">
        <v>2787</v>
      </c>
    </row>
    <row r="47" spans="3:119">
      <c r="C47" s="836" t="s">
        <v>2797</v>
      </c>
      <c r="D47" s="986" t="s">
        <v>2783</v>
      </c>
      <c r="E47" s="955">
        <v>25</v>
      </c>
      <c r="F47" s="956" t="s">
        <v>2569</v>
      </c>
      <c r="G47" s="957" t="s">
        <v>2784</v>
      </c>
      <c r="H47" s="956"/>
      <c r="I47" s="957"/>
      <c r="J47" s="956"/>
      <c r="AW47" s="987" t="s">
        <v>2463</v>
      </c>
      <c r="AX47" s="987" t="s">
        <v>2576</v>
      </c>
      <c r="AY47" s="991" t="str">
        <f>+BZ18</f>
        <v>North America</v>
      </c>
      <c r="AZ47" s="987">
        <v>750</v>
      </c>
      <c r="BA47" s="971" t="s">
        <v>2789</v>
      </c>
      <c r="BB47" s="992">
        <v>6.666666666666667</v>
      </c>
      <c r="BC47" s="971" t="s">
        <v>2789</v>
      </c>
      <c r="BD47" s="987">
        <v>0.02</v>
      </c>
      <c r="BE47" s="987">
        <v>7.0000000000000007E-2</v>
      </c>
      <c r="BF47" s="971" t="s">
        <v>2679</v>
      </c>
      <c r="BG47" s="973"/>
      <c r="BH47" s="974">
        <f t="shared" si="17"/>
        <v>23.2</v>
      </c>
      <c r="BI47" s="974">
        <f t="shared" si="18"/>
        <v>3.9</v>
      </c>
      <c r="BJ47" s="974">
        <f t="shared" si="19"/>
        <v>33.9</v>
      </c>
      <c r="BK47" s="974">
        <f t="shared" si="20"/>
        <v>6.2</v>
      </c>
      <c r="BL47" s="974">
        <f t="shared" si="21"/>
        <v>9.5</v>
      </c>
      <c r="BM47" s="974">
        <f t="shared" si="22"/>
        <v>5.6</v>
      </c>
      <c r="BN47" s="974">
        <f t="shared" si="23"/>
        <v>8.5</v>
      </c>
      <c r="BO47" s="974">
        <f t="shared" si="24"/>
        <v>9.2000000000000028</v>
      </c>
      <c r="BP47" s="974">
        <f t="shared" si="16"/>
        <v>100</v>
      </c>
      <c r="BQ47" s="971" t="s">
        <v>2467</v>
      </c>
      <c r="BR47" s="1000">
        <v>8.8540000000000008E-2</v>
      </c>
      <c r="BS47" s="1000">
        <v>8.8540000000000008E-2</v>
      </c>
      <c r="BT47" s="1000">
        <v>1.719E-2</v>
      </c>
      <c r="BU47" s="1000">
        <v>7.3859999999999995E-2</v>
      </c>
      <c r="BV47" s="1000">
        <v>4.929E-2</v>
      </c>
      <c r="BW47" s="1001" t="s">
        <v>2790</v>
      </c>
      <c r="BX47" s="971" t="s">
        <v>2791</v>
      </c>
      <c r="DH47" s="977" t="str">
        <f t="shared" si="26"/>
        <v>Canada-Alberta (AB)</v>
      </c>
      <c r="DI47" s="977" t="str">
        <f t="shared" si="26"/>
        <v>Americas</v>
      </c>
      <c r="DJ47" s="977" t="str">
        <f t="shared" si="26"/>
        <v>North America</v>
      </c>
      <c r="DK47" s="977" t="e">
        <f>VLOOKUP(DH47,#REF!,1)</f>
        <v>#REF!</v>
      </c>
      <c r="DL47" s="977" t="e">
        <f>VLOOKUP(DK47,#REF!,2,FALSE)</f>
        <v>#REF!</v>
      </c>
      <c r="DN47" s="977" t="s">
        <v>2792</v>
      </c>
      <c r="DO47" s="977" t="s">
        <v>2793</v>
      </c>
    </row>
    <row r="48" spans="3:119">
      <c r="C48" s="836" t="s">
        <v>2800</v>
      </c>
      <c r="D48" s="986" t="s">
        <v>2783</v>
      </c>
      <c r="E48" s="955">
        <v>2244</v>
      </c>
      <c r="F48" s="956" t="s">
        <v>2569</v>
      </c>
      <c r="G48" s="957" t="s">
        <v>2784</v>
      </c>
      <c r="H48" s="956"/>
      <c r="I48" s="957"/>
      <c r="J48" s="956"/>
      <c r="AW48" s="987" t="s">
        <v>2492</v>
      </c>
      <c r="AX48" s="987" t="s">
        <v>2576</v>
      </c>
      <c r="AY48" s="991" t="str">
        <f>+BZ18</f>
        <v>North America</v>
      </c>
      <c r="AZ48" s="987">
        <v>9.3000000000000007</v>
      </c>
      <c r="BA48" s="971" t="s">
        <v>2789</v>
      </c>
      <c r="BB48" s="992">
        <v>4.301075268817204</v>
      </c>
      <c r="BC48" s="971" t="s">
        <v>2789</v>
      </c>
      <c r="BD48" s="987">
        <v>0.02</v>
      </c>
      <c r="BE48" s="987">
        <v>7.0000000000000007E-2</v>
      </c>
      <c r="BF48" s="971" t="s">
        <v>2679</v>
      </c>
      <c r="BG48" s="973"/>
      <c r="BH48" s="974">
        <f t="shared" si="17"/>
        <v>23.2</v>
      </c>
      <c r="BI48" s="974">
        <f t="shared" si="18"/>
        <v>3.9</v>
      </c>
      <c r="BJ48" s="974">
        <f t="shared" si="19"/>
        <v>33.9</v>
      </c>
      <c r="BK48" s="974">
        <f t="shared" si="20"/>
        <v>6.2</v>
      </c>
      <c r="BL48" s="974">
        <f t="shared" si="21"/>
        <v>9.5</v>
      </c>
      <c r="BM48" s="974">
        <f t="shared" si="22"/>
        <v>5.6</v>
      </c>
      <c r="BN48" s="974">
        <f t="shared" si="23"/>
        <v>8.5</v>
      </c>
      <c r="BO48" s="974">
        <f t="shared" si="24"/>
        <v>9.2000000000000028</v>
      </c>
      <c r="BP48" s="974">
        <f t="shared" si="16"/>
        <v>100</v>
      </c>
      <c r="BQ48" s="971" t="s">
        <v>2467</v>
      </c>
      <c r="BR48" s="1000">
        <v>8.8540000000000008E-2</v>
      </c>
      <c r="BS48" s="1000">
        <v>8.8540000000000008E-2</v>
      </c>
      <c r="BT48" s="1000">
        <v>1.719E-2</v>
      </c>
      <c r="BU48" s="1000">
        <v>7.3859999999999995E-2</v>
      </c>
      <c r="BV48" s="1000">
        <v>4.929E-2</v>
      </c>
      <c r="BW48" s="1001" t="s">
        <v>2790</v>
      </c>
      <c r="BX48" s="971" t="s">
        <v>2791</v>
      </c>
      <c r="DH48" s="977" t="str">
        <f t="shared" si="26"/>
        <v>Canada-British Columbia (BC)</v>
      </c>
      <c r="DI48" s="977" t="str">
        <f t="shared" si="26"/>
        <v>Americas</v>
      </c>
      <c r="DJ48" s="977" t="str">
        <f t="shared" si="26"/>
        <v>North America</v>
      </c>
      <c r="DK48" s="977" t="e">
        <f>VLOOKUP(DH48,#REF!,1)</f>
        <v>#REF!</v>
      </c>
      <c r="DL48" s="977" t="e">
        <f>VLOOKUP(DK48,#REF!,2,FALSE)</f>
        <v>#REF!</v>
      </c>
      <c r="DN48" s="977" t="s">
        <v>2795</v>
      </c>
      <c r="DO48" s="977" t="s">
        <v>2796</v>
      </c>
    </row>
    <row r="49" spans="3:119">
      <c r="C49" s="836" t="s">
        <v>2803</v>
      </c>
      <c r="D49" s="986" t="s">
        <v>2783</v>
      </c>
      <c r="E49" s="955">
        <v>1421</v>
      </c>
      <c r="F49" s="956" t="s">
        <v>2569</v>
      </c>
      <c r="G49" s="957" t="s">
        <v>2784</v>
      </c>
      <c r="H49" s="956"/>
      <c r="I49" s="957"/>
      <c r="J49" s="956"/>
      <c r="AW49" s="987" t="s">
        <v>2519</v>
      </c>
      <c r="AX49" s="987" t="s">
        <v>2576</v>
      </c>
      <c r="AY49" s="991" t="str">
        <f>+BZ18</f>
        <v>North America</v>
      </c>
      <c r="AZ49" s="987">
        <v>1.9</v>
      </c>
      <c r="BA49" s="971" t="s">
        <v>2789</v>
      </c>
      <c r="BB49" s="992">
        <v>10.526315789473685</v>
      </c>
      <c r="BC49" s="971" t="s">
        <v>2789</v>
      </c>
      <c r="BD49" s="987">
        <v>0.02</v>
      </c>
      <c r="BE49" s="987">
        <v>7.0000000000000007E-2</v>
      </c>
      <c r="BF49" s="971" t="s">
        <v>2679</v>
      </c>
      <c r="BG49" s="973"/>
      <c r="BH49" s="974">
        <f t="shared" si="17"/>
        <v>23.2</v>
      </c>
      <c r="BI49" s="974">
        <f t="shared" si="18"/>
        <v>3.9</v>
      </c>
      <c r="BJ49" s="974">
        <f t="shared" si="19"/>
        <v>33.9</v>
      </c>
      <c r="BK49" s="974">
        <f t="shared" si="20"/>
        <v>6.2</v>
      </c>
      <c r="BL49" s="974">
        <f t="shared" si="21"/>
        <v>9.5</v>
      </c>
      <c r="BM49" s="974">
        <f t="shared" si="22"/>
        <v>5.6</v>
      </c>
      <c r="BN49" s="974">
        <f t="shared" si="23"/>
        <v>8.5</v>
      </c>
      <c r="BO49" s="974">
        <f t="shared" si="24"/>
        <v>9.2000000000000028</v>
      </c>
      <c r="BP49" s="974">
        <f t="shared" si="16"/>
        <v>100</v>
      </c>
      <c r="BQ49" s="971" t="s">
        <v>2467</v>
      </c>
      <c r="BR49" s="1000">
        <v>8.8540000000000008E-2</v>
      </c>
      <c r="BS49" s="1000">
        <v>8.8540000000000008E-2</v>
      </c>
      <c r="BT49" s="1000">
        <v>1.719E-2</v>
      </c>
      <c r="BU49" s="1000">
        <v>7.3859999999999995E-2</v>
      </c>
      <c r="BV49" s="1000">
        <v>4.929E-2</v>
      </c>
      <c r="BW49" s="1001" t="s">
        <v>2790</v>
      </c>
      <c r="BX49" s="971" t="s">
        <v>2791</v>
      </c>
      <c r="DH49" s="977" t="str">
        <f t="shared" si="26"/>
        <v>Canada-Manitoba (MT)</v>
      </c>
      <c r="DI49" s="977" t="str">
        <f t="shared" si="26"/>
        <v>Americas</v>
      </c>
      <c r="DJ49" s="977" t="str">
        <f t="shared" si="26"/>
        <v>North America</v>
      </c>
      <c r="DK49" s="977" t="e">
        <f>VLOOKUP(DH49,#REF!,1)</f>
        <v>#REF!</v>
      </c>
      <c r="DL49" s="977" t="e">
        <f>VLOOKUP(DK49,#REF!,2,FALSE)</f>
        <v>#REF!</v>
      </c>
      <c r="DN49" s="977" t="s">
        <v>2798</v>
      </c>
      <c r="DO49" s="977" t="s">
        <v>2799</v>
      </c>
    </row>
    <row r="50" spans="3:119">
      <c r="C50" s="836" t="s">
        <v>2806</v>
      </c>
      <c r="D50" s="986" t="s">
        <v>2783</v>
      </c>
      <c r="E50" s="955">
        <v>1858</v>
      </c>
      <c r="F50" s="956" t="s">
        <v>2569</v>
      </c>
      <c r="G50" s="957" t="s">
        <v>2784</v>
      </c>
      <c r="H50" s="956"/>
      <c r="I50" s="957"/>
      <c r="J50" s="956"/>
      <c r="AW50" s="987" t="s">
        <v>2535</v>
      </c>
      <c r="AX50" s="987" t="s">
        <v>2576</v>
      </c>
      <c r="AY50" s="991" t="str">
        <f>+BZ18</f>
        <v>North America</v>
      </c>
      <c r="AZ50" s="987">
        <v>310</v>
      </c>
      <c r="BA50" s="971" t="s">
        <v>2789</v>
      </c>
      <c r="BB50" s="992">
        <v>6.4516129032258061</v>
      </c>
      <c r="BC50" s="971" t="s">
        <v>2789</v>
      </c>
      <c r="BD50" s="987">
        <v>0.02</v>
      </c>
      <c r="BE50" s="987">
        <v>7.0000000000000007E-2</v>
      </c>
      <c r="BF50" s="971" t="s">
        <v>2679</v>
      </c>
      <c r="BG50" s="973"/>
      <c r="BH50" s="974">
        <f t="shared" si="17"/>
        <v>23.2</v>
      </c>
      <c r="BI50" s="974">
        <f t="shared" si="18"/>
        <v>3.9</v>
      </c>
      <c r="BJ50" s="974">
        <f t="shared" si="19"/>
        <v>33.9</v>
      </c>
      <c r="BK50" s="974">
        <f t="shared" si="20"/>
        <v>6.2</v>
      </c>
      <c r="BL50" s="974">
        <f t="shared" si="21"/>
        <v>9.5</v>
      </c>
      <c r="BM50" s="974">
        <f t="shared" si="22"/>
        <v>5.6</v>
      </c>
      <c r="BN50" s="974">
        <f t="shared" si="23"/>
        <v>8.5</v>
      </c>
      <c r="BO50" s="974">
        <f t="shared" si="24"/>
        <v>9.2000000000000028</v>
      </c>
      <c r="BP50" s="974">
        <f t="shared" si="16"/>
        <v>100</v>
      </c>
      <c r="BQ50" s="971" t="s">
        <v>2467</v>
      </c>
      <c r="BR50" s="1000">
        <v>8.8540000000000008E-2</v>
      </c>
      <c r="BS50" s="1000">
        <v>8.8540000000000008E-2</v>
      </c>
      <c r="BT50" s="1000">
        <v>1.719E-2</v>
      </c>
      <c r="BU50" s="1000">
        <v>7.3859999999999995E-2</v>
      </c>
      <c r="BV50" s="1000">
        <v>4.929E-2</v>
      </c>
      <c r="BW50" s="1001" t="s">
        <v>2790</v>
      </c>
      <c r="BX50" s="971" t="s">
        <v>2791</v>
      </c>
      <c r="DH50" s="977" t="str">
        <f t="shared" si="26"/>
        <v>Canada-New Brunswick (NB)</v>
      </c>
      <c r="DI50" s="977" t="str">
        <f t="shared" si="26"/>
        <v>Americas</v>
      </c>
      <c r="DJ50" s="977" t="str">
        <f t="shared" si="26"/>
        <v>North America</v>
      </c>
      <c r="DK50" s="977" t="e">
        <f>VLOOKUP(DH50,#REF!,1)</f>
        <v>#REF!</v>
      </c>
      <c r="DL50" s="977" t="e">
        <f>VLOOKUP(DK50,#REF!,2,FALSE)</f>
        <v>#REF!</v>
      </c>
      <c r="DN50" s="977" t="s">
        <v>2801</v>
      </c>
      <c r="DO50" s="977" t="s">
        <v>2802</v>
      </c>
    </row>
    <row r="51" spans="3:119" ht="26">
      <c r="C51" s="836" t="s">
        <v>2809</v>
      </c>
      <c r="D51" s="986" t="s">
        <v>2783</v>
      </c>
      <c r="E51" s="955">
        <v>3623</v>
      </c>
      <c r="F51" s="956" t="s">
        <v>2569</v>
      </c>
      <c r="G51" s="957" t="s">
        <v>2784</v>
      </c>
      <c r="H51" s="956"/>
      <c r="I51" s="957"/>
      <c r="J51" s="956"/>
      <c r="AW51" s="987" t="s">
        <v>2549</v>
      </c>
      <c r="AX51" s="987" t="s">
        <v>2576</v>
      </c>
      <c r="AY51" s="991" t="str">
        <f>+BZ18</f>
        <v>North America</v>
      </c>
      <c r="AZ51" s="987">
        <v>40</v>
      </c>
      <c r="BA51" s="971" t="s">
        <v>2789</v>
      </c>
      <c r="BB51" s="992">
        <v>0</v>
      </c>
      <c r="BC51" s="971" t="s">
        <v>2789</v>
      </c>
      <c r="BD51" s="987">
        <v>0.02</v>
      </c>
      <c r="BE51" s="987">
        <v>7.0000000000000007E-2</v>
      </c>
      <c r="BF51" s="971" t="s">
        <v>2679</v>
      </c>
      <c r="BG51" s="973"/>
      <c r="BH51" s="974">
        <f t="shared" si="17"/>
        <v>23.2</v>
      </c>
      <c r="BI51" s="974">
        <f t="shared" si="18"/>
        <v>3.9</v>
      </c>
      <c r="BJ51" s="974">
        <f t="shared" si="19"/>
        <v>33.9</v>
      </c>
      <c r="BK51" s="974">
        <f t="shared" si="20"/>
        <v>6.2</v>
      </c>
      <c r="BL51" s="974">
        <f t="shared" si="21"/>
        <v>9.5</v>
      </c>
      <c r="BM51" s="974">
        <f t="shared" si="22"/>
        <v>5.6</v>
      </c>
      <c r="BN51" s="974">
        <f t="shared" si="23"/>
        <v>8.5</v>
      </c>
      <c r="BO51" s="974">
        <f t="shared" si="24"/>
        <v>9.2000000000000028</v>
      </c>
      <c r="BP51" s="974">
        <f t="shared" si="16"/>
        <v>100</v>
      </c>
      <c r="BQ51" s="971" t="s">
        <v>2467</v>
      </c>
      <c r="BR51" s="1000">
        <v>8.8540000000000008E-2</v>
      </c>
      <c r="BS51" s="1000">
        <v>8.8540000000000008E-2</v>
      </c>
      <c r="BT51" s="1000">
        <v>1.719E-2</v>
      </c>
      <c r="BU51" s="1000">
        <v>7.3859999999999995E-2</v>
      </c>
      <c r="BV51" s="1000">
        <v>4.929E-2</v>
      </c>
      <c r="BW51" s="1001" t="s">
        <v>2790</v>
      </c>
      <c r="BX51" s="971" t="s">
        <v>2791</v>
      </c>
      <c r="DH51" s="977" t="str">
        <f t="shared" si="26"/>
        <v>Canada-Newfoundland and Labrador (NL)</v>
      </c>
      <c r="DI51" s="977" t="str">
        <f t="shared" si="26"/>
        <v>Americas</v>
      </c>
      <c r="DJ51" s="977" t="str">
        <f t="shared" si="26"/>
        <v>North America</v>
      </c>
      <c r="DK51" s="977" t="e">
        <f>VLOOKUP(DH51,#REF!,1)</f>
        <v>#REF!</v>
      </c>
      <c r="DL51" s="977" t="e">
        <f>VLOOKUP(DK51,#REF!,2,FALSE)</f>
        <v>#REF!</v>
      </c>
      <c r="DN51" s="977" t="s">
        <v>2804</v>
      </c>
      <c r="DO51" s="977" t="s">
        <v>2805</v>
      </c>
    </row>
    <row r="52" spans="3:119">
      <c r="C52" s="836" t="s">
        <v>2812</v>
      </c>
      <c r="D52" s="986" t="s">
        <v>2783</v>
      </c>
      <c r="E52" s="955">
        <v>4728</v>
      </c>
      <c r="F52" s="956" t="s">
        <v>2569</v>
      </c>
      <c r="G52" s="957" t="s">
        <v>2784</v>
      </c>
      <c r="H52" s="956"/>
      <c r="I52" s="957"/>
      <c r="J52" s="956"/>
      <c r="AW52" s="987" t="s">
        <v>2562</v>
      </c>
      <c r="AX52" s="987" t="s">
        <v>2576</v>
      </c>
      <c r="AY52" s="991" t="str">
        <f>+BZ18</f>
        <v>North America</v>
      </c>
      <c r="AZ52" s="987">
        <v>670</v>
      </c>
      <c r="BA52" s="971" t="s">
        <v>2789</v>
      </c>
      <c r="BB52" s="992">
        <v>7.4626865671641784</v>
      </c>
      <c r="BC52" s="971" t="s">
        <v>2789</v>
      </c>
      <c r="BD52" s="987">
        <v>0.02</v>
      </c>
      <c r="BE52" s="987">
        <v>7.0000000000000007E-2</v>
      </c>
      <c r="BF52" s="971" t="s">
        <v>2679</v>
      </c>
      <c r="BG52" s="973"/>
      <c r="BH52" s="974">
        <f t="shared" si="17"/>
        <v>23.2</v>
      </c>
      <c r="BI52" s="974">
        <f t="shared" si="18"/>
        <v>3.9</v>
      </c>
      <c r="BJ52" s="974">
        <f t="shared" si="19"/>
        <v>33.9</v>
      </c>
      <c r="BK52" s="974">
        <f t="shared" si="20"/>
        <v>6.2</v>
      </c>
      <c r="BL52" s="974">
        <f t="shared" si="21"/>
        <v>9.5</v>
      </c>
      <c r="BM52" s="974">
        <f t="shared" si="22"/>
        <v>5.6</v>
      </c>
      <c r="BN52" s="974">
        <f t="shared" si="23"/>
        <v>8.5</v>
      </c>
      <c r="BO52" s="974">
        <f t="shared" si="24"/>
        <v>9.2000000000000028</v>
      </c>
      <c r="BP52" s="974">
        <f t="shared" si="16"/>
        <v>100</v>
      </c>
      <c r="BQ52" s="971" t="s">
        <v>2467</v>
      </c>
      <c r="BR52" s="1000">
        <v>8.8540000000000008E-2</v>
      </c>
      <c r="BS52" s="1000">
        <v>8.8540000000000008E-2</v>
      </c>
      <c r="BT52" s="1000">
        <v>1.719E-2</v>
      </c>
      <c r="BU52" s="1000">
        <v>7.3859999999999995E-2</v>
      </c>
      <c r="BV52" s="1000">
        <v>4.929E-2</v>
      </c>
      <c r="BW52" s="1001" t="s">
        <v>2790</v>
      </c>
      <c r="BX52" s="971" t="s">
        <v>2791</v>
      </c>
      <c r="DH52" s="977" t="str">
        <f t="shared" si="26"/>
        <v>Canada-Nova Scotia (NS)</v>
      </c>
      <c r="DI52" s="977" t="str">
        <f t="shared" si="26"/>
        <v>Americas</v>
      </c>
      <c r="DJ52" s="977" t="str">
        <f t="shared" si="26"/>
        <v>North America</v>
      </c>
      <c r="DK52" s="977" t="e">
        <f>VLOOKUP(DH52,#REF!,1)</f>
        <v>#REF!</v>
      </c>
      <c r="DL52" s="977" t="e">
        <f>VLOOKUP(DK52,#REF!,2,FALSE)</f>
        <v>#REF!</v>
      </c>
      <c r="DN52" s="977" t="s">
        <v>2807</v>
      </c>
      <c r="DO52" s="977" t="s">
        <v>2808</v>
      </c>
    </row>
    <row r="53" spans="3:119">
      <c r="C53" s="836" t="s">
        <v>2815</v>
      </c>
      <c r="D53" s="986" t="s">
        <v>2783</v>
      </c>
      <c r="E53" s="955">
        <v>2262</v>
      </c>
      <c r="F53" s="956" t="s">
        <v>2569</v>
      </c>
      <c r="G53" s="957" t="s">
        <v>2784</v>
      </c>
      <c r="H53" s="956"/>
      <c r="I53" s="957"/>
      <c r="J53" s="956"/>
      <c r="AW53" s="987" t="s">
        <v>2575</v>
      </c>
      <c r="AX53" s="987" t="s">
        <v>2576</v>
      </c>
      <c r="AY53" s="991" t="str">
        <f>+BZ18</f>
        <v>North America</v>
      </c>
      <c r="AZ53" s="987">
        <v>180</v>
      </c>
      <c r="BA53" s="971" t="s">
        <v>2789</v>
      </c>
      <c r="BB53" s="992">
        <v>0</v>
      </c>
      <c r="BC53" s="971" t="s">
        <v>2789</v>
      </c>
      <c r="BD53" s="987">
        <v>0.02</v>
      </c>
      <c r="BE53" s="987">
        <v>7.0000000000000007E-2</v>
      </c>
      <c r="BF53" s="971" t="s">
        <v>2679</v>
      </c>
      <c r="BG53" s="973"/>
      <c r="BH53" s="974">
        <f t="shared" si="17"/>
        <v>23.2</v>
      </c>
      <c r="BI53" s="974">
        <f t="shared" si="18"/>
        <v>3.9</v>
      </c>
      <c r="BJ53" s="974">
        <f t="shared" si="19"/>
        <v>33.9</v>
      </c>
      <c r="BK53" s="974">
        <f t="shared" si="20"/>
        <v>6.2</v>
      </c>
      <c r="BL53" s="974">
        <f t="shared" si="21"/>
        <v>9.5</v>
      </c>
      <c r="BM53" s="974">
        <f t="shared" si="22"/>
        <v>5.6</v>
      </c>
      <c r="BN53" s="974">
        <f t="shared" si="23"/>
        <v>8.5</v>
      </c>
      <c r="BO53" s="974">
        <f t="shared" si="24"/>
        <v>9.2000000000000028</v>
      </c>
      <c r="BP53" s="974">
        <f t="shared" si="16"/>
        <v>100</v>
      </c>
      <c r="BQ53" s="971" t="s">
        <v>2467</v>
      </c>
      <c r="BR53" s="1000">
        <v>8.8540000000000008E-2</v>
      </c>
      <c r="BS53" s="1000">
        <v>8.8540000000000008E-2</v>
      </c>
      <c r="BT53" s="1000">
        <v>1.719E-2</v>
      </c>
      <c r="BU53" s="1000">
        <v>7.3859999999999995E-2</v>
      </c>
      <c r="BV53" s="1000">
        <v>4.929E-2</v>
      </c>
      <c r="BW53" s="1001" t="s">
        <v>2790</v>
      </c>
      <c r="BX53" s="971" t="s">
        <v>2791</v>
      </c>
      <c r="DH53" s="977" t="str">
        <f t="shared" si="26"/>
        <v>Canada-Northwest Territories (NT)</v>
      </c>
      <c r="DI53" s="977" t="str">
        <f t="shared" si="26"/>
        <v>Americas</v>
      </c>
      <c r="DJ53" s="977" t="str">
        <f t="shared" si="26"/>
        <v>North America</v>
      </c>
      <c r="DK53" s="977" t="e">
        <f>VLOOKUP(DH53,#REF!,1)</f>
        <v>#REF!</v>
      </c>
      <c r="DL53" s="977" t="e">
        <f>VLOOKUP(DK53,#REF!,2,FALSE)</f>
        <v>#REF!</v>
      </c>
      <c r="DN53" s="977" t="s">
        <v>2810</v>
      </c>
      <c r="DO53" s="977" t="s">
        <v>2811</v>
      </c>
    </row>
    <row r="54" spans="3:119">
      <c r="C54" s="836" t="s">
        <v>2818</v>
      </c>
      <c r="D54" s="986" t="s">
        <v>2783</v>
      </c>
      <c r="E54" s="955">
        <v>3001</v>
      </c>
      <c r="F54" s="956" t="s">
        <v>2569</v>
      </c>
      <c r="G54" s="957" t="s">
        <v>2784</v>
      </c>
      <c r="H54" s="956"/>
      <c r="I54" s="957"/>
      <c r="J54" s="956"/>
      <c r="AW54" s="987" t="s">
        <v>2588</v>
      </c>
      <c r="AX54" s="987" t="s">
        <v>2576</v>
      </c>
      <c r="AY54" s="991" t="str">
        <f>+BZ18</f>
        <v>North America</v>
      </c>
      <c r="AZ54" s="987">
        <v>750</v>
      </c>
      <c r="BA54" s="971" t="s">
        <v>2789</v>
      </c>
      <c r="BB54" s="992">
        <v>5.3333333333333339</v>
      </c>
      <c r="BC54" s="971" t="s">
        <v>2789</v>
      </c>
      <c r="BD54" s="987">
        <v>0.02</v>
      </c>
      <c r="BE54" s="987">
        <v>7.0000000000000007E-2</v>
      </c>
      <c r="BF54" s="971" t="s">
        <v>2679</v>
      </c>
      <c r="BG54" s="973"/>
      <c r="BH54" s="974">
        <f t="shared" si="17"/>
        <v>23.2</v>
      </c>
      <c r="BI54" s="974">
        <f t="shared" si="18"/>
        <v>3.9</v>
      </c>
      <c r="BJ54" s="974">
        <f t="shared" si="19"/>
        <v>33.9</v>
      </c>
      <c r="BK54" s="974">
        <f t="shared" si="20"/>
        <v>6.2</v>
      </c>
      <c r="BL54" s="974">
        <f t="shared" si="21"/>
        <v>9.5</v>
      </c>
      <c r="BM54" s="974">
        <f t="shared" si="22"/>
        <v>5.6</v>
      </c>
      <c r="BN54" s="974">
        <f t="shared" si="23"/>
        <v>8.5</v>
      </c>
      <c r="BO54" s="974">
        <f t="shared" si="24"/>
        <v>9.2000000000000028</v>
      </c>
      <c r="BP54" s="974">
        <f t="shared" si="16"/>
        <v>100</v>
      </c>
      <c r="BQ54" s="971" t="s">
        <v>2467</v>
      </c>
      <c r="BR54" s="1000">
        <v>8.8540000000000008E-2</v>
      </c>
      <c r="BS54" s="1000">
        <v>8.8540000000000008E-2</v>
      </c>
      <c r="BT54" s="1000">
        <v>1.719E-2</v>
      </c>
      <c r="BU54" s="1000">
        <v>7.3859999999999995E-2</v>
      </c>
      <c r="BV54" s="1000">
        <v>4.929E-2</v>
      </c>
      <c r="BW54" s="1001" t="s">
        <v>2790</v>
      </c>
      <c r="BX54" s="971" t="s">
        <v>2791</v>
      </c>
      <c r="DH54" s="977" t="str">
        <f t="shared" si="26"/>
        <v>Canada-Nunavut (NU)</v>
      </c>
      <c r="DI54" s="977" t="str">
        <f t="shared" si="26"/>
        <v>Americas</v>
      </c>
      <c r="DJ54" s="977" t="str">
        <f t="shared" si="26"/>
        <v>North America</v>
      </c>
      <c r="DK54" s="977" t="e">
        <f>VLOOKUP(DH54,#REF!,1)</f>
        <v>#REF!</v>
      </c>
      <c r="DL54" s="977" t="e">
        <f>VLOOKUP(DK54,#REF!,2,FALSE)</f>
        <v>#REF!</v>
      </c>
      <c r="DN54" s="977" t="s">
        <v>2813</v>
      </c>
      <c r="DO54" s="977" t="s">
        <v>2814</v>
      </c>
    </row>
    <row r="55" spans="3:119">
      <c r="C55" s="836" t="s">
        <v>2821</v>
      </c>
      <c r="D55" s="986" t="s">
        <v>2783</v>
      </c>
      <c r="E55" s="955">
        <v>1908</v>
      </c>
      <c r="F55" s="956" t="s">
        <v>2569</v>
      </c>
      <c r="G55" s="957" t="s">
        <v>2784</v>
      </c>
      <c r="H55" s="956"/>
      <c r="I55" s="957"/>
      <c r="J55" s="956"/>
      <c r="AW55" s="987" t="s">
        <v>2596</v>
      </c>
      <c r="AX55" s="987" t="s">
        <v>2576</v>
      </c>
      <c r="AY55" s="991" t="str">
        <f>+BZ18</f>
        <v>North America</v>
      </c>
      <c r="AZ55" s="987">
        <v>17</v>
      </c>
      <c r="BA55" s="971" t="s">
        <v>2789</v>
      </c>
      <c r="BB55" s="992">
        <v>17.647058823529413</v>
      </c>
      <c r="BC55" s="971" t="s">
        <v>2789</v>
      </c>
      <c r="BD55" s="987">
        <v>0.02</v>
      </c>
      <c r="BE55" s="987">
        <v>7.0000000000000007E-2</v>
      </c>
      <c r="BF55" s="971" t="s">
        <v>2679</v>
      </c>
      <c r="BG55" s="973"/>
      <c r="BH55" s="974">
        <f t="shared" si="17"/>
        <v>23.2</v>
      </c>
      <c r="BI55" s="974">
        <f t="shared" si="18"/>
        <v>3.9</v>
      </c>
      <c r="BJ55" s="974">
        <f t="shared" si="19"/>
        <v>33.9</v>
      </c>
      <c r="BK55" s="974">
        <f t="shared" si="20"/>
        <v>6.2</v>
      </c>
      <c r="BL55" s="974">
        <f t="shared" si="21"/>
        <v>9.5</v>
      </c>
      <c r="BM55" s="974">
        <f t="shared" si="22"/>
        <v>5.6</v>
      </c>
      <c r="BN55" s="974">
        <f t="shared" si="23"/>
        <v>8.5</v>
      </c>
      <c r="BO55" s="974">
        <f t="shared" si="24"/>
        <v>9.2000000000000028</v>
      </c>
      <c r="BP55" s="974">
        <f t="shared" si="16"/>
        <v>100</v>
      </c>
      <c r="BQ55" s="971" t="s">
        <v>2467</v>
      </c>
      <c r="BR55" s="1000">
        <v>8.8540000000000008E-2</v>
      </c>
      <c r="BS55" s="1000">
        <v>8.8540000000000008E-2</v>
      </c>
      <c r="BT55" s="1000">
        <v>1.719E-2</v>
      </c>
      <c r="BU55" s="1000">
        <v>7.3859999999999995E-2</v>
      </c>
      <c r="BV55" s="1000">
        <v>4.929E-2</v>
      </c>
      <c r="BW55" s="1001" t="s">
        <v>2790</v>
      </c>
      <c r="BX55" s="971" t="s">
        <v>2791</v>
      </c>
      <c r="DH55" s="977" t="str">
        <f t="shared" si="26"/>
        <v>Canada-Ontario (ON)</v>
      </c>
      <c r="DI55" s="977" t="str">
        <f t="shared" si="26"/>
        <v>Americas</v>
      </c>
      <c r="DJ55" s="977" t="str">
        <f t="shared" si="26"/>
        <v>North America</v>
      </c>
      <c r="DK55" s="977" t="e">
        <f>VLOOKUP(DH55,#REF!,1)</f>
        <v>#REF!</v>
      </c>
      <c r="DL55" s="977" t="e">
        <f>VLOOKUP(DK55,#REF!,2,FALSE)</f>
        <v>#REF!</v>
      </c>
      <c r="DN55" s="977" t="s">
        <v>2816</v>
      </c>
      <c r="DO55" s="977" t="s">
        <v>2817</v>
      </c>
    </row>
    <row r="56" spans="3:119">
      <c r="C56" s="836" t="s">
        <v>2824</v>
      </c>
      <c r="D56" s="986" t="s">
        <v>2783</v>
      </c>
      <c r="E56" s="955">
        <v>1748</v>
      </c>
      <c r="F56" s="956" t="s">
        <v>2569</v>
      </c>
      <c r="G56" s="957" t="s">
        <v>2784</v>
      </c>
      <c r="H56" s="956"/>
      <c r="I56" s="957"/>
      <c r="J56" s="956"/>
      <c r="AW56" s="987" t="s">
        <v>2608</v>
      </c>
      <c r="AX56" s="987" t="s">
        <v>2576</v>
      </c>
      <c r="AY56" s="991" t="str">
        <f>+BZ18</f>
        <v>North America</v>
      </c>
      <c r="AZ56" s="987">
        <v>14</v>
      </c>
      <c r="BA56" s="971" t="s">
        <v>2789</v>
      </c>
      <c r="BB56" s="992">
        <v>0</v>
      </c>
      <c r="BC56" s="971" t="s">
        <v>2789</v>
      </c>
      <c r="BD56" s="987">
        <v>0.02</v>
      </c>
      <c r="BE56" s="987">
        <v>7.0000000000000007E-2</v>
      </c>
      <c r="BF56" s="971" t="s">
        <v>2679</v>
      </c>
      <c r="BG56" s="973"/>
      <c r="BH56" s="974">
        <f t="shared" si="17"/>
        <v>23.2</v>
      </c>
      <c r="BI56" s="974">
        <f t="shared" si="18"/>
        <v>3.9</v>
      </c>
      <c r="BJ56" s="974">
        <f t="shared" si="19"/>
        <v>33.9</v>
      </c>
      <c r="BK56" s="974">
        <f t="shared" si="20"/>
        <v>6.2</v>
      </c>
      <c r="BL56" s="974">
        <f t="shared" si="21"/>
        <v>9.5</v>
      </c>
      <c r="BM56" s="974">
        <f t="shared" si="22"/>
        <v>5.6</v>
      </c>
      <c r="BN56" s="974">
        <f t="shared" si="23"/>
        <v>8.5</v>
      </c>
      <c r="BO56" s="974">
        <f t="shared" si="24"/>
        <v>9.2000000000000028</v>
      </c>
      <c r="BP56" s="974">
        <f t="shared" si="16"/>
        <v>100</v>
      </c>
      <c r="BQ56" s="971" t="s">
        <v>2467</v>
      </c>
      <c r="BR56" s="1000">
        <v>8.8540000000000008E-2</v>
      </c>
      <c r="BS56" s="1000">
        <v>8.8540000000000008E-2</v>
      </c>
      <c r="BT56" s="1000">
        <v>1.719E-2</v>
      </c>
      <c r="BU56" s="1000">
        <v>7.3859999999999995E-2</v>
      </c>
      <c r="BV56" s="1000">
        <v>4.929E-2</v>
      </c>
      <c r="BW56" s="1001" t="s">
        <v>2790</v>
      </c>
      <c r="BX56" s="971" t="s">
        <v>2791</v>
      </c>
      <c r="DH56" s="977" t="str">
        <f t="shared" si="26"/>
        <v>Canada-Prince Edward Island (PE)</v>
      </c>
      <c r="DI56" s="977" t="str">
        <f t="shared" si="26"/>
        <v>Americas</v>
      </c>
      <c r="DJ56" s="977" t="str">
        <f t="shared" si="26"/>
        <v>North America</v>
      </c>
      <c r="DK56" s="977" t="e">
        <f>VLOOKUP(DH56,#REF!,1)</f>
        <v>#REF!</v>
      </c>
      <c r="DL56" s="977" t="e">
        <f>VLOOKUP(DK56,#REF!,2,FALSE)</f>
        <v>#REF!</v>
      </c>
      <c r="DN56" s="977" t="s">
        <v>2819</v>
      </c>
      <c r="DO56" s="977" t="s">
        <v>2820</v>
      </c>
    </row>
    <row r="57" spans="3:119">
      <c r="C57" s="836" t="s">
        <v>2827</v>
      </c>
      <c r="D57" s="986" t="s">
        <v>2783</v>
      </c>
      <c r="E57" s="955">
        <v>1672</v>
      </c>
      <c r="F57" s="956" t="s">
        <v>2569</v>
      </c>
      <c r="G57" s="957" t="s">
        <v>2784</v>
      </c>
      <c r="H57" s="956"/>
      <c r="I57" s="957"/>
      <c r="J57" s="956"/>
      <c r="AW57" s="987" t="s">
        <v>2621</v>
      </c>
      <c r="AX57" s="987" t="s">
        <v>2576</v>
      </c>
      <c r="AY57" s="991" t="str">
        <f>+BZ18</f>
        <v>North America</v>
      </c>
      <c r="AZ57" s="987">
        <v>1.3</v>
      </c>
      <c r="BA57" s="971" t="s">
        <v>2789</v>
      </c>
      <c r="BB57" s="992">
        <v>15.384615384615385</v>
      </c>
      <c r="BC57" s="971" t="s">
        <v>2789</v>
      </c>
      <c r="BD57" s="987">
        <v>0.02</v>
      </c>
      <c r="BE57" s="987">
        <v>7.0000000000000007E-2</v>
      </c>
      <c r="BF57" s="971" t="s">
        <v>2679</v>
      </c>
      <c r="BG57" s="973"/>
      <c r="BH57" s="974">
        <f t="shared" si="17"/>
        <v>23.2</v>
      </c>
      <c r="BI57" s="974">
        <f t="shared" si="18"/>
        <v>3.9</v>
      </c>
      <c r="BJ57" s="974">
        <f t="shared" si="19"/>
        <v>33.9</v>
      </c>
      <c r="BK57" s="974">
        <f t="shared" si="20"/>
        <v>6.2</v>
      </c>
      <c r="BL57" s="974">
        <f t="shared" si="21"/>
        <v>9.5</v>
      </c>
      <c r="BM57" s="974">
        <f t="shared" si="22"/>
        <v>5.6</v>
      </c>
      <c r="BN57" s="974">
        <f t="shared" si="23"/>
        <v>8.5</v>
      </c>
      <c r="BO57" s="974">
        <f t="shared" si="24"/>
        <v>9.2000000000000028</v>
      </c>
      <c r="BP57" s="974">
        <f t="shared" si="16"/>
        <v>100</v>
      </c>
      <c r="BQ57" s="971" t="s">
        <v>2467</v>
      </c>
      <c r="BR57" s="1000">
        <v>8.8540000000000008E-2</v>
      </c>
      <c r="BS57" s="1000">
        <v>8.8540000000000008E-2</v>
      </c>
      <c r="BT57" s="1000">
        <v>1.719E-2</v>
      </c>
      <c r="BU57" s="1000">
        <v>7.3859999999999995E-2</v>
      </c>
      <c r="BV57" s="1000">
        <v>4.929E-2</v>
      </c>
      <c r="BW57" s="1001" t="s">
        <v>2790</v>
      </c>
      <c r="BX57" s="971" t="s">
        <v>2791</v>
      </c>
      <c r="DH57" s="977" t="str">
        <f t="shared" si="26"/>
        <v>Canada-Quebec (QC)</v>
      </c>
      <c r="DI57" s="977" t="str">
        <f t="shared" si="26"/>
        <v>Americas</v>
      </c>
      <c r="DJ57" s="977" t="str">
        <f t="shared" si="26"/>
        <v>North America</v>
      </c>
      <c r="DK57" s="977" t="e">
        <f>VLOOKUP(DH57,#REF!,1)</f>
        <v>#REF!</v>
      </c>
      <c r="DL57" s="977" t="e">
        <f>VLOOKUP(DK57,#REF!,2,FALSE)</f>
        <v>#REF!</v>
      </c>
      <c r="DN57" s="977" t="s">
        <v>2822</v>
      </c>
      <c r="DO57" s="977" t="s">
        <v>2823</v>
      </c>
    </row>
    <row r="58" spans="3:119">
      <c r="C58" s="836" t="s">
        <v>2830</v>
      </c>
      <c r="D58" s="986" t="s">
        <v>2783</v>
      </c>
      <c r="E58" s="955">
        <v>1965</v>
      </c>
      <c r="F58" s="956" t="s">
        <v>2569</v>
      </c>
      <c r="G58" s="957" t="s">
        <v>2784</v>
      </c>
      <c r="H58" s="956"/>
      <c r="I58" s="957"/>
      <c r="J58" s="956"/>
      <c r="AW58" s="987" t="s">
        <v>2626</v>
      </c>
      <c r="AX58" s="987" t="s">
        <v>2576</v>
      </c>
      <c r="AY58" s="991" t="str">
        <f>+BZ18</f>
        <v>North America</v>
      </c>
      <c r="AZ58" s="987">
        <v>660</v>
      </c>
      <c r="BA58" s="971" t="s">
        <v>2789</v>
      </c>
      <c r="BB58" s="992">
        <v>7.5757575757575761</v>
      </c>
      <c r="BC58" s="971" t="s">
        <v>2789</v>
      </c>
      <c r="BD58" s="987">
        <v>0.02</v>
      </c>
      <c r="BE58" s="987">
        <v>7.0000000000000007E-2</v>
      </c>
      <c r="BF58" s="971" t="s">
        <v>2679</v>
      </c>
      <c r="BG58" s="973"/>
      <c r="BH58" s="974">
        <f t="shared" si="17"/>
        <v>23.2</v>
      </c>
      <c r="BI58" s="974">
        <f t="shared" si="18"/>
        <v>3.9</v>
      </c>
      <c r="BJ58" s="974">
        <f t="shared" si="19"/>
        <v>33.9</v>
      </c>
      <c r="BK58" s="974">
        <f t="shared" si="20"/>
        <v>6.2</v>
      </c>
      <c r="BL58" s="974">
        <f t="shared" si="21"/>
        <v>9.5</v>
      </c>
      <c r="BM58" s="974">
        <f t="shared" si="22"/>
        <v>5.6</v>
      </c>
      <c r="BN58" s="974">
        <f t="shared" si="23"/>
        <v>8.5</v>
      </c>
      <c r="BO58" s="974">
        <f t="shared" si="24"/>
        <v>9.2000000000000028</v>
      </c>
      <c r="BP58" s="974">
        <f t="shared" si="16"/>
        <v>100</v>
      </c>
      <c r="BQ58" s="971" t="s">
        <v>2467</v>
      </c>
      <c r="BR58" s="1000">
        <v>8.8540000000000008E-2</v>
      </c>
      <c r="BS58" s="1000">
        <v>8.8540000000000008E-2</v>
      </c>
      <c r="BT58" s="1000">
        <v>1.719E-2</v>
      </c>
      <c r="BU58" s="1000">
        <v>7.3859999999999995E-2</v>
      </c>
      <c r="BV58" s="1000">
        <v>4.929E-2</v>
      </c>
      <c r="BW58" s="1001" t="s">
        <v>2790</v>
      </c>
      <c r="BX58" s="971" t="s">
        <v>2791</v>
      </c>
      <c r="DH58" s="977" t="str">
        <f t="shared" si="26"/>
        <v>Canada-Saskatchewan (SK)</v>
      </c>
      <c r="DI58" s="977" t="str">
        <f t="shared" si="26"/>
        <v>Americas</v>
      </c>
      <c r="DJ58" s="977" t="str">
        <f t="shared" si="26"/>
        <v>North America</v>
      </c>
      <c r="DK58" s="977" t="e">
        <f>VLOOKUP(DH58,#REF!,1)</f>
        <v>#REF!</v>
      </c>
      <c r="DL58" s="977" t="e">
        <f>VLOOKUP(DK58,#REF!,2,FALSE)</f>
        <v>#REF!</v>
      </c>
      <c r="DN58" s="977" t="s">
        <v>2825</v>
      </c>
      <c r="DO58" s="977" t="s">
        <v>2826</v>
      </c>
    </row>
    <row r="59" spans="3:119">
      <c r="C59" s="836" t="s">
        <v>2834</v>
      </c>
      <c r="D59" s="986" t="s">
        <v>2783</v>
      </c>
      <c r="E59" s="955">
        <v>1566</v>
      </c>
      <c r="F59" s="956" t="s">
        <v>2569</v>
      </c>
      <c r="G59" s="957" t="s">
        <v>2784</v>
      </c>
      <c r="H59" s="956"/>
      <c r="I59" s="957"/>
      <c r="J59" s="956"/>
      <c r="AW59" s="987" t="s">
        <v>2632</v>
      </c>
      <c r="AX59" s="987" t="s">
        <v>2576</v>
      </c>
      <c r="AY59" s="991" t="str">
        <f>+BZ18</f>
        <v>North America</v>
      </c>
      <c r="AZ59" s="987">
        <v>50</v>
      </c>
      <c r="BA59" s="971" t="s">
        <v>2789</v>
      </c>
      <c r="BB59" s="992">
        <v>14.000000000000002</v>
      </c>
      <c r="BC59" s="971" t="s">
        <v>2789</v>
      </c>
      <c r="BD59" s="987">
        <v>0.02</v>
      </c>
      <c r="BE59" s="987">
        <v>7.0000000000000007E-2</v>
      </c>
      <c r="BF59" s="971" t="s">
        <v>2679</v>
      </c>
      <c r="BG59" s="973"/>
      <c r="BH59" s="974">
        <f t="shared" si="17"/>
        <v>23.2</v>
      </c>
      <c r="BI59" s="974">
        <f t="shared" si="18"/>
        <v>3.9</v>
      </c>
      <c r="BJ59" s="974">
        <f t="shared" si="19"/>
        <v>33.9</v>
      </c>
      <c r="BK59" s="974">
        <f t="shared" si="20"/>
        <v>6.2</v>
      </c>
      <c r="BL59" s="974">
        <f t="shared" si="21"/>
        <v>9.5</v>
      </c>
      <c r="BM59" s="974">
        <f t="shared" si="22"/>
        <v>5.6</v>
      </c>
      <c r="BN59" s="974">
        <f t="shared" si="23"/>
        <v>8.5</v>
      </c>
      <c r="BO59" s="974">
        <f t="shared" si="24"/>
        <v>9.2000000000000028</v>
      </c>
      <c r="BP59" s="974">
        <f t="shared" si="16"/>
        <v>100</v>
      </c>
      <c r="BQ59" s="971" t="s">
        <v>2467</v>
      </c>
      <c r="BR59" s="1000">
        <v>8.8540000000000008E-2</v>
      </c>
      <c r="BS59" s="1000">
        <v>8.8540000000000008E-2</v>
      </c>
      <c r="BT59" s="1000">
        <v>1.719E-2</v>
      </c>
      <c r="BU59" s="1000">
        <v>7.3859999999999995E-2</v>
      </c>
      <c r="BV59" s="1000">
        <v>4.929E-2</v>
      </c>
      <c r="BW59" s="1001" t="s">
        <v>2790</v>
      </c>
      <c r="BX59" s="971" t="s">
        <v>2791</v>
      </c>
      <c r="DH59" s="977" t="str">
        <f t="shared" si="26"/>
        <v>Canada-Yukon Territory (YT)</v>
      </c>
      <c r="DI59" s="977" t="str">
        <f t="shared" si="26"/>
        <v>Americas</v>
      </c>
      <c r="DJ59" s="977" t="str">
        <f t="shared" si="26"/>
        <v>North America</v>
      </c>
      <c r="DK59" s="977" t="e">
        <f>VLOOKUP(DH59,#REF!,1)</f>
        <v>#REF!</v>
      </c>
      <c r="DL59" s="977" t="e">
        <f>VLOOKUP(DK59,#REF!,2,FALSE)</f>
        <v>#REF!</v>
      </c>
      <c r="DN59" s="977" t="s">
        <v>2828</v>
      </c>
      <c r="DO59" s="977" t="s">
        <v>2829</v>
      </c>
    </row>
    <row r="60" spans="3:119" ht="26">
      <c r="C60" s="836" t="s">
        <v>2838</v>
      </c>
      <c r="D60" s="986" t="s">
        <v>2783</v>
      </c>
      <c r="E60" s="955">
        <v>1615</v>
      </c>
      <c r="F60" s="956" t="s">
        <v>2569</v>
      </c>
      <c r="G60" s="957" t="s">
        <v>2784</v>
      </c>
      <c r="H60" s="956"/>
      <c r="I60" s="957"/>
      <c r="J60" s="956"/>
      <c r="AW60" s="969" t="s">
        <v>2831</v>
      </c>
      <c r="AX60" s="969" t="s">
        <v>2520</v>
      </c>
      <c r="AY60" s="970" t="str">
        <f>+BZ10</f>
        <v>Southern Africa</v>
      </c>
      <c r="AZ60" s="969">
        <v>474</v>
      </c>
      <c r="BA60" s="971" t="s">
        <v>2465</v>
      </c>
      <c r="BB60" s="972">
        <v>13.490630673342661</v>
      </c>
      <c r="BC60" s="971" t="s">
        <v>2725</v>
      </c>
      <c r="BD60" s="973"/>
      <c r="BE60" s="973"/>
      <c r="BF60" s="971"/>
      <c r="BG60" s="973"/>
      <c r="BH60" s="974">
        <f t="shared" si="17"/>
        <v>25</v>
      </c>
      <c r="BI60" s="974">
        <f t="shared" si="18"/>
        <v>7.3</v>
      </c>
      <c r="BJ60" s="974">
        <f t="shared" si="19"/>
        <v>23</v>
      </c>
      <c r="BK60" s="974">
        <f t="shared" si="20"/>
        <v>15</v>
      </c>
      <c r="BL60" s="974">
        <f t="shared" si="21"/>
        <v>9.5</v>
      </c>
      <c r="BM60" s="974">
        <f t="shared" si="22"/>
        <v>5.6</v>
      </c>
      <c r="BN60" s="974">
        <f t="shared" si="23"/>
        <v>7.3</v>
      </c>
      <c r="BO60" s="974">
        <f t="shared" si="24"/>
        <v>7.3</v>
      </c>
      <c r="BP60" s="974">
        <f t="shared" si="16"/>
        <v>99.999999999999986</v>
      </c>
      <c r="BQ60" s="971" t="s">
        <v>2467</v>
      </c>
      <c r="BR60" s="975"/>
      <c r="BS60" s="975"/>
      <c r="BT60" s="975"/>
      <c r="BU60" s="975"/>
      <c r="BV60" s="975"/>
      <c r="BW60" s="975"/>
      <c r="BX60" s="971"/>
      <c r="DH60" s="977" t="str">
        <f t="shared" si="26"/>
        <v>Canary Islands (Spain)</v>
      </c>
      <c r="DI60" s="977" t="str">
        <f t="shared" si="26"/>
        <v>Africa</v>
      </c>
      <c r="DJ60" s="977" t="str">
        <f t="shared" si="26"/>
        <v>Southern Africa</v>
      </c>
      <c r="DL60" s="977" t="s">
        <v>35</v>
      </c>
      <c r="DN60" s="977" t="s">
        <v>2832</v>
      </c>
      <c r="DO60" s="977" t="s">
        <v>2833</v>
      </c>
    </row>
    <row r="61" spans="3:119" ht="26">
      <c r="C61" s="836" t="s">
        <v>2842</v>
      </c>
      <c r="D61" s="986" t="s">
        <v>2783</v>
      </c>
      <c r="E61" s="955">
        <v>1570</v>
      </c>
      <c r="F61" s="956" t="s">
        <v>2569</v>
      </c>
      <c r="G61" s="957" t="s">
        <v>2784</v>
      </c>
      <c r="H61" s="956"/>
      <c r="I61" s="957"/>
      <c r="J61" s="956"/>
      <c r="AW61" s="969" t="s">
        <v>2835</v>
      </c>
      <c r="AX61" s="969" t="s">
        <v>2520</v>
      </c>
      <c r="AY61" s="970" t="str">
        <f>+BZ11</f>
        <v>Western Africa</v>
      </c>
      <c r="AZ61" s="969">
        <v>544</v>
      </c>
      <c r="BA61" s="971" t="s">
        <v>2465</v>
      </c>
      <c r="BB61" s="972">
        <v>13.490630673342661</v>
      </c>
      <c r="BC61" s="971" t="s">
        <v>2725</v>
      </c>
      <c r="BD61" s="973"/>
      <c r="BE61" s="973"/>
      <c r="BF61" s="971"/>
      <c r="BG61" s="973"/>
      <c r="BH61" s="974">
        <f t="shared" si="17"/>
        <v>9.8000000000000007</v>
      </c>
      <c r="BI61" s="974">
        <f t="shared" si="18"/>
        <v>1</v>
      </c>
      <c r="BJ61" s="974">
        <f t="shared" si="19"/>
        <v>40.4</v>
      </c>
      <c r="BK61" s="974">
        <f t="shared" si="20"/>
        <v>4.4000000000000004</v>
      </c>
      <c r="BL61" s="974">
        <f t="shared" si="21"/>
        <v>9.5</v>
      </c>
      <c r="BM61" s="974">
        <f t="shared" si="22"/>
        <v>5.6</v>
      </c>
      <c r="BN61" s="974">
        <f t="shared" si="23"/>
        <v>3</v>
      </c>
      <c r="BO61" s="974">
        <f t="shared" si="24"/>
        <v>26.300000000000011</v>
      </c>
      <c r="BP61" s="974">
        <f t="shared" si="16"/>
        <v>100</v>
      </c>
      <c r="BQ61" s="971" t="s">
        <v>2467</v>
      </c>
      <c r="BR61" s="975"/>
      <c r="BS61" s="975"/>
      <c r="BT61" s="975"/>
      <c r="BU61" s="975"/>
      <c r="BV61" s="975"/>
      <c r="BW61" s="975"/>
      <c r="BX61" s="971"/>
      <c r="DH61" s="977" t="str">
        <f t="shared" si="26"/>
        <v>Cape Verde</v>
      </c>
      <c r="DI61" s="977" t="str">
        <f t="shared" si="26"/>
        <v>Africa</v>
      </c>
      <c r="DJ61" s="977" t="str">
        <f t="shared" si="26"/>
        <v>Western Africa</v>
      </c>
      <c r="DL61" s="977" t="s">
        <v>35</v>
      </c>
      <c r="DN61" s="977" t="s">
        <v>2836</v>
      </c>
      <c r="DO61" s="977" t="s">
        <v>2837</v>
      </c>
    </row>
    <row r="62" spans="3:119" ht="26">
      <c r="C62" s="836" t="s">
        <v>2846</v>
      </c>
      <c r="D62" s="986" t="s">
        <v>2783</v>
      </c>
      <c r="E62" s="955">
        <v>2934</v>
      </c>
      <c r="F62" s="956" t="s">
        <v>2569</v>
      </c>
      <c r="G62" s="957" t="s">
        <v>2784</v>
      </c>
      <c r="H62" s="956"/>
      <c r="I62" s="957"/>
      <c r="J62" s="956"/>
      <c r="AW62" s="969" t="s">
        <v>2839</v>
      </c>
      <c r="AX62" s="987" t="s">
        <v>2576</v>
      </c>
      <c r="AY62" s="970" t="str">
        <f>+BZ21</f>
        <v>Caribbean</v>
      </c>
      <c r="AZ62" s="969">
        <v>401</v>
      </c>
      <c r="BA62" s="971" t="s">
        <v>2465</v>
      </c>
      <c r="BB62" s="972">
        <v>9.3894684857089938</v>
      </c>
      <c r="BC62" s="971" t="s">
        <v>2577</v>
      </c>
      <c r="BD62" s="973"/>
      <c r="BE62" s="973"/>
      <c r="BF62" s="971"/>
      <c r="BG62" s="973"/>
      <c r="BH62" s="974">
        <f t="shared" si="17"/>
        <v>17</v>
      </c>
      <c r="BI62" s="974">
        <f t="shared" si="18"/>
        <v>5.0999999999999996</v>
      </c>
      <c r="BJ62" s="974">
        <f t="shared" si="19"/>
        <v>46.9</v>
      </c>
      <c r="BK62" s="974">
        <f t="shared" si="20"/>
        <v>2.4</v>
      </c>
      <c r="BL62" s="974">
        <f t="shared" si="21"/>
        <v>9.5</v>
      </c>
      <c r="BM62" s="974">
        <f t="shared" si="22"/>
        <v>5.6</v>
      </c>
      <c r="BN62" s="974">
        <f t="shared" si="23"/>
        <v>9.9</v>
      </c>
      <c r="BO62" s="974">
        <f t="shared" si="24"/>
        <v>3.5999999999999943</v>
      </c>
      <c r="BP62" s="974">
        <f t="shared" si="16"/>
        <v>100</v>
      </c>
      <c r="BQ62" s="971" t="s">
        <v>2467</v>
      </c>
      <c r="BR62" s="975"/>
      <c r="BS62" s="975"/>
      <c r="BT62" s="975"/>
      <c r="BU62" s="975"/>
      <c r="BV62" s="975"/>
      <c r="BW62" s="975"/>
      <c r="BX62" s="971"/>
      <c r="DH62" s="977" t="str">
        <f t="shared" si="26"/>
        <v>Cayman Islands</v>
      </c>
      <c r="DI62" s="977" t="str">
        <f t="shared" si="26"/>
        <v>Americas</v>
      </c>
      <c r="DJ62" s="977" t="str">
        <f t="shared" si="26"/>
        <v>Caribbean</v>
      </c>
      <c r="DL62" s="977" t="s">
        <v>35</v>
      </c>
      <c r="DN62" s="977" t="s">
        <v>2840</v>
      </c>
      <c r="DO62" s="977" t="s">
        <v>2841</v>
      </c>
    </row>
    <row r="63" spans="3:119" ht="26">
      <c r="C63" s="836" t="s">
        <v>2850</v>
      </c>
      <c r="D63" s="986" t="s">
        <v>2783</v>
      </c>
      <c r="E63" s="955">
        <v>2256</v>
      </c>
      <c r="F63" s="956" t="s">
        <v>2569</v>
      </c>
      <c r="G63" s="957" t="s">
        <v>2784</v>
      </c>
      <c r="H63" s="956"/>
      <c r="I63" s="957"/>
      <c r="J63" s="956"/>
      <c r="AW63" s="969" t="s">
        <v>2843</v>
      </c>
      <c r="AX63" s="969" t="s">
        <v>2520</v>
      </c>
      <c r="AY63" s="970" t="str">
        <f>+BZ8</f>
        <v>Middle Africa</v>
      </c>
      <c r="AZ63" s="969">
        <v>224</v>
      </c>
      <c r="BA63" s="971" t="s">
        <v>2465</v>
      </c>
      <c r="BB63" s="972">
        <v>11.740747004194485</v>
      </c>
      <c r="BC63" s="971" t="s">
        <v>2774</v>
      </c>
      <c r="BD63" s="973"/>
      <c r="BE63" s="973"/>
      <c r="BF63" s="971"/>
      <c r="BG63" s="973"/>
      <c r="BH63" s="974">
        <f t="shared" si="17"/>
        <v>16.8</v>
      </c>
      <c r="BI63" s="974">
        <f t="shared" si="18"/>
        <v>2.5</v>
      </c>
      <c r="BJ63" s="974">
        <f t="shared" si="19"/>
        <v>43.4</v>
      </c>
      <c r="BK63" s="974">
        <f t="shared" si="20"/>
        <v>6.5</v>
      </c>
      <c r="BL63" s="974">
        <f t="shared" si="21"/>
        <v>9.5</v>
      </c>
      <c r="BM63" s="974">
        <f t="shared" si="22"/>
        <v>5.6</v>
      </c>
      <c r="BN63" s="974">
        <f t="shared" si="23"/>
        <v>4.5</v>
      </c>
      <c r="BO63" s="974">
        <f t="shared" si="24"/>
        <v>11.200000000000003</v>
      </c>
      <c r="BP63" s="974">
        <f t="shared" si="16"/>
        <v>100</v>
      </c>
      <c r="BQ63" s="971" t="s">
        <v>2467</v>
      </c>
      <c r="BR63" s="975"/>
      <c r="BS63" s="975"/>
      <c r="BT63" s="975"/>
      <c r="BU63" s="975"/>
      <c r="BV63" s="975"/>
      <c r="BW63" s="975"/>
      <c r="BX63" s="971"/>
      <c r="DH63" s="977" t="str">
        <f t="shared" si="26"/>
        <v>Central African Republic</v>
      </c>
      <c r="DI63" s="977" t="str">
        <f t="shared" si="26"/>
        <v>Africa</v>
      </c>
      <c r="DJ63" s="977" t="str">
        <f t="shared" si="26"/>
        <v>Middle Africa</v>
      </c>
      <c r="DL63" s="977" t="s">
        <v>35</v>
      </c>
      <c r="DN63" s="977" t="s">
        <v>2844</v>
      </c>
      <c r="DO63" s="977" t="s">
        <v>2845</v>
      </c>
    </row>
    <row r="64" spans="3:119" ht="26">
      <c r="C64" s="836" t="s">
        <v>2854</v>
      </c>
      <c r="D64" s="986" t="s">
        <v>2783</v>
      </c>
      <c r="E64" s="955">
        <v>2404</v>
      </c>
      <c r="F64" s="956" t="s">
        <v>2569</v>
      </c>
      <c r="G64" s="957" t="s">
        <v>2784</v>
      </c>
      <c r="H64" s="956"/>
      <c r="I64" s="957"/>
      <c r="J64" s="956"/>
      <c r="AW64" s="969" t="s">
        <v>2847</v>
      </c>
      <c r="AX64" s="969" t="s">
        <v>2520</v>
      </c>
      <c r="AY64" s="970" t="str">
        <f>+BZ8</f>
        <v>Middle Africa</v>
      </c>
      <c r="AZ64" s="969">
        <v>655</v>
      </c>
      <c r="BA64" s="971" t="s">
        <v>2465</v>
      </c>
      <c r="BB64" s="972">
        <v>11.740747004194485</v>
      </c>
      <c r="BC64" s="971" t="s">
        <v>2774</v>
      </c>
      <c r="BD64" s="973"/>
      <c r="BE64" s="973"/>
      <c r="BF64" s="971"/>
      <c r="BG64" s="973"/>
      <c r="BH64" s="974">
        <f t="shared" si="17"/>
        <v>16.8</v>
      </c>
      <c r="BI64" s="974">
        <f t="shared" si="18"/>
        <v>2.5</v>
      </c>
      <c r="BJ64" s="974">
        <f t="shared" si="19"/>
        <v>43.4</v>
      </c>
      <c r="BK64" s="974">
        <f t="shared" si="20"/>
        <v>6.5</v>
      </c>
      <c r="BL64" s="974">
        <f t="shared" si="21"/>
        <v>9.5</v>
      </c>
      <c r="BM64" s="974">
        <f t="shared" si="22"/>
        <v>5.6</v>
      </c>
      <c r="BN64" s="974">
        <f t="shared" si="23"/>
        <v>4.5</v>
      </c>
      <c r="BO64" s="974">
        <f t="shared" si="24"/>
        <v>11.200000000000003</v>
      </c>
      <c r="BP64" s="974">
        <f t="shared" si="16"/>
        <v>100</v>
      </c>
      <c r="BQ64" s="971" t="s">
        <v>2467</v>
      </c>
      <c r="BR64" s="975"/>
      <c r="BS64" s="975"/>
      <c r="BT64" s="975"/>
      <c r="BU64" s="975"/>
      <c r="BV64" s="975"/>
      <c r="BW64" s="975"/>
      <c r="BX64" s="971"/>
      <c r="DH64" s="977" t="str">
        <f t="shared" si="26"/>
        <v>Chad</v>
      </c>
      <c r="DI64" s="977" t="str">
        <f t="shared" si="26"/>
        <v>Africa</v>
      </c>
      <c r="DJ64" s="977" t="str">
        <f t="shared" si="26"/>
        <v>Middle Africa</v>
      </c>
      <c r="DL64" s="977" t="s">
        <v>35</v>
      </c>
      <c r="DN64" s="977" t="s">
        <v>2848</v>
      </c>
      <c r="DO64" s="977" t="s">
        <v>2849</v>
      </c>
    </row>
    <row r="65" spans="3:119" ht="26">
      <c r="C65" s="836" t="s">
        <v>2858</v>
      </c>
      <c r="D65" s="986" t="s">
        <v>2783</v>
      </c>
      <c r="E65" s="955">
        <v>18</v>
      </c>
      <c r="F65" s="956" t="s">
        <v>2569</v>
      </c>
      <c r="G65" s="957" t="s">
        <v>2784</v>
      </c>
      <c r="H65" s="956"/>
      <c r="I65" s="957"/>
      <c r="J65" s="956"/>
      <c r="AW65" s="969" t="s">
        <v>2851</v>
      </c>
      <c r="AX65" s="969" t="s">
        <v>2493</v>
      </c>
      <c r="AY65" s="970" t="str">
        <f>+BZ13</f>
        <v>Northern Europe</v>
      </c>
      <c r="AZ65" s="969">
        <v>422</v>
      </c>
      <c r="BA65" s="971" t="s">
        <v>2465</v>
      </c>
      <c r="BB65" s="972">
        <v>6.2171813834411278</v>
      </c>
      <c r="BC65" s="971" t="s">
        <v>2550</v>
      </c>
      <c r="BD65" s="973"/>
      <c r="BE65" s="973"/>
      <c r="BF65" s="971"/>
      <c r="BG65" s="973"/>
      <c r="BH65" s="974">
        <f t="shared" si="17"/>
        <v>30.6</v>
      </c>
      <c r="BI65" s="974">
        <f t="shared" si="18"/>
        <v>2</v>
      </c>
      <c r="BJ65" s="974">
        <f t="shared" si="19"/>
        <v>23.8</v>
      </c>
      <c r="BK65" s="974">
        <f t="shared" si="20"/>
        <v>10</v>
      </c>
      <c r="BL65" s="974">
        <f t="shared" si="21"/>
        <v>9.5</v>
      </c>
      <c r="BM65" s="974">
        <f t="shared" si="22"/>
        <v>5.6</v>
      </c>
      <c r="BN65" s="974">
        <f t="shared" si="23"/>
        <v>13</v>
      </c>
      <c r="BO65" s="974">
        <f t="shared" si="24"/>
        <v>5.5</v>
      </c>
      <c r="BP65" s="974">
        <f t="shared" si="16"/>
        <v>100</v>
      </c>
      <c r="BQ65" s="971" t="s">
        <v>2467</v>
      </c>
      <c r="BR65" s="975"/>
      <c r="BS65" s="975"/>
      <c r="BT65" s="975"/>
      <c r="BU65" s="975"/>
      <c r="BV65" s="975"/>
      <c r="BW65" s="975"/>
      <c r="BX65" s="971"/>
      <c r="DH65" s="977" t="str">
        <f t="shared" si="26"/>
        <v>Channel Islands</v>
      </c>
      <c r="DI65" s="977" t="str">
        <f t="shared" si="26"/>
        <v>Europe</v>
      </c>
      <c r="DJ65" s="977" t="str">
        <f t="shared" si="26"/>
        <v>Northern Europe</v>
      </c>
      <c r="DL65" s="977" t="s">
        <v>35</v>
      </c>
      <c r="DN65" s="977" t="s">
        <v>2852</v>
      </c>
      <c r="DO65" s="977" t="s">
        <v>2853</v>
      </c>
    </row>
    <row r="66" spans="3:119">
      <c r="C66" s="836" t="s">
        <v>2863</v>
      </c>
      <c r="D66" s="986" t="s">
        <v>2783</v>
      </c>
      <c r="E66" s="955">
        <v>5</v>
      </c>
      <c r="F66" s="956" t="s">
        <v>2569</v>
      </c>
      <c r="G66" s="957" t="s">
        <v>2784</v>
      </c>
      <c r="H66" s="956"/>
      <c r="I66" s="957"/>
      <c r="J66" s="956"/>
      <c r="AW66" s="987" t="s">
        <v>42</v>
      </c>
      <c r="AX66" s="987" t="s">
        <v>2576</v>
      </c>
      <c r="AY66" s="991" t="str">
        <f>+BZ20</f>
        <v>South America</v>
      </c>
      <c r="AZ66" s="969">
        <v>418.7</v>
      </c>
      <c r="BA66" s="971" t="s">
        <v>2855</v>
      </c>
      <c r="BB66" s="972">
        <v>6.7350417796160187</v>
      </c>
      <c r="BC66" s="971" t="s">
        <v>2494</v>
      </c>
      <c r="BD66" s="973"/>
      <c r="BE66" s="973"/>
      <c r="BF66" s="971"/>
      <c r="BG66" s="973"/>
      <c r="BH66" s="974">
        <f t="shared" si="17"/>
        <v>17.100000000000001</v>
      </c>
      <c r="BI66" s="974">
        <f t="shared" si="18"/>
        <v>2.6</v>
      </c>
      <c r="BJ66" s="974">
        <f t="shared" si="19"/>
        <v>44.9</v>
      </c>
      <c r="BK66" s="974">
        <f t="shared" si="20"/>
        <v>4.7</v>
      </c>
      <c r="BL66" s="974">
        <f t="shared" si="21"/>
        <v>9.5</v>
      </c>
      <c r="BM66" s="974">
        <f t="shared" si="22"/>
        <v>5.6</v>
      </c>
      <c r="BN66" s="974">
        <f t="shared" si="23"/>
        <v>10.8</v>
      </c>
      <c r="BO66" s="974">
        <f t="shared" si="24"/>
        <v>4.8000000000000114</v>
      </c>
      <c r="BP66" s="974">
        <f t="shared" si="16"/>
        <v>100</v>
      </c>
      <c r="BQ66" s="971" t="s">
        <v>2467</v>
      </c>
      <c r="BR66" s="975"/>
      <c r="BS66" s="975"/>
      <c r="BT66" s="975"/>
      <c r="BU66" s="975"/>
      <c r="BV66" s="975"/>
      <c r="BW66" s="975"/>
      <c r="BX66" s="971"/>
      <c r="DH66" s="977" t="str">
        <f t="shared" si="26"/>
        <v>Chile</v>
      </c>
      <c r="DI66" s="977" t="str">
        <f t="shared" si="26"/>
        <v>Americas</v>
      </c>
      <c r="DJ66" s="977" t="str">
        <f t="shared" si="26"/>
        <v>South America</v>
      </c>
      <c r="DL66" s="977" t="s">
        <v>35</v>
      </c>
      <c r="DN66" s="977" t="s">
        <v>2856</v>
      </c>
      <c r="DO66" s="977" t="s">
        <v>2857</v>
      </c>
    </row>
    <row r="67" spans="3:119">
      <c r="C67" s="836" t="s">
        <v>2867</v>
      </c>
      <c r="D67" s="986" t="s">
        <v>2783</v>
      </c>
      <c r="E67" s="955">
        <v>465</v>
      </c>
      <c r="F67" s="956" t="s">
        <v>2569</v>
      </c>
      <c r="G67" s="957" t="s">
        <v>2784</v>
      </c>
      <c r="H67" s="956"/>
      <c r="I67" s="957"/>
      <c r="J67" s="956"/>
      <c r="AW67" s="987" t="s">
        <v>43</v>
      </c>
      <c r="AX67" s="987" t="s">
        <v>2464</v>
      </c>
      <c r="AY67" s="991" t="str">
        <f>+BZ3</f>
        <v>Eastern Asia</v>
      </c>
      <c r="AZ67" s="987">
        <v>555</v>
      </c>
      <c r="BA67" s="971" t="s">
        <v>2859</v>
      </c>
      <c r="BB67" s="992">
        <v>5.4712663559690737</v>
      </c>
      <c r="BC67" s="971" t="s">
        <v>2494</v>
      </c>
      <c r="BD67" s="973"/>
      <c r="BE67" s="987">
        <v>0.04</v>
      </c>
      <c r="BF67" s="971" t="s">
        <v>2860</v>
      </c>
      <c r="BG67" s="973"/>
      <c r="BH67" s="974">
        <f t="shared" si="17"/>
        <v>18.8</v>
      </c>
      <c r="BI67" s="974">
        <f t="shared" si="18"/>
        <v>3.5</v>
      </c>
      <c r="BJ67" s="974">
        <f t="shared" si="19"/>
        <v>26.2</v>
      </c>
      <c r="BK67" s="974">
        <f t="shared" si="20"/>
        <v>3.5</v>
      </c>
      <c r="BL67" s="974">
        <f t="shared" si="21"/>
        <v>9.5</v>
      </c>
      <c r="BM67" s="974">
        <f t="shared" si="22"/>
        <v>5.6</v>
      </c>
      <c r="BN67" s="974">
        <f t="shared" si="23"/>
        <v>14.3</v>
      </c>
      <c r="BO67" s="974">
        <f t="shared" si="24"/>
        <v>18.600000000000009</v>
      </c>
      <c r="BP67" s="974">
        <f t="shared" si="16"/>
        <v>100</v>
      </c>
      <c r="BQ67" s="971" t="s">
        <v>2467</v>
      </c>
      <c r="BR67" s="975"/>
      <c r="BS67" s="975"/>
      <c r="BT67" s="975"/>
      <c r="BU67" s="975"/>
      <c r="BV67" s="975"/>
      <c r="BW67" s="975"/>
      <c r="BX67" s="971"/>
      <c r="DH67" s="977" t="str">
        <f t="shared" si="26"/>
        <v>China</v>
      </c>
      <c r="DI67" s="977" t="str">
        <f t="shared" si="26"/>
        <v>Asia</v>
      </c>
      <c r="DJ67" s="977" t="str">
        <f t="shared" si="26"/>
        <v>Eastern Asia</v>
      </c>
      <c r="DK67" s="977" t="e">
        <f>VLOOKUP(DH67,#REF!,1)</f>
        <v>#REF!</v>
      </c>
      <c r="DL67" s="977" t="e">
        <f>VLOOKUP(DK67,#REF!,2,FALSE)</f>
        <v>#REF!</v>
      </c>
      <c r="DN67" s="977" t="s">
        <v>2861</v>
      </c>
      <c r="DO67" s="977" t="s">
        <v>2862</v>
      </c>
    </row>
    <row r="68" spans="3:119">
      <c r="C68" s="836" t="s">
        <v>2880</v>
      </c>
      <c r="D68" s="986" t="s">
        <v>2783</v>
      </c>
      <c r="E68" s="955">
        <v>30</v>
      </c>
      <c r="F68" s="956" t="s">
        <v>2569</v>
      </c>
      <c r="G68" s="957" t="s">
        <v>2784</v>
      </c>
      <c r="H68" s="956"/>
      <c r="I68" s="957"/>
      <c r="J68" s="956"/>
      <c r="AW68" s="987" t="s">
        <v>44</v>
      </c>
      <c r="AX68" s="987" t="s">
        <v>2576</v>
      </c>
      <c r="AY68" s="991" t="str">
        <f>+BZ20</f>
        <v>South America</v>
      </c>
      <c r="AZ68" s="987">
        <v>130</v>
      </c>
      <c r="BA68" s="971" t="s">
        <v>2864</v>
      </c>
      <c r="BB68" s="992">
        <v>10.67878079046084</v>
      </c>
      <c r="BC68" s="971" t="s">
        <v>2494</v>
      </c>
      <c r="BD68" s="987">
        <v>0.1</v>
      </c>
      <c r="BE68" s="987">
        <v>0.1</v>
      </c>
      <c r="BF68" s="971" t="s">
        <v>2679</v>
      </c>
      <c r="BG68" s="973"/>
      <c r="BH68" s="974">
        <f t="shared" si="17"/>
        <v>17.100000000000001</v>
      </c>
      <c r="BI68" s="974">
        <f t="shared" si="18"/>
        <v>2.6</v>
      </c>
      <c r="BJ68" s="974">
        <f t="shared" si="19"/>
        <v>44.9</v>
      </c>
      <c r="BK68" s="974">
        <f t="shared" si="20"/>
        <v>4.7</v>
      </c>
      <c r="BL68" s="974">
        <f t="shared" si="21"/>
        <v>9.5</v>
      </c>
      <c r="BM68" s="974">
        <f t="shared" si="22"/>
        <v>5.6</v>
      </c>
      <c r="BN68" s="974">
        <f t="shared" si="23"/>
        <v>10.8</v>
      </c>
      <c r="BO68" s="974">
        <f t="shared" si="24"/>
        <v>4.8000000000000114</v>
      </c>
      <c r="BP68" s="974">
        <f t="shared" ref="BP68:BP131" si="27">+SUM(BH68:BO68)</f>
        <v>100</v>
      </c>
      <c r="BQ68" s="971" t="s">
        <v>2467</v>
      </c>
      <c r="BR68" s="975"/>
      <c r="BS68" s="975"/>
      <c r="BT68" s="975"/>
      <c r="BU68" s="975"/>
      <c r="BV68" s="975"/>
      <c r="BW68" s="975"/>
      <c r="BX68" s="971"/>
      <c r="DH68" s="977" t="str">
        <f t="shared" si="26"/>
        <v>Colombia</v>
      </c>
      <c r="DI68" s="977" t="str">
        <f t="shared" si="26"/>
        <v>Americas</v>
      </c>
      <c r="DJ68" s="977" t="str">
        <f t="shared" si="26"/>
        <v>South America</v>
      </c>
      <c r="DL68" s="977" t="s">
        <v>35</v>
      </c>
      <c r="DN68" s="977" t="s">
        <v>2865</v>
      </c>
      <c r="DO68" s="977" t="s">
        <v>2866</v>
      </c>
    </row>
    <row r="69" spans="3:119" ht="26">
      <c r="C69" s="836" t="s">
        <v>2885</v>
      </c>
      <c r="D69" s="986" t="s">
        <v>2783</v>
      </c>
      <c r="E69" s="955">
        <v>123</v>
      </c>
      <c r="F69" s="956" t="s">
        <v>2569</v>
      </c>
      <c r="G69" s="957" t="s">
        <v>2784</v>
      </c>
      <c r="H69" s="956"/>
      <c r="I69" s="957"/>
      <c r="J69" s="956"/>
      <c r="AW69" s="969" t="s">
        <v>2868</v>
      </c>
      <c r="AX69" s="969" t="s">
        <v>2520</v>
      </c>
      <c r="AY69" s="970" t="str">
        <f>+BZ7</f>
        <v>Eastern Africa</v>
      </c>
      <c r="AZ69" s="969">
        <v>647</v>
      </c>
      <c r="BA69" s="971" t="s">
        <v>2465</v>
      </c>
      <c r="BB69" s="972">
        <v>11.740747004194485</v>
      </c>
      <c r="BC69" s="971" t="s">
        <v>2774</v>
      </c>
      <c r="BD69" s="973"/>
      <c r="BE69" s="973"/>
      <c r="BF69" s="971"/>
      <c r="BG69" s="973"/>
      <c r="BH69" s="974">
        <f t="shared" si="17"/>
        <v>7.7</v>
      </c>
      <c r="BI69" s="974">
        <f t="shared" si="18"/>
        <v>1.7</v>
      </c>
      <c r="BJ69" s="974">
        <f t="shared" si="19"/>
        <v>53.9</v>
      </c>
      <c r="BK69" s="974">
        <f t="shared" si="20"/>
        <v>7</v>
      </c>
      <c r="BL69" s="974">
        <f t="shared" si="21"/>
        <v>9.5</v>
      </c>
      <c r="BM69" s="974">
        <f t="shared" si="22"/>
        <v>5.6</v>
      </c>
      <c r="BN69" s="974">
        <f t="shared" si="23"/>
        <v>5.5</v>
      </c>
      <c r="BO69" s="974">
        <f t="shared" si="24"/>
        <v>9.1000000000000085</v>
      </c>
      <c r="BP69" s="974">
        <f t="shared" si="27"/>
        <v>100</v>
      </c>
      <c r="BQ69" s="971" t="s">
        <v>2467</v>
      </c>
      <c r="BR69" s="975"/>
      <c r="BS69" s="975"/>
      <c r="BT69" s="975"/>
      <c r="BU69" s="975"/>
      <c r="BV69" s="975"/>
      <c r="BW69" s="975"/>
      <c r="BX69" s="971"/>
      <c r="DH69" s="977" t="str">
        <f t="shared" si="26"/>
        <v>Comoros</v>
      </c>
      <c r="DI69" s="977" t="str">
        <f t="shared" si="26"/>
        <v>Africa</v>
      </c>
      <c r="DJ69" s="977" t="str">
        <f t="shared" si="26"/>
        <v>Eastern Africa</v>
      </c>
      <c r="DL69" s="977" t="s">
        <v>35</v>
      </c>
      <c r="DN69" s="977" t="s">
        <v>2869</v>
      </c>
      <c r="DO69" s="977" t="s">
        <v>2870</v>
      </c>
    </row>
    <row r="70" spans="3:119">
      <c r="C70" s="836" t="s">
        <v>2889</v>
      </c>
      <c r="D70" s="986" t="s">
        <v>2783</v>
      </c>
      <c r="E70" s="955">
        <v>903</v>
      </c>
      <c r="F70" s="956" t="s">
        <v>2569</v>
      </c>
      <c r="G70" s="957" t="s">
        <v>2784</v>
      </c>
      <c r="H70" s="956"/>
      <c r="I70" s="957"/>
      <c r="J70" s="956"/>
      <c r="AW70" s="969" t="s">
        <v>2871</v>
      </c>
      <c r="AX70" s="969" t="s">
        <v>2520</v>
      </c>
      <c r="AY70" s="970" t="str">
        <f>+BZ8</f>
        <v>Middle Africa</v>
      </c>
      <c r="AZ70" s="969">
        <v>43</v>
      </c>
      <c r="BA70" s="971" t="s">
        <v>2465</v>
      </c>
      <c r="BB70" s="972">
        <v>21.436651583710407</v>
      </c>
      <c r="BC70" s="971" t="s">
        <v>2494</v>
      </c>
      <c r="BD70" s="973"/>
      <c r="BE70" s="973"/>
      <c r="BF70" s="971"/>
      <c r="BG70" s="973"/>
      <c r="BH70" s="974">
        <f t="shared" si="17"/>
        <v>16.8</v>
      </c>
      <c r="BI70" s="974">
        <f t="shared" si="18"/>
        <v>2.5</v>
      </c>
      <c r="BJ70" s="974">
        <f t="shared" si="19"/>
        <v>43.4</v>
      </c>
      <c r="BK70" s="974">
        <f t="shared" si="20"/>
        <v>6.5</v>
      </c>
      <c r="BL70" s="974">
        <f t="shared" si="21"/>
        <v>9.5</v>
      </c>
      <c r="BM70" s="974">
        <f t="shared" si="22"/>
        <v>5.6</v>
      </c>
      <c r="BN70" s="974">
        <f t="shared" si="23"/>
        <v>4.5</v>
      </c>
      <c r="BO70" s="974">
        <f t="shared" si="24"/>
        <v>11.200000000000003</v>
      </c>
      <c r="BP70" s="974">
        <f t="shared" si="27"/>
        <v>100</v>
      </c>
      <c r="BQ70" s="971" t="s">
        <v>2467</v>
      </c>
      <c r="BR70" s="975"/>
      <c r="BS70" s="975"/>
      <c r="BT70" s="975"/>
      <c r="BU70" s="975"/>
      <c r="BV70" s="975"/>
      <c r="BW70" s="975"/>
      <c r="BX70" s="971"/>
      <c r="DH70" s="977" t="str">
        <f t="shared" si="26"/>
        <v>Congo. Democratic Republic of</v>
      </c>
      <c r="DI70" s="977" t="str">
        <f t="shared" si="26"/>
        <v>Africa</v>
      </c>
      <c r="DJ70" s="977" t="str">
        <f t="shared" si="26"/>
        <v>Middle Africa</v>
      </c>
      <c r="DL70" s="977" t="s">
        <v>35</v>
      </c>
      <c r="DN70" s="977" t="s">
        <v>2872</v>
      </c>
      <c r="DO70" s="977" t="s">
        <v>2873</v>
      </c>
    </row>
    <row r="71" spans="3:119">
      <c r="C71" s="836" t="s">
        <v>2893</v>
      </c>
      <c r="D71" s="986" t="s">
        <v>2783</v>
      </c>
      <c r="E71" s="955">
        <v>2508</v>
      </c>
      <c r="F71" s="956" t="s">
        <v>2569</v>
      </c>
      <c r="G71" s="957" t="s">
        <v>2784</v>
      </c>
      <c r="H71" s="956"/>
      <c r="I71" s="957"/>
      <c r="J71" s="956"/>
      <c r="AW71" s="969" t="s">
        <v>2874</v>
      </c>
      <c r="AX71" s="969" t="s">
        <v>2520</v>
      </c>
      <c r="AY71" s="970" t="str">
        <f>+BZ8</f>
        <v>Middle Africa</v>
      </c>
      <c r="AZ71" s="969">
        <v>342</v>
      </c>
      <c r="BA71" s="971" t="s">
        <v>2465</v>
      </c>
      <c r="BB71" s="972">
        <v>44.540229885057471</v>
      </c>
      <c r="BC71" s="971" t="s">
        <v>2494</v>
      </c>
      <c r="BD71" s="973"/>
      <c r="BE71" s="973"/>
      <c r="BF71" s="971"/>
      <c r="BG71" s="973"/>
      <c r="BH71" s="974">
        <f t="shared" si="17"/>
        <v>16.8</v>
      </c>
      <c r="BI71" s="974">
        <f t="shared" si="18"/>
        <v>2.5</v>
      </c>
      <c r="BJ71" s="974">
        <f t="shared" si="19"/>
        <v>43.4</v>
      </c>
      <c r="BK71" s="974">
        <f t="shared" si="20"/>
        <v>6.5</v>
      </c>
      <c r="BL71" s="974">
        <f t="shared" si="21"/>
        <v>9.5</v>
      </c>
      <c r="BM71" s="974">
        <f t="shared" si="22"/>
        <v>5.6</v>
      </c>
      <c r="BN71" s="974">
        <f t="shared" si="23"/>
        <v>4.5</v>
      </c>
      <c r="BO71" s="974">
        <f t="shared" si="24"/>
        <v>11.200000000000003</v>
      </c>
      <c r="BP71" s="974">
        <f t="shared" si="27"/>
        <v>100</v>
      </c>
      <c r="BQ71" s="971" t="s">
        <v>2467</v>
      </c>
      <c r="BR71" s="975"/>
      <c r="BS71" s="975"/>
      <c r="BT71" s="975"/>
      <c r="BU71" s="975"/>
      <c r="BV71" s="975"/>
      <c r="BW71" s="975"/>
      <c r="BX71" s="971"/>
      <c r="DH71" s="977" t="str">
        <f t="shared" si="26"/>
        <v>Congo. Republic of</v>
      </c>
      <c r="DI71" s="977" t="str">
        <f t="shared" si="26"/>
        <v>Africa</v>
      </c>
      <c r="DJ71" s="977" t="str">
        <f t="shared" si="26"/>
        <v>Middle Africa</v>
      </c>
      <c r="DL71" s="977" t="s">
        <v>35</v>
      </c>
      <c r="DN71" s="977" t="s">
        <v>2875</v>
      </c>
      <c r="DO71" s="977" t="s">
        <v>2876</v>
      </c>
    </row>
    <row r="72" spans="3:119" ht="26">
      <c r="C72" s="836" t="s">
        <v>2897</v>
      </c>
      <c r="D72" s="986" t="s">
        <v>2783</v>
      </c>
      <c r="E72" s="955">
        <v>3235</v>
      </c>
      <c r="F72" s="956" t="s">
        <v>2569</v>
      </c>
      <c r="G72" s="957" t="s">
        <v>2784</v>
      </c>
      <c r="H72" s="956"/>
      <c r="I72" s="957"/>
      <c r="J72" s="956"/>
      <c r="AW72" s="969" t="s">
        <v>2877</v>
      </c>
      <c r="AX72" s="987" t="s">
        <v>2536</v>
      </c>
      <c r="AY72" s="970" t="str">
        <f>+BZ17</f>
        <v>Rest of Oceania</v>
      </c>
      <c r="AZ72" s="969">
        <v>326</v>
      </c>
      <c r="BA72" s="971" t="s">
        <v>2465</v>
      </c>
      <c r="BB72" s="972">
        <v>5.4123414965002699</v>
      </c>
      <c r="BC72" s="971" t="s">
        <v>2537</v>
      </c>
      <c r="BD72" s="973"/>
      <c r="BE72" s="973"/>
      <c r="BF72" s="971"/>
      <c r="BG72" s="973"/>
      <c r="BH72" s="974">
        <f t="shared" si="17"/>
        <v>6</v>
      </c>
      <c r="BI72" s="974">
        <f t="shared" si="18"/>
        <v>2.97</v>
      </c>
      <c r="BJ72" s="974">
        <f t="shared" si="19"/>
        <v>67.5</v>
      </c>
      <c r="BK72" s="974">
        <f t="shared" si="20"/>
        <v>2.5</v>
      </c>
      <c r="BL72" s="974">
        <f t="shared" si="21"/>
        <v>9.5</v>
      </c>
      <c r="BM72" s="974">
        <f t="shared" si="22"/>
        <v>5.6</v>
      </c>
      <c r="BN72" s="974">
        <f t="shared" si="23"/>
        <v>2.97</v>
      </c>
      <c r="BO72" s="974">
        <f t="shared" si="24"/>
        <v>2.9666666666666668</v>
      </c>
      <c r="BP72" s="974">
        <f t="shared" si="27"/>
        <v>100.00666666666666</v>
      </c>
      <c r="BQ72" s="971" t="s">
        <v>2467</v>
      </c>
      <c r="BR72" s="975"/>
      <c r="BS72" s="975"/>
      <c r="BT72" s="975"/>
      <c r="BU72" s="975"/>
      <c r="BV72" s="975"/>
      <c r="BW72" s="975"/>
      <c r="BX72" s="971"/>
      <c r="DH72" s="977" t="str">
        <f t="shared" si="26"/>
        <v>Cook Islands</v>
      </c>
      <c r="DI72" s="977" t="str">
        <f t="shared" si="26"/>
        <v>Oceania</v>
      </c>
      <c r="DJ72" s="977" t="str">
        <f t="shared" si="26"/>
        <v>Rest of Oceania</v>
      </c>
      <c r="DL72" s="977" t="s">
        <v>35</v>
      </c>
      <c r="DN72" s="977" t="s">
        <v>2878</v>
      </c>
      <c r="DO72" s="977" t="s">
        <v>2879</v>
      </c>
    </row>
    <row r="73" spans="3:119">
      <c r="C73" s="836" t="s">
        <v>2901</v>
      </c>
      <c r="D73" s="986" t="s">
        <v>2783</v>
      </c>
      <c r="E73" s="955">
        <v>1935</v>
      </c>
      <c r="F73" s="956" t="s">
        <v>2569</v>
      </c>
      <c r="G73" s="957" t="s">
        <v>2784</v>
      </c>
      <c r="H73" s="956"/>
      <c r="I73" s="957"/>
      <c r="J73" s="956"/>
      <c r="AW73" s="987" t="s">
        <v>45</v>
      </c>
      <c r="AX73" s="987" t="s">
        <v>2576</v>
      </c>
      <c r="AY73" s="991" t="str">
        <f>+BZ19</f>
        <v>Central America</v>
      </c>
      <c r="AZ73" s="987">
        <v>36.5</v>
      </c>
      <c r="BA73" s="971" t="s">
        <v>2881</v>
      </c>
      <c r="BB73" s="992">
        <v>10.82509542918665</v>
      </c>
      <c r="BC73" s="971" t="s">
        <v>2494</v>
      </c>
      <c r="BD73" s="973"/>
      <c r="BE73" s="973"/>
      <c r="BF73" s="971"/>
      <c r="BG73" s="973"/>
      <c r="BH73" s="952">
        <v>14</v>
      </c>
      <c r="BI73" s="952">
        <v>3</v>
      </c>
      <c r="BJ73" s="952">
        <v>40</v>
      </c>
      <c r="BK73" s="952">
        <v>2</v>
      </c>
      <c r="BL73" s="952">
        <v>4</v>
      </c>
      <c r="BM73" s="952">
        <v>8</v>
      </c>
      <c r="BN73" s="952">
        <v>29</v>
      </c>
      <c r="BO73" s="952">
        <f>100-SUM(BH73:BN73)</f>
        <v>0</v>
      </c>
      <c r="BP73" s="974">
        <f t="shared" si="27"/>
        <v>100</v>
      </c>
      <c r="BQ73" s="963" t="s">
        <v>2882</v>
      </c>
      <c r="BR73" s="1002"/>
      <c r="BS73" s="1002"/>
      <c r="BT73" s="1002"/>
      <c r="BU73" s="1002"/>
      <c r="BV73" s="1002"/>
      <c r="BW73" s="1002"/>
      <c r="BX73" s="963"/>
      <c r="DH73" s="977" t="str">
        <f t="shared" si="26"/>
        <v>Costa Rica</v>
      </c>
      <c r="DI73" s="977" t="str">
        <f t="shared" si="26"/>
        <v>Americas</v>
      </c>
      <c r="DJ73" s="977" t="str">
        <f t="shared" si="26"/>
        <v>Central America</v>
      </c>
      <c r="DL73" s="977" t="s">
        <v>35</v>
      </c>
      <c r="DN73" s="977" t="s">
        <v>2883</v>
      </c>
      <c r="DO73" s="977" t="s">
        <v>2884</v>
      </c>
    </row>
    <row r="74" spans="3:119">
      <c r="C74" s="836" t="s">
        <v>2905</v>
      </c>
      <c r="D74" s="986" t="s">
        <v>2783</v>
      </c>
      <c r="E74" s="955">
        <v>4</v>
      </c>
      <c r="F74" s="956" t="s">
        <v>2569</v>
      </c>
      <c r="G74" s="957" t="s">
        <v>2784</v>
      </c>
      <c r="H74" s="956"/>
      <c r="I74" s="957"/>
      <c r="J74" s="956"/>
      <c r="AW74" s="969" t="s">
        <v>2886</v>
      </c>
      <c r="AX74" s="969" t="s">
        <v>2520</v>
      </c>
      <c r="AY74" s="970" t="str">
        <f>+BZ11</f>
        <v>Western Africa</v>
      </c>
      <c r="AZ74" s="969">
        <v>436</v>
      </c>
      <c r="BA74" s="971" t="s">
        <v>2465</v>
      </c>
      <c r="BB74" s="972">
        <v>14.325368090755491</v>
      </c>
      <c r="BC74" s="971" t="s">
        <v>2494</v>
      </c>
      <c r="BD74" s="973"/>
      <c r="BE74" s="973"/>
      <c r="BF74" s="971"/>
      <c r="BG74" s="973"/>
      <c r="BH74" s="974">
        <f t="shared" ref="BH74:BH137" si="28">+VLOOKUP($AY74,$BZ$3:$CH$21,2,FALSE)</f>
        <v>9.8000000000000007</v>
      </c>
      <c r="BI74" s="974">
        <f t="shared" ref="BI74:BI137" si="29">+VLOOKUP($AY74,$BZ$3:$CH$21,3,FALSE)</f>
        <v>1</v>
      </c>
      <c r="BJ74" s="974">
        <f t="shared" ref="BJ74:BJ137" si="30">+VLOOKUP($AY74,$BZ$3:$CH$21,4,FALSE)</f>
        <v>40.4</v>
      </c>
      <c r="BK74" s="974">
        <f t="shared" ref="BK74:BK137" si="31">+VLOOKUP($AY74,$BZ$3:$CH$21,5,FALSE)</f>
        <v>4.4000000000000004</v>
      </c>
      <c r="BL74" s="974">
        <f t="shared" ref="BL74:BL137" si="32">+VLOOKUP($AY74,$BZ$3:$CH$21,6,FALSE)</f>
        <v>9.5</v>
      </c>
      <c r="BM74" s="974">
        <f t="shared" ref="BM74:BM137" si="33">+VLOOKUP($AY74,$BZ$3:$CH$21,7,FALSE)</f>
        <v>5.6</v>
      </c>
      <c r="BN74" s="974">
        <f t="shared" ref="BN74:BN137" si="34">+VLOOKUP($AY74,$BZ$3:$CH$21,8,FALSE)</f>
        <v>3</v>
      </c>
      <c r="BO74" s="974">
        <f t="shared" ref="BO74:BO137" si="35">+VLOOKUP($AY74,$BZ$3:$CH$21,9,FALSE)</f>
        <v>26.300000000000011</v>
      </c>
      <c r="BP74" s="974">
        <f t="shared" si="27"/>
        <v>100</v>
      </c>
      <c r="BQ74" s="971" t="s">
        <v>2467</v>
      </c>
      <c r="BR74" s="975"/>
      <c r="BS74" s="975"/>
      <c r="BT74" s="975"/>
      <c r="BU74" s="975"/>
      <c r="BV74" s="975"/>
      <c r="BW74" s="975"/>
      <c r="BX74" s="971"/>
      <c r="DH74" s="977" t="str">
        <f t="shared" si="26"/>
        <v>Côte d'Ivoire</v>
      </c>
      <c r="DI74" s="977" t="str">
        <f t="shared" si="26"/>
        <v>Africa</v>
      </c>
      <c r="DJ74" s="977" t="str">
        <f t="shared" si="26"/>
        <v>Western Africa</v>
      </c>
      <c r="DL74" s="977" t="s">
        <v>35</v>
      </c>
      <c r="DN74" s="977" t="s">
        <v>2887</v>
      </c>
      <c r="DO74" s="977" t="s">
        <v>2888</v>
      </c>
    </row>
    <row r="75" spans="3:119">
      <c r="C75" s="836" t="s">
        <v>2909</v>
      </c>
      <c r="D75" s="986" t="s">
        <v>2783</v>
      </c>
      <c r="E75" s="955">
        <v>3171</v>
      </c>
      <c r="F75" s="956" t="s">
        <v>2569</v>
      </c>
      <c r="G75" s="957" t="s">
        <v>2784</v>
      </c>
      <c r="H75" s="956"/>
      <c r="I75" s="957"/>
      <c r="J75" s="956"/>
      <c r="AW75" s="969" t="s">
        <v>2890</v>
      </c>
      <c r="AX75" s="969" t="s">
        <v>2493</v>
      </c>
      <c r="AY75" s="970" t="str">
        <f>+BZ14</f>
        <v>Southern Europe</v>
      </c>
      <c r="AZ75" s="969">
        <v>210</v>
      </c>
      <c r="BA75" s="971" t="s">
        <v>2678</v>
      </c>
      <c r="BB75" s="972">
        <v>13.128907412920512</v>
      </c>
      <c r="BC75" s="971" t="s">
        <v>2494</v>
      </c>
      <c r="BD75" s="987">
        <v>5.7500000000000002E-2</v>
      </c>
      <c r="BE75" s="987">
        <v>0.01</v>
      </c>
      <c r="BF75" s="971" t="s">
        <v>2679</v>
      </c>
      <c r="BG75" s="973"/>
      <c r="BH75" s="974">
        <f t="shared" si="28"/>
        <v>17</v>
      </c>
      <c r="BI75" s="974">
        <f t="shared" si="29"/>
        <v>6.8</v>
      </c>
      <c r="BJ75" s="974">
        <f t="shared" si="30"/>
        <v>36.9</v>
      </c>
      <c r="BK75" s="974">
        <f t="shared" si="31"/>
        <v>10.6</v>
      </c>
      <c r="BL75" s="974">
        <f t="shared" si="32"/>
        <v>9.5</v>
      </c>
      <c r="BM75" s="974">
        <f t="shared" si="33"/>
        <v>5.6</v>
      </c>
      <c r="BN75" s="974">
        <f t="shared" si="34"/>
        <v>6.8</v>
      </c>
      <c r="BO75" s="974">
        <f t="shared" si="35"/>
        <v>6.8</v>
      </c>
      <c r="BP75" s="974">
        <f t="shared" si="27"/>
        <v>99.999999999999986</v>
      </c>
      <c r="BQ75" s="971" t="s">
        <v>2467</v>
      </c>
      <c r="BR75" s="975"/>
      <c r="BS75" s="975"/>
      <c r="BT75" s="975"/>
      <c r="BU75" s="975"/>
      <c r="BV75" s="975"/>
      <c r="BW75" s="975"/>
      <c r="BX75" s="971"/>
      <c r="DH75" s="977" t="str">
        <f t="shared" si="26"/>
        <v>Croatia</v>
      </c>
      <c r="DI75" s="977" t="str">
        <f t="shared" si="26"/>
        <v>Europe</v>
      </c>
      <c r="DJ75" s="977" t="str">
        <f t="shared" si="26"/>
        <v>Southern Europe</v>
      </c>
      <c r="DK75" s="977" t="e">
        <f>VLOOKUP(DH75,#REF!,1)</f>
        <v>#REF!</v>
      </c>
      <c r="DL75" s="977" t="e">
        <f>VLOOKUP(DK75,#REF!,2,FALSE)</f>
        <v>#REF!</v>
      </c>
      <c r="DN75" s="977" t="s">
        <v>2891</v>
      </c>
      <c r="DO75" s="977" t="s">
        <v>2892</v>
      </c>
    </row>
    <row r="76" spans="3:119">
      <c r="C76" s="836" t="s">
        <v>2913</v>
      </c>
      <c r="D76" s="986" t="s">
        <v>2783</v>
      </c>
      <c r="E76" s="955">
        <v>2548</v>
      </c>
      <c r="F76" s="956" t="s">
        <v>2569</v>
      </c>
      <c r="G76" s="957" t="s">
        <v>2784</v>
      </c>
      <c r="H76" s="956"/>
      <c r="I76" s="957"/>
      <c r="J76" s="956"/>
      <c r="AW76" s="969" t="s">
        <v>2894</v>
      </c>
      <c r="AX76" s="987" t="s">
        <v>2576</v>
      </c>
      <c r="AY76" s="970" t="str">
        <f>+BZ21</f>
        <v>Caribbean</v>
      </c>
      <c r="AZ76" s="969">
        <v>598</v>
      </c>
      <c r="BA76" s="971" t="s">
        <v>2465</v>
      </c>
      <c r="BB76" s="972">
        <v>15.289682949499122</v>
      </c>
      <c r="BC76" s="971" t="s">
        <v>2494</v>
      </c>
      <c r="BD76" s="973"/>
      <c r="BE76" s="973"/>
      <c r="BF76" s="971"/>
      <c r="BG76" s="973"/>
      <c r="BH76" s="974">
        <f t="shared" si="28"/>
        <v>17</v>
      </c>
      <c r="BI76" s="974">
        <f t="shared" si="29"/>
        <v>5.0999999999999996</v>
      </c>
      <c r="BJ76" s="974">
        <f t="shared" si="30"/>
        <v>46.9</v>
      </c>
      <c r="BK76" s="974">
        <f t="shared" si="31"/>
        <v>2.4</v>
      </c>
      <c r="BL76" s="974">
        <f t="shared" si="32"/>
        <v>9.5</v>
      </c>
      <c r="BM76" s="974">
        <f t="shared" si="33"/>
        <v>5.6</v>
      </c>
      <c r="BN76" s="974">
        <f t="shared" si="34"/>
        <v>9.9</v>
      </c>
      <c r="BO76" s="974">
        <f t="shared" si="35"/>
        <v>3.5999999999999943</v>
      </c>
      <c r="BP76" s="974">
        <f t="shared" si="27"/>
        <v>100</v>
      </c>
      <c r="BQ76" s="971" t="s">
        <v>2467</v>
      </c>
      <c r="BR76" s="975"/>
      <c r="BS76" s="975"/>
      <c r="BT76" s="975"/>
      <c r="BU76" s="975"/>
      <c r="BV76" s="975"/>
      <c r="BW76" s="975"/>
      <c r="BX76" s="971"/>
      <c r="DH76" s="977" t="str">
        <f t="shared" si="26"/>
        <v>Cuba</v>
      </c>
      <c r="DI76" s="977" t="str">
        <f t="shared" si="26"/>
        <v>Americas</v>
      </c>
      <c r="DJ76" s="977" t="str">
        <f t="shared" si="26"/>
        <v>Caribbean</v>
      </c>
      <c r="DL76" s="977" t="s">
        <v>35</v>
      </c>
      <c r="DN76" s="977" t="s">
        <v>2895</v>
      </c>
      <c r="DO76" s="977" t="s">
        <v>2896</v>
      </c>
    </row>
    <row r="77" spans="3:119" ht="26">
      <c r="C77" s="836" t="s">
        <v>2917</v>
      </c>
      <c r="D77" s="986" t="s">
        <v>2783</v>
      </c>
      <c r="E77" s="955">
        <v>1346</v>
      </c>
      <c r="F77" s="956" t="s">
        <v>2569</v>
      </c>
      <c r="G77" s="957" t="s">
        <v>2784</v>
      </c>
      <c r="H77" s="956"/>
      <c r="I77" s="957"/>
      <c r="J77" s="956"/>
      <c r="AW77" s="969" t="s">
        <v>2898</v>
      </c>
      <c r="AX77" s="987" t="s">
        <v>2576</v>
      </c>
      <c r="AY77" s="970" t="str">
        <f>+BZ21</f>
        <v>Caribbean</v>
      </c>
      <c r="AZ77" s="969">
        <v>466</v>
      </c>
      <c r="BA77" s="971" t="s">
        <v>2465</v>
      </c>
      <c r="BB77" s="972">
        <v>9.3894684857089938</v>
      </c>
      <c r="BC77" s="971" t="s">
        <v>2577</v>
      </c>
      <c r="BD77" s="973"/>
      <c r="BE77" s="973"/>
      <c r="BF77" s="971"/>
      <c r="BG77" s="973"/>
      <c r="BH77" s="974">
        <f t="shared" si="28"/>
        <v>17</v>
      </c>
      <c r="BI77" s="974">
        <f t="shared" si="29"/>
        <v>5.0999999999999996</v>
      </c>
      <c r="BJ77" s="974">
        <f t="shared" si="30"/>
        <v>46.9</v>
      </c>
      <c r="BK77" s="974">
        <f t="shared" si="31"/>
        <v>2.4</v>
      </c>
      <c r="BL77" s="974">
        <f t="shared" si="32"/>
        <v>9.5</v>
      </c>
      <c r="BM77" s="974">
        <f t="shared" si="33"/>
        <v>5.6</v>
      </c>
      <c r="BN77" s="974">
        <f t="shared" si="34"/>
        <v>9.9</v>
      </c>
      <c r="BO77" s="974">
        <f t="shared" si="35"/>
        <v>3.5999999999999943</v>
      </c>
      <c r="BP77" s="974">
        <f t="shared" si="27"/>
        <v>100</v>
      </c>
      <c r="BQ77" s="971" t="s">
        <v>2467</v>
      </c>
      <c r="BR77" s="975"/>
      <c r="BS77" s="975"/>
      <c r="BT77" s="975"/>
      <c r="BU77" s="975"/>
      <c r="BV77" s="975"/>
      <c r="BW77" s="975"/>
      <c r="BX77" s="971"/>
      <c r="DH77" s="977" t="str">
        <f t="shared" ref="DH77:DJ98" si="36">AW77</f>
        <v>Curaçao (Netherlands)</v>
      </c>
      <c r="DI77" s="977" t="str">
        <f t="shared" si="36"/>
        <v>Americas</v>
      </c>
      <c r="DJ77" s="977" t="str">
        <f t="shared" si="36"/>
        <v>Caribbean</v>
      </c>
      <c r="DL77" s="977" t="s">
        <v>35</v>
      </c>
      <c r="DN77" s="977" t="s">
        <v>2899</v>
      </c>
      <c r="DO77" s="977" t="s">
        <v>2900</v>
      </c>
    </row>
    <row r="78" spans="3:119">
      <c r="C78" s="836" t="s">
        <v>2921</v>
      </c>
      <c r="D78" s="986" t="s">
        <v>2783</v>
      </c>
      <c r="E78" s="955">
        <v>2812</v>
      </c>
      <c r="F78" s="956" t="s">
        <v>2569</v>
      </c>
      <c r="G78" s="957" t="s">
        <v>2784</v>
      </c>
      <c r="H78" s="956"/>
      <c r="I78" s="957"/>
      <c r="J78" s="956"/>
      <c r="AW78" s="969" t="s">
        <v>2902</v>
      </c>
      <c r="AX78" s="969" t="s">
        <v>2464</v>
      </c>
      <c r="AY78" s="970" t="str">
        <f>+BZ6</f>
        <v>Western Asia &amp; Middle East</v>
      </c>
      <c r="AZ78" s="969">
        <v>676.9</v>
      </c>
      <c r="BA78" s="971" t="s">
        <v>2678</v>
      </c>
      <c r="BB78" s="972">
        <v>3.9770114942528738</v>
      </c>
      <c r="BC78" s="971" t="s">
        <v>2494</v>
      </c>
      <c r="BD78" s="973"/>
      <c r="BE78" s="973"/>
      <c r="BF78" s="971"/>
      <c r="BG78" s="973"/>
      <c r="BH78" s="974">
        <f t="shared" si="28"/>
        <v>18</v>
      </c>
      <c r="BI78" s="974">
        <f t="shared" si="29"/>
        <v>2.9</v>
      </c>
      <c r="BJ78" s="974">
        <f t="shared" si="30"/>
        <v>41.1</v>
      </c>
      <c r="BK78" s="974">
        <f t="shared" si="31"/>
        <v>9.8000000000000007</v>
      </c>
      <c r="BL78" s="974">
        <f t="shared" si="32"/>
        <v>9.5</v>
      </c>
      <c r="BM78" s="974">
        <f t="shared" si="33"/>
        <v>5.6</v>
      </c>
      <c r="BN78" s="974">
        <f t="shared" si="34"/>
        <v>6.3</v>
      </c>
      <c r="BO78" s="974">
        <f t="shared" si="35"/>
        <v>6.8000000000000114</v>
      </c>
      <c r="BP78" s="974">
        <f t="shared" si="27"/>
        <v>100</v>
      </c>
      <c r="BQ78" s="971" t="s">
        <v>2467</v>
      </c>
      <c r="BR78" s="975"/>
      <c r="BS78" s="975"/>
      <c r="BT78" s="975"/>
      <c r="BU78" s="975"/>
      <c r="BV78" s="975"/>
      <c r="BW78" s="975"/>
      <c r="BX78" s="971"/>
      <c r="DH78" s="977" t="str">
        <f t="shared" si="36"/>
        <v>Cyprus</v>
      </c>
      <c r="DI78" s="977" t="str">
        <f t="shared" si="36"/>
        <v>Asia</v>
      </c>
      <c r="DJ78" s="977" t="str">
        <f t="shared" si="36"/>
        <v>Western Asia &amp; Middle East</v>
      </c>
      <c r="DK78" s="977" t="e">
        <f>VLOOKUP(DH78,#REF!,1)</f>
        <v>#REF!</v>
      </c>
      <c r="DL78" s="977" t="e">
        <f>VLOOKUP(DK78,#REF!,2,FALSE)</f>
        <v>#REF!</v>
      </c>
      <c r="DN78" s="977" t="s">
        <v>2903</v>
      </c>
      <c r="DO78" s="977" t="s">
        <v>2904</v>
      </c>
    </row>
    <row r="79" spans="3:119">
      <c r="C79" s="836" t="s">
        <v>2925</v>
      </c>
      <c r="D79" s="986" t="s">
        <v>2783</v>
      </c>
      <c r="E79" s="955">
        <v>3409</v>
      </c>
      <c r="F79" s="956" t="s">
        <v>2569</v>
      </c>
      <c r="G79" s="957" t="s">
        <v>2784</v>
      </c>
      <c r="H79" s="956"/>
      <c r="I79" s="957"/>
      <c r="J79" s="956"/>
      <c r="AW79" s="969" t="s">
        <v>2906</v>
      </c>
      <c r="AX79" s="969" t="s">
        <v>2493</v>
      </c>
      <c r="AY79" s="970" t="str">
        <f>+BZ12</f>
        <v>Eastern Europe</v>
      </c>
      <c r="AZ79" s="969">
        <v>512.70000000000005</v>
      </c>
      <c r="BA79" s="971" t="s">
        <v>2678</v>
      </c>
      <c r="BB79" s="972">
        <v>4.5207765347372382</v>
      </c>
      <c r="BC79" s="971" t="s">
        <v>2494</v>
      </c>
      <c r="BD79" s="987">
        <v>5.7500000000000002E-2</v>
      </c>
      <c r="BE79" s="987">
        <v>0.04</v>
      </c>
      <c r="BF79" s="971" t="s">
        <v>2679</v>
      </c>
      <c r="BG79" s="973"/>
      <c r="BH79" s="974">
        <f t="shared" si="28"/>
        <v>21.8</v>
      </c>
      <c r="BI79" s="974">
        <f t="shared" si="29"/>
        <v>4.7</v>
      </c>
      <c r="BJ79" s="974">
        <f t="shared" si="30"/>
        <v>30.1</v>
      </c>
      <c r="BK79" s="974">
        <f t="shared" si="31"/>
        <v>7.5</v>
      </c>
      <c r="BL79" s="974">
        <f t="shared" si="32"/>
        <v>9.5</v>
      </c>
      <c r="BM79" s="974">
        <f t="shared" si="33"/>
        <v>5.6</v>
      </c>
      <c r="BN79" s="974">
        <f t="shared" si="34"/>
        <v>6.2</v>
      </c>
      <c r="BO79" s="974">
        <f t="shared" si="35"/>
        <v>14.600000000000009</v>
      </c>
      <c r="BP79" s="974">
        <f t="shared" si="27"/>
        <v>100</v>
      </c>
      <c r="BQ79" s="971" t="s">
        <v>2467</v>
      </c>
      <c r="BR79" s="975"/>
      <c r="BS79" s="975"/>
      <c r="BT79" s="975"/>
      <c r="BU79" s="975"/>
      <c r="BV79" s="975"/>
      <c r="BW79" s="975"/>
      <c r="BX79" s="971"/>
      <c r="DH79" s="977" t="str">
        <f t="shared" si="36"/>
        <v>Czechia</v>
      </c>
      <c r="DI79" s="977" t="str">
        <f t="shared" si="36"/>
        <v>Europe</v>
      </c>
      <c r="DJ79" s="977" t="str">
        <f t="shared" si="36"/>
        <v>Eastern Europe</v>
      </c>
      <c r="DK79" s="977" t="e">
        <f>VLOOKUP(DH79,#REF!,1)</f>
        <v>#REF!</v>
      </c>
      <c r="DL79" s="977" t="e">
        <f>VLOOKUP(DK79,#REF!,2,FALSE)</f>
        <v>#REF!</v>
      </c>
      <c r="DN79" s="977" t="s">
        <v>2907</v>
      </c>
      <c r="DO79" s="977" t="s">
        <v>2908</v>
      </c>
    </row>
    <row r="80" spans="3:119">
      <c r="C80" s="836" t="s">
        <v>2929</v>
      </c>
      <c r="D80" s="986" t="s">
        <v>2783</v>
      </c>
      <c r="E80" s="955">
        <v>3359</v>
      </c>
      <c r="F80" s="956" t="s">
        <v>2569</v>
      </c>
      <c r="G80" s="957" t="s">
        <v>2784</v>
      </c>
      <c r="H80" s="956"/>
      <c r="I80" s="957"/>
      <c r="J80" s="956"/>
      <c r="AW80" s="969" t="s">
        <v>2910</v>
      </c>
      <c r="AX80" s="969" t="s">
        <v>2493</v>
      </c>
      <c r="AY80" s="970" t="str">
        <f>+BZ13</f>
        <v>Northern Europe</v>
      </c>
      <c r="AZ80" s="969">
        <v>166.1</v>
      </c>
      <c r="BA80" s="971" t="s">
        <v>2678</v>
      </c>
      <c r="BB80" s="972">
        <v>6.1334824757643549</v>
      </c>
      <c r="BC80" s="971" t="s">
        <v>2494</v>
      </c>
      <c r="BD80" s="987">
        <v>5.7500000000000002E-2</v>
      </c>
      <c r="BE80" s="987">
        <v>5.7500000000000002E-2</v>
      </c>
      <c r="BF80" s="971" t="s">
        <v>2679</v>
      </c>
      <c r="BG80" s="973"/>
      <c r="BH80" s="974">
        <f t="shared" si="28"/>
        <v>30.6</v>
      </c>
      <c r="BI80" s="974">
        <f t="shared" si="29"/>
        <v>2</v>
      </c>
      <c r="BJ80" s="974">
        <f t="shared" si="30"/>
        <v>23.8</v>
      </c>
      <c r="BK80" s="974">
        <f t="shared" si="31"/>
        <v>10</v>
      </c>
      <c r="BL80" s="974">
        <f t="shared" si="32"/>
        <v>9.5</v>
      </c>
      <c r="BM80" s="974">
        <f t="shared" si="33"/>
        <v>5.6</v>
      </c>
      <c r="BN80" s="974">
        <f t="shared" si="34"/>
        <v>13</v>
      </c>
      <c r="BO80" s="974">
        <f t="shared" si="35"/>
        <v>5.5</v>
      </c>
      <c r="BP80" s="974">
        <f t="shared" si="27"/>
        <v>100</v>
      </c>
      <c r="BQ80" s="971" t="s">
        <v>2467</v>
      </c>
      <c r="BR80" s="975"/>
      <c r="BS80" s="975"/>
      <c r="BT80" s="975"/>
      <c r="BU80" s="975"/>
      <c r="BV80" s="975"/>
      <c r="BW80" s="975"/>
      <c r="BX80" s="971"/>
      <c r="DH80" s="977" t="str">
        <f t="shared" si="36"/>
        <v>Denmark</v>
      </c>
      <c r="DI80" s="977" t="str">
        <f t="shared" si="36"/>
        <v>Europe</v>
      </c>
      <c r="DJ80" s="977" t="str">
        <f t="shared" si="36"/>
        <v>Northern Europe</v>
      </c>
      <c r="DK80" s="977" t="e">
        <f>VLOOKUP(DH80,#REF!,1)</f>
        <v>#REF!</v>
      </c>
      <c r="DL80" s="977" t="e">
        <f>VLOOKUP(DK80,#REF!,2,FALSE)</f>
        <v>#REF!</v>
      </c>
      <c r="DN80" s="977" t="s">
        <v>2911</v>
      </c>
      <c r="DO80" s="977" t="s">
        <v>2912</v>
      </c>
    </row>
    <row r="81" spans="3:119" ht="26">
      <c r="C81" s="836" t="s">
        <v>2932</v>
      </c>
      <c r="D81" s="986" t="s">
        <v>2783</v>
      </c>
      <c r="E81" s="955">
        <v>2700</v>
      </c>
      <c r="F81" s="956" t="s">
        <v>2569</v>
      </c>
      <c r="G81" s="957" t="s">
        <v>2784</v>
      </c>
      <c r="H81" s="956"/>
      <c r="I81" s="957"/>
      <c r="J81" s="956"/>
      <c r="AW81" s="969" t="s">
        <v>2914</v>
      </c>
      <c r="AX81" s="969" t="s">
        <v>2520</v>
      </c>
      <c r="AY81" s="970" t="str">
        <f>+BZ7</f>
        <v>Eastern Africa</v>
      </c>
      <c r="AZ81" s="969">
        <v>639</v>
      </c>
      <c r="BA81" s="971" t="s">
        <v>2465</v>
      </c>
      <c r="BB81" s="972">
        <v>13.490630673342661</v>
      </c>
      <c r="BC81" s="971" t="s">
        <v>2725</v>
      </c>
      <c r="BD81" s="973"/>
      <c r="BE81" s="973"/>
      <c r="BF81" s="971"/>
      <c r="BG81" s="973"/>
      <c r="BH81" s="974">
        <f t="shared" si="28"/>
        <v>7.7</v>
      </c>
      <c r="BI81" s="974">
        <f t="shared" si="29"/>
        <v>1.7</v>
      </c>
      <c r="BJ81" s="974">
        <f t="shared" si="30"/>
        <v>53.9</v>
      </c>
      <c r="BK81" s="974">
        <f t="shared" si="31"/>
        <v>7</v>
      </c>
      <c r="BL81" s="974">
        <f t="shared" si="32"/>
        <v>9.5</v>
      </c>
      <c r="BM81" s="974">
        <f t="shared" si="33"/>
        <v>5.6</v>
      </c>
      <c r="BN81" s="974">
        <f t="shared" si="34"/>
        <v>5.5</v>
      </c>
      <c r="BO81" s="974">
        <f t="shared" si="35"/>
        <v>9.1000000000000085</v>
      </c>
      <c r="BP81" s="974">
        <f t="shared" si="27"/>
        <v>100</v>
      </c>
      <c r="BQ81" s="971" t="s">
        <v>2467</v>
      </c>
      <c r="BR81" s="975"/>
      <c r="BS81" s="975"/>
      <c r="BT81" s="975"/>
      <c r="BU81" s="975"/>
      <c r="BV81" s="975"/>
      <c r="BW81" s="975"/>
      <c r="BX81" s="971"/>
      <c r="DH81" s="977" t="str">
        <f t="shared" si="36"/>
        <v>Djibouti</v>
      </c>
      <c r="DI81" s="977" t="str">
        <f t="shared" si="36"/>
        <v>Africa</v>
      </c>
      <c r="DJ81" s="977" t="str">
        <f t="shared" si="36"/>
        <v>Eastern Africa</v>
      </c>
      <c r="DL81" s="977" t="s">
        <v>35</v>
      </c>
      <c r="DN81" s="977" t="s">
        <v>2915</v>
      </c>
      <c r="DO81" s="977" t="s">
        <v>2916</v>
      </c>
    </row>
    <row r="82" spans="3:119" ht="26">
      <c r="C82" s="836" t="s">
        <v>2936</v>
      </c>
      <c r="D82" s="986" t="s">
        <v>2783</v>
      </c>
      <c r="E82" s="955">
        <v>3296</v>
      </c>
      <c r="F82" s="956" t="s">
        <v>2569</v>
      </c>
      <c r="G82" s="957" t="s">
        <v>2784</v>
      </c>
      <c r="H82" s="956"/>
      <c r="I82" s="957"/>
      <c r="J82" s="956"/>
      <c r="AW82" s="969" t="s">
        <v>2918</v>
      </c>
      <c r="AX82" s="987" t="s">
        <v>2576</v>
      </c>
      <c r="AY82" s="970" t="str">
        <f>+BZ21</f>
        <v>Caribbean</v>
      </c>
      <c r="AZ82" s="969">
        <v>551</v>
      </c>
      <c r="BA82" s="971" t="s">
        <v>2465</v>
      </c>
      <c r="BB82" s="972">
        <v>9.3894684857089938</v>
      </c>
      <c r="BC82" s="971" t="s">
        <v>2577</v>
      </c>
      <c r="BD82" s="973"/>
      <c r="BE82" s="973"/>
      <c r="BF82" s="971"/>
      <c r="BG82" s="973"/>
      <c r="BH82" s="974">
        <f t="shared" si="28"/>
        <v>17</v>
      </c>
      <c r="BI82" s="974">
        <f t="shared" si="29"/>
        <v>5.0999999999999996</v>
      </c>
      <c r="BJ82" s="974">
        <f t="shared" si="30"/>
        <v>46.9</v>
      </c>
      <c r="BK82" s="974">
        <f t="shared" si="31"/>
        <v>2.4</v>
      </c>
      <c r="BL82" s="974">
        <f t="shared" si="32"/>
        <v>9.5</v>
      </c>
      <c r="BM82" s="974">
        <f t="shared" si="33"/>
        <v>5.6</v>
      </c>
      <c r="BN82" s="974">
        <f t="shared" si="34"/>
        <v>9.9</v>
      </c>
      <c r="BO82" s="974">
        <f t="shared" si="35"/>
        <v>3.5999999999999943</v>
      </c>
      <c r="BP82" s="974">
        <f t="shared" si="27"/>
        <v>100</v>
      </c>
      <c r="BQ82" s="971" t="s">
        <v>2467</v>
      </c>
      <c r="BR82" s="975"/>
      <c r="BS82" s="975"/>
      <c r="BT82" s="975"/>
      <c r="BU82" s="975"/>
      <c r="BV82" s="975"/>
      <c r="BW82" s="975"/>
      <c r="BX82" s="971"/>
      <c r="DH82" s="977" t="str">
        <f t="shared" si="36"/>
        <v>Dominica</v>
      </c>
      <c r="DI82" s="977" t="str">
        <f t="shared" si="36"/>
        <v>Americas</v>
      </c>
      <c r="DJ82" s="977" t="str">
        <f t="shared" si="36"/>
        <v>Caribbean</v>
      </c>
      <c r="DL82" s="977" t="s">
        <v>35</v>
      </c>
      <c r="DN82" s="977" t="s">
        <v>2919</v>
      </c>
      <c r="DO82" s="977" t="s">
        <v>2920</v>
      </c>
    </row>
    <row r="83" spans="3:119">
      <c r="C83" s="836" t="s">
        <v>2940</v>
      </c>
      <c r="D83" s="986" t="s">
        <v>2783</v>
      </c>
      <c r="E83" s="955">
        <v>2917</v>
      </c>
      <c r="F83" s="956" t="s">
        <v>2569</v>
      </c>
      <c r="G83" s="957" t="s">
        <v>2784</v>
      </c>
      <c r="H83" s="956"/>
      <c r="I83" s="957"/>
      <c r="J83" s="956"/>
      <c r="AW83" s="969" t="s">
        <v>2922</v>
      </c>
      <c r="AX83" s="987" t="s">
        <v>2576</v>
      </c>
      <c r="AY83" s="970" t="str">
        <f>+BZ21</f>
        <v>Caribbean</v>
      </c>
      <c r="AZ83" s="969">
        <v>460</v>
      </c>
      <c r="BA83" s="971" t="s">
        <v>2465</v>
      </c>
      <c r="BB83" s="972">
        <v>12.178688710225343</v>
      </c>
      <c r="BC83" s="971" t="s">
        <v>2494</v>
      </c>
      <c r="BD83" s="973"/>
      <c r="BE83" s="973"/>
      <c r="BF83" s="971"/>
      <c r="BG83" s="973"/>
      <c r="BH83" s="974">
        <f t="shared" si="28"/>
        <v>17</v>
      </c>
      <c r="BI83" s="974">
        <f t="shared" si="29"/>
        <v>5.0999999999999996</v>
      </c>
      <c r="BJ83" s="974">
        <f t="shared" si="30"/>
        <v>46.9</v>
      </c>
      <c r="BK83" s="974">
        <f t="shared" si="31"/>
        <v>2.4</v>
      </c>
      <c r="BL83" s="974">
        <f t="shared" si="32"/>
        <v>9.5</v>
      </c>
      <c r="BM83" s="974">
        <f t="shared" si="33"/>
        <v>5.6</v>
      </c>
      <c r="BN83" s="974">
        <f t="shared" si="34"/>
        <v>9.9</v>
      </c>
      <c r="BO83" s="974">
        <f t="shared" si="35"/>
        <v>3.5999999999999943</v>
      </c>
      <c r="BP83" s="974">
        <f t="shared" si="27"/>
        <v>100</v>
      </c>
      <c r="BQ83" s="971" t="s">
        <v>2467</v>
      </c>
      <c r="BR83" s="975"/>
      <c r="BS83" s="975"/>
      <c r="BT83" s="975"/>
      <c r="BU83" s="975"/>
      <c r="BV83" s="975"/>
      <c r="BW83" s="975"/>
      <c r="BX83" s="971"/>
      <c r="DH83" s="977" t="str">
        <f t="shared" si="36"/>
        <v>Dominican Republic</v>
      </c>
      <c r="DI83" s="977" t="str">
        <f t="shared" si="36"/>
        <v>Americas</v>
      </c>
      <c r="DJ83" s="977" t="str">
        <f t="shared" si="36"/>
        <v>Caribbean</v>
      </c>
      <c r="DL83" s="977" t="s">
        <v>35</v>
      </c>
      <c r="DN83" s="977" t="s">
        <v>2923</v>
      </c>
      <c r="DO83" s="977" t="s">
        <v>2924</v>
      </c>
    </row>
    <row r="84" spans="3:119">
      <c r="C84" s="836" t="s">
        <v>2944</v>
      </c>
      <c r="D84" s="986" t="s">
        <v>2783</v>
      </c>
      <c r="E84" s="955">
        <v>2770</v>
      </c>
      <c r="F84" s="956" t="s">
        <v>2569</v>
      </c>
      <c r="G84" s="957" t="s">
        <v>2784</v>
      </c>
      <c r="H84" s="956"/>
      <c r="I84" s="957"/>
      <c r="J84" s="956"/>
      <c r="AW84" s="969" t="s">
        <v>2926</v>
      </c>
      <c r="AX84" s="987" t="s">
        <v>2576</v>
      </c>
      <c r="AY84" s="970" t="str">
        <f>+BZ20</f>
        <v>South America</v>
      </c>
      <c r="AZ84" s="969">
        <v>404</v>
      </c>
      <c r="BA84" s="971" t="s">
        <v>2465</v>
      </c>
      <c r="BB84" s="972">
        <v>12.922203480478874</v>
      </c>
      <c r="BC84" s="971" t="s">
        <v>2494</v>
      </c>
      <c r="BD84" s="973"/>
      <c r="BE84" s="973"/>
      <c r="BF84" s="971"/>
      <c r="BG84" s="973"/>
      <c r="BH84" s="974">
        <f t="shared" si="28"/>
        <v>17.100000000000001</v>
      </c>
      <c r="BI84" s="974">
        <f t="shared" si="29"/>
        <v>2.6</v>
      </c>
      <c r="BJ84" s="974">
        <f t="shared" si="30"/>
        <v>44.9</v>
      </c>
      <c r="BK84" s="974">
        <f t="shared" si="31"/>
        <v>4.7</v>
      </c>
      <c r="BL84" s="974">
        <f t="shared" si="32"/>
        <v>9.5</v>
      </c>
      <c r="BM84" s="974">
        <f t="shared" si="33"/>
        <v>5.6</v>
      </c>
      <c r="BN84" s="974">
        <f t="shared" si="34"/>
        <v>10.8</v>
      </c>
      <c r="BO84" s="974">
        <f t="shared" si="35"/>
        <v>4.8000000000000114</v>
      </c>
      <c r="BP84" s="974">
        <f t="shared" si="27"/>
        <v>100</v>
      </c>
      <c r="BQ84" s="971" t="s">
        <v>2467</v>
      </c>
      <c r="BR84" s="975"/>
      <c r="BS84" s="975"/>
      <c r="BT84" s="975"/>
      <c r="BU84" s="975"/>
      <c r="BV84" s="975"/>
      <c r="BW84" s="975"/>
      <c r="BX84" s="971"/>
      <c r="DH84" s="977" t="str">
        <f t="shared" si="36"/>
        <v>Ecuador</v>
      </c>
      <c r="DI84" s="977" t="str">
        <f t="shared" si="36"/>
        <v>Americas</v>
      </c>
      <c r="DJ84" s="977" t="str">
        <f t="shared" si="36"/>
        <v>South America</v>
      </c>
      <c r="DL84" s="977" t="s">
        <v>35</v>
      </c>
      <c r="DN84" s="977" t="s">
        <v>2927</v>
      </c>
      <c r="DO84" s="977" t="s">
        <v>2928</v>
      </c>
    </row>
    <row r="85" spans="3:119">
      <c r="C85" s="836" t="s">
        <v>2948</v>
      </c>
      <c r="D85" s="986" t="s">
        <v>2783</v>
      </c>
      <c r="E85" s="955">
        <v>2513</v>
      </c>
      <c r="F85" s="956" t="s">
        <v>2569</v>
      </c>
      <c r="G85" s="957" t="s">
        <v>2784</v>
      </c>
      <c r="H85" s="956"/>
      <c r="I85" s="957"/>
      <c r="J85" s="956"/>
      <c r="AW85" s="969" t="s">
        <v>46</v>
      </c>
      <c r="AX85" s="969" t="s">
        <v>2520</v>
      </c>
      <c r="AY85" s="970" t="str">
        <f>+BZ9</f>
        <v>Northern Africa</v>
      </c>
      <c r="AZ85" s="969">
        <v>411</v>
      </c>
      <c r="BA85" s="971" t="s">
        <v>2465</v>
      </c>
      <c r="BB85" s="972">
        <v>10.952966404574696</v>
      </c>
      <c r="BC85" s="971" t="s">
        <v>2494</v>
      </c>
      <c r="BD85" s="973"/>
      <c r="BE85" s="973"/>
      <c r="BF85" s="971"/>
      <c r="BG85" s="973"/>
      <c r="BH85" s="974">
        <f t="shared" si="28"/>
        <v>16.5</v>
      </c>
      <c r="BI85" s="974">
        <f t="shared" si="29"/>
        <v>2.5</v>
      </c>
      <c r="BJ85" s="974">
        <f t="shared" si="30"/>
        <v>51.1</v>
      </c>
      <c r="BK85" s="974">
        <f t="shared" si="31"/>
        <v>2</v>
      </c>
      <c r="BL85" s="974">
        <f t="shared" si="32"/>
        <v>9.5</v>
      </c>
      <c r="BM85" s="974">
        <f t="shared" si="33"/>
        <v>5.6</v>
      </c>
      <c r="BN85" s="974">
        <f t="shared" si="34"/>
        <v>4.5</v>
      </c>
      <c r="BO85" s="974">
        <f t="shared" si="35"/>
        <v>8.3000000000000114</v>
      </c>
      <c r="BP85" s="974">
        <f t="shared" si="27"/>
        <v>100</v>
      </c>
      <c r="BQ85" s="971" t="s">
        <v>2467</v>
      </c>
      <c r="BR85" s="975"/>
      <c r="BS85" s="975"/>
      <c r="BT85" s="975"/>
      <c r="BU85" s="975"/>
      <c r="BV85" s="975"/>
      <c r="BW85" s="975"/>
      <c r="BX85" s="971"/>
      <c r="DH85" s="977" t="str">
        <f t="shared" si="36"/>
        <v>Egypt</v>
      </c>
      <c r="DI85" s="977" t="str">
        <f t="shared" si="36"/>
        <v>Africa</v>
      </c>
      <c r="DJ85" s="977" t="str">
        <f t="shared" si="36"/>
        <v>Northern Africa</v>
      </c>
      <c r="DL85" s="977" t="s">
        <v>35</v>
      </c>
      <c r="DN85" s="977" t="s">
        <v>2930</v>
      </c>
      <c r="DO85" s="977" t="s">
        <v>2931</v>
      </c>
    </row>
    <row r="86" spans="3:119">
      <c r="C86" s="836" t="s">
        <v>2952</v>
      </c>
      <c r="D86" s="986" t="s">
        <v>2783</v>
      </c>
      <c r="E86" s="955">
        <v>2608</v>
      </c>
      <c r="F86" s="956" t="s">
        <v>2569</v>
      </c>
      <c r="G86" s="957" t="s">
        <v>2784</v>
      </c>
      <c r="H86" s="956"/>
      <c r="I86" s="957"/>
      <c r="J86" s="956"/>
      <c r="AW86" s="969" t="s">
        <v>2933</v>
      </c>
      <c r="AX86" s="987" t="s">
        <v>2576</v>
      </c>
      <c r="AY86" s="970" t="str">
        <f>+BZ19</f>
        <v>Central America</v>
      </c>
      <c r="AZ86" s="969">
        <v>344</v>
      </c>
      <c r="BA86" s="971" t="s">
        <v>2465</v>
      </c>
      <c r="BB86" s="972">
        <v>11.328941025228989</v>
      </c>
      <c r="BC86" s="971" t="s">
        <v>2494</v>
      </c>
      <c r="BD86" s="973"/>
      <c r="BE86" s="973"/>
      <c r="BF86" s="971"/>
      <c r="BG86" s="973"/>
      <c r="BH86" s="974">
        <f t="shared" si="28"/>
        <v>13.7</v>
      </c>
      <c r="BI86" s="974">
        <f t="shared" si="29"/>
        <v>2.6</v>
      </c>
      <c r="BJ86" s="974">
        <f t="shared" si="30"/>
        <v>43.8</v>
      </c>
      <c r="BK86" s="974">
        <f t="shared" si="31"/>
        <v>13.5</v>
      </c>
      <c r="BL86" s="974">
        <f t="shared" si="32"/>
        <v>9.5</v>
      </c>
      <c r="BM86" s="974">
        <f t="shared" si="33"/>
        <v>5.6</v>
      </c>
      <c r="BN86" s="974">
        <f t="shared" si="34"/>
        <v>6.7</v>
      </c>
      <c r="BO86" s="974">
        <f t="shared" si="35"/>
        <v>4.6000000000000085</v>
      </c>
      <c r="BP86" s="974">
        <f t="shared" si="27"/>
        <v>100</v>
      </c>
      <c r="BQ86" s="971" t="s">
        <v>2467</v>
      </c>
      <c r="BR86" s="975"/>
      <c r="BS86" s="975"/>
      <c r="BT86" s="975"/>
      <c r="BU86" s="975"/>
      <c r="BV86" s="975"/>
      <c r="BW86" s="975"/>
      <c r="BX86" s="971"/>
      <c r="DH86" s="977" t="str">
        <f t="shared" si="36"/>
        <v>El Salvador</v>
      </c>
      <c r="DI86" s="977" t="str">
        <f t="shared" si="36"/>
        <v>Americas</v>
      </c>
      <c r="DJ86" s="977" t="str">
        <f t="shared" si="36"/>
        <v>Central America</v>
      </c>
      <c r="DL86" s="977" t="s">
        <v>35</v>
      </c>
      <c r="DN86" s="977" t="s">
        <v>2934</v>
      </c>
      <c r="DO86" s="977" t="s">
        <v>2935</v>
      </c>
    </row>
    <row r="87" spans="3:119" ht="26">
      <c r="C87" s="836" t="s">
        <v>2956</v>
      </c>
      <c r="D87" s="986" t="s">
        <v>2783</v>
      </c>
      <c r="E87" s="955">
        <v>1638</v>
      </c>
      <c r="F87" s="956" t="s">
        <v>2569</v>
      </c>
      <c r="G87" s="957" t="s">
        <v>2784</v>
      </c>
      <c r="H87" s="956"/>
      <c r="I87" s="957"/>
      <c r="J87" s="956"/>
      <c r="AW87" s="969" t="s">
        <v>2937</v>
      </c>
      <c r="AX87" s="969" t="s">
        <v>2520</v>
      </c>
      <c r="AY87" s="970" t="str">
        <f>+BZ8</f>
        <v>Middle Africa</v>
      </c>
      <c r="AZ87" s="969">
        <v>531</v>
      </c>
      <c r="BA87" s="971" t="s">
        <v>2465</v>
      </c>
      <c r="BB87" s="972">
        <v>11.740747004194485</v>
      </c>
      <c r="BC87" s="971" t="s">
        <v>2774</v>
      </c>
      <c r="BD87" s="973"/>
      <c r="BE87" s="973"/>
      <c r="BF87" s="971"/>
      <c r="BG87" s="973"/>
      <c r="BH87" s="974">
        <f t="shared" si="28"/>
        <v>16.8</v>
      </c>
      <c r="BI87" s="974">
        <f t="shared" si="29"/>
        <v>2.5</v>
      </c>
      <c r="BJ87" s="974">
        <f t="shared" si="30"/>
        <v>43.4</v>
      </c>
      <c r="BK87" s="974">
        <f t="shared" si="31"/>
        <v>6.5</v>
      </c>
      <c r="BL87" s="974">
        <f t="shared" si="32"/>
        <v>9.5</v>
      </c>
      <c r="BM87" s="974">
        <f t="shared" si="33"/>
        <v>5.6</v>
      </c>
      <c r="BN87" s="974">
        <f t="shared" si="34"/>
        <v>4.5</v>
      </c>
      <c r="BO87" s="974">
        <f t="shared" si="35"/>
        <v>11.200000000000003</v>
      </c>
      <c r="BP87" s="974">
        <f t="shared" si="27"/>
        <v>100</v>
      </c>
      <c r="BQ87" s="971" t="s">
        <v>2467</v>
      </c>
      <c r="BR87" s="975"/>
      <c r="BS87" s="975"/>
      <c r="BT87" s="975"/>
      <c r="BU87" s="975"/>
      <c r="BV87" s="975"/>
      <c r="BW87" s="975"/>
      <c r="BX87" s="971"/>
      <c r="DH87" s="977" t="str">
        <f t="shared" si="36"/>
        <v>Equatorial Guinea</v>
      </c>
      <c r="DI87" s="977" t="str">
        <f t="shared" si="36"/>
        <v>Africa</v>
      </c>
      <c r="DJ87" s="977" t="str">
        <f t="shared" si="36"/>
        <v>Middle Africa</v>
      </c>
      <c r="DL87" s="977" t="s">
        <v>35</v>
      </c>
      <c r="DN87" s="977" t="s">
        <v>2938</v>
      </c>
      <c r="DO87" s="977" t="s">
        <v>2939</v>
      </c>
    </row>
    <row r="88" spans="3:119">
      <c r="C88" s="836" t="s">
        <v>2960</v>
      </c>
      <c r="D88" s="986" t="s">
        <v>2783</v>
      </c>
      <c r="E88" s="955">
        <v>1614</v>
      </c>
      <c r="F88" s="956" t="s">
        <v>2569</v>
      </c>
      <c r="G88" s="957" t="s">
        <v>2784</v>
      </c>
      <c r="H88" s="956"/>
      <c r="I88" s="957"/>
      <c r="J88" s="956"/>
      <c r="AW88" s="969" t="s">
        <v>2941</v>
      </c>
      <c r="AX88" s="969" t="s">
        <v>2520</v>
      </c>
      <c r="AY88" s="970" t="str">
        <f>+BZ7</f>
        <v>Eastern Africa</v>
      </c>
      <c r="AZ88" s="969">
        <v>739</v>
      </c>
      <c r="BA88" s="971" t="s">
        <v>2465</v>
      </c>
      <c r="BB88" s="972">
        <v>12.886597938144329</v>
      </c>
      <c r="BC88" s="971" t="s">
        <v>2494</v>
      </c>
      <c r="BD88" s="973"/>
      <c r="BE88" s="973"/>
      <c r="BF88" s="971"/>
      <c r="BG88" s="973"/>
      <c r="BH88" s="974">
        <f t="shared" si="28"/>
        <v>7.7</v>
      </c>
      <c r="BI88" s="974">
        <f t="shared" si="29"/>
        <v>1.7</v>
      </c>
      <c r="BJ88" s="974">
        <f t="shared" si="30"/>
        <v>53.9</v>
      </c>
      <c r="BK88" s="974">
        <f t="shared" si="31"/>
        <v>7</v>
      </c>
      <c r="BL88" s="974">
        <f t="shared" si="32"/>
        <v>9.5</v>
      </c>
      <c r="BM88" s="974">
        <f t="shared" si="33"/>
        <v>5.6</v>
      </c>
      <c r="BN88" s="974">
        <f t="shared" si="34"/>
        <v>5.5</v>
      </c>
      <c r="BO88" s="974">
        <f t="shared" si="35"/>
        <v>9.1000000000000085</v>
      </c>
      <c r="BP88" s="974">
        <f t="shared" si="27"/>
        <v>100</v>
      </c>
      <c r="BQ88" s="971" t="s">
        <v>2467</v>
      </c>
      <c r="BR88" s="975"/>
      <c r="BS88" s="975"/>
      <c r="BT88" s="975"/>
      <c r="BU88" s="975"/>
      <c r="BV88" s="975"/>
      <c r="BW88" s="975"/>
      <c r="BX88" s="971"/>
      <c r="DH88" s="977" t="str">
        <f t="shared" si="36"/>
        <v>Eritrea</v>
      </c>
      <c r="DI88" s="977" t="str">
        <f t="shared" si="36"/>
        <v>Africa</v>
      </c>
      <c r="DJ88" s="977" t="str">
        <f t="shared" si="36"/>
        <v>Eastern Africa</v>
      </c>
      <c r="DL88" s="977" t="s">
        <v>35</v>
      </c>
      <c r="DN88" s="977" t="s">
        <v>2942</v>
      </c>
      <c r="DO88" s="977" t="s">
        <v>2943</v>
      </c>
    </row>
    <row r="89" spans="3:119">
      <c r="C89" s="836" t="s">
        <v>2964</v>
      </c>
      <c r="D89" s="986" t="s">
        <v>2783</v>
      </c>
      <c r="E89" s="955">
        <v>2397</v>
      </c>
      <c r="F89" s="956" t="s">
        <v>2569</v>
      </c>
      <c r="G89" s="957" t="s">
        <v>2784</v>
      </c>
      <c r="H89" s="956"/>
      <c r="I89" s="957"/>
      <c r="J89" s="956"/>
      <c r="AW89" s="969" t="s">
        <v>2945</v>
      </c>
      <c r="AX89" s="969" t="s">
        <v>2493</v>
      </c>
      <c r="AY89" s="970" t="str">
        <f>+BZ13</f>
        <v>Northern Europe</v>
      </c>
      <c r="AZ89" s="969">
        <v>818.9</v>
      </c>
      <c r="BA89" s="971" t="s">
        <v>2678</v>
      </c>
      <c r="BB89" s="972">
        <v>6.7652257753495091</v>
      </c>
      <c r="BC89" s="971" t="s">
        <v>2494</v>
      </c>
      <c r="BD89" s="973"/>
      <c r="BE89" s="973"/>
      <c r="BF89" s="971"/>
      <c r="BG89" s="973"/>
      <c r="BH89" s="974">
        <f t="shared" si="28"/>
        <v>30.6</v>
      </c>
      <c r="BI89" s="974">
        <f t="shared" si="29"/>
        <v>2</v>
      </c>
      <c r="BJ89" s="974">
        <f t="shared" si="30"/>
        <v>23.8</v>
      </c>
      <c r="BK89" s="974">
        <f t="shared" si="31"/>
        <v>10</v>
      </c>
      <c r="BL89" s="974">
        <f t="shared" si="32"/>
        <v>9.5</v>
      </c>
      <c r="BM89" s="974">
        <f t="shared" si="33"/>
        <v>5.6</v>
      </c>
      <c r="BN89" s="974">
        <f t="shared" si="34"/>
        <v>13</v>
      </c>
      <c r="BO89" s="974">
        <f t="shared" si="35"/>
        <v>5.5</v>
      </c>
      <c r="BP89" s="974">
        <f t="shared" si="27"/>
        <v>100</v>
      </c>
      <c r="BQ89" s="971" t="s">
        <v>2467</v>
      </c>
      <c r="BR89" s="975"/>
      <c r="BS89" s="975"/>
      <c r="BT89" s="975"/>
      <c r="BU89" s="975"/>
      <c r="BV89" s="975"/>
      <c r="BW89" s="975"/>
      <c r="BX89" s="971"/>
      <c r="DH89" s="977" t="str">
        <f t="shared" si="36"/>
        <v>Estonia</v>
      </c>
      <c r="DI89" s="977" t="str">
        <f t="shared" si="36"/>
        <v>Europe</v>
      </c>
      <c r="DJ89" s="977" t="str">
        <f t="shared" si="36"/>
        <v>Northern Europe</v>
      </c>
      <c r="DK89" s="977" t="e">
        <f>VLOOKUP(DH89,#REF!,1)</f>
        <v>#REF!</v>
      </c>
      <c r="DL89" s="977" t="e">
        <f>VLOOKUP(DK89,#REF!,2,FALSE)</f>
        <v>#REF!</v>
      </c>
      <c r="DN89" s="977" t="s">
        <v>2946</v>
      </c>
      <c r="DO89" s="977" t="s">
        <v>2947</v>
      </c>
    </row>
    <row r="90" spans="3:119" ht="26">
      <c r="C90" s="836" t="s">
        <v>2968</v>
      </c>
      <c r="D90" s="986" t="s">
        <v>2783</v>
      </c>
      <c r="E90" s="955">
        <v>4061</v>
      </c>
      <c r="F90" s="956" t="s">
        <v>2569</v>
      </c>
      <c r="G90" s="957" t="s">
        <v>2784</v>
      </c>
      <c r="H90" s="956"/>
      <c r="I90" s="957"/>
      <c r="J90" s="956"/>
      <c r="AW90" s="969" t="s">
        <v>2949</v>
      </c>
      <c r="AX90" s="969" t="s">
        <v>2520</v>
      </c>
      <c r="AY90" s="970" t="str">
        <f>+BZ10</f>
        <v>Southern Africa</v>
      </c>
      <c r="AZ90" s="969">
        <v>43</v>
      </c>
      <c r="BA90" s="971" t="s">
        <v>2465</v>
      </c>
      <c r="BB90" s="972">
        <v>11.740747004194485</v>
      </c>
      <c r="BC90" s="971" t="s">
        <v>2774</v>
      </c>
      <c r="BD90" s="973"/>
      <c r="BE90" s="973"/>
      <c r="BF90" s="971"/>
      <c r="BG90" s="973"/>
      <c r="BH90" s="974">
        <f t="shared" si="28"/>
        <v>25</v>
      </c>
      <c r="BI90" s="974">
        <f t="shared" si="29"/>
        <v>7.3</v>
      </c>
      <c r="BJ90" s="974">
        <f t="shared" si="30"/>
        <v>23</v>
      </c>
      <c r="BK90" s="974">
        <f t="shared" si="31"/>
        <v>15</v>
      </c>
      <c r="BL90" s="974">
        <f t="shared" si="32"/>
        <v>9.5</v>
      </c>
      <c r="BM90" s="974">
        <f t="shared" si="33"/>
        <v>5.6</v>
      </c>
      <c r="BN90" s="974">
        <f t="shared" si="34"/>
        <v>7.3</v>
      </c>
      <c r="BO90" s="974">
        <f t="shared" si="35"/>
        <v>7.3</v>
      </c>
      <c r="BP90" s="974">
        <f t="shared" si="27"/>
        <v>99.999999999999986</v>
      </c>
      <c r="BQ90" s="971" t="s">
        <v>2467</v>
      </c>
      <c r="BR90" s="975"/>
      <c r="BS90" s="975"/>
      <c r="BT90" s="975"/>
      <c r="BU90" s="975"/>
      <c r="BV90" s="975"/>
      <c r="BW90" s="975"/>
      <c r="BX90" s="971"/>
      <c r="DH90" s="977" t="str">
        <f t="shared" si="36"/>
        <v>Eswatini</v>
      </c>
      <c r="DI90" s="977" t="str">
        <f t="shared" si="36"/>
        <v>Africa</v>
      </c>
      <c r="DJ90" s="977" t="str">
        <f t="shared" si="36"/>
        <v>Southern Africa</v>
      </c>
      <c r="DL90" s="977" t="s">
        <v>35</v>
      </c>
      <c r="DN90" s="977" t="s">
        <v>2950</v>
      </c>
      <c r="DO90" s="977" t="s">
        <v>2951</v>
      </c>
    </row>
    <row r="91" spans="3:119">
      <c r="C91" s="836" t="s">
        <v>2971</v>
      </c>
      <c r="D91" s="986" t="s">
        <v>2783</v>
      </c>
      <c r="E91" s="955">
        <v>16</v>
      </c>
      <c r="F91" s="956" t="s">
        <v>2569</v>
      </c>
      <c r="G91" s="957" t="s">
        <v>2784</v>
      </c>
      <c r="H91" s="956"/>
      <c r="I91" s="957"/>
      <c r="J91" s="956"/>
      <c r="AW91" s="969" t="s">
        <v>2953</v>
      </c>
      <c r="AX91" s="969" t="s">
        <v>2520</v>
      </c>
      <c r="AY91" s="970" t="str">
        <f>+BZ7</f>
        <v>Eastern Africa</v>
      </c>
      <c r="AZ91" s="969">
        <v>44</v>
      </c>
      <c r="BA91" s="971" t="s">
        <v>2465</v>
      </c>
      <c r="BB91" s="972">
        <v>18.654755648975303</v>
      </c>
      <c r="BC91" s="971" t="s">
        <v>2494</v>
      </c>
      <c r="BD91" s="973"/>
      <c r="BE91" s="973"/>
      <c r="BF91" s="971"/>
      <c r="BG91" s="973"/>
      <c r="BH91" s="974">
        <f t="shared" si="28"/>
        <v>7.7</v>
      </c>
      <c r="BI91" s="974">
        <f t="shared" si="29"/>
        <v>1.7</v>
      </c>
      <c r="BJ91" s="974">
        <f t="shared" si="30"/>
        <v>53.9</v>
      </c>
      <c r="BK91" s="974">
        <f t="shared" si="31"/>
        <v>7</v>
      </c>
      <c r="BL91" s="974">
        <f t="shared" si="32"/>
        <v>9.5</v>
      </c>
      <c r="BM91" s="974">
        <f t="shared" si="33"/>
        <v>5.6</v>
      </c>
      <c r="BN91" s="974">
        <f t="shared" si="34"/>
        <v>5.5</v>
      </c>
      <c r="BO91" s="974">
        <f t="shared" si="35"/>
        <v>9.1000000000000085</v>
      </c>
      <c r="BP91" s="974">
        <f t="shared" si="27"/>
        <v>100</v>
      </c>
      <c r="BQ91" s="971" t="s">
        <v>2467</v>
      </c>
      <c r="BR91" s="975"/>
      <c r="BS91" s="975"/>
      <c r="BT91" s="975"/>
      <c r="BU91" s="975"/>
      <c r="BV91" s="975"/>
      <c r="BW91" s="975"/>
      <c r="BX91" s="971"/>
      <c r="DH91" s="977" t="str">
        <f t="shared" si="36"/>
        <v>Ethiopia</v>
      </c>
      <c r="DI91" s="977" t="str">
        <f t="shared" si="36"/>
        <v>Africa</v>
      </c>
      <c r="DJ91" s="977" t="str">
        <f t="shared" si="36"/>
        <v>Eastern Africa</v>
      </c>
      <c r="DL91" s="977" t="s">
        <v>35</v>
      </c>
      <c r="DN91" s="977" t="s">
        <v>2954</v>
      </c>
      <c r="DO91" s="977" t="s">
        <v>2955</v>
      </c>
    </row>
    <row r="92" spans="3:119" ht="26">
      <c r="C92" s="836" t="s">
        <v>2975</v>
      </c>
      <c r="D92" s="986" t="s">
        <v>2783</v>
      </c>
      <c r="E92" s="955">
        <v>125</v>
      </c>
      <c r="F92" s="956" t="s">
        <v>2569</v>
      </c>
      <c r="G92" s="957" t="s">
        <v>2784</v>
      </c>
      <c r="H92" s="956"/>
      <c r="I92" s="957"/>
      <c r="J92" s="956"/>
      <c r="AW92" s="969" t="s">
        <v>2957</v>
      </c>
      <c r="AX92" s="969" t="s">
        <v>2493</v>
      </c>
      <c r="AY92" s="970" t="str">
        <f>+BZ13</f>
        <v>Northern Europe</v>
      </c>
      <c r="AZ92" s="969">
        <v>362</v>
      </c>
      <c r="BA92" s="971" t="s">
        <v>2465</v>
      </c>
      <c r="BB92" s="972">
        <v>6.2171813834411278</v>
      </c>
      <c r="BC92" s="971" t="s">
        <v>2550</v>
      </c>
      <c r="BD92" s="973"/>
      <c r="BE92" s="973"/>
      <c r="BF92" s="971"/>
      <c r="BG92" s="973"/>
      <c r="BH92" s="974">
        <f t="shared" si="28"/>
        <v>30.6</v>
      </c>
      <c r="BI92" s="974">
        <f t="shared" si="29"/>
        <v>2</v>
      </c>
      <c r="BJ92" s="974">
        <f t="shared" si="30"/>
        <v>23.8</v>
      </c>
      <c r="BK92" s="974">
        <f t="shared" si="31"/>
        <v>10</v>
      </c>
      <c r="BL92" s="974">
        <f t="shared" si="32"/>
        <v>9.5</v>
      </c>
      <c r="BM92" s="974">
        <f t="shared" si="33"/>
        <v>5.6</v>
      </c>
      <c r="BN92" s="974">
        <f t="shared" si="34"/>
        <v>13</v>
      </c>
      <c r="BO92" s="974">
        <f t="shared" si="35"/>
        <v>5.5</v>
      </c>
      <c r="BP92" s="974">
        <f t="shared" si="27"/>
        <v>100</v>
      </c>
      <c r="BQ92" s="971" t="s">
        <v>2467</v>
      </c>
      <c r="BR92" s="975"/>
      <c r="BS92" s="975"/>
      <c r="BT92" s="975"/>
      <c r="BU92" s="975"/>
      <c r="BV92" s="975"/>
      <c r="BW92" s="975"/>
      <c r="BX92" s="971"/>
      <c r="DH92" s="977" t="str">
        <f t="shared" si="36"/>
        <v>Faroe Islands (Denmark)</v>
      </c>
      <c r="DI92" s="977" t="str">
        <f t="shared" si="36"/>
        <v>Europe</v>
      </c>
      <c r="DJ92" s="977" t="str">
        <f t="shared" si="36"/>
        <v>Northern Europe</v>
      </c>
      <c r="DL92" s="977" t="s">
        <v>35</v>
      </c>
      <c r="DN92" s="977" t="s">
        <v>2958</v>
      </c>
      <c r="DO92" s="977" t="s">
        <v>2959</v>
      </c>
    </row>
    <row r="93" spans="3:119" ht="26">
      <c r="C93" s="836" t="s">
        <v>2979</v>
      </c>
      <c r="D93" s="986" t="s">
        <v>2783</v>
      </c>
      <c r="E93" s="955">
        <v>48</v>
      </c>
      <c r="F93" s="956" t="s">
        <v>2569</v>
      </c>
      <c r="G93" s="957" t="s">
        <v>2784</v>
      </c>
      <c r="H93" s="956"/>
      <c r="I93" s="957"/>
      <c r="J93" s="956"/>
      <c r="AW93" s="969" t="s">
        <v>2961</v>
      </c>
      <c r="AX93" s="987" t="s">
        <v>2536</v>
      </c>
      <c r="AY93" s="970" t="str">
        <f>+BZ17</f>
        <v>Rest of Oceania</v>
      </c>
      <c r="AZ93" s="969">
        <v>428</v>
      </c>
      <c r="BA93" s="971" t="s">
        <v>2465</v>
      </c>
      <c r="BB93" s="972">
        <v>5.4123414965002699</v>
      </c>
      <c r="BC93" s="971" t="s">
        <v>2537</v>
      </c>
      <c r="BD93" s="973"/>
      <c r="BE93" s="973"/>
      <c r="BF93" s="971"/>
      <c r="BG93" s="973"/>
      <c r="BH93" s="974">
        <f t="shared" si="28"/>
        <v>6</v>
      </c>
      <c r="BI93" s="974">
        <f t="shared" si="29"/>
        <v>2.97</v>
      </c>
      <c r="BJ93" s="974">
        <f t="shared" si="30"/>
        <v>67.5</v>
      </c>
      <c r="BK93" s="974">
        <f t="shared" si="31"/>
        <v>2.5</v>
      </c>
      <c r="BL93" s="974">
        <f t="shared" si="32"/>
        <v>9.5</v>
      </c>
      <c r="BM93" s="974">
        <f t="shared" si="33"/>
        <v>5.6</v>
      </c>
      <c r="BN93" s="974">
        <f t="shared" si="34"/>
        <v>2.97</v>
      </c>
      <c r="BO93" s="974">
        <f t="shared" si="35"/>
        <v>2.9666666666666668</v>
      </c>
      <c r="BP93" s="974">
        <f t="shared" si="27"/>
        <v>100.00666666666666</v>
      </c>
      <c r="BQ93" s="971" t="s">
        <v>2467</v>
      </c>
      <c r="BR93" s="975"/>
      <c r="BS93" s="975"/>
      <c r="BT93" s="975"/>
      <c r="BU93" s="975"/>
      <c r="BV93" s="975"/>
      <c r="BW93" s="975"/>
      <c r="BX93" s="971"/>
      <c r="DH93" s="977" t="str">
        <f t="shared" si="36"/>
        <v>Fiji</v>
      </c>
      <c r="DI93" s="977" t="str">
        <f t="shared" si="36"/>
        <v>Oceania</v>
      </c>
      <c r="DJ93" s="977" t="str">
        <f t="shared" si="36"/>
        <v>Rest of Oceania</v>
      </c>
      <c r="DL93" s="977" t="s">
        <v>35</v>
      </c>
      <c r="DN93" s="977" t="s">
        <v>2962</v>
      </c>
      <c r="DO93" s="977" t="s">
        <v>2963</v>
      </c>
    </row>
    <row r="94" spans="3:119">
      <c r="C94" s="836" t="s">
        <v>2988</v>
      </c>
      <c r="D94" s="986" t="s">
        <v>2783</v>
      </c>
      <c r="E94" s="955">
        <v>3654</v>
      </c>
      <c r="F94" s="956" t="s">
        <v>2569</v>
      </c>
      <c r="G94" s="957" t="s">
        <v>2784</v>
      </c>
      <c r="H94" s="956"/>
      <c r="I94" s="957"/>
      <c r="J94" s="956"/>
      <c r="AW94" s="969" t="s">
        <v>2965</v>
      </c>
      <c r="AX94" s="969" t="s">
        <v>2493</v>
      </c>
      <c r="AY94" s="970" t="str">
        <f>+BZ13</f>
        <v>Northern Europe</v>
      </c>
      <c r="AZ94" s="969">
        <v>112.8</v>
      </c>
      <c r="BA94" s="971" t="s">
        <v>2678</v>
      </c>
      <c r="BB94" s="972">
        <v>4.0708432461009778</v>
      </c>
      <c r="BC94" s="971" t="s">
        <v>2494</v>
      </c>
      <c r="BD94" s="973"/>
      <c r="BE94" s="973"/>
      <c r="BF94" s="971"/>
      <c r="BG94" s="973"/>
      <c r="BH94" s="974">
        <f t="shared" si="28"/>
        <v>30.6</v>
      </c>
      <c r="BI94" s="974">
        <f t="shared" si="29"/>
        <v>2</v>
      </c>
      <c r="BJ94" s="974">
        <f t="shared" si="30"/>
        <v>23.8</v>
      </c>
      <c r="BK94" s="974">
        <f t="shared" si="31"/>
        <v>10</v>
      </c>
      <c r="BL94" s="974">
        <f t="shared" si="32"/>
        <v>9.5</v>
      </c>
      <c r="BM94" s="974">
        <f t="shared" si="33"/>
        <v>5.6</v>
      </c>
      <c r="BN94" s="974">
        <f t="shared" si="34"/>
        <v>13</v>
      </c>
      <c r="BO94" s="974">
        <f t="shared" si="35"/>
        <v>5.5</v>
      </c>
      <c r="BP94" s="974">
        <f t="shared" si="27"/>
        <v>100</v>
      </c>
      <c r="BQ94" s="971" t="s">
        <v>2467</v>
      </c>
      <c r="BR94" s="975"/>
      <c r="BS94" s="975"/>
      <c r="BT94" s="975"/>
      <c r="BU94" s="975"/>
      <c r="BV94" s="975"/>
      <c r="BW94" s="975"/>
      <c r="BX94" s="971"/>
      <c r="DH94" s="977" t="str">
        <f t="shared" si="36"/>
        <v>Finland</v>
      </c>
      <c r="DI94" s="977" t="str">
        <f t="shared" si="36"/>
        <v>Europe</v>
      </c>
      <c r="DJ94" s="977" t="str">
        <f t="shared" si="36"/>
        <v>Northern Europe</v>
      </c>
      <c r="DK94" s="977" t="e">
        <f>VLOOKUP(DH94,#REF!,1)</f>
        <v>#REF!</v>
      </c>
      <c r="DL94" s="977" t="e">
        <f>VLOOKUP(DK94,#REF!,2,FALSE)</f>
        <v>#REF!</v>
      </c>
      <c r="DN94" s="977" t="s">
        <v>2966</v>
      </c>
      <c r="DO94" s="977" t="s">
        <v>2967</v>
      </c>
    </row>
    <row r="95" spans="3:119">
      <c r="C95" s="836" t="s">
        <v>2991</v>
      </c>
      <c r="D95" s="986" t="s">
        <v>2783</v>
      </c>
      <c r="E95" s="955">
        <v>33</v>
      </c>
      <c r="F95" s="956" t="s">
        <v>2569</v>
      </c>
      <c r="G95" s="957" t="s">
        <v>2784</v>
      </c>
      <c r="H95" s="956"/>
      <c r="I95" s="957"/>
      <c r="J95" s="956"/>
      <c r="AW95" s="969" t="s">
        <v>47</v>
      </c>
      <c r="AX95" s="969" t="s">
        <v>2493</v>
      </c>
      <c r="AY95" s="970" t="str">
        <f>+BZ15</f>
        <v>Western Europe</v>
      </c>
      <c r="AZ95" s="969">
        <v>58.5</v>
      </c>
      <c r="BA95" s="971" t="s">
        <v>2678</v>
      </c>
      <c r="BB95" s="972">
        <v>6.3423893657789874</v>
      </c>
      <c r="BC95" s="971" t="s">
        <v>2494</v>
      </c>
      <c r="BD95" s="987">
        <v>7.4999999999999997E-2</v>
      </c>
      <c r="BE95" s="987">
        <v>7.4999999999999997E-2</v>
      </c>
      <c r="BF95" s="971" t="s">
        <v>2679</v>
      </c>
      <c r="BG95" s="973"/>
      <c r="BH95" s="974">
        <f t="shared" si="28"/>
        <v>27.5</v>
      </c>
      <c r="BI95" s="974">
        <f t="shared" si="29"/>
        <v>7.4</v>
      </c>
      <c r="BJ95" s="974">
        <f t="shared" si="30"/>
        <v>24.2</v>
      </c>
      <c r="BK95" s="974">
        <f t="shared" si="31"/>
        <v>11</v>
      </c>
      <c r="BL95" s="974">
        <f t="shared" si="32"/>
        <v>9.5</v>
      </c>
      <c r="BM95" s="974">
        <f t="shared" si="33"/>
        <v>5.6</v>
      </c>
      <c r="BN95" s="974">
        <f t="shared" si="34"/>
        <v>7.4</v>
      </c>
      <c r="BO95" s="974">
        <f t="shared" si="35"/>
        <v>7.3999999999999986</v>
      </c>
      <c r="BP95" s="974">
        <f t="shared" si="27"/>
        <v>100</v>
      </c>
      <c r="BQ95" s="971" t="s">
        <v>2467</v>
      </c>
      <c r="BR95" s="975"/>
      <c r="BS95" s="975"/>
      <c r="BT95" s="975"/>
      <c r="BU95" s="975"/>
      <c r="BV95" s="975"/>
      <c r="BW95" s="975"/>
      <c r="BX95" s="971"/>
      <c r="DH95" s="977" t="str">
        <f t="shared" si="36"/>
        <v>France</v>
      </c>
      <c r="DI95" s="977" t="str">
        <f t="shared" si="36"/>
        <v>Europe</v>
      </c>
      <c r="DJ95" s="977" t="str">
        <f t="shared" si="36"/>
        <v>Western Europe</v>
      </c>
      <c r="DK95" s="977" t="e">
        <f>VLOOKUP(DH95,#REF!,1)</f>
        <v>#REF!</v>
      </c>
      <c r="DL95" s="977" t="e">
        <f>VLOOKUP(DK95,#REF!,2,FALSE)</f>
        <v>#REF!</v>
      </c>
      <c r="DN95" s="977" t="s">
        <v>2969</v>
      </c>
      <c r="DO95" s="977" t="s">
        <v>2970</v>
      </c>
    </row>
    <row r="96" spans="3:119" ht="26">
      <c r="C96" s="836" t="s">
        <v>3002</v>
      </c>
      <c r="D96" s="986" t="s">
        <v>2783</v>
      </c>
      <c r="E96" s="955">
        <v>1930</v>
      </c>
      <c r="F96" s="956" t="s">
        <v>2569</v>
      </c>
      <c r="G96" s="957" t="s">
        <v>2784</v>
      </c>
      <c r="H96" s="956"/>
      <c r="I96" s="957"/>
      <c r="J96" s="956"/>
      <c r="AW96" s="969" t="s">
        <v>2972</v>
      </c>
      <c r="AX96" s="987" t="s">
        <v>2576</v>
      </c>
      <c r="AY96" s="970" t="str">
        <f>+BZ20</f>
        <v>South America</v>
      </c>
      <c r="AZ96" s="969">
        <v>335</v>
      </c>
      <c r="BA96" s="971" t="s">
        <v>2465</v>
      </c>
      <c r="BB96" s="972">
        <v>15.618667277425265</v>
      </c>
      <c r="BC96" s="971" t="s">
        <v>2720</v>
      </c>
      <c r="BD96" s="973"/>
      <c r="BE96" s="973"/>
      <c r="BF96" s="971"/>
      <c r="BG96" s="973"/>
      <c r="BH96" s="974">
        <f t="shared" si="28"/>
        <v>17.100000000000001</v>
      </c>
      <c r="BI96" s="974">
        <f t="shared" si="29"/>
        <v>2.6</v>
      </c>
      <c r="BJ96" s="974">
        <f t="shared" si="30"/>
        <v>44.9</v>
      </c>
      <c r="BK96" s="974">
        <f t="shared" si="31"/>
        <v>4.7</v>
      </c>
      <c r="BL96" s="974">
        <f t="shared" si="32"/>
        <v>9.5</v>
      </c>
      <c r="BM96" s="974">
        <f t="shared" si="33"/>
        <v>5.6</v>
      </c>
      <c r="BN96" s="974">
        <f t="shared" si="34"/>
        <v>10.8</v>
      </c>
      <c r="BO96" s="974">
        <f t="shared" si="35"/>
        <v>4.8000000000000114</v>
      </c>
      <c r="BP96" s="974">
        <f t="shared" si="27"/>
        <v>100</v>
      </c>
      <c r="BQ96" s="971" t="s">
        <v>2467</v>
      </c>
      <c r="BR96" s="975"/>
      <c r="BS96" s="975"/>
      <c r="BT96" s="975"/>
      <c r="BU96" s="975"/>
      <c r="BV96" s="975"/>
      <c r="BW96" s="975"/>
      <c r="BX96" s="971"/>
      <c r="DH96" s="977" t="str">
        <f t="shared" si="36"/>
        <v>French Guiana</v>
      </c>
      <c r="DI96" s="977" t="str">
        <f t="shared" si="36"/>
        <v>Americas</v>
      </c>
      <c r="DJ96" s="977" t="str">
        <f t="shared" si="36"/>
        <v>South America</v>
      </c>
      <c r="DL96" s="977" t="s">
        <v>35</v>
      </c>
      <c r="DN96" s="977" t="s">
        <v>2973</v>
      </c>
      <c r="DO96" s="977" t="s">
        <v>2974</v>
      </c>
    </row>
    <row r="97" spans="3:119" ht="26">
      <c r="C97" s="836" t="s">
        <v>3006</v>
      </c>
      <c r="D97" s="986" t="s">
        <v>2783</v>
      </c>
      <c r="E97" s="955">
        <v>2425</v>
      </c>
      <c r="F97" s="956" t="s">
        <v>2569</v>
      </c>
      <c r="G97" s="957" t="s">
        <v>2784</v>
      </c>
      <c r="H97" s="956"/>
      <c r="I97" s="957"/>
      <c r="J97" s="956"/>
      <c r="AW97" s="969" t="s">
        <v>2976</v>
      </c>
      <c r="AX97" s="987" t="s">
        <v>2536</v>
      </c>
      <c r="AY97" s="970" t="str">
        <f>+BZ17</f>
        <v>Rest of Oceania</v>
      </c>
      <c r="AZ97" s="969">
        <v>443</v>
      </c>
      <c r="BA97" s="971" t="s">
        <v>2465</v>
      </c>
      <c r="BB97" s="972">
        <v>5.4123414965002699</v>
      </c>
      <c r="BC97" s="971" t="s">
        <v>2537</v>
      </c>
      <c r="BD97" s="973"/>
      <c r="BE97" s="973"/>
      <c r="BF97" s="971"/>
      <c r="BG97" s="973"/>
      <c r="BH97" s="974">
        <f t="shared" si="28"/>
        <v>6</v>
      </c>
      <c r="BI97" s="974">
        <f t="shared" si="29"/>
        <v>2.97</v>
      </c>
      <c r="BJ97" s="974">
        <f t="shared" si="30"/>
        <v>67.5</v>
      </c>
      <c r="BK97" s="974">
        <f t="shared" si="31"/>
        <v>2.5</v>
      </c>
      <c r="BL97" s="974">
        <f t="shared" si="32"/>
        <v>9.5</v>
      </c>
      <c r="BM97" s="974">
        <f t="shared" si="33"/>
        <v>5.6</v>
      </c>
      <c r="BN97" s="974">
        <f t="shared" si="34"/>
        <v>2.97</v>
      </c>
      <c r="BO97" s="974">
        <f t="shared" si="35"/>
        <v>2.9666666666666668</v>
      </c>
      <c r="BP97" s="974">
        <f t="shared" si="27"/>
        <v>100.00666666666666</v>
      </c>
      <c r="BQ97" s="971" t="s">
        <v>2467</v>
      </c>
      <c r="BR97" s="975"/>
      <c r="BS97" s="975"/>
      <c r="BT97" s="975"/>
      <c r="BU97" s="975"/>
      <c r="BV97" s="975"/>
      <c r="BW97" s="975"/>
      <c r="BX97" s="971"/>
      <c r="DH97" s="977" t="str">
        <f t="shared" si="36"/>
        <v>French Polynesia</v>
      </c>
      <c r="DI97" s="977" t="str">
        <f t="shared" si="36"/>
        <v>Oceania</v>
      </c>
      <c r="DJ97" s="977" t="str">
        <f t="shared" si="36"/>
        <v>Rest of Oceania</v>
      </c>
      <c r="DL97" s="977" t="s">
        <v>35</v>
      </c>
      <c r="DN97" s="977" t="s">
        <v>2977</v>
      </c>
      <c r="DO97" s="977" t="s">
        <v>2978</v>
      </c>
    </row>
    <row r="98" spans="3:119">
      <c r="C98" s="836" t="s">
        <v>3010</v>
      </c>
      <c r="D98" s="986" t="s">
        <v>2783</v>
      </c>
      <c r="E98" s="955">
        <v>2143</v>
      </c>
      <c r="F98" s="956" t="s">
        <v>2569</v>
      </c>
      <c r="G98" s="957" t="s">
        <v>2784</v>
      </c>
      <c r="H98" s="956"/>
      <c r="I98" s="957"/>
      <c r="J98" s="956"/>
      <c r="AW98" s="969" t="s">
        <v>2980</v>
      </c>
      <c r="AX98" s="969" t="s">
        <v>2520</v>
      </c>
      <c r="AY98" s="970" t="str">
        <f>+BZ8</f>
        <v>Middle Africa</v>
      </c>
      <c r="AZ98" s="969">
        <v>439</v>
      </c>
      <c r="BA98" s="971" t="s">
        <v>2465</v>
      </c>
      <c r="BB98" s="972">
        <v>27.777777777777779</v>
      </c>
      <c r="BC98" s="971" t="s">
        <v>2494</v>
      </c>
      <c r="BD98" s="973"/>
      <c r="BE98" s="973"/>
      <c r="BF98" s="971"/>
      <c r="BG98" s="973"/>
      <c r="BH98" s="974">
        <f t="shared" si="28"/>
        <v>16.8</v>
      </c>
      <c r="BI98" s="974">
        <f t="shared" si="29"/>
        <v>2.5</v>
      </c>
      <c r="BJ98" s="974">
        <f t="shared" si="30"/>
        <v>43.4</v>
      </c>
      <c r="BK98" s="974">
        <f t="shared" si="31"/>
        <v>6.5</v>
      </c>
      <c r="BL98" s="974">
        <f t="shared" si="32"/>
        <v>9.5</v>
      </c>
      <c r="BM98" s="974">
        <f t="shared" si="33"/>
        <v>5.6</v>
      </c>
      <c r="BN98" s="974">
        <f t="shared" si="34"/>
        <v>4.5</v>
      </c>
      <c r="BO98" s="974">
        <f t="shared" si="35"/>
        <v>11.200000000000003</v>
      </c>
      <c r="BP98" s="974">
        <f t="shared" si="27"/>
        <v>100</v>
      </c>
      <c r="BQ98" s="971" t="s">
        <v>2467</v>
      </c>
      <c r="BR98" s="975"/>
      <c r="BS98" s="975"/>
      <c r="BT98" s="975"/>
      <c r="BU98" s="975"/>
      <c r="BV98" s="975"/>
      <c r="BW98" s="975"/>
      <c r="BX98" s="971"/>
      <c r="DH98" s="977" t="str">
        <f t="shared" si="36"/>
        <v>Gabon</v>
      </c>
      <c r="DI98" s="977" t="str">
        <f t="shared" si="36"/>
        <v>Africa</v>
      </c>
      <c r="DJ98" s="977" t="str">
        <f t="shared" si="36"/>
        <v>Middle Africa</v>
      </c>
      <c r="DL98" s="977" t="s">
        <v>35</v>
      </c>
      <c r="DN98" s="977" t="s">
        <v>2981</v>
      </c>
      <c r="DO98" s="977" t="s">
        <v>2982</v>
      </c>
    </row>
    <row r="99" spans="3:119" ht="26">
      <c r="C99" s="836" t="s">
        <v>3014</v>
      </c>
      <c r="D99" s="986" t="s">
        <v>2783</v>
      </c>
      <c r="E99" s="955">
        <v>185</v>
      </c>
      <c r="F99" s="956" t="s">
        <v>2569</v>
      </c>
      <c r="G99" s="957" t="s">
        <v>2784</v>
      </c>
      <c r="H99" s="956"/>
      <c r="I99" s="957"/>
      <c r="J99" s="956"/>
      <c r="AW99" s="969" t="s">
        <v>2983</v>
      </c>
      <c r="AX99" s="969" t="s">
        <v>2520</v>
      </c>
      <c r="AY99" s="970" t="str">
        <f>+BZ11</f>
        <v>Western Africa</v>
      </c>
      <c r="AZ99" s="969">
        <v>643</v>
      </c>
      <c r="BA99" s="971" t="s">
        <v>2465</v>
      </c>
      <c r="BB99" s="972">
        <v>13.490630673342661</v>
      </c>
      <c r="BC99" s="971" t="s">
        <v>2725</v>
      </c>
      <c r="BD99" s="973"/>
      <c r="BE99" s="973"/>
      <c r="BF99" s="971"/>
      <c r="BG99" s="973"/>
      <c r="BH99" s="974">
        <f t="shared" si="28"/>
        <v>9.8000000000000007</v>
      </c>
      <c r="BI99" s="974">
        <f t="shared" si="29"/>
        <v>1</v>
      </c>
      <c r="BJ99" s="974">
        <f t="shared" si="30"/>
        <v>40.4</v>
      </c>
      <c r="BK99" s="974">
        <f t="shared" si="31"/>
        <v>4.4000000000000004</v>
      </c>
      <c r="BL99" s="974">
        <f t="shared" si="32"/>
        <v>9.5</v>
      </c>
      <c r="BM99" s="974">
        <f t="shared" si="33"/>
        <v>5.6</v>
      </c>
      <c r="BN99" s="974">
        <f t="shared" si="34"/>
        <v>3</v>
      </c>
      <c r="BO99" s="974">
        <f t="shared" si="35"/>
        <v>26.300000000000011</v>
      </c>
      <c r="BP99" s="974">
        <f t="shared" si="27"/>
        <v>100</v>
      </c>
      <c r="BQ99" s="971" t="s">
        <v>2467</v>
      </c>
      <c r="BR99" s="975"/>
      <c r="BS99" s="975"/>
      <c r="BT99" s="975"/>
      <c r="BU99" s="975"/>
      <c r="BV99" s="975"/>
      <c r="BW99" s="975"/>
      <c r="BX99" s="971"/>
      <c r="DH99" s="977" t="str">
        <f t="shared" ref="DH99:DJ114" si="37">AW99</f>
        <v>Gambia</v>
      </c>
      <c r="DI99" s="977" t="str">
        <f t="shared" si="37"/>
        <v>Africa</v>
      </c>
      <c r="DJ99" s="977" t="str">
        <f t="shared" si="37"/>
        <v>Western Africa</v>
      </c>
      <c r="DL99" s="977" t="s">
        <v>35</v>
      </c>
      <c r="DN99" s="977" t="s">
        <v>2984</v>
      </c>
      <c r="DO99" s="977" t="s">
        <v>2985</v>
      </c>
    </row>
    <row r="100" spans="3:119">
      <c r="C100" s="836" t="s">
        <v>3022</v>
      </c>
      <c r="D100" s="986" t="s">
        <v>2783</v>
      </c>
      <c r="E100" s="955">
        <v>2042</v>
      </c>
      <c r="F100" s="956" t="s">
        <v>2569</v>
      </c>
      <c r="G100" s="957" t="s">
        <v>2784</v>
      </c>
      <c r="H100" s="956"/>
      <c r="I100" s="957"/>
      <c r="J100" s="956"/>
      <c r="AW100" s="969" t="s">
        <v>5</v>
      </c>
      <c r="AX100" s="969" t="s">
        <v>2464</v>
      </c>
      <c r="AY100" s="970" t="str">
        <f>+BZ6</f>
        <v>Western Asia &amp; Middle East</v>
      </c>
      <c r="AZ100" s="969">
        <v>195</v>
      </c>
      <c r="BA100" s="971" t="s">
        <v>2465</v>
      </c>
      <c r="BB100" s="972">
        <v>5.7853630315302285</v>
      </c>
      <c r="BC100" s="971" t="s">
        <v>2494</v>
      </c>
      <c r="BD100" s="973"/>
      <c r="BE100" s="973"/>
      <c r="BF100" s="971"/>
      <c r="BG100" s="973"/>
      <c r="BH100" s="974">
        <f t="shared" si="28"/>
        <v>18</v>
      </c>
      <c r="BI100" s="974">
        <f t="shared" si="29"/>
        <v>2.9</v>
      </c>
      <c r="BJ100" s="974">
        <f t="shared" si="30"/>
        <v>41.1</v>
      </c>
      <c r="BK100" s="974">
        <f t="shared" si="31"/>
        <v>9.8000000000000007</v>
      </c>
      <c r="BL100" s="974">
        <f t="shared" si="32"/>
        <v>9.5</v>
      </c>
      <c r="BM100" s="974">
        <f t="shared" si="33"/>
        <v>5.6</v>
      </c>
      <c r="BN100" s="974">
        <f t="shared" si="34"/>
        <v>6.3</v>
      </c>
      <c r="BO100" s="974">
        <f t="shared" si="35"/>
        <v>6.8000000000000114</v>
      </c>
      <c r="BP100" s="974">
        <f t="shared" si="27"/>
        <v>100</v>
      </c>
      <c r="BQ100" s="971" t="s">
        <v>2467</v>
      </c>
      <c r="BR100" s="975"/>
      <c r="BS100" s="975"/>
      <c r="BT100" s="975"/>
      <c r="BU100" s="975"/>
      <c r="BV100" s="975"/>
      <c r="BW100" s="975"/>
      <c r="BX100" s="971"/>
      <c r="DH100" s="977" t="str">
        <f t="shared" si="37"/>
        <v>Georgia</v>
      </c>
      <c r="DI100" s="977" t="str">
        <f t="shared" si="37"/>
        <v>Asia</v>
      </c>
      <c r="DJ100" s="977" t="str">
        <f t="shared" si="37"/>
        <v>Western Asia &amp; Middle East</v>
      </c>
      <c r="DL100" s="977" t="s">
        <v>35</v>
      </c>
      <c r="DN100" s="977" t="s">
        <v>2986</v>
      </c>
      <c r="DO100" s="977" t="s">
        <v>2987</v>
      </c>
    </row>
    <row r="101" spans="3:119">
      <c r="C101" s="836" t="s">
        <v>3029</v>
      </c>
      <c r="D101" s="986" t="s">
        <v>2783</v>
      </c>
      <c r="E101" s="955">
        <v>101</v>
      </c>
      <c r="F101" s="956" t="s">
        <v>2569</v>
      </c>
      <c r="G101" s="957" t="s">
        <v>2784</v>
      </c>
      <c r="H101" s="956"/>
      <c r="I101" s="957"/>
      <c r="J101" s="956"/>
      <c r="AW101" s="969" t="s">
        <v>48</v>
      </c>
      <c r="AX101" s="969" t="s">
        <v>2493</v>
      </c>
      <c r="AY101" s="970" t="str">
        <f>+BZ15</f>
        <v>Western Europe</v>
      </c>
      <c r="AZ101" s="969">
        <v>440.8</v>
      </c>
      <c r="BA101" s="971" t="s">
        <v>2678</v>
      </c>
      <c r="BB101" s="972">
        <v>3.8844707993401268</v>
      </c>
      <c r="BC101" s="971" t="s">
        <v>2494</v>
      </c>
      <c r="BD101" s="987">
        <v>0.04</v>
      </c>
      <c r="BE101" s="987">
        <v>0.03</v>
      </c>
      <c r="BF101" s="971" t="s">
        <v>2679</v>
      </c>
      <c r="BG101" s="973"/>
      <c r="BH101" s="974">
        <f t="shared" si="28"/>
        <v>27.5</v>
      </c>
      <c r="BI101" s="974">
        <f t="shared" si="29"/>
        <v>7.4</v>
      </c>
      <c r="BJ101" s="974">
        <f t="shared" si="30"/>
        <v>24.2</v>
      </c>
      <c r="BK101" s="974">
        <f t="shared" si="31"/>
        <v>11</v>
      </c>
      <c r="BL101" s="974">
        <f t="shared" si="32"/>
        <v>9.5</v>
      </c>
      <c r="BM101" s="974">
        <f t="shared" si="33"/>
        <v>5.6</v>
      </c>
      <c r="BN101" s="974">
        <f t="shared" si="34"/>
        <v>7.4</v>
      </c>
      <c r="BO101" s="974">
        <f t="shared" si="35"/>
        <v>7.3999999999999986</v>
      </c>
      <c r="BP101" s="974">
        <f t="shared" si="27"/>
        <v>100</v>
      </c>
      <c r="BQ101" s="971" t="s">
        <v>2467</v>
      </c>
      <c r="BR101" s="975"/>
      <c r="BS101" s="975"/>
      <c r="BT101" s="975"/>
      <c r="BU101" s="975"/>
      <c r="BV101" s="975"/>
      <c r="BW101" s="975"/>
      <c r="BX101" s="971"/>
      <c r="DH101" s="977" t="str">
        <f t="shared" si="37"/>
        <v>Germany</v>
      </c>
      <c r="DI101" s="977" t="str">
        <f t="shared" si="37"/>
        <v>Europe</v>
      </c>
      <c r="DJ101" s="977" t="str">
        <f t="shared" si="37"/>
        <v>Western Europe</v>
      </c>
      <c r="DK101" s="977" t="e">
        <f>VLOOKUP(DH101,#REF!,1)</f>
        <v>#REF!</v>
      </c>
      <c r="DL101" s="977" t="e">
        <f>VLOOKUP(DK101,#REF!,2,FALSE)</f>
        <v>#REF!</v>
      </c>
      <c r="DN101" s="977" t="s">
        <v>2989</v>
      </c>
      <c r="DO101" s="977" t="s">
        <v>2990</v>
      </c>
    </row>
    <row r="102" spans="3:119">
      <c r="C102" s="836" t="s">
        <v>3033</v>
      </c>
      <c r="D102" s="986" t="s">
        <v>2783</v>
      </c>
      <c r="E102" s="955">
        <v>138</v>
      </c>
      <c r="F102" s="956" t="s">
        <v>2569</v>
      </c>
      <c r="G102" s="957" t="s">
        <v>2784</v>
      </c>
      <c r="H102" s="956"/>
      <c r="I102" s="957"/>
      <c r="J102" s="956"/>
      <c r="AW102" s="969" t="s">
        <v>2992</v>
      </c>
      <c r="AX102" s="969" t="s">
        <v>2520</v>
      </c>
      <c r="AY102" s="970" t="str">
        <f>+BZ11</f>
        <v>Western Africa</v>
      </c>
      <c r="AZ102" s="969">
        <v>360</v>
      </c>
      <c r="BA102" s="971" t="s">
        <v>2465</v>
      </c>
      <c r="BB102" s="972">
        <v>22.587364036102752</v>
      </c>
      <c r="BC102" s="971" t="s">
        <v>2494</v>
      </c>
      <c r="BD102" s="973"/>
      <c r="BE102" s="973"/>
      <c r="BF102" s="971"/>
      <c r="BG102" s="973"/>
      <c r="BH102" s="974">
        <f t="shared" si="28"/>
        <v>9.8000000000000007</v>
      </c>
      <c r="BI102" s="974">
        <f t="shared" si="29"/>
        <v>1</v>
      </c>
      <c r="BJ102" s="974">
        <f t="shared" si="30"/>
        <v>40.4</v>
      </c>
      <c r="BK102" s="974">
        <f t="shared" si="31"/>
        <v>4.4000000000000004</v>
      </c>
      <c r="BL102" s="974">
        <f t="shared" si="32"/>
        <v>9.5</v>
      </c>
      <c r="BM102" s="974">
        <f t="shared" si="33"/>
        <v>5.6</v>
      </c>
      <c r="BN102" s="974">
        <f t="shared" si="34"/>
        <v>3</v>
      </c>
      <c r="BO102" s="974">
        <f t="shared" si="35"/>
        <v>26.300000000000011</v>
      </c>
      <c r="BP102" s="974">
        <f t="shared" si="27"/>
        <v>100</v>
      </c>
      <c r="BQ102" s="971" t="s">
        <v>2467</v>
      </c>
      <c r="BR102" s="975"/>
      <c r="BS102" s="975"/>
      <c r="BT102" s="975"/>
      <c r="BU102" s="975"/>
      <c r="BV102" s="975"/>
      <c r="BW102" s="975"/>
      <c r="BX102" s="971"/>
      <c r="DH102" s="977" t="str">
        <f t="shared" si="37"/>
        <v>Ghana</v>
      </c>
      <c r="DI102" s="977" t="str">
        <f t="shared" si="37"/>
        <v>Africa</v>
      </c>
      <c r="DJ102" s="977" t="str">
        <f t="shared" si="37"/>
        <v>Western Africa</v>
      </c>
      <c r="DL102" s="977" t="s">
        <v>35</v>
      </c>
      <c r="DN102" s="977" t="s">
        <v>2993</v>
      </c>
      <c r="DO102" s="977" t="s">
        <v>2994</v>
      </c>
    </row>
    <row r="103" spans="3:119">
      <c r="C103" s="836" t="s">
        <v>3038</v>
      </c>
      <c r="D103" s="986" t="s">
        <v>2783</v>
      </c>
      <c r="E103" s="955">
        <v>43</v>
      </c>
      <c r="F103" s="956" t="s">
        <v>2569</v>
      </c>
      <c r="G103" s="957" t="s">
        <v>2784</v>
      </c>
      <c r="H103" s="956"/>
      <c r="I103" s="957"/>
      <c r="J103" s="956"/>
      <c r="AW103" s="969" t="s">
        <v>2995</v>
      </c>
      <c r="AX103" s="969" t="s">
        <v>2493</v>
      </c>
      <c r="AY103" s="970" t="str">
        <f>+BZ14</f>
        <v>Southern Europe</v>
      </c>
      <c r="AZ103" s="969">
        <v>623</v>
      </c>
      <c r="BA103" s="971" t="s">
        <v>2678</v>
      </c>
      <c r="BB103" s="972">
        <v>8.2414635599785466</v>
      </c>
      <c r="BC103" s="971" t="s">
        <v>2494</v>
      </c>
      <c r="BD103" s="987">
        <v>7.4999999999999997E-2</v>
      </c>
      <c r="BE103" s="987">
        <v>0.01</v>
      </c>
      <c r="BF103" s="971" t="s">
        <v>2679</v>
      </c>
      <c r="BG103" s="973"/>
      <c r="BH103" s="974">
        <f t="shared" si="28"/>
        <v>17</v>
      </c>
      <c r="BI103" s="974">
        <f t="shared" si="29"/>
        <v>6.8</v>
      </c>
      <c r="BJ103" s="974">
        <f t="shared" si="30"/>
        <v>36.9</v>
      </c>
      <c r="BK103" s="974">
        <f t="shared" si="31"/>
        <v>10.6</v>
      </c>
      <c r="BL103" s="974">
        <f t="shared" si="32"/>
        <v>9.5</v>
      </c>
      <c r="BM103" s="974">
        <f t="shared" si="33"/>
        <v>5.6</v>
      </c>
      <c r="BN103" s="974">
        <f t="shared" si="34"/>
        <v>6.8</v>
      </c>
      <c r="BO103" s="974">
        <f t="shared" si="35"/>
        <v>6.8</v>
      </c>
      <c r="BP103" s="974">
        <f t="shared" si="27"/>
        <v>99.999999999999986</v>
      </c>
      <c r="BQ103" s="971" t="s">
        <v>2467</v>
      </c>
      <c r="BR103" s="975"/>
      <c r="BS103" s="975"/>
      <c r="BT103" s="975"/>
      <c r="BU103" s="975"/>
      <c r="BV103" s="975"/>
      <c r="BW103" s="975"/>
      <c r="BX103" s="971"/>
      <c r="DH103" s="977" t="str">
        <f t="shared" si="37"/>
        <v>Greece</v>
      </c>
      <c r="DI103" s="977" t="str">
        <f t="shared" si="37"/>
        <v>Europe</v>
      </c>
      <c r="DJ103" s="977" t="str">
        <f t="shared" si="37"/>
        <v>Southern Europe</v>
      </c>
      <c r="DK103" s="977" t="e">
        <f>VLOOKUP(DH103,#REF!,1)</f>
        <v>#REF!</v>
      </c>
      <c r="DL103" s="977" t="e">
        <f>VLOOKUP(DK103,#REF!,2,FALSE)</f>
        <v>#REF!</v>
      </c>
      <c r="DN103" s="977" t="s">
        <v>2996</v>
      </c>
      <c r="DO103" s="977" t="s">
        <v>2997</v>
      </c>
    </row>
    <row r="104" spans="3:119">
      <c r="C104" s="836" t="s">
        <v>3048</v>
      </c>
      <c r="D104" s="986" t="s">
        <v>2783</v>
      </c>
      <c r="E104" s="955">
        <v>5855</v>
      </c>
      <c r="F104" s="956" t="s">
        <v>2569</v>
      </c>
      <c r="G104" s="957" t="s">
        <v>2784</v>
      </c>
      <c r="H104" s="956"/>
      <c r="I104" s="957"/>
      <c r="J104" s="956"/>
      <c r="AW104" s="969" t="s">
        <v>2998</v>
      </c>
      <c r="AX104" s="987" t="s">
        <v>2576</v>
      </c>
      <c r="AY104" s="970" t="str">
        <f>+BZ18</f>
        <v>North America</v>
      </c>
      <c r="AZ104" s="969">
        <v>367</v>
      </c>
      <c r="BA104" s="971" t="s">
        <v>2465</v>
      </c>
      <c r="BB104" s="992">
        <v>8.2505991847772364</v>
      </c>
      <c r="BC104" s="971" t="s">
        <v>2999</v>
      </c>
      <c r="BD104" s="973"/>
      <c r="BE104" s="973"/>
      <c r="BF104" s="971"/>
      <c r="BG104" s="973"/>
      <c r="BH104" s="974">
        <f t="shared" si="28"/>
        <v>23.2</v>
      </c>
      <c r="BI104" s="974">
        <f t="shared" si="29"/>
        <v>3.9</v>
      </c>
      <c r="BJ104" s="974">
        <f t="shared" si="30"/>
        <v>33.9</v>
      </c>
      <c r="BK104" s="974">
        <f t="shared" si="31"/>
        <v>6.2</v>
      </c>
      <c r="BL104" s="974">
        <f t="shared" si="32"/>
        <v>9.5</v>
      </c>
      <c r="BM104" s="974">
        <f t="shared" si="33"/>
        <v>5.6</v>
      </c>
      <c r="BN104" s="974">
        <f t="shared" si="34"/>
        <v>8.5</v>
      </c>
      <c r="BO104" s="974">
        <f t="shared" si="35"/>
        <v>9.2000000000000028</v>
      </c>
      <c r="BP104" s="974">
        <f t="shared" si="27"/>
        <v>100</v>
      </c>
      <c r="BQ104" s="971" t="s">
        <v>2467</v>
      </c>
      <c r="BR104" s="975"/>
      <c r="BS104" s="975"/>
      <c r="BT104" s="975"/>
      <c r="BU104" s="975"/>
      <c r="BV104" s="975"/>
      <c r="BW104" s="975"/>
      <c r="BX104" s="971"/>
      <c r="DH104" s="977" t="str">
        <f t="shared" si="37"/>
        <v>Greenland</v>
      </c>
      <c r="DI104" s="977" t="str">
        <f t="shared" si="37"/>
        <v>Americas</v>
      </c>
      <c r="DJ104" s="977" t="str">
        <f t="shared" si="37"/>
        <v>North America</v>
      </c>
      <c r="DL104" s="977" t="s">
        <v>35</v>
      </c>
      <c r="DN104" s="977" t="s">
        <v>3000</v>
      </c>
      <c r="DO104" s="977" t="s">
        <v>3001</v>
      </c>
    </row>
    <row r="105" spans="3:119" ht="26">
      <c r="C105" s="836" t="s">
        <v>3052</v>
      </c>
      <c r="D105" s="986" t="s">
        <v>2783</v>
      </c>
      <c r="E105" s="955">
        <v>372</v>
      </c>
      <c r="F105" s="956" t="s">
        <v>2569</v>
      </c>
      <c r="G105" s="957" t="s">
        <v>2784</v>
      </c>
      <c r="H105" s="956"/>
      <c r="I105" s="957"/>
      <c r="J105" s="956"/>
      <c r="AW105" s="969" t="s">
        <v>3003</v>
      </c>
      <c r="AX105" s="987" t="s">
        <v>2576</v>
      </c>
      <c r="AY105" s="970" t="str">
        <f>+BZ21</f>
        <v>Caribbean</v>
      </c>
      <c r="AZ105" s="969">
        <v>557</v>
      </c>
      <c r="BA105" s="971" t="s">
        <v>2465</v>
      </c>
      <c r="BB105" s="972">
        <v>9.3894684857089938</v>
      </c>
      <c r="BC105" s="971" t="s">
        <v>2577</v>
      </c>
      <c r="BD105" s="973"/>
      <c r="BE105" s="973"/>
      <c r="BF105" s="971"/>
      <c r="BG105" s="973"/>
      <c r="BH105" s="974">
        <f t="shared" si="28"/>
        <v>17</v>
      </c>
      <c r="BI105" s="974">
        <f t="shared" si="29"/>
        <v>5.0999999999999996</v>
      </c>
      <c r="BJ105" s="974">
        <f t="shared" si="30"/>
        <v>46.9</v>
      </c>
      <c r="BK105" s="974">
        <f t="shared" si="31"/>
        <v>2.4</v>
      </c>
      <c r="BL105" s="974">
        <f t="shared" si="32"/>
        <v>9.5</v>
      </c>
      <c r="BM105" s="974">
        <f t="shared" si="33"/>
        <v>5.6</v>
      </c>
      <c r="BN105" s="974">
        <f t="shared" si="34"/>
        <v>9.9</v>
      </c>
      <c r="BO105" s="974">
        <f t="shared" si="35"/>
        <v>3.5999999999999943</v>
      </c>
      <c r="BP105" s="974">
        <f t="shared" si="27"/>
        <v>100</v>
      </c>
      <c r="BQ105" s="971" t="s">
        <v>2467</v>
      </c>
      <c r="BR105" s="975"/>
      <c r="BS105" s="975"/>
      <c r="BT105" s="975"/>
      <c r="BU105" s="975"/>
      <c r="BV105" s="975"/>
      <c r="BW105" s="975"/>
      <c r="BX105" s="971"/>
      <c r="DH105" s="977" t="str">
        <f t="shared" si="37"/>
        <v>Grenada</v>
      </c>
      <c r="DI105" s="977" t="str">
        <f t="shared" si="37"/>
        <v>Americas</v>
      </c>
      <c r="DJ105" s="977" t="str">
        <f t="shared" si="37"/>
        <v>Caribbean</v>
      </c>
      <c r="DL105" s="977" t="s">
        <v>35</v>
      </c>
      <c r="DN105" s="977" t="s">
        <v>3004</v>
      </c>
      <c r="DO105" s="977" t="s">
        <v>3005</v>
      </c>
    </row>
    <row r="106" spans="3:119" ht="26">
      <c r="C106" s="836" t="s">
        <v>3062</v>
      </c>
      <c r="D106" s="986" t="s">
        <v>2783</v>
      </c>
      <c r="E106" s="955">
        <v>4775</v>
      </c>
      <c r="F106" s="956" t="s">
        <v>2569</v>
      </c>
      <c r="G106" s="957" t="s">
        <v>2784</v>
      </c>
      <c r="H106" s="956"/>
      <c r="I106" s="957"/>
      <c r="J106" s="956"/>
      <c r="AW106" s="969" t="s">
        <v>3007</v>
      </c>
      <c r="AX106" s="987" t="s">
        <v>2576</v>
      </c>
      <c r="AY106" s="970" t="str">
        <f>+BZ21</f>
        <v>Caribbean</v>
      </c>
      <c r="AZ106" s="969">
        <v>454</v>
      </c>
      <c r="BA106" s="971" t="s">
        <v>2465</v>
      </c>
      <c r="BB106" s="972">
        <v>9.3894684857089938</v>
      </c>
      <c r="BC106" s="971" t="s">
        <v>2577</v>
      </c>
      <c r="BD106" s="973"/>
      <c r="BE106" s="973"/>
      <c r="BF106" s="971"/>
      <c r="BG106" s="973"/>
      <c r="BH106" s="974">
        <f t="shared" si="28"/>
        <v>17</v>
      </c>
      <c r="BI106" s="974">
        <f t="shared" si="29"/>
        <v>5.0999999999999996</v>
      </c>
      <c r="BJ106" s="974">
        <f t="shared" si="30"/>
        <v>46.9</v>
      </c>
      <c r="BK106" s="974">
        <f t="shared" si="31"/>
        <v>2.4</v>
      </c>
      <c r="BL106" s="974">
        <f t="shared" si="32"/>
        <v>9.5</v>
      </c>
      <c r="BM106" s="974">
        <f t="shared" si="33"/>
        <v>5.6</v>
      </c>
      <c r="BN106" s="974">
        <f t="shared" si="34"/>
        <v>9.9</v>
      </c>
      <c r="BO106" s="974">
        <f t="shared" si="35"/>
        <v>3.5999999999999943</v>
      </c>
      <c r="BP106" s="974">
        <f t="shared" si="27"/>
        <v>100</v>
      </c>
      <c r="BQ106" s="971" t="s">
        <v>2467</v>
      </c>
      <c r="BR106" s="975"/>
      <c r="BS106" s="975"/>
      <c r="BT106" s="975"/>
      <c r="BU106" s="975"/>
      <c r="BV106" s="975"/>
      <c r="BW106" s="975"/>
      <c r="BX106" s="971"/>
      <c r="DH106" s="977" t="str">
        <f t="shared" si="37"/>
        <v>Guadeloupe (France)</v>
      </c>
      <c r="DI106" s="977" t="str">
        <f t="shared" si="37"/>
        <v>Americas</v>
      </c>
      <c r="DJ106" s="977" t="str">
        <f t="shared" si="37"/>
        <v>Caribbean</v>
      </c>
      <c r="DL106" s="977" t="s">
        <v>35</v>
      </c>
      <c r="DN106" s="977" t="s">
        <v>3008</v>
      </c>
      <c r="DO106" s="977" t="s">
        <v>3009</v>
      </c>
    </row>
    <row r="107" spans="3:119" ht="26">
      <c r="C107" s="836" t="s">
        <v>3071</v>
      </c>
      <c r="D107" s="954" t="s">
        <v>2783</v>
      </c>
      <c r="E107" s="955">
        <v>5202</v>
      </c>
      <c r="F107" s="956" t="s">
        <v>2569</v>
      </c>
      <c r="G107" s="957" t="s">
        <v>2784</v>
      </c>
      <c r="H107" s="956"/>
      <c r="I107" s="957"/>
      <c r="J107" s="956"/>
      <c r="AW107" s="969" t="s">
        <v>3011</v>
      </c>
      <c r="AX107" s="987" t="s">
        <v>2536</v>
      </c>
      <c r="AY107" s="970" t="str">
        <f>+BZ17</f>
        <v>Rest of Oceania</v>
      </c>
      <c r="AZ107" s="969">
        <v>447</v>
      </c>
      <c r="BA107" s="971" t="s">
        <v>2465</v>
      </c>
      <c r="BB107" s="972">
        <v>5.4123414965002699</v>
      </c>
      <c r="BC107" s="971" t="s">
        <v>2537</v>
      </c>
      <c r="BD107" s="973"/>
      <c r="BE107" s="973"/>
      <c r="BF107" s="971"/>
      <c r="BG107" s="973"/>
      <c r="BH107" s="974">
        <f t="shared" si="28"/>
        <v>6</v>
      </c>
      <c r="BI107" s="974">
        <f t="shared" si="29"/>
        <v>2.97</v>
      </c>
      <c r="BJ107" s="974">
        <f t="shared" si="30"/>
        <v>67.5</v>
      </c>
      <c r="BK107" s="974">
        <f t="shared" si="31"/>
        <v>2.5</v>
      </c>
      <c r="BL107" s="974">
        <f t="shared" si="32"/>
        <v>9.5</v>
      </c>
      <c r="BM107" s="974">
        <f t="shared" si="33"/>
        <v>5.6</v>
      </c>
      <c r="BN107" s="974">
        <f t="shared" si="34"/>
        <v>2.97</v>
      </c>
      <c r="BO107" s="974">
        <f t="shared" si="35"/>
        <v>2.9666666666666668</v>
      </c>
      <c r="BP107" s="974">
        <f t="shared" si="27"/>
        <v>100.00666666666666</v>
      </c>
      <c r="BQ107" s="971" t="s">
        <v>2467</v>
      </c>
      <c r="BR107" s="975"/>
      <c r="BS107" s="975"/>
      <c r="BT107" s="975"/>
      <c r="BU107" s="975"/>
      <c r="BV107" s="975"/>
      <c r="BW107" s="975"/>
      <c r="BX107" s="971"/>
      <c r="DH107" s="977" t="str">
        <f t="shared" si="37"/>
        <v>Guam</v>
      </c>
      <c r="DI107" s="977" t="str">
        <f t="shared" si="37"/>
        <v>Oceania</v>
      </c>
      <c r="DJ107" s="977" t="str">
        <f t="shared" si="37"/>
        <v>Rest of Oceania</v>
      </c>
      <c r="DL107" s="977" t="s">
        <v>35</v>
      </c>
      <c r="DN107" s="977" t="s">
        <v>3012</v>
      </c>
      <c r="DO107" s="977" t="s">
        <v>3013</v>
      </c>
    </row>
    <row r="108" spans="3:119">
      <c r="C108" s="836" t="s">
        <v>3080</v>
      </c>
      <c r="D108" s="954" t="s">
        <v>2783</v>
      </c>
      <c r="E108" s="955">
        <v>232</v>
      </c>
      <c r="F108" s="956" t="s">
        <v>2569</v>
      </c>
      <c r="G108" s="957" t="s">
        <v>2784</v>
      </c>
      <c r="H108" s="956"/>
      <c r="I108" s="957"/>
      <c r="J108" s="956"/>
      <c r="AW108" s="987" t="s">
        <v>3015</v>
      </c>
      <c r="AX108" s="987" t="s">
        <v>2576</v>
      </c>
      <c r="AY108" s="991" t="str">
        <f>+BZ19</f>
        <v>Central America</v>
      </c>
      <c r="AZ108" s="987">
        <v>367.1</v>
      </c>
      <c r="BA108" s="971" t="s">
        <v>3016</v>
      </c>
      <c r="BB108" s="992">
        <v>9.4594594594594597</v>
      </c>
      <c r="BC108" s="971" t="s">
        <v>2494</v>
      </c>
      <c r="BD108" s="973"/>
      <c r="BE108" s="973"/>
      <c r="BF108" s="971"/>
      <c r="BG108" s="973"/>
      <c r="BH108" s="974">
        <f t="shared" si="28"/>
        <v>13.7</v>
      </c>
      <c r="BI108" s="974">
        <f t="shared" si="29"/>
        <v>2.6</v>
      </c>
      <c r="BJ108" s="974">
        <f t="shared" si="30"/>
        <v>43.8</v>
      </c>
      <c r="BK108" s="974">
        <f t="shared" si="31"/>
        <v>13.5</v>
      </c>
      <c r="BL108" s="974">
        <f t="shared" si="32"/>
        <v>9.5</v>
      </c>
      <c r="BM108" s="974">
        <f t="shared" si="33"/>
        <v>5.6</v>
      </c>
      <c r="BN108" s="974">
        <f t="shared" si="34"/>
        <v>6.7</v>
      </c>
      <c r="BO108" s="974">
        <f t="shared" si="35"/>
        <v>4.6000000000000085</v>
      </c>
      <c r="BP108" s="974">
        <f t="shared" si="27"/>
        <v>100</v>
      </c>
      <c r="BQ108" s="971" t="s">
        <v>2467</v>
      </c>
      <c r="BR108" s="975"/>
      <c r="BS108" s="975"/>
      <c r="BT108" s="975"/>
      <c r="BU108" s="975"/>
      <c r="BV108" s="975"/>
      <c r="BW108" s="975"/>
      <c r="BX108" s="971"/>
      <c r="DH108" s="977" t="str">
        <f t="shared" si="37"/>
        <v>Guatemala</v>
      </c>
      <c r="DI108" s="977" t="str">
        <f t="shared" si="37"/>
        <v>Americas</v>
      </c>
      <c r="DJ108" s="977" t="str">
        <f t="shared" si="37"/>
        <v>Central America</v>
      </c>
      <c r="DL108" s="977" t="s">
        <v>35</v>
      </c>
      <c r="DN108" s="977" t="s">
        <v>3017</v>
      </c>
      <c r="DO108" s="977" t="s">
        <v>3018</v>
      </c>
    </row>
    <row r="109" spans="3:119" ht="26">
      <c r="C109" s="836" t="s">
        <v>3083</v>
      </c>
      <c r="D109" s="954" t="s">
        <v>2778</v>
      </c>
      <c r="E109" s="955">
        <v>4</v>
      </c>
      <c r="F109" s="956" t="s">
        <v>2569</v>
      </c>
      <c r="G109" s="957" t="s">
        <v>3084</v>
      </c>
      <c r="H109" s="956"/>
      <c r="I109" s="957"/>
      <c r="J109" s="956" t="s">
        <v>3085</v>
      </c>
      <c r="AW109" s="969" t="s">
        <v>3019</v>
      </c>
      <c r="AX109" s="969" t="s">
        <v>2520</v>
      </c>
      <c r="AY109" s="970" t="str">
        <f>+BZ11</f>
        <v>Western Africa</v>
      </c>
      <c r="AZ109" s="969">
        <v>484</v>
      </c>
      <c r="BA109" s="971" t="s">
        <v>2465</v>
      </c>
      <c r="BB109" s="972">
        <v>13.490630673342661</v>
      </c>
      <c r="BC109" s="971" t="s">
        <v>2725</v>
      </c>
      <c r="BD109" s="973"/>
      <c r="BE109" s="973"/>
      <c r="BF109" s="971"/>
      <c r="BG109" s="973"/>
      <c r="BH109" s="974">
        <f t="shared" si="28"/>
        <v>9.8000000000000007</v>
      </c>
      <c r="BI109" s="974">
        <f t="shared" si="29"/>
        <v>1</v>
      </c>
      <c r="BJ109" s="974">
        <f t="shared" si="30"/>
        <v>40.4</v>
      </c>
      <c r="BK109" s="974">
        <f t="shared" si="31"/>
        <v>4.4000000000000004</v>
      </c>
      <c r="BL109" s="974">
        <f t="shared" si="32"/>
        <v>9.5</v>
      </c>
      <c r="BM109" s="974">
        <f t="shared" si="33"/>
        <v>5.6</v>
      </c>
      <c r="BN109" s="974">
        <f t="shared" si="34"/>
        <v>3</v>
      </c>
      <c r="BO109" s="974">
        <f t="shared" si="35"/>
        <v>26.300000000000011</v>
      </c>
      <c r="BP109" s="974">
        <f t="shared" si="27"/>
        <v>100</v>
      </c>
      <c r="BQ109" s="971" t="s">
        <v>2467</v>
      </c>
      <c r="BR109" s="975"/>
      <c r="BS109" s="975"/>
      <c r="BT109" s="975"/>
      <c r="BU109" s="975"/>
      <c r="BV109" s="975"/>
      <c r="BW109" s="975"/>
      <c r="BX109" s="971"/>
      <c r="DH109" s="977" t="str">
        <f t="shared" si="37"/>
        <v>Guinea</v>
      </c>
      <c r="DI109" s="977" t="str">
        <f t="shared" si="37"/>
        <v>Africa</v>
      </c>
      <c r="DJ109" s="977" t="str">
        <f t="shared" si="37"/>
        <v>Western Africa</v>
      </c>
      <c r="DL109" s="977" t="s">
        <v>35</v>
      </c>
      <c r="DN109" s="977" t="s">
        <v>3020</v>
      </c>
      <c r="DO109" s="977" t="s">
        <v>3021</v>
      </c>
    </row>
    <row r="110" spans="3:119" ht="26">
      <c r="C110" s="836" t="s">
        <v>3089</v>
      </c>
      <c r="D110" s="954" t="s">
        <v>2778</v>
      </c>
      <c r="E110" s="955">
        <v>3</v>
      </c>
      <c r="F110" s="956" t="s">
        <v>2569</v>
      </c>
      <c r="G110" s="957" t="s">
        <v>3090</v>
      </c>
      <c r="H110" s="956"/>
      <c r="I110" s="957"/>
      <c r="J110" s="956"/>
      <c r="AW110" s="969" t="s">
        <v>3023</v>
      </c>
      <c r="AX110" s="969" t="s">
        <v>2520</v>
      </c>
      <c r="AY110" s="970" t="str">
        <f>+BZ11</f>
        <v>Western Africa</v>
      </c>
      <c r="AZ110" s="969">
        <v>656</v>
      </c>
      <c r="BA110" s="971" t="s">
        <v>2465</v>
      </c>
      <c r="BB110" s="972">
        <v>13.490630673342661</v>
      </c>
      <c r="BC110" s="971" t="s">
        <v>2725</v>
      </c>
      <c r="BD110" s="973"/>
      <c r="BE110" s="973"/>
      <c r="BF110" s="971"/>
      <c r="BG110" s="973"/>
      <c r="BH110" s="974">
        <f t="shared" si="28"/>
        <v>9.8000000000000007</v>
      </c>
      <c r="BI110" s="974">
        <f t="shared" si="29"/>
        <v>1</v>
      </c>
      <c r="BJ110" s="974">
        <f t="shared" si="30"/>
        <v>40.4</v>
      </c>
      <c r="BK110" s="974">
        <f t="shared" si="31"/>
        <v>4.4000000000000004</v>
      </c>
      <c r="BL110" s="974">
        <f t="shared" si="32"/>
        <v>9.5</v>
      </c>
      <c r="BM110" s="974">
        <f t="shared" si="33"/>
        <v>5.6</v>
      </c>
      <c r="BN110" s="974">
        <f t="shared" si="34"/>
        <v>3</v>
      </c>
      <c r="BO110" s="974">
        <f t="shared" si="35"/>
        <v>26.300000000000011</v>
      </c>
      <c r="BP110" s="974">
        <f t="shared" si="27"/>
        <v>100</v>
      </c>
      <c r="BQ110" s="971" t="s">
        <v>2467</v>
      </c>
      <c r="BR110" s="975"/>
      <c r="BS110" s="975"/>
      <c r="BT110" s="975"/>
      <c r="BU110" s="975"/>
      <c r="BV110" s="975"/>
      <c r="BW110" s="975"/>
      <c r="BX110" s="971"/>
      <c r="DH110" s="977" t="str">
        <f t="shared" si="37"/>
        <v>Guinea-Bissau</v>
      </c>
      <c r="DI110" s="977" t="str">
        <f t="shared" si="37"/>
        <v>Africa</v>
      </c>
      <c r="DJ110" s="977" t="str">
        <f t="shared" si="37"/>
        <v>Western Africa</v>
      </c>
      <c r="DL110" s="977" t="s">
        <v>35</v>
      </c>
      <c r="DN110" s="977" t="s">
        <v>3024</v>
      </c>
      <c r="DO110" s="977" t="s">
        <v>3025</v>
      </c>
    </row>
    <row r="111" spans="3:119" ht="26">
      <c r="C111" s="836" t="s">
        <v>3094</v>
      </c>
      <c r="D111" s="954"/>
      <c r="E111" s="955">
        <v>0</v>
      </c>
      <c r="F111" s="956" t="s">
        <v>2569</v>
      </c>
      <c r="G111" s="957" t="s">
        <v>3090</v>
      </c>
      <c r="H111" s="956"/>
      <c r="I111" s="957"/>
      <c r="J111" s="956" t="s">
        <v>3095</v>
      </c>
      <c r="AW111" s="969" t="s">
        <v>3026</v>
      </c>
      <c r="AX111" s="987" t="s">
        <v>2576</v>
      </c>
      <c r="AY111" s="970" t="str">
        <f>+BZ20</f>
        <v>South America</v>
      </c>
      <c r="AZ111" s="969">
        <v>607</v>
      </c>
      <c r="BA111" s="971" t="s">
        <v>2465</v>
      </c>
      <c r="BB111" s="972">
        <v>15.618667277425265</v>
      </c>
      <c r="BC111" s="971" t="s">
        <v>2720</v>
      </c>
      <c r="BD111" s="973"/>
      <c r="BE111" s="973"/>
      <c r="BF111" s="971"/>
      <c r="BG111" s="973"/>
      <c r="BH111" s="974">
        <f t="shared" si="28"/>
        <v>17.100000000000001</v>
      </c>
      <c r="BI111" s="974">
        <f t="shared" si="29"/>
        <v>2.6</v>
      </c>
      <c r="BJ111" s="974">
        <f t="shared" si="30"/>
        <v>44.9</v>
      </c>
      <c r="BK111" s="974">
        <f t="shared" si="31"/>
        <v>4.7</v>
      </c>
      <c r="BL111" s="974">
        <f t="shared" si="32"/>
        <v>9.5</v>
      </c>
      <c r="BM111" s="974">
        <f t="shared" si="33"/>
        <v>5.6</v>
      </c>
      <c r="BN111" s="974">
        <f t="shared" si="34"/>
        <v>10.8</v>
      </c>
      <c r="BO111" s="974">
        <f t="shared" si="35"/>
        <v>4.8000000000000114</v>
      </c>
      <c r="BP111" s="974">
        <f t="shared" si="27"/>
        <v>100</v>
      </c>
      <c r="BQ111" s="971" t="s">
        <v>2467</v>
      </c>
      <c r="BR111" s="975"/>
      <c r="BS111" s="975"/>
      <c r="BT111" s="975"/>
      <c r="BU111" s="975"/>
      <c r="BV111" s="975"/>
      <c r="BW111" s="975"/>
      <c r="BX111" s="971"/>
      <c r="DH111" s="977" t="str">
        <f t="shared" si="37"/>
        <v>Guyana</v>
      </c>
      <c r="DI111" s="977" t="str">
        <f t="shared" si="37"/>
        <v>Americas</v>
      </c>
      <c r="DJ111" s="977" t="str">
        <f t="shared" si="37"/>
        <v>South America</v>
      </c>
      <c r="DL111" s="977" t="s">
        <v>35</v>
      </c>
      <c r="DN111" s="977" t="s">
        <v>3027</v>
      </c>
      <c r="DO111" s="977" t="s">
        <v>3028</v>
      </c>
    </row>
    <row r="112" spans="3:119" ht="37.5">
      <c r="C112" s="836" t="s">
        <v>3099</v>
      </c>
      <c r="D112" s="954"/>
      <c r="E112" s="955">
        <v>0</v>
      </c>
      <c r="F112" s="956" t="s">
        <v>2569</v>
      </c>
      <c r="G112" s="957"/>
      <c r="H112" s="956"/>
      <c r="I112" s="957"/>
      <c r="J112" s="956" t="s">
        <v>3100</v>
      </c>
      <c r="AW112" s="969" t="s">
        <v>3030</v>
      </c>
      <c r="AX112" s="987" t="s">
        <v>2576</v>
      </c>
      <c r="AY112" s="970" t="str">
        <f>+BZ21</f>
        <v>Caribbean</v>
      </c>
      <c r="AZ112" s="969">
        <v>703</v>
      </c>
      <c r="BA112" s="971" t="s">
        <v>2465</v>
      </c>
      <c r="BB112" s="972">
        <v>60.116166505324301</v>
      </c>
      <c r="BC112" s="971" t="s">
        <v>2494</v>
      </c>
      <c r="BD112" s="973"/>
      <c r="BE112" s="973"/>
      <c r="BF112" s="971"/>
      <c r="BG112" s="973"/>
      <c r="BH112" s="974">
        <f t="shared" si="28"/>
        <v>17</v>
      </c>
      <c r="BI112" s="974">
        <f t="shared" si="29"/>
        <v>5.0999999999999996</v>
      </c>
      <c r="BJ112" s="974">
        <f t="shared" si="30"/>
        <v>46.9</v>
      </c>
      <c r="BK112" s="974">
        <f t="shared" si="31"/>
        <v>2.4</v>
      </c>
      <c r="BL112" s="974">
        <f t="shared" si="32"/>
        <v>9.5</v>
      </c>
      <c r="BM112" s="974">
        <f t="shared" si="33"/>
        <v>5.6</v>
      </c>
      <c r="BN112" s="974">
        <f t="shared" si="34"/>
        <v>9.9</v>
      </c>
      <c r="BO112" s="974">
        <f t="shared" si="35"/>
        <v>3.5999999999999943</v>
      </c>
      <c r="BP112" s="974">
        <f t="shared" si="27"/>
        <v>100</v>
      </c>
      <c r="BQ112" s="971" t="s">
        <v>2467</v>
      </c>
      <c r="BR112" s="975"/>
      <c r="BS112" s="975"/>
      <c r="BT112" s="975"/>
      <c r="BU112" s="975"/>
      <c r="BV112" s="975"/>
      <c r="BW112" s="975"/>
      <c r="BX112" s="971"/>
      <c r="DH112" s="977" t="str">
        <f t="shared" si="37"/>
        <v>Haiti</v>
      </c>
      <c r="DI112" s="977" t="str">
        <f t="shared" si="37"/>
        <v>Americas</v>
      </c>
      <c r="DJ112" s="977" t="str">
        <f t="shared" si="37"/>
        <v>Caribbean</v>
      </c>
      <c r="DL112" s="977" t="s">
        <v>35</v>
      </c>
      <c r="DN112" s="977" t="s">
        <v>3031</v>
      </c>
      <c r="DO112" s="977" t="s">
        <v>3032</v>
      </c>
    </row>
    <row r="113" spans="3:119">
      <c r="C113" s="1004" t="s">
        <v>3115</v>
      </c>
      <c r="D113" s="1005"/>
      <c r="AW113" s="969" t="s">
        <v>3034</v>
      </c>
      <c r="AX113" s="987" t="s">
        <v>2576</v>
      </c>
      <c r="AY113" s="970" t="str">
        <f>+BZ19</f>
        <v>Central America</v>
      </c>
      <c r="AZ113" s="969">
        <v>473</v>
      </c>
      <c r="BA113" s="971" t="s">
        <v>2465</v>
      </c>
      <c r="BB113" s="972">
        <v>34.946504105498882</v>
      </c>
      <c r="BC113" s="971" t="s">
        <v>2494</v>
      </c>
      <c r="BD113" s="987">
        <v>0.1</v>
      </c>
      <c r="BE113" s="987">
        <v>0.1</v>
      </c>
      <c r="BF113" s="971" t="s">
        <v>3035</v>
      </c>
      <c r="BG113" s="973"/>
      <c r="BH113" s="974">
        <f t="shared" si="28"/>
        <v>13.7</v>
      </c>
      <c r="BI113" s="974">
        <f t="shared" si="29"/>
        <v>2.6</v>
      </c>
      <c r="BJ113" s="974">
        <f t="shared" si="30"/>
        <v>43.8</v>
      </c>
      <c r="BK113" s="974">
        <f t="shared" si="31"/>
        <v>13.5</v>
      </c>
      <c r="BL113" s="974">
        <f t="shared" si="32"/>
        <v>9.5</v>
      </c>
      <c r="BM113" s="974">
        <f t="shared" si="33"/>
        <v>5.6</v>
      </c>
      <c r="BN113" s="974">
        <f t="shared" si="34"/>
        <v>6.7</v>
      </c>
      <c r="BO113" s="974">
        <f t="shared" si="35"/>
        <v>4.6000000000000085</v>
      </c>
      <c r="BP113" s="974">
        <f t="shared" si="27"/>
        <v>100</v>
      </c>
      <c r="BQ113" s="971" t="s">
        <v>2467</v>
      </c>
      <c r="BR113" s="975"/>
      <c r="BS113" s="975"/>
      <c r="BT113" s="975"/>
      <c r="BU113" s="975"/>
      <c r="BV113" s="975"/>
      <c r="BW113" s="975"/>
      <c r="BX113" s="971"/>
      <c r="DH113" s="977" t="str">
        <f t="shared" si="37"/>
        <v>Honduras</v>
      </c>
      <c r="DI113" s="977" t="str">
        <f t="shared" si="37"/>
        <v>Americas</v>
      </c>
      <c r="DJ113" s="977" t="str">
        <f t="shared" si="37"/>
        <v>Central America</v>
      </c>
      <c r="DL113" s="977" t="s">
        <v>35</v>
      </c>
      <c r="DN113" s="977" t="s">
        <v>3036</v>
      </c>
      <c r="DO113" s="977" t="s">
        <v>3037</v>
      </c>
    </row>
    <row r="114" spans="3:119">
      <c r="C114" s="1004" t="s">
        <v>3119</v>
      </c>
      <c r="D114" s="1005"/>
      <c r="AW114" s="969" t="s">
        <v>3039</v>
      </c>
      <c r="AX114" s="969" t="s">
        <v>2464</v>
      </c>
      <c r="AY114" s="970" t="str">
        <f>+BZ3</f>
        <v>Eastern Asia</v>
      </c>
      <c r="AZ114" s="969">
        <v>396</v>
      </c>
      <c r="BA114" s="971" t="s">
        <v>2465</v>
      </c>
      <c r="BB114" s="972">
        <v>12.493422536270014</v>
      </c>
      <c r="BC114" s="971" t="s">
        <v>2494</v>
      </c>
      <c r="BD114" s="973"/>
      <c r="BE114" s="973"/>
      <c r="BF114" s="971"/>
      <c r="BG114" s="973"/>
      <c r="BH114" s="974">
        <f t="shared" si="28"/>
        <v>18.8</v>
      </c>
      <c r="BI114" s="974">
        <f t="shared" si="29"/>
        <v>3.5</v>
      </c>
      <c r="BJ114" s="974">
        <f t="shared" si="30"/>
        <v>26.2</v>
      </c>
      <c r="BK114" s="974">
        <f t="shared" si="31"/>
        <v>3.5</v>
      </c>
      <c r="BL114" s="974">
        <f t="shared" si="32"/>
        <v>9.5</v>
      </c>
      <c r="BM114" s="974">
        <f t="shared" si="33"/>
        <v>5.6</v>
      </c>
      <c r="BN114" s="974">
        <f t="shared" si="34"/>
        <v>14.3</v>
      </c>
      <c r="BO114" s="974">
        <f t="shared" si="35"/>
        <v>18.600000000000009</v>
      </c>
      <c r="BP114" s="974">
        <f t="shared" si="27"/>
        <v>100</v>
      </c>
      <c r="BQ114" s="971" t="s">
        <v>2467</v>
      </c>
      <c r="BR114" s="975"/>
      <c r="BS114" s="975"/>
      <c r="BT114" s="975"/>
      <c r="BU114" s="975"/>
      <c r="BV114" s="975"/>
      <c r="BW114" s="975"/>
      <c r="BX114" s="971"/>
      <c r="DH114" s="977" t="str">
        <f t="shared" si="37"/>
        <v>Hong Kong (China)</v>
      </c>
      <c r="DI114" s="977" t="str">
        <f t="shared" si="37"/>
        <v>Asia</v>
      </c>
      <c r="DJ114" s="977" t="str">
        <f t="shared" si="37"/>
        <v>Eastern Asia</v>
      </c>
      <c r="DL114" s="977" t="s">
        <v>35</v>
      </c>
      <c r="DN114" s="977" t="s">
        <v>3040</v>
      </c>
      <c r="DO114" s="977" t="s">
        <v>3041</v>
      </c>
    </row>
    <row r="115" spans="3:119">
      <c r="AW115" s="969" t="s">
        <v>3042</v>
      </c>
      <c r="AX115" s="969" t="s">
        <v>2493</v>
      </c>
      <c r="AY115" s="970" t="str">
        <f>+BZ12</f>
        <v>Eastern Europe</v>
      </c>
      <c r="AZ115" s="969">
        <v>260.39999999999998</v>
      </c>
      <c r="BA115" s="971" t="s">
        <v>2678</v>
      </c>
      <c r="BB115" s="972">
        <v>12.353701687534024</v>
      </c>
      <c r="BC115" s="971" t="s">
        <v>2494</v>
      </c>
      <c r="BD115" s="987">
        <v>5.7500000000000002E-2</v>
      </c>
      <c r="BE115" s="987">
        <v>5.7500000000000002E-2</v>
      </c>
      <c r="BF115" s="971" t="s">
        <v>2679</v>
      </c>
      <c r="BG115" s="973"/>
      <c r="BH115" s="974">
        <f t="shared" si="28"/>
        <v>21.8</v>
      </c>
      <c r="BI115" s="974">
        <f t="shared" si="29"/>
        <v>4.7</v>
      </c>
      <c r="BJ115" s="974">
        <f t="shared" si="30"/>
        <v>30.1</v>
      </c>
      <c r="BK115" s="974">
        <f t="shared" si="31"/>
        <v>7.5</v>
      </c>
      <c r="BL115" s="974">
        <f t="shared" si="32"/>
        <v>9.5</v>
      </c>
      <c r="BM115" s="974">
        <f t="shared" si="33"/>
        <v>5.6</v>
      </c>
      <c r="BN115" s="974">
        <f t="shared" si="34"/>
        <v>6.2</v>
      </c>
      <c r="BO115" s="974">
        <f t="shared" si="35"/>
        <v>14.600000000000009</v>
      </c>
      <c r="BP115" s="974">
        <f t="shared" si="27"/>
        <v>100</v>
      </c>
      <c r="BQ115" s="971" t="s">
        <v>2467</v>
      </c>
      <c r="BR115" s="975"/>
      <c r="BS115" s="975"/>
      <c r="BT115" s="975"/>
      <c r="BU115" s="975"/>
      <c r="BV115" s="975"/>
      <c r="BW115" s="975"/>
      <c r="BX115" s="971"/>
      <c r="DH115" s="977" t="str">
        <f t="shared" ref="DH115:DJ141" si="38">AW115</f>
        <v>Hungary</v>
      </c>
      <c r="DI115" s="977" t="str">
        <f t="shared" si="38"/>
        <v>Europe</v>
      </c>
      <c r="DJ115" s="977" t="str">
        <f t="shared" si="38"/>
        <v>Eastern Europe</v>
      </c>
      <c r="DK115" s="977" t="e">
        <f>VLOOKUP(DH115,#REF!,1)</f>
        <v>#REF!</v>
      </c>
      <c r="DL115" s="977" t="e">
        <f>VLOOKUP(DK115,#REF!,2,FALSE)</f>
        <v>#REF!</v>
      </c>
      <c r="DN115" s="977" t="s">
        <v>3043</v>
      </c>
      <c r="DO115" s="977" t="s">
        <v>3044</v>
      </c>
    </row>
    <row r="116" spans="3:119">
      <c r="AW116" s="969" t="s">
        <v>3045</v>
      </c>
      <c r="AX116" s="969" t="s">
        <v>2493</v>
      </c>
      <c r="AY116" s="970" t="str">
        <f>+BZ13</f>
        <v>Northern Europe</v>
      </c>
      <c r="AZ116" s="969">
        <v>43</v>
      </c>
      <c r="BA116" s="971" t="s">
        <v>2465</v>
      </c>
      <c r="BB116" s="972">
        <v>2.7478894222810792</v>
      </c>
      <c r="BC116" s="971" t="s">
        <v>2494</v>
      </c>
      <c r="BD116" s="973"/>
      <c r="BE116" s="973"/>
      <c r="BF116" s="971"/>
      <c r="BG116" s="973"/>
      <c r="BH116" s="974">
        <f t="shared" si="28"/>
        <v>30.6</v>
      </c>
      <c r="BI116" s="974">
        <f t="shared" si="29"/>
        <v>2</v>
      </c>
      <c r="BJ116" s="974">
        <f t="shared" si="30"/>
        <v>23.8</v>
      </c>
      <c r="BK116" s="974">
        <f t="shared" si="31"/>
        <v>10</v>
      </c>
      <c r="BL116" s="974">
        <f t="shared" si="32"/>
        <v>9.5</v>
      </c>
      <c r="BM116" s="974">
        <f t="shared" si="33"/>
        <v>5.6</v>
      </c>
      <c r="BN116" s="974">
        <f t="shared" si="34"/>
        <v>13</v>
      </c>
      <c r="BO116" s="974">
        <f t="shared" si="35"/>
        <v>5.5</v>
      </c>
      <c r="BP116" s="974">
        <f t="shared" si="27"/>
        <v>100</v>
      </c>
      <c r="BQ116" s="971" t="s">
        <v>2467</v>
      </c>
      <c r="BR116" s="975"/>
      <c r="BS116" s="975"/>
      <c r="BT116" s="975"/>
      <c r="BU116" s="975"/>
      <c r="BV116" s="975"/>
      <c r="BW116" s="975"/>
      <c r="BX116" s="971"/>
      <c r="DH116" s="977" t="str">
        <f t="shared" si="38"/>
        <v>Iceland</v>
      </c>
      <c r="DI116" s="977" t="str">
        <f t="shared" si="38"/>
        <v>Europe</v>
      </c>
      <c r="DJ116" s="977" t="str">
        <f t="shared" si="38"/>
        <v>Northern Europe</v>
      </c>
      <c r="DL116" s="977" t="s">
        <v>35</v>
      </c>
      <c r="DN116" s="977" t="s">
        <v>3046</v>
      </c>
      <c r="DO116" s="977" t="s">
        <v>3047</v>
      </c>
    </row>
    <row r="117" spans="3:119" ht="26">
      <c r="AW117" s="987" t="s">
        <v>49</v>
      </c>
      <c r="AX117" s="987" t="s">
        <v>2464</v>
      </c>
      <c r="AY117" s="991" t="str">
        <f>+BZ4</f>
        <v>South-Central Asia</v>
      </c>
      <c r="AZ117" s="987">
        <v>708</v>
      </c>
      <c r="BA117" s="971" t="s">
        <v>3049</v>
      </c>
      <c r="BB117" s="992">
        <v>19.330407318027152</v>
      </c>
      <c r="BC117" s="971" t="s">
        <v>2494</v>
      </c>
      <c r="BD117" s="987">
        <v>1.4E-2</v>
      </c>
      <c r="BE117" s="987">
        <v>1E-3</v>
      </c>
      <c r="BF117" s="971" t="s">
        <v>2860</v>
      </c>
      <c r="BG117" s="973"/>
      <c r="BH117" s="974">
        <f t="shared" si="28"/>
        <v>11.3</v>
      </c>
      <c r="BI117" s="974">
        <f t="shared" si="29"/>
        <v>2.5</v>
      </c>
      <c r="BJ117" s="974">
        <f t="shared" si="30"/>
        <v>40.299999999999997</v>
      </c>
      <c r="BK117" s="974">
        <f t="shared" si="31"/>
        <v>7.9</v>
      </c>
      <c r="BL117" s="974">
        <f t="shared" si="32"/>
        <v>9.5</v>
      </c>
      <c r="BM117" s="974">
        <f t="shared" si="33"/>
        <v>5.6</v>
      </c>
      <c r="BN117" s="974">
        <f t="shared" si="34"/>
        <v>6.4</v>
      </c>
      <c r="BO117" s="974">
        <f t="shared" si="35"/>
        <v>16.5</v>
      </c>
      <c r="BP117" s="974">
        <f t="shared" si="27"/>
        <v>100</v>
      </c>
      <c r="BQ117" s="971" t="s">
        <v>2467</v>
      </c>
      <c r="BR117" s="975"/>
      <c r="BS117" s="975"/>
      <c r="BT117" s="975"/>
      <c r="BU117" s="975"/>
      <c r="BV117" s="975"/>
      <c r="BW117" s="975"/>
      <c r="BX117" s="971"/>
      <c r="DH117" s="977" t="str">
        <f t="shared" si="38"/>
        <v>India</v>
      </c>
      <c r="DI117" s="977" t="str">
        <f t="shared" si="38"/>
        <v>Asia</v>
      </c>
      <c r="DJ117" s="977" t="str">
        <f t="shared" si="38"/>
        <v>South-Central Asia</v>
      </c>
      <c r="DK117" s="977" t="e">
        <f>VLOOKUP(DH117,#REF!,1)</f>
        <v>#REF!</v>
      </c>
      <c r="DL117" s="977" t="e">
        <f>VLOOKUP(DK117,#REF!,2,FALSE)</f>
        <v>#REF!</v>
      </c>
      <c r="DN117" s="977" t="s">
        <v>3050</v>
      </c>
      <c r="DO117" s="977" t="s">
        <v>3051</v>
      </c>
    </row>
    <row r="118" spans="3:119">
      <c r="AW118" s="969" t="s">
        <v>50</v>
      </c>
      <c r="AX118" s="969" t="s">
        <v>2464</v>
      </c>
      <c r="AY118" s="970" t="str">
        <f>+BZ5</f>
        <v>South-Eastern Asia</v>
      </c>
      <c r="AZ118" s="969">
        <v>761</v>
      </c>
      <c r="BA118" s="971" t="s">
        <v>3053</v>
      </c>
      <c r="BB118" s="972">
        <v>9.4011655461742354</v>
      </c>
      <c r="BC118" s="971" t="s">
        <v>2494</v>
      </c>
      <c r="BD118" s="987">
        <v>0.2</v>
      </c>
      <c r="BE118" s="987">
        <v>0</v>
      </c>
      <c r="BF118" s="971" t="s">
        <v>2679</v>
      </c>
      <c r="BG118" s="973"/>
      <c r="BH118" s="974">
        <f t="shared" si="28"/>
        <v>12.9</v>
      </c>
      <c r="BI118" s="974">
        <f t="shared" si="29"/>
        <v>2.7</v>
      </c>
      <c r="BJ118" s="974">
        <f t="shared" si="30"/>
        <v>43.5</v>
      </c>
      <c r="BK118" s="974">
        <f t="shared" si="31"/>
        <v>9.9</v>
      </c>
      <c r="BL118" s="974">
        <f t="shared" si="32"/>
        <v>9.5</v>
      </c>
      <c r="BM118" s="974">
        <f t="shared" si="33"/>
        <v>5.6</v>
      </c>
      <c r="BN118" s="974">
        <f t="shared" si="34"/>
        <v>7.2</v>
      </c>
      <c r="BO118" s="974">
        <f t="shared" si="35"/>
        <v>8.7000000000000028</v>
      </c>
      <c r="BP118" s="974">
        <f t="shared" si="27"/>
        <v>100</v>
      </c>
      <c r="BQ118" s="971" t="s">
        <v>2467</v>
      </c>
      <c r="BR118" s="975"/>
      <c r="BS118" s="975"/>
      <c r="BT118" s="975"/>
      <c r="BU118" s="975"/>
      <c r="BV118" s="975"/>
      <c r="BW118" s="975"/>
      <c r="BX118" s="971"/>
      <c r="DH118" s="977" t="str">
        <f t="shared" si="38"/>
        <v>Indonesia</v>
      </c>
      <c r="DI118" s="977" t="str">
        <f t="shared" si="38"/>
        <v>Asia</v>
      </c>
      <c r="DJ118" s="977" t="str">
        <f t="shared" si="38"/>
        <v>South-Eastern Asia</v>
      </c>
      <c r="DK118" s="977" t="e">
        <f>VLOOKUP(DH118,#REF!,1)</f>
        <v>#REF!</v>
      </c>
      <c r="DL118" s="977" t="e">
        <f>VLOOKUP(DK118,#REF!,2,FALSE)</f>
        <v>#REF!</v>
      </c>
      <c r="DN118" s="977" t="s">
        <v>3054</v>
      </c>
      <c r="DO118" s="977" t="s">
        <v>3055</v>
      </c>
    </row>
    <row r="119" spans="3:119">
      <c r="AW119" s="969" t="s">
        <v>3056</v>
      </c>
      <c r="AX119" s="969" t="s">
        <v>2464</v>
      </c>
      <c r="AY119" s="970" t="str">
        <f>+BZ6</f>
        <v>Western Asia &amp; Middle East</v>
      </c>
      <c r="AZ119" s="969">
        <v>470</v>
      </c>
      <c r="BA119" s="971" t="s">
        <v>2465</v>
      </c>
      <c r="BB119" s="972">
        <v>12.603374252118465</v>
      </c>
      <c r="BC119" s="971" t="s">
        <v>2494</v>
      </c>
      <c r="BD119" s="973"/>
      <c r="BE119" s="973"/>
      <c r="BF119" s="971"/>
      <c r="BG119" s="973"/>
      <c r="BH119" s="974">
        <f t="shared" si="28"/>
        <v>18</v>
      </c>
      <c r="BI119" s="974">
        <f t="shared" si="29"/>
        <v>2.9</v>
      </c>
      <c r="BJ119" s="974">
        <f t="shared" si="30"/>
        <v>41.1</v>
      </c>
      <c r="BK119" s="974">
        <f t="shared" si="31"/>
        <v>9.8000000000000007</v>
      </c>
      <c r="BL119" s="974">
        <f t="shared" si="32"/>
        <v>9.5</v>
      </c>
      <c r="BM119" s="974">
        <f t="shared" si="33"/>
        <v>5.6</v>
      </c>
      <c r="BN119" s="974">
        <f t="shared" si="34"/>
        <v>6.3</v>
      </c>
      <c r="BO119" s="974">
        <f t="shared" si="35"/>
        <v>6.8000000000000114</v>
      </c>
      <c r="BP119" s="974">
        <f t="shared" si="27"/>
        <v>100</v>
      </c>
      <c r="BQ119" s="971" t="s">
        <v>2467</v>
      </c>
      <c r="BR119" s="975"/>
      <c r="BS119" s="975"/>
      <c r="BT119" s="975"/>
      <c r="BU119" s="975"/>
      <c r="BV119" s="975"/>
      <c r="BW119" s="975"/>
      <c r="BX119" s="971"/>
      <c r="DH119" s="977" t="str">
        <f t="shared" si="38"/>
        <v>Iran</v>
      </c>
      <c r="DI119" s="977" t="str">
        <f t="shared" si="38"/>
        <v>Asia</v>
      </c>
      <c r="DJ119" s="977" t="str">
        <f t="shared" si="38"/>
        <v>Western Asia &amp; Middle East</v>
      </c>
      <c r="DL119" s="977" t="s">
        <v>35</v>
      </c>
      <c r="DN119" s="977" t="s">
        <v>3057</v>
      </c>
      <c r="DO119" s="977" t="s">
        <v>3058</v>
      </c>
    </row>
    <row r="120" spans="3:119">
      <c r="AW120" s="969" t="s">
        <v>3059</v>
      </c>
      <c r="AX120" s="969" t="s">
        <v>2464</v>
      </c>
      <c r="AY120" s="970" t="str">
        <f>+BZ6</f>
        <v>Western Asia &amp; Middle East</v>
      </c>
      <c r="AZ120" s="969">
        <v>934</v>
      </c>
      <c r="BA120" s="971" t="s">
        <v>2465</v>
      </c>
      <c r="BB120" s="972">
        <v>50.631566521071889</v>
      </c>
      <c r="BC120" s="971" t="s">
        <v>2494</v>
      </c>
      <c r="BD120" s="973"/>
      <c r="BE120" s="973"/>
      <c r="BF120" s="971"/>
      <c r="BG120" s="973"/>
      <c r="BH120" s="974">
        <f t="shared" si="28"/>
        <v>18</v>
      </c>
      <c r="BI120" s="974">
        <f t="shared" si="29"/>
        <v>2.9</v>
      </c>
      <c r="BJ120" s="974">
        <f t="shared" si="30"/>
        <v>41.1</v>
      </c>
      <c r="BK120" s="974">
        <f t="shared" si="31"/>
        <v>9.8000000000000007</v>
      </c>
      <c r="BL120" s="974">
        <f t="shared" si="32"/>
        <v>9.5</v>
      </c>
      <c r="BM120" s="974">
        <f t="shared" si="33"/>
        <v>5.6</v>
      </c>
      <c r="BN120" s="974">
        <f t="shared" si="34"/>
        <v>6.3</v>
      </c>
      <c r="BO120" s="974">
        <f t="shared" si="35"/>
        <v>6.8000000000000114</v>
      </c>
      <c r="BP120" s="974">
        <f t="shared" si="27"/>
        <v>100</v>
      </c>
      <c r="BQ120" s="971" t="s">
        <v>2467</v>
      </c>
      <c r="BR120" s="975"/>
      <c r="BS120" s="975"/>
      <c r="BT120" s="975"/>
      <c r="BU120" s="975"/>
      <c r="BV120" s="975"/>
      <c r="BW120" s="975"/>
      <c r="BX120" s="971"/>
      <c r="DH120" s="977" t="str">
        <f t="shared" si="38"/>
        <v>Iraq</v>
      </c>
      <c r="DI120" s="977" t="str">
        <f t="shared" si="38"/>
        <v>Asia</v>
      </c>
      <c r="DJ120" s="977" t="str">
        <f t="shared" si="38"/>
        <v>Western Asia &amp; Middle East</v>
      </c>
      <c r="DL120" s="977" t="s">
        <v>35</v>
      </c>
      <c r="DN120" s="977" t="s">
        <v>3060</v>
      </c>
      <c r="DO120" s="977" t="s">
        <v>3061</v>
      </c>
    </row>
    <row r="121" spans="3:119">
      <c r="AW121" s="969" t="s">
        <v>3063</v>
      </c>
      <c r="AX121" s="969" t="s">
        <v>2493</v>
      </c>
      <c r="AY121" s="970" t="str">
        <f>+BZ13</f>
        <v>Northern Europe</v>
      </c>
      <c r="AZ121" s="969">
        <v>424.9</v>
      </c>
      <c r="BA121" s="971" t="s">
        <v>2678</v>
      </c>
      <c r="BB121" s="972">
        <v>7.9200247985120891</v>
      </c>
      <c r="BC121" s="971" t="s">
        <v>2494</v>
      </c>
      <c r="BD121" s="973"/>
      <c r="BE121" s="973"/>
      <c r="BF121" s="971"/>
      <c r="BG121" s="973"/>
      <c r="BH121" s="974">
        <f t="shared" si="28"/>
        <v>30.6</v>
      </c>
      <c r="BI121" s="974">
        <f t="shared" si="29"/>
        <v>2</v>
      </c>
      <c r="BJ121" s="974">
        <f t="shared" si="30"/>
        <v>23.8</v>
      </c>
      <c r="BK121" s="974">
        <f t="shared" si="31"/>
        <v>10</v>
      </c>
      <c r="BL121" s="974">
        <f t="shared" si="32"/>
        <v>9.5</v>
      </c>
      <c r="BM121" s="974">
        <f t="shared" si="33"/>
        <v>5.6</v>
      </c>
      <c r="BN121" s="974">
        <f t="shared" si="34"/>
        <v>13</v>
      </c>
      <c r="BO121" s="974">
        <f t="shared" si="35"/>
        <v>5.5</v>
      </c>
      <c r="BP121" s="974">
        <f t="shared" si="27"/>
        <v>100</v>
      </c>
      <c r="BQ121" s="971" t="s">
        <v>2467</v>
      </c>
      <c r="BR121" s="975"/>
      <c r="BS121" s="975"/>
      <c r="BT121" s="975"/>
      <c r="BU121" s="975"/>
      <c r="BV121" s="975"/>
      <c r="BW121" s="975"/>
      <c r="BX121" s="971"/>
      <c r="DH121" s="977" t="str">
        <f t="shared" si="38"/>
        <v>Ireland</v>
      </c>
      <c r="DI121" s="977" t="str">
        <f t="shared" si="38"/>
        <v>Europe</v>
      </c>
      <c r="DJ121" s="977" t="str">
        <f t="shared" si="38"/>
        <v>Northern Europe</v>
      </c>
      <c r="DK121" s="977" t="e">
        <f>VLOOKUP(DH121,#REF!,1)</f>
        <v>#REF!</v>
      </c>
      <c r="DL121" s="977" t="e">
        <f>VLOOKUP(DK121,#REF!,2,FALSE)</f>
        <v>#REF!</v>
      </c>
      <c r="DN121" s="977" t="s">
        <v>3064</v>
      </c>
      <c r="DO121" s="977" t="s">
        <v>3065</v>
      </c>
    </row>
    <row r="122" spans="3:119" ht="26">
      <c r="AW122" s="969" t="s">
        <v>3066</v>
      </c>
      <c r="AX122" s="969" t="s">
        <v>2493</v>
      </c>
      <c r="AY122" s="970" t="str">
        <f>+BZ13</f>
        <v>Northern Europe</v>
      </c>
      <c r="AZ122" s="969">
        <v>303</v>
      </c>
      <c r="BA122" s="971" t="s">
        <v>2465</v>
      </c>
      <c r="BB122" s="972">
        <v>6.2171813834411278</v>
      </c>
      <c r="BC122" s="971" t="s">
        <v>2550</v>
      </c>
      <c r="BD122" s="973"/>
      <c r="BE122" s="973"/>
      <c r="BF122" s="971"/>
      <c r="BG122" s="973"/>
      <c r="BH122" s="974">
        <f t="shared" si="28"/>
        <v>30.6</v>
      </c>
      <c r="BI122" s="974">
        <f t="shared" si="29"/>
        <v>2</v>
      </c>
      <c r="BJ122" s="974">
        <f t="shared" si="30"/>
        <v>23.8</v>
      </c>
      <c r="BK122" s="974">
        <f t="shared" si="31"/>
        <v>10</v>
      </c>
      <c r="BL122" s="974">
        <f t="shared" si="32"/>
        <v>9.5</v>
      </c>
      <c r="BM122" s="974">
        <f t="shared" si="33"/>
        <v>5.6</v>
      </c>
      <c r="BN122" s="974">
        <f t="shared" si="34"/>
        <v>13</v>
      </c>
      <c r="BO122" s="974">
        <f t="shared" si="35"/>
        <v>5.5</v>
      </c>
      <c r="BP122" s="974">
        <f t="shared" si="27"/>
        <v>100</v>
      </c>
      <c r="BQ122" s="971" t="s">
        <v>2467</v>
      </c>
      <c r="BR122" s="975"/>
      <c r="BS122" s="975"/>
      <c r="BT122" s="975"/>
      <c r="BU122" s="975"/>
      <c r="BV122" s="975"/>
      <c r="BW122" s="975"/>
      <c r="BX122" s="971"/>
      <c r="DH122" s="977" t="str">
        <f t="shared" si="38"/>
        <v>Isle of Man</v>
      </c>
      <c r="DI122" s="977" t="str">
        <f t="shared" si="38"/>
        <v>Europe</v>
      </c>
      <c r="DJ122" s="977" t="str">
        <f t="shared" si="38"/>
        <v>Northern Europe</v>
      </c>
      <c r="DL122" s="977" t="s">
        <v>35</v>
      </c>
      <c r="DN122" s="977" t="s">
        <v>3067</v>
      </c>
      <c r="DO122" s="977" t="s">
        <v>3068</v>
      </c>
    </row>
    <row r="123" spans="3:119">
      <c r="AW123" s="969" t="s">
        <v>3069</v>
      </c>
      <c r="AX123" s="969" t="s">
        <v>2464</v>
      </c>
      <c r="AY123" s="970" t="str">
        <f>+BZ6</f>
        <v>Western Asia &amp; Middle East</v>
      </c>
      <c r="AZ123" s="969">
        <v>303</v>
      </c>
      <c r="BA123" s="971" t="s">
        <v>2465</v>
      </c>
      <c r="BB123" s="972">
        <v>2.8579415585483368</v>
      </c>
      <c r="BC123" s="971" t="s">
        <v>2494</v>
      </c>
      <c r="BD123" s="973"/>
      <c r="BE123" s="973"/>
      <c r="BF123" s="971"/>
      <c r="BG123" s="973"/>
      <c r="BH123" s="974">
        <f t="shared" si="28"/>
        <v>18</v>
      </c>
      <c r="BI123" s="974">
        <f t="shared" si="29"/>
        <v>2.9</v>
      </c>
      <c r="BJ123" s="974">
        <f t="shared" si="30"/>
        <v>41.1</v>
      </c>
      <c r="BK123" s="974">
        <f t="shared" si="31"/>
        <v>9.8000000000000007</v>
      </c>
      <c r="BL123" s="974">
        <f t="shared" si="32"/>
        <v>9.5</v>
      </c>
      <c r="BM123" s="974">
        <f t="shared" si="33"/>
        <v>5.6</v>
      </c>
      <c r="BN123" s="974">
        <f t="shared" si="34"/>
        <v>6.3</v>
      </c>
      <c r="BO123" s="974">
        <f t="shared" si="35"/>
        <v>6.8000000000000114</v>
      </c>
      <c r="BP123" s="974">
        <f t="shared" si="27"/>
        <v>100</v>
      </c>
      <c r="BQ123" s="971" t="s">
        <v>2467</v>
      </c>
      <c r="BR123" s="975"/>
      <c r="BS123" s="975"/>
      <c r="BT123" s="975"/>
      <c r="BU123" s="975"/>
      <c r="BV123" s="975"/>
      <c r="BW123" s="975"/>
      <c r="BX123" s="971"/>
      <c r="DH123" s="977" t="str">
        <f t="shared" si="38"/>
        <v>Israel</v>
      </c>
      <c r="DI123" s="977" t="str">
        <f t="shared" si="38"/>
        <v>Asia</v>
      </c>
      <c r="DJ123" s="977" t="str">
        <f t="shared" si="38"/>
        <v>Western Asia &amp; Middle East</v>
      </c>
      <c r="DL123" s="977" t="s">
        <v>35</v>
      </c>
      <c r="DN123" s="977" t="s">
        <v>3070</v>
      </c>
      <c r="DO123" s="977" t="s">
        <v>25</v>
      </c>
    </row>
    <row r="124" spans="3:119">
      <c r="M124" s="1003"/>
      <c r="N124" s="1003"/>
      <c r="O124" s="1003"/>
      <c r="P124" s="1003"/>
      <c r="Q124" s="1003"/>
      <c r="R124" s="1003"/>
      <c r="S124" s="1003"/>
      <c r="T124" s="1003"/>
      <c r="U124" s="1003"/>
      <c r="V124" s="1003"/>
      <c r="AW124" s="969" t="s">
        <v>51</v>
      </c>
      <c r="AX124" s="969" t="s">
        <v>2493</v>
      </c>
      <c r="AY124" s="970" t="str">
        <f>+BZ14</f>
        <v>Southern Europe</v>
      </c>
      <c r="AZ124" s="969">
        <v>256.2</v>
      </c>
      <c r="BA124" s="971" t="s">
        <v>2678</v>
      </c>
      <c r="BB124" s="972">
        <v>6.9938442951861814</v>
      </c>
      <c r="BC124" s="971" t="s">
        <v>2494</v>
      </c>
      <c r="BD124" s="987">
        <v>0.08</v>
      </c>
      <c r="BE124" s="987">
        <v>0.08</v>
      </c>
      <c r="BF124" s="971" t="s">
        <v>2679</v>
      </c>
      <c r="BG124" s="973"/>
      <c r="BH124" s="974">
        <f t="shared" si="28"/>
        <v>17</v>
      </c>
      <c r="BI124" s="974">
        <f t="shared" si="29"/>
        <v>6.8</v>
      </c>
      <c r="BJ124" s="974">
        <f t="shared" si="30"/>
        <v>36.9</v>
      </c>
      <c r="BK124" s="974">
        <f t="shared" si="31"/>
        <v>10.6</v>
      </c>
      <c r="BL124" s="974">
        <f t="shared" si="32"/>
        <v>9.5</v>
      </c>
      <c r="BM124" s="974">
        <f t="shared" si="33"/>
        <v>5.6</v>
      </c>
      <c r="BN124" s="974">
        <f t="shared" si="34"/>
        <v>6.8</v>
      </c>
      <c r="BO124" s="974">
        <f t="shared" si="35"/>
        <v>6.8</v>
      </c>
      <c r="BP124" s="974">
        <f t="shared" si="27"/>
        <v>99.999999999999986</v>
      </c>
      <c r="BQ124" s="971" t="s">
        <v>2467</v>
      </c>
      <c r="BR124" s="975"/>
      <c r="BS124" s="975"/>
      <c r="BT124" s="975"/>
      <c r="BU124" s="975"/>
      <c r="BV124" s="975"/>
      <c r="BW124" s="975"/>
      <c r="BX124" s="971"/>
      <c r="DH124" s="977" t="str">
        <f t="shared" si="38"/>
        <v>Italy</v>
      </c>
      <c r="DI124" s="977" t="str">
        <f t="shared" si="38"/>
        <v>Europe</v>
      </c>
      <c r="DJ124" s="977" t="str">
        <f t="shared" si="38"/>
        <v>Southern Europe</v>
      </c>
      <c r="DK124" s="977" t="e">
        <f>VLOOKUP(DH124,#REF!,1)</f>
        <v>#REF!</v>
      </c>
      <c r="DL124" s="977" t="e">
        <f>VLOOKUP(DK124,#REF!,2,FALSE)</f>
        <v>#REF!</v>
      </c>
      <c r="DN124" s="977" t="s">
        <v>3072</v>
      </c>
      <c r="DO124" s="977" t="s">
        <v>3073</v>
      </c>
    </row>
    <row r="125" spans="3:119">
      <c r="M125" s="1003"/>
      <c r="N125" s="1003"/>
      <c r="O125" s="1003"/>
      <c r="P125" s="1003"/>
      <c r="Q125" s="1003"/>
      <c r="R125" s="1003"/>
      <c r="S125" s="1003"/>
      <c r="T125" s="1003"/>
      <c r="U125" s="1003"/>
      <c r="V125" s="1003"/>
      <c r="AW125" s="969" t="s">
        <v>3074</v>
      </c>
      <c r="AX125" s="987" t="s">
        <v>2576</v>
      </c>
      <c r="AY125" s="970" t="str">
        <f>+BZ21</f>
        <v>Caribbean</v>
      </c>
      <c r="AZ125" s="969">
        <v>543</v>
      </c>
      <c r="BA125" s="971" t="s">
        <v>2465</v>
      </c>
      <c r="BB125" s="972">
        <v>26.7458777885548</v>
      </c>
      <c r="BC125" s="971" t="s">
        <v>2494</v>
      </c>
      <c r="BD125" s="973"/>
      <c r="BE125" s="973"/>
      <c r="BF125" s="971"/>
      <c r="BG125" s="973"/>
      <c r="BH125" s="974">
        <f t="shared" si="28"/>
        <v>17</v>
      </c>
      <c r="BI125" s="974">
        <f t="shared" si="29"/>
        <v>5.0999999999999996</v>
      </c>
      <c r="BJ125" s="974">
        <f t="shared" si="30"/>
        <v>46.9</v>
      </c>
      <c r="BK125" s="974">
        <f t="shared" si="31"/>
        <v>2.4</v>
      </c>
      <c r="BL125" s="974">
        <f t="shared" si="32"/>
        <v>9.5</v>
      </c>
      <c r="BM125" s="974">
        <f t="shared" si="33"/>
        <v>5.6</v>
      </c>
      <c r="BN125" s="974">
        <f t="shared" si="34"/>
        <v>9.9</v>
      </c>
      <c r="BO125" s="974">
        <f t="shared" si="35"/>
        <v>3.5999999999999943</v>
      </c>
      <c r="BP125" s="974">
        <f t="shared" si="27"/>
        <v>100</v>
      </c>
      <c r="BQ125" s="971" t="s">
        <v>2467</v>
      </c>
      <c r="BR125" s="975"/>
      <c r="BS125" s="975"/>
      <c r="BT125" s="975"/>
      <c r="BU125" s="975"/>
      <c r="BV125" s="975"/>
      <c r="BW125" s="975"/>
      <c r="BX125" s="971"/>
      <c r="DH125" s="977" t="str">
        <f t="shared" si="38"/>
        <v>Jamaica</v>
      </c>
      <c r="DI125" s="977" t="str">
        <f t="shared" si="38"/>
        <v>Americas</v>
      </c>
      <c r="DJ125" s="977" t="str">
        <f t="shared" si="38"/>
        <v>Caribbean</v>
      </c>
      <c r="DL125" s="977" t="s">
        <v>35</v>
      </c>
      <c r="DN125" s="977" t="s">
        <v>3075</v>
      </c>
      <c r="DO125" s="977" t="s">
        <v>3076</v>
      </c>
    </row>
    <row r="126" spans="3:119">
      <c r="AW126" s="969" t="s">
        <v>52</v>
      </c>
      <c r="AX126" s="969" t="s">
        <v>2464</v>
      </c>
      <c r="AY126" s="970" t="str">
        <f>+BZ3</f>
        <v>Eastern Asia</v>
      </c>
      <c r="AZ126" s="969">
        <v>506</v>
      </c>
      <c r="BA126" s="971" t="s">
        <v>3077</v>
      </c>
      <c r="BB126" s="972">
        <v>4.3078172265260761</v>
      </c>
      <c r="BC126" s="971" t="s">
        <v>2494</v>
      </c>
      <c r="BD126" s="973"/>
      <c r="BE126" s="973"/>
      <c r="BF126" s="971"/>
      <c r="BG126" s="973"/>
      <c r="BH126" s="974">
        <f t="shared" si="28"/>
        <v>18.8</v>
      </c>
      <c r="BI126" s="974">
        <f t="shared" si="29"/>
        <v>3.5</v>
      </c>
      <c r="BJ126" s="974">
        <f t="shared" si="30"/>
        <v>26.2</v>
      </c>
      <c r="BK126" s="974">
        <f t="shared" si="31"/>
        <v>3.5</v>
      </c>
      <c r="BL126" s="974">
        <f t="shared" si="32"/>
        <v>9.5</v>
      </c>
      <c r="BM126" s="974">
        <f t="shared" si="33"/>
        <v>5.6</v>
      </c>
      <c r="BN126" s="974">
        <f t="shared" si="34"/>
        <v>14.3</v>
      </c>
      <c r="BO126" s="974">
        <f t="shared" si="35"/>
        <v>18.600000000000009</v>
      </c>
      <c r="BP126" s="974">
        <f t="shared" si="27"/>
        <v>100</v>
      </c>
      <c r="BQ126" s="971" t="s">
        <v>2467</v>
      </c>
      <c r="BR126" s="975"/>
      <c r="BS126" s="975"/>
      <c r="BT126" s="975"/>
      <c r="BU126" s="975"/>
      <c r="BV126" s="975"/>
      <c r="BW126" s="975"/>
      <c r="BX126" s="971"/>
      <c r="DH126" s="977" t="str">
        <f t="shared" si="38"/>
        <v>Japan</v>
      </c>
      <c r="DI126" s="977" t="str">
        <f t="shared" si="38"/>
        <v>Asia</v>
      </c>
      <c r="DJ126" s="977" t="str">
        <f t="shared" si="38"/>
        <v>Eastern Asia</v>
      </c>
      <c r="DK126" s="977" t="e">
        <f>VLOOKUP(DH126,#REF!,1)</f>
        <v>#REF!</v>
      </c>
      <c r="DL126" s="977" t="e">
        <f>VLOOKUP(DK126,#REF!,2,FALSE)</f>
        <v>#REF!</v>
      </c>
      <c r="DN126" s="977" t="s">
        <v>3078</v>
      </c>
      <c r="DO126" s="977" t="s">
        <v>3079</v>
      </c>
    </row>
    <row r="127" spans="3:119">
      <c r="M127" s="1004"/>
      <c r="N127" s="1004"/>
      <c r="O127" s="1004"/>
      <c r="P127" s="1004"/>
      <c r="Q127" s="1004"/>
      <c r="R127" s="1004"/>
      <c r="S127" s="1004"/>
      <c r="T127" s="1004"/>
      <c r="U127" s="1004"/>
      <c r="V127" s="1004"/>
      <c r="AW127" s="969" t="s">
        <v>53</v>
      </c>
      <c r="AX127" s="969" t="s">
        <v>2464</v>
      </c>
      <c r="AY127" s="970" t="str">
        <f>+BZ6</f>
        <v>Western Asia &amp; Middle East</v>
      </c>
      <c r="AZ127" s="969">
        <v>516</v>
      </c>
      <c r="BA127" s="971" t="s">
        <v>2465</v>
      </c>
      <c r="BB127" s="972">
        <v>10.746432491767289</v>
      </c>
      <c r="BC127" s="971" t="s">
        <v>2494</v>
      </c>
      <c r="BD127" s="973"/>
      <c r="BE127" s="973"/>
      <c r="BF127" s="971"/>
      <c r="BG127" s="973"/>
      <c r="BH127" s="974">
        <f t="shared" si="28"/>
        <v>18</v>
      </c>
      <c r="BI127" s="974">
        <f t="shared" si="29"/>
        <v>2.9</v>
      </c>
      <c r="BJ127" s="974">
        <f t="shared" si="30"/>
        <v>41.1</v>
      </c>
      <c r="BK127" s="974">
        <f t="shared" si="31"/>
        <v>9.8000000000000007</v>
      </c>
      <c r="BL127" s="974">
        <f t="shared" si="32"/>
        <v>9.5</v>
      </c>
      <c r="BM127" s="974">
        <f t="shared" si="33"/>
        <v>5.6</v>
      </c>
      <c r="BN127" s="974">
        <f t="shared" si="34"/>
        <v>6.3</v>
      </c>
      <c r="BO127" s="974">
        <f t="shared" si="35"/>
        <v>6.8000000000000114</v>
      </c>
      <c r="BP127" s="974">
        <f t="shared" si="27"/>
        <v>100</v>
      </c>
      <c r="BQ127" s="971" t="s">
        <v>2467</v>
      </c>
      <c r="BR127" s="975"/>
      <c r="BS127" s="975"/>
      <c r="BT127" s="975"/>
      <c r="BU127" s="975"/>
      <c r="BV127" s="975"/>
      <c r="BW127" s="975"/>
      <c r="BX127" s="971"/>
      <c r="DH127" s="977" t="str">
        <f t="shared" si="38"/>
        <v>Jordan</v>
      </c>
      <c r="DI127" s="977" t="str">
        <f t="shared" si="38"/>
        <v>Asia</v>
      </c>
      <c r="DJ127" s="977" t="str">
        <f t="shared" si="38"/>
        <v>Western Asia &amp; Middle East</v>
      </c>
      <c r="DL127" s="977" t="s">
        <v>35</v>
      </c>
      <c r="DN127" s="977" t="s">
        <v>3081</v>
      </c>
      <c r="DO127" s="977" t="s">
        <v>3082</v>
      </c>
    </row>
    <row r="128" spans="3:119">
      <c r="M128" s="1004"/>
      <c r="N128" s="1004"/>
      <c r="O128" s="1004"/>
      <c r="P128" s="1004"/>
      <c r="Q128" s="1004"/>
      <c r="R128" s="1004"/>
      <c r="S128" s="1004"/>
      <c r="T128" s="1004"/>
      <c r="U128" s="1004"/>
      <c r="V128" s="1004"/>
      <c r="AW128" s="969" t="s">
        <v>3086</v>
      </c>
      <c r="AX128" s="969" t="s">
        <v>2464</v>
      </c>
      <c r="AY128" s="970" t="str">
        <f>+BZ4</f>
        <v>South-Central Asia</v>
      </c>
      <c r="AZ128" s="969">
        <v>653</v>
      </c>
      <c r="BA128" s="971" t="s">
        <v>2465</v>
      </c>
      <c r="BB128" s="972">
        <v>6.7403966954734083</v>
      </c>
      <c r="BC128" s="971" t="s">
        <v>2494</v>
      </c>
      <c r="BD128" s="973"/>
      <c r="BE128" s="973"/>
      <c r="BF128" s="971"/>
      <c r="BG128" s="973"/>
      <c r="BH128" s="974">
        <f t="shared" si="28"/>
        <v>11.3</v>
      </c>
      <c r="BI128" s="974">
        <f t="shared" si="29"/>
        <v>2.5</v>
      </c>
      <c r="BJ128" s="974">
        <f t="shared" si="30"/>
        <v>40.299999999999997</v>
      </c>
      <c r="BK128" s="974">
        <f t="shared" si="31"/>
        <v>7.9</v>
      </c>
      <c r="BL128" s="974">
        <f t="shared" si="32"/>
        <v>9.5</v>
      </c>
      <c r="BM128" s="974">
        <f t="shared" si="33"/>
        <v>5.6</v>
      </c>
      <c r="BN128" s="974">
        <f t="shared" si="34"/>
        <v>6.4</v>
      </c>
      <c r="BO128" s="974">
        <f t="shared" si="35"/>
        <v>16.5</v>
      </c>
      <c r="BP128" s="974">
        <f t="shared" si="27"/>
        <v>100</v>
      </c>
      <c r="BQ128" s="971" t="s">
        <v>2467</v>
      </c>
      <c r="BR128" s="975"/>
      <c r="BS128" s="975"/>
      <c r="BT128" s="975"/>
      <c r="BU128" s="975"/>
      <c r="BV128" s="975"/>
      <c r="BW128" s="975"/>
      <c r="BX128" s="971"/>
      <c r="DH128" s="977" t="str">
        <f t="shared" si="38"/>
        <v>Kazakhstan</v>
      </c>
      <c r="DI128" s="977" t="str">
        <f t="shared" si="38"/>
        <v>Asia</v>
      </c>
      <c r="DJ128" s="977" t="str">
        <f t="shared" si="38"/>
        <v>South-Central Asia</v>
      </c>
      <c r="DL128" s="977" t="s">
        <v>35</v>
      </c>
      <c r="DN128" s="977" t="s">
        <v>3087</v>
      </c>
      <c r="DO128" s="977" t="s">
        <v>3088</v>
      </c>
    </row>
    <row r="129" spans="49:119">
      <c r="AW129" s="969" t="s">
        <v>3091</v>
      </c>
      <c r="AX129" s="969" t="s">
        <v>2520</v>
      </c>
      <c r="AY129" s="970" t="str">
        <f>+BZ7</f>
        <v>Eastern Africa</v>
      </c>
      <c r="AZ129" s="969">
        <v>317</v>
      </c>
      <c r="BA129" s="971" t="s">
        <v>2465</v>
      </c>
      <c r="BB129" s="972">
        <v>17.552387124648952</v>
      </c>
      <c r="BC129" s="971" t="s">
        <v>2494</v>
      </c>
      <c r="BD129" s="973"/>
      <c r="BE129" s="973"/>
      <c r="BF129" s="971"/>
      <c r="BG129" s="973"/>
      <c r="BH129" s="974">
        <f t="shared" si="28"/>
        <v>7.7</v>
      </c>
      <c r="BI129" s="974">
        <f t="shared" si="29"/>
        <v>1.7</v>
      </c>
      <c r="BJ129" s="974">
        <f t="shared" si="30"/>
        <v>53.9</v>
      </c>
      <c r="BK129" s="974">
        <f t="shared" si="31"/>
        <v>7</v>
      </c>
      <c r="BL129" s="974">
        <f t="shared" si="32"/>
        <v>9.5</v>
      </c>
      <c r="BM129" s="974">
        <f t="shared" si="33"/>
        <v>5.6</v>
      </c>
      <c r="BN129" s="974">
        <f t="shared" si="34"/>
        <v>5.5</v>
      </c>
      <c r="BO129" s="974">
        <f t="shared" si="35"/>
        <v>9.1000000000000085</v>
      </c>
      <c r="BP129" s="974">
        <f t="shared" si="27"/>
        <v>100</v>
      </c>
      <c r="BQ129" s="971" t="s">
        <v>2467</v>
      </c>
      <c r="BR129" s="975"/>
      <c r="BS129" s="975"/>
      <c r="BT129" s="975"/>
      <c r="BU129" s="975"/>
      <c r="BV129" s="975"/>
      <c r="BW129" s="975"/>
      <c r="BX129" s="971"/>
      <c r="DH129" s="977" t="str">
        <f t="shared" si="38"/>
        <v>Kenya</v>
      </c>
      <c r="DI129" s="977" t="str">
        <f t="shared" si="38"/>
        <v>Africa</v>
      </c>
      <c r="DJ129" s="977" t="str">
        <f t="shared" si="38"/>
        <v>Eastern Africa</v>
      </c>
      <c r="DL129" s="977" t="s">
        <v>35</v>
      </c>
      <c r="DN129" s="977" t="s">
        <v>3092</v>
      </c>
      <c r="DO129" s="977" t="s">
        <v>3093</v>
      </c>
    </row>
    <row r="130" spans="49:119" ht="26">
      <c r="AW130" s="969" t="s">
        <v>3096</v>
      </c>
      <c r="AX130" s="987" t="s">
        <v>2536</v>
      </c>
      <c r="AY130" s="970" t="str">
        <f>+BZ17</f>
        <v>Rest of Oceania</v>
      </c>
      <c r="AZ130" s="969">
        <v>602</v>
      </c>
      <c r="BA130" s="971" t="s">
        <v>2465</v>
      </c>
      <c r="BB130" s="972">
        <v>5.4123414965002699</v>
      </c>
      <c r="BC130" s="971" t="s">
        <v>2537</v>
      </c>
      <c r="BD130" s="973"/>
      <c r="BE130" s="973"/>
      <c r="BF130" s="971"/>
      <c r="BG130" s="973"/>
      <c r="BH130" s="974">
        <f t="shared" si="28"/>
        <v>6</v>
      </c>
      <c r="BI130" s="974">
        <f t="shared" si="29"/>
        <v>2.97</v>
      </c>
      <c r="BJ130" s="974">
        <f t="shared" si="30"/>
        <v>67.5</v>
      </c>
      <c r="BK130" s="974">
        <f t="shared" si="31"/>
        <v>2.5</v>
      </c>
      <c r="BL130" s="974">
        <f t="shared" si="32"/>
        <v>9.5</v>
      </c>
      <c r="BM130" s="974">
        <f t="shared" si="33"/>
        <v>5.6</v>
      </c>
      <c r="BN130" s="974">
        <f t="shared" si="34"/>
        <v>2.97</v>
      </c>
      <c r="BO130" s="974">
        <f t="shared" si="35"/>
        <v>2.9666666666666668</v>
      </c>
      <c r="BP130" s="974">
        <f t="shared" si="27"/>
        <v>100.00666666666666</v>
      </c>
      <c r="BQ130" s="971" t="s">
        <v>2467</v>
      </c>
      <c r="BR130" s="975"/>
      <c r="BS130" s="975"/>
      <c r="BT130" s="975"/>
      <c r="BU130" s="975"/>
      <c r="BV130" s="975"/>
      <c r="BW130" s="975"/>
      <c r="BX130" s="971"/>
      <c r="DH130" s="977" t="str">
        <f t="shared" si="38"/>
        <v>Kiribati</v>
      </c>
      <c r="DI130" s="977" t="str">
        <f t="shared" si="38"/>
        <v>Oceania</v>
      </c>
      <c r="DJ130" s="977" t="str">
        <f t="shared" si="38"/>
        <v>Rest of Oceania</v>
      </c>
      <c r="DL130" s="977" t="s">
        <v>35</v>
      </c>
      <c r="DN130" s="977" t="s">
        <v>3097</v>
      </c>
      <c r="DO130" s="977" t="s">
        <v>3098</v>
      </c>
    </row>
    <row r="131" spans="49:119" ht="26">
      <c r="AW131" s="969" t="s">
        <v>3101</v>
      </c>
      <c r="AX131" s="969" t="s">
        <v>2464</v>
      </c>
      <c r="AY131" s="970" t="str">
        <f>+BZ3</f>
        <v>Eastern Asia</v>
      </c>
      <c r="AZ131" s="969">
        <v>407</v>
      </c>
      <c r="BA131" s="971" t="s">
        <v>2465</v>
      </c>
      <c r="BB131" s="972">
        <v>15.813278239991066</v>
      </c>
      <c r="BC131" s="971" t="s">
        <v>2494</v>
      </c>
      <c r="BD131" s="973"/>
      <c r="BE131" s="973"/>
      <c r="BF131" s="971"/>
      <c r="BG131" s="973"/>
      <c r="BH131" s="974">
        <f t="shared" si="28"/>
        <v>18.8</v>
      </c>
      <c r="BI131" s="974">
        <f t="shared" si="29"/>
        <v>3.5</v>
      </c>
      <c r="BJ131" s="974">
        <f t="shared" si="30"/>
        <v>26.2</v>
      </c>
      <c r="BK131" s="974">
        <f t="shared" si="31"/>
        <v>3.5</v>
      </c>
      <c r="BL131" s="974">
        <f t="shared" si="32"/>
        <v>9.5</v>
      </c>
      <c r="BM131" s="974">
        <f t="shared" si="33"/>
        <v>5.6</v>
      </c>
      <c r="BN131" s="974">
        <f t="shared" si="34"/>
        <v>14.3</v>
      </c>
      <c r="BO131" s="974">
        <f t="shared" si="35"/>
        <v>18.600000000000009</v>
      </c>
      <c r="BP131" s="974">
        <f t="shared" si="27"/>
        <v>100</v>
      </c>
      <c r="BQ131" s="971" t="s">
        <v>2467</v>
      </c>
      <c r="BR131" s="975"/>
      <c r="BS131" s="975"/>
      <c r="BT131" s="975"/>
      <c r="BU131" s="975"/>
      <c r="BV131" s="975"/>
      <c r="BW131" s="975"/>
      <c r="BX131" s="971"/>
      <c r="DH131" s="977" t="str">
        <f t="shared" si="38"/>
        <v>Korea (North). Dem. People's Rep. of</v>
      </c>
      <c r="DI131" s="977" t="str">
        <f t="shared" si="38"/>
        <v>Asia</v>
      </c>
      <c r="DJ131" s="977" t="str">
        <f t="shared" si="38"/>
        <v>Eastern Asia</v>
      </c>
      <c r="DL131" s="977" t="s">
        <v>35</v>
      </c>
      <c r="DN131" s="977" t="s">
        <v>3102</v>
      </c>
      <c r="DO131" s="977" t="s">
        <v>3103</v>
      </c>
    </row>
    <row r="132" spans="49:119">
      <c r="AW132" s="969" t="s">
        <v>3104</v>
      </c>
      <c r="AX132" s="969" t="s">
        <v>2464</v>
      </c>
      <c r="AY132" s="970" t="str">
        <f>+BZ3</f>
        <v>Eastern Asia</v>
      </c>
      <c r="AZ132" s="969">
        <v>500</v>
      </c>
      <c r="BA132" s="971" t="s">
        <v>3105</v>
      </c>
      <c r="BB132" s="972">
        <v>3.3469752649917743</v>
      </c>
      <c r="BC132" s="971" t="s">
        <v>2494</v>
      </c>
      <c r="BD132" s="973"/>
      <c r="BE132" s="973"/>
      <c r="BF132" s="971"/>
      <c r="BG132" s="973"/>
      <c r="BH132" s="974">
        <f t="shared" si="28"/>
        <v>18.8</v>
      </c>
      <c r="BI132" s="974">
        <f t="shared" si="29"/>
        <v>3.5</v>
      </c>
      <c r="BJ132" s="974">
        <f t="shared" si="30"/>
        <v>26.2</v>
      </c>
      <c r="BK132" s="974">
        <f t="shared" si="31"/>
        <v>3.5</v>
      </c>
      <c r="BL132" s="974">
        <f t="shared" si="32"/>
        <v>9.5</v>
      </c>
      <c r="BM132" s="974">
        <f t="shared" si="33"/>
        <v>5.6</v>
      </c>
      <c r="BN132" s="974">
        <f t="shared" si="34"/>
        <v>14.3</v>
      </c>
      <c r="BO132" s="974">
        <f t="shared" si="35"/>
        <v>18.600000000000009</v>
      </c>
      <c r="BP132" s="974">
        <f t="shared" ref="BP132:BP195" si="39">+SUM(BH132:BO132)</f>
        <v>100</v>
      </c>
      <c r="BQ132" s="971" t="s">
        <v>2467</v>
      </c>
      <c r="BR132" s="975"/>
      <c r="BS132" s="975"/>
      <c r="BT132" s="975"/>
      <c r="BU132" s="975"/>
      <c r="BV132" s="975"/>
      <c r="BW132" s="975"/>
      <c r="BX132" s="971"/>
      <c r="DH132" s="977" t="str">
        <f t="shared" si="38"/>
        <v>Korea (South). Republic of</v>
      </c>
      <c r="DI132" s="977" t="str">
        <f t="shared" si="38"/>
        <v>Asia</v>
      </c>
      <c r="DJ132" s="977" t="str">
        <f t="shared" si="38"/>
        <v>Eastern Asia</v>
      </c>
      <c r="DK132" s="977" t="s">
        <v>3106</v>
      </c>
      <c r="DL132" s="977" t="e">
        <f>VLOOKUP(DK132,#REF!,2,FALSE)</f>
        <v>#REF!</v>
      </c>
      <c r="DN132" s="977" t="s">
        <v>3107</v>
      </c>
      <c r="DO132" s="977" t="s">
        <v>3108</v>
      </c>
    </row>
    <row r="133" spans="49:119">
      <c r="AW133" s="969" t="s">
        <v>3109</v>
      </c>
      <c r="AX133" s="969" t="s">
        <v>2493</v>
      </c>
      <c r="AY133" s="970" t="str">
        <f>+BZ12</f>
        <v>Eastern Europe</v>
      </c>
      <c r="AZ133" s="969">
        <v>832</v>
      </c>
      <c r="BA133" s="971" t="s">
        <v>2465</v>
      </c>
      <c r="BB133" s="972">
        <v>15.047829286239883</v>
      </c>
      <c r="BC133" s="971" t="s">
        <v>2494</v>
      </c>
      <c r="BD133" s="973"/>
      <c r="BE133" s="973"/>
      <c r="BF133" s="971"/>
      <c r="BG133" s="973"/>
      <c r="BH133" s="974">
        <f t="shared" si="28"/>
        <v>21.8</v>
      </c>
      <c r="BI133" s="974">
        <f t="shared" si="29"/>
        <v>4.7</v>
      </c>
      <c r="BJ133" s="974">
        <f t="shared" si="30"/>
        <v>30.1</v>
      </c>
      <c r="BK133" s="974">
        <f t="shared" si="31"/>
        <v>7.5</v>
      </c>
      <c r="BL133" s="974">
        <f t="shared" si="32"/>
        <v>9.5</v>
      </c>
      <c r="BM133" s="974">
        <f t="shared" si="33"/>
        <v>5.6</v>
      </c>
      <c r="BN133" s="974">
        <f t="shared" si="34"/>
        <v>6.2</v>
      </c>
      <c r="BO133" s="974">
        <f t="shared" si="35"/>
        <v>14.600000000000009</v>
      </c>
      <c r="BP133" s="974">
        <f t="shared" si="39"/>
        <v>100</v>
      </c>
      <c r="BQ133" s="971" t="s">
        <v>2467</v>
      </c>
      <c r="BR133" s="975"/>
      <c r="BS133" s="975"/>
      <c r="BT133" s="975"/>
      <c r="BU133" s="975"/>
      <c r="BV133" s="975"/>
      <c r="BW133" s="975"/>
      <c r="BX133" s="971"/>
      <c r="DH133" s="977" t="str">
        <f t="shared" si="38"/>
        <v>Kosovo</v>
      </c>
      <c r="DI133" s="977" t="str">
        <f t="shared" si="38"/>
        <v>Europe</v>
      </c>
      <c r="DJ133" s="977" t="str">
        <f t="shared" si="38"/>
        <v>Eastern Europe</v>
      </c>
      <c r="DL133" s="977" t="s">
        <v>35</v>
      </c>
      <c r="DN133" s="977" t="s">
        <v>3110</v>
      </c>
      <c r="DO133" s="977" t="s">
        <v>3111</v>
      </c>
    </row>
    <row r="134" spans="49:119">
      <c r="AW134" s="969" t="s">
        <v>3112</v>
      </c>
      <c r="AX134" s="969" t="s">
        <v>2464</v>
      </c>
      <c r="AY134" s="970" t="str">
        <f>+BZ6</f>
        <v>Western Asia &amp; Middle East</v>
      </c>
      <c r="AZ134" s="969">
        <v>407</v>
      </c>
      <c r="BA134" s="971" t="s">
        <v>2465</v>
      </c>
      <c r="BB134" s="972">
        <v>11.661037764814246</v>
      </c>
      <c r="BC134" s="971" t="s">
        <v>2494</v>
      </c>
      <c r="BD134" s="973"/>
      <c r="BE134" s="973"/>
      <c r="BF134" s="971"/>
      <c r="BG134" s="973"/>
      <c r="BH134" s="974">
        <f t="shared" si="28"/>
        <v>18</v>
      </c>
      <c r="BI134" s="974">
        <f t="shared" si="29"/>
        <v>2.9</v>
      </c>
      <c r="BJ134" s="974">
        <f t="shared" si="30"/>
        <v>41.1</v>
      </c>
      <c r="BK134" s="974">
        <f t="shared" si="31"/>
        <v>9.8000000000000007</v>
      </c>
      <c r="BL134" s="974">
        <f t="shared" si="32"/>
        <v>9.5</v>
      </c>
      <c r="BM134" s="974">
        <f t="shared" si="33"/>
        <v>5.6</v>
      </c>
      <c r="BN134" s="974">
        <f t="shared" si="34"/>
        <v>6.3</v>
      </c>
      <c r="BO134" s="974">
        <f t="shared" si="35"/>
        <v>6.8000000000000114</v>
      </c>
      <c r="BP134" s="974">
        <f t="shared" si="39"/>
        <v>100</v>
      </c>
      <c r="BQ134" s="971" t="s">
        <v>2467</v>
      </c>
      <c r="BR134" s="975"/>
      <c r="BS134" s="975"/>
      <c r="BT134" s="975"/>
      <c r="BU134" s="975"/>
      <c r="BV134" s="975"/>
      <c r="BW134" s="975"/>
      <c r="BX134" s="971"/>
      <c r="DH134" s="977" t="str">
        <f t="shared" si="38"/>
        <v>Kuwait</v>
      </c>
      <c r="DI134" s="977" t="str">
        <f t="shared" si="38"/>
        <v>Asia</v>
      </c>
      <c r="DJ134" s="977" t="str">
        <f t="shared" si="38"/>
        <v>Western Asia &amp; Middle East</v>
      </c>
      <c r="DL134" s="977" t="s">
        <v>35</v>
      </c>
      <c r="DN134" s="977" t="s">
        <v>3113</v>
      </c>
      <c r="DO134" s="977" t="s">
        <v>3114</v>
      </c>
    </row>
    <row r="135" spans="49:119">
      <c r="AW135" s="969" t="s">
        <v>3116</v>
      </c>
      <c r="AX135" s="969" t="s">
        <v>2464</v>
      </c>
      <c r="AY135" s="970" t="str">
        <f>+BZ4</f>
        <v>South-Central Asia</v>
      </c>
      <c r="AZ135" s="969">
        <v>156</v>
      </c>
      <c r="BA135" s="971" t="s">
        <v>2465</v>
      </c>
      <c r="BB135" s="972">
        <v>23.730441943453197</v>
      </c>
      <c r="BC135" s="971" t="s">
        <v>2494</v>
      </c>
      <c r="BD135" s="973"/>
      <c r="BE135" s="973"/>
      <c r="BF135" s="971"/>
      <c r="BG135" s="973"/>
      <c r="BH135" s="974">
        <f t="shared" si="28"/>
        <v>11.3</v>
      </c>
      <c r="BI135" s="974">
        <f t="shared" si="29"/>
        <v>2.5</v>
      </c>
      <c r="BJ135" s="974">
        <f t="shared" si="30"/>
        <v>40.299999999999997</v>
      </c>
      <c r="BK135" s="974">
        <f t="shared" si="31"/>
        <v>7.9</v>
      </c>
      <c r="BL135" s="974">
        <f t="shared" si="32"/>
        <v>9.5</v>
      </c>
      <c r="BM135" s="974">
        <f t="shared" si="33"/>
        <v>5.6</v>
      </c>
      <c r="BN135" s="974">
        <f t="shared" si="34"/>
        <v>6.4</v>
      </c>
      <c r="BO135" s="974">
        <f t="shared" si="35"/>
        <v>16.5</v>
      </c>
      <c r="BP135" s="974">
        <f t="shared" si="39"/>
        <v>100</v>
      </c>
      <c r="BQ135" s="971" t="s">
        <v>2467</v>
      </c>
      <c r="BR135" s="975"/>
      <c r="BS135" s="975"/>
      <c r="BT135" s="975"/>
      <c r="BU135" s="975"/>
      <c r="BV135" s="975"/>
      <c r="BW135" s="975"/>
      <c r="BX135" s="971"/>
      <c r="DH135" s="977" t="str">
        <f t="shared" si="38"/>
        <v>Kyrgyzstan</v>
      </c>
      <c r="DI135" s="977" t="str">
        <f t="shared" si="38"/>
        <v>Asia</v>
      </c>
      <c r="DJ135" s="977" t="str">
        <f t="shared" si="38"/>
        <v>South-Central Asia</v>
      </c>
      <c r="DL135" s="977" t="s">
        <v>35</v>
      </c>
      <c r="DN135" s="977" t="s">
        <v>3117</v>
      </c>
      <c r="DO135" s="977" t="s">
        <v>3118</v>
      </c>
    </row>
    <row r="136" spans="49:119" ht="26">
      <c r="AW136" s="969" t="s">
        <v>3120</v>
      </c>
      <c r="AX136" s="969" t="s">
        <v>2464</v>
      </c>
      <c r="AY136" s="970" t="str">
        <f>+BZ5</f>
        <v>South-Eastern Asia</v>
      </c>
      <c r="AZ136" s="969">
        <v>366</v>
      </c>
      <c r="BA136" s="971" t="s">
        <v>2465</v>
      </c>
      <c r="BB136" s="972">
        <v>5.4123414965002699</v>
      </c>
      <c r="BC136" s="971" t="s">
        <v>2537</v>
      </c>
      <c r="BD136" s="973"/>
      <c r="BE136" s="973"/>
      <c r="BF136" s="971"/>
      <c r="BG136" s="973"/>
      <c r="BH136" s="974">
        <f t="shared" si="28"/>
        <v>12.9</v>
      </c>
      <c r="BI136" s="974">
        <f t="shared" si="29"/>
        <v>2.7</v>
      </c>
      <c r="BJ136" s="974">
        <f t="shared" si="30"/>
        <v>43.5</v>
      </c>
      <c r="BK136" s="974">
        <f t="shared" si="31"/>
        <v>9.9</v>
      </c>
      <c r="BL136" s="974">
        <f t="shared" si="32"/>
        <v>9.5</v>
      </c>
      <c r="BM136" s="974">
        <f t="shared" si="33"/>
        <v>5.6</v>
      </c>
      <c r="BN136" s="974">
        <f t="shared" si="34"/>
        <v>7.2</v>
      </c>
      <c r="BO136" s="974">
        <f t="shared" si="35"/>
        <v>8.7000000000000028</v>
      </c>
      <c r="BP136" s="974">
        <f t="shared" si="39"/>
        <v>100</v>
      </c>
      <c r="BQ136" s="971" t="s">
        <v>2467</v>
      </c>
      <c r="BR136" s="975"/>
      <c r="BS136" s="975"/>
      <c r="BT136" s="975"/>
      <c r="BU136" s="975"/>
      <c r="BV136" s="975"/>
      <c r="BW136" s="975"/>
      <c r="BX136" s="971"/>
      <c r="DH136" s="977" t="str">
        <f t="shared" si="38"/>
        <v>Laos</v>
      </c>
      <c r="DI136" s="977" t="str">
        <f t="shared" si="38"/>
        <v>Asia</v>
      </c>
      <c r="DJ136" s="977" t="str">
        <f t="shared" si="38"/>
        <v>South-Eastern Asia</v>
      </c>
      <c r="DL136" s="977" t="s">
        <v>35</v>
      </c>
      <c r="DN136" s="977" t="s">
        <v>3121</v>
      </c>
      <c r="DO136" s="977" t="s">
        <v>3122</v>
      </c>
    </row>
    <row r="137" spans="49:119">
      <c r="AW137" s="969" t="s">
        <v>3123</v>
      </c>
      <c r="AX137" s="969" t="s">
        <v>2493</v>
      </c>
      <c r="AY137" s="970" t="str">
        <f>+BZ13</f>
        <v>Northern Europe</v>
      </c>
      <c r="AZ137" s="969">
        <v>104.9</v>
      </c>
      <c r="BA137" s="971" t="s">
        <v>2678</v>
      </c>
      <c r="BB137" s="972">
        <v>9.0449328924333781</v>
      </c>
      <c r="BC137" s="971" t="s">
        <v>2494</v>
      </c>
      <c r="BD137" s="973"/>
      <c r="BE137" s="973"/>
      <c r="BF137" s="971"/>
      <c r="BG137" s="973"/>
      <c r="BH137" s="974">
        <f t="shared" si="28"/>
        <v>30.6</v>
      </c>
      <c r="BI137" s="974">
        <f t="shared" si="29"/>
        <v>2</v>
      </c>
      <c r="BJ137" s="974">
        <f t="shared" si="30"/>
        <v>23.8</v>
      </c>
      <c r="BK137" s="974">
        <f t="shared" si="31"/>
        <v>10</v>
      </c>
      <c r="BL137" s="974">
        <f t="shared" si="32"/>
        <v>9.5</v>
      </c>
      <c r="BM137" s="974">
        <f t="shared" si="33"/>
        <v>5.6</v>
      </c>
      <c r="BN137" s="974">
        <f t="shared" si="34"/>
        <v>13</v>
      </c>
      <c r="BO137" s="974">
        <f t="shared" si="35"/>
        <v>5.5</v>
      </c>
      <c r="BP137" s="974">
        <f t="shared" si="39"/>
        <v>100</v>
      </c>
      <c r="BQ137" s="971" t="s">
        <v>2467</v>
      </c>
      <c r="BR137" s="975"/>
      <c r="BS137" s="975"/>
      <c r="BT137" s="975"/>
      <c r="BU137" s="975"/>
      <c r="BV137" s="975"/>
      <c r="BW137" s="975"/>
      <c r="BX137" s="971"/>
      <c r="DH137" s="977" t="str">
        <f t="shared" si="38"/>
        <v>Latvia</v>
      </c>
      <c r="DI137" s="977" t="str">
        <f t="shared" si="38"/>
        <v>Europe</v>
      </c>
      <c r="DJ137" s="977" t="str">
        <f t="shared" si="38"/>
        <v>Northern Europe</v>
      </c>
      <c r="DK137" s="977" t="e">
        <f>VLOOKUP(DH137,#REF!,1)</f>
        <v>#REF!</v>
      </c>
      <c r="DL137" s="977" t="e">
        <f>VLOOKUP(DK137,#REF!,2,FALSE)</f>
        <v>#REF!</v>
      </c>
      <c r="DN137" s="977" t="s">
        <v>3124</v>
      </c>
      <c r="DO137" s="977" t="s">
        <v>3125</v>
      </c>
    </row>
    <row r="138" spans="49:119">
      <c r="AW138" s="969" t="s">
        <v>3126</v>
      </c>
      <c r="AX138" s="969" t="s">
        <v>2464</v>
      </c>
      <c r="AY138" s="970" t="str">
        <f>+BZ6</f>
        <v>Western Asia &amp; Middle East</v>
      </c>
      <c r="AZ138" s="969">
        <v>552</v>
      </c>
      <c r="BA138" s="971" t="s">
        <v>2465</v>
      </c>
      <c r="BB138" s="972">
        <v>10.466800356506239</v>
      </c>
      <c r="BC138" s="971" t="s">
        <v>2494</v>
      </c>
      <c r="BD138" s="973"/>
      <c r="BE138" s="973"/>
      <c r="BF138" s="971"/>
      <c r="BG138" s="973"/>
      <c r="BH138" s="974">
        <f t="shared" ref="BH138:BH158" si="40">+VLOOKUP($AY138,$BZ$3:$CH$21,2,FALSE)</f>
        <v>18</v>
      </c>
      <c r="BI138" s="974">
        <f t="shared" ref="BI138:BI158" si="41">+VLOOKUP($AY138,$BZ$3:$CH$21,3,FALSE)</f>
        <v>2.9</v>
      </c>
      <c r="BJ138" s="974">
        <f t="shared" ref="BJ138:BJ158" si="42">+VLOOKUP($AY138,$BZ$3:$CH$21,4,FALSE)</f>
        <v>41.1</v>
      </c>
      <c r="BK138" s="974">
        <f t="shared" ref="BK138:BK158" si="43">+VLOOKUP($AY138,$BZ$3:$CH$21,5,FALSE)</f>
        <v>9.8000000000000007</v>
      </c>
      <c r="BL138" s="974">
        <f t="shared" ref="BL138:BL158" si="44">+VLOOKUP($AY138,$BZ$3:$CH$21,6,FALSE)</f>
        <v>9.5</v>
      </c>
      <c r="BM138" s="974">
        <f t="shared" ref="BM138:BM158" si="45">+VLOOKUP($AY138,$BZ$3:$CH$21,7,FALSE)</f>
        <v>5.6</v>
      </c>
      <c r="BN138" s="974">
        <f t="shared" ref="BN138:BN158" si="46">+VLOOKUP($AY138,$BZ$3:$CH$21,8,FALSE)</f>
        <v>6.3</v>
      </c>
      <c r="BO138" s="974">
        <f t="shared" ref="BO138:BO158" si="47">+VLOOKUP($AY138,$BZ$3:$CH$21,9,FALSE)</f>
        <v>6.8000000000000114</v>
      </c>
      <c r="BP138" s="974">
        <f t="shared" si="39"/>
        <v>100</v>
      </c>
      <c r="BQ138" s="971" t="s">
        <v>2467</v>
      </c>
      <c r="BR138" s="975"/>
      <c r="BS138" s="975"/>
      <c r="BT138" s="975"/>
      <c r="BU138" s="975"/>
      <c r="BV138" s="975"/>
      <c r="BW138" s="975"/>
      <c r="BX138" s="971"/>
      <c r="DH138" s="977" t="str">
        <f t="shared" si="38"/>
        <v>Lebanon</v>
      </c>
      <c r="DI138" s="977" t="str">
        <f t="shared" si="38"/>
        <v>Asia</v>
      </c>
      <c r="DJ138" s="977" t="str">
        <f t="shared" si="38"/>
        <v>Western Asia &amp; Middle East</v>
      </c>
      <c r="DL138" s="977" t="s">
        <v>35</v>
      </c>
      <c r="DN138" s="977" t="s">
        <v>3127</v>
      </c>
      <c r="DO138" s="977" t="s">
        <v>3128</v>
      </c>
    </row>
    <row r="139" spans="49:119" ht="26">
      <c r="AW139" s="969" t="s">
        <v>3129</v>
      </c>
      <c r="AX139" s="969" t="s">
        <v>2520</v>
      </c>
      <c r="AY139" s="970" t="str">
        <f>+BZ10</f>
        <v>Southern Africa</v>
      </c>
      <c r="AZ139" s="969">
        <v>43</v>
      </c>
      <c r="BA139" s="971" t="s">
        <v>2465</v>
      </c>
      <c r="BB139" s="972">
        <v>11.740747004194485</v>
      </c>
      <c r="BC139" s="971" t="s">
        <v>2774</v>
      </c>
      <c r="BD139" s="973"/>
      <c r="BE139" s="973"/>
      <c r="BF139" s="971"/>
      <c r="BG139" s="973"/>
      <c r="BH139" s="974">
        <f t="shared" si="40"/>
        <v>25</v>
      </c>
      <c r="BI139" s="974">
        <f t="shared" si="41"/>
        <v>7.3</v>
      </c>
      <c r="BJ139" s="974">
        <f t="shared" si="42"/>
        <v>23</v>
      </c>
      <c r="BK139" s="974">
        <f t="shared" si="43"/>
        <v>15</v>
      </c>
      <c r="BL139" s="974">
        <f t="shared" si="44"/>
        <v>9.5</v>
      </c>
      <c r="BM139" s="974">
        <f t="shared" si="45"/>
        <v>5.6</v>
      </c>
      <c r="BN139" s="974">
        <f t="shared" si="46"/>
        <v>7.3</v>
      </c>
      <c r="BO139" s="974">
        <f t="shared" si="47"/>
        <v>7.3</v>
      </c>
      <c r="BP139" s="974">
        <f t="shared" si="39"/>
        <v>99.999999999999986</v>
      </c>
      <c r="BQ139" s="971" t="s">
        <v>2467</v>
      </c>
      <c r="BR139" s="975"/>
      <c r="BS139" s="975"/>
      <c r="BT139" s="975"/>
      <c r="BU139" s="975"/>
      <c r="BV139" s="975"/>
      <c r="BW139" s="975"/>
      <c r="BX139" s="971"/>
      <c r="DH139" s="977" t="str">
        <f t="shared" si="38"/>
        <v>Lesotho</v>
      </c>
      <c r="DI139" s="977" t="str">
        <f t="shared" si="38"/>
        <v>Africa</v>
      </c>
      <c r="DJ139" s="977" t="str">
        <f t="shared" si="38"/>
        <v>Southern Africa</v>
      </c>
      <c r="DL139" s="977" t="s">
        <v>35</v>
      </c>
      <c r="DN139" s="977" t="s">
        <v>3130</v>
      </c>
      <c r="DO139" s="977" t="s">
        <v>3131</v>
      </c>
    </row>
    <row r="140" spans="49:119" ht="26">
      <c r="AW140" s="969" t="s">
        <v>3132</v>
      </c>
      <c r="AX140" s="969" t="s">
        <v>2520</v>
      </c>
      <c r="AY140" s="970" t="str">
        <f>+BZ11</f>
        <v>Western Africa</v>
      </c>
      <c r="AZ140" s="969">
        <v>407</v>
      </c>
      <c r="BA140" s="971" t="s">
        <v>2465</v>
      </c>
      <c r="BB140" s="972">
        <v>13.490630673342661</v>
      </c>
      <c r="BC140" s="971" t="s">
        <v>2725</v>
      </c>
      <c r="BD140" s="973"/>
      <c r="BE140" s="973"/>
      <c r="BF140" s="971"/>
      <c r="BG140" s="973"/>
      <c r="BH140" s="974">
        <f t="shared" si="40"/>
        <v>9.8000000000000007</v>
      </c>
      <c r="BI140" s="974">
        <f t="shared" si="41"/>
        <v>1</v>
      </c>
      <c r="BJ140" s="974">
        <f t="shared" si="42"/>
        <v>40.4</v>
      </c>
      <c r="BK140" s="974">
        <f t="shared" si="43"/>
        <v>4.4000000000000004</v>
      </c>
      <c r="BL140" s="974">
        <f t="shared" si="44"/>
        <v>9.5</v>
      </c>
      <c r="BM140" s="974">
        <f t="shared" si="45"/>
        <v>5.6</v>
      </c>
      <c r="BN140" s="974">
        <f t="shared" si="46"/>
        <v>3</v>
      </c>
      <c r="BO140" s="974">
        <f t="shared" si="47"/>
        <v>26.300000000000011</v>
      </c>
      <c r="BP140" s="974">
        <f t="shared" si="39"/>
        <v>100</v>
      </c>
      <c r="BQ140" s="971" t="s">
        <v>2467</v>
      </c>
      <c r="BR140" s="975"/>
      <c r="BS140" s="975"/>
      <c r="BT140" s="975"/>
      <c r="BU140" s="975"/>
      <c r="BV140" s="975"/>
      <c r="BW140" s="975"/>
      <c r="BX140" s="971"/>
      <c r="DH140" s="977" t="str">
        <f t="shared" si="38"/>
        <v>Liberia</v>
      </c>
      <c r="DI140" s="977" t="str">
        <f t="shared" si="38"/>
        <v>Africa</v>
      </c>
      <c r="DJ140" s="977" t="str">
        <f t="shared" si="38"/>
        <v>Western Africa</v>
      </c>
      <c r="DL140" s="977" t="s">
        <v>35</v>
      </c>
      <c r="DN140" s="977" t="s">
        <v>3133</v>
      </c>
      <c r="DO140" s="977" t="s">
        <v>3134</v>
      </c>
    </row>
    <row r="141" spans="49:119">
      <c r="AW141" s="969" t="s">
        <v>3135</v>
      </c>
      <c r="AX141" s="969" t="s">
        <v>2520</v>
      </c>
      <c r="AY141" s="970" t="str">
        <f>+BZ9</f>
        <v>Northern Africa</v>
      </c>
      <c r="AZ141" s="969">
        <v>538</v>
      </c>
      <c r="BA141" s="971" t="s">
        <v>2465</v>
      </c>
      <c r="BB141" s="972">
        <v>69.696005936762873</v>
      </c>
      <c r="BC141" s="971" t="s">
        <v>2494</v>
      </c>
      <c r="BD141" s="973"/>
      <c r="BE141" s="973"/>
      <c r="BF141" s="971"/>
      <c r="BG141" s="973"/>
      <c r="BH141" s="974">
        <f t="shared" si="40"/>
        <v>16.5</v>
      </c>
      <c r="BI141" s="974">
        <f t="shared" si="41"/>
        <v>2.5</v>
      </c>
      <c r="BJ141" s="974">
        <f t="shared" si="42"/>
        <v>51.1</v>
      </c>
      <c r="BK141" s="974">
        <f t="shared" si="43"/>
        <v>2</v>
      </c>
      <c r="BL141" s="974">
        <f t="shared" si="44"/>
        <v>9.5</v>
      </c>
      <c r="BM141" s="974">
        <f t="shared" si="45"/>
        <v>5.6</v>
      </c>
      <c r="BN141" s="974">
        <f t="shared" si="46"/>
        <v>4.5</v>
      </c>
      <c r="BO141" s="974">
        <f t="shared" si="47"/>
        <v>8.3000000000000114</v>
      </c>
      <c r="BP141" s="974">
        <f t="shared" si="39"/>
        <v>100</v>
      </c>
      <c r="BQ141" s="971" t="s">
        <v>2467</v>
      </c>
      <c r="BR141" s="975"/>
      <c r="BS141" s="975"/>
      <c r="BT141" s="975"/>
      <c r="BU141" s="975"/>
      <c r="BV141" s="975"/>
      <c r="BW141" s="975"/>
      <c r="BX141" s="971"/>
      <c r="DH141" s="977" t="str">
        <f t="shared" si="38"/>
        <v>Libya</v>
      </c>
      <c r="DI141" s="977" t="str">
        <f t="shared" si="38"/>
        <v>Africa</v>
      </c>
      <c r="DJ141" s="977" t="str">
        <f t="shared" si="38"/>
        <v>Northern Africa</v>
      </c>
      <c r="DL141" s="977" t="s">
        <v>35</v>
      </c>
      <c r="DN141" s="977" t="s">
        <v>3136</v>
      </c>
      <c r="DO141" s="977" t="s">
        <v>3137</v>
      </c>
    </row>
    <row r="142" spans="49:119" ht="26">
      <c r="AW142" s="969" t="s">
        <v>3138</v>
      </c>
      <c r="AX142" s="969" t="s">
        <v>2493</v>
      </c>
      <c r="AY142" s="970" t="str">
        <f>+BZ15</f>
        <v>Western Europe</v>
      </c>
      <c r="AZ142" s="969">
        <v>97</v>
      </c>
      <c r="BA142" s="971" t="s">
        <v>2465</v>
      </c>
      <c r="BB142" s="972">
        <v>6.2171813834411278</v>
      </c>
      <c r="BC142" s="971" t="s">
        <v>2550</v>
      </c>
      <c r="BD142" s="973"/>
      <c r="BE142" s="973"/>
      <c r="BF142" s="971"/>
      <c r="BG142" s="973"/>
      <c r="BH142" s="974">
        <f t="shared" si="40"/>
        <v>27.5</v>
      </c>
      <c r="BI142" s="974">
        <f t="shared" si="41"/>
        <v>7.4</v>
      </c>
      <c r="BJ142" s="974">
        <f t="shared" si="42"/>
        <v>24.2</v>
      </c>
      <c r="BK142" s="974">
        <f t="shared" si="43"/>
        <v>11</v>
      </c>
      <c r="BL142" s="974">
        <f t="shared" si="44"/>
        <v>9.5</v>
      </c>
      <c r="BM142" s="974">
        <f t="shared" si="45"/>
        <v>5.6</v>
      </c>
      <c r="BN142" s="974">
        <f t="shared" si="46"/>
        <v>7.4</v>
      </c>
      <c r="BO142" s="974">
        <f t="shared" si="47"/>
        <v>7.3999999999999986</v>
      </c>
      <c r="BP142" s="974">
        <f t="shared" si="39"/>
        <v>100</v>
      </c>
      <c r="BQ142" s="971" t="s">
        <v>2467</v>
      </c>
      <c r="BR142" s="975"/>
      <c r="BS142" s="975"/>
      <c r="BT142" s="975"/>
      <c r="BU142" s="975"/>
      <c r="BV142" s="975"/>
      <c r="BW142" s="975"/>
      <c r="BX142" s="971"/>
      <c r="DH142" s="977" t="str">
        <f t="shared" ref="DH142:DJ157" si="48">AW142</f>
        <v>Liechtenstein</v>
      </c>
      <c r="DI142" s="977" t="str">
        <f t="shared" si="48"/>
        <v>Europe</v>
      </c>
      <c r="DJ142" s="977" t="str">
        <f t="shared" si="48"/>
        <v>Western Europe</v>
      </c>
      <c r="DL142" s="977" t="s">
        <v>35</v>
      </c>
      <c r="DN142" s="977" t="s">
        <v>3139</v>
      </c>
      <c r="DO142" s="977" t="s">
        <v>3140</v>
      </c>
    </row>
    <row r="143" spans="49:119">
      <c r="AW143" s="969" t="s">
        <v>3141</v>
      </c>
      <c r="AX143" s="969" t="s">
        <v>2493</v>
      </c>
      <c r="AY143" s="970" t="str">
        <f>+BZ13</f>
        <v>Northern Europe</v>
      </c>
      <c r="AZ143" s="969">
        <v>18</v>
      </c>
      <c r="BA143" s="971" t="s">
        <v>2678</v>
      </c>
      <c r="BB143" s="972">
        <v>21.97950377562028</v>
      </c>
      <c r="BC143" s="971" t="s">
        <v>2494</v>
      </c>
      <c r="BD143" s="973"/>
      <c r="BE143" s="973"/>
      <c r="BF143" s="971"/>
      <c r="BG143" s="973"/>
      <c r="BH143" s="974">
        <f t="shared" si="40"/>
        <v>30.6</v>
      </c>
      <c r="BI143" s="974">
        <f t="shared" si="41"/>
        <v>2</v>
      </c>
      <c r="BJ143" s="974">
        <f t="shared" si="42"/>
        <v>23.8</v>
      </c>
      <c r="BK143" s="974">
        <f t="shared" si="43"/>
        <v>10</v>
      </c>
      <c r="BL143" s="974">
        <f t="shared" si="44"/>
        <v>9.5</v>
      </c>
      <c r="BM143" s="974">
        <f t="shared" si="45"/>
        <v>5.6</v>
      </c>
      <c r="BN143" s="974">
        <f t="shared" si="46"/>
        <v>13</v>
      </c>
      <c r="BO143" s="974">
        <f t="shared" si="47"/>
        <v>5.5</v>
      </c>
      <c r="BP143" s="974">
        <f t="shared" si="39"/>
        <v>100</v>
      </c>
      <c r="BQ143" s="971" t="s">
        <v>2467</v>
      </c>
      <c r="BR143" s="975"/>
      <c r="BS143" s="975"/>
      <c r="BT143" s="975"/>
      <c r="BU143" s="975"/>
      <c r="BV143" s="975"/>
      <c r="BW143" s="975"/>
      <c r="BX143" s="971"/>
      <c r="DH143" s="977" t="str">
        <f t="shared" si="48"/>
        <v>Lithuania</v>
      </c>
      <c r="DI143" s="977" t="str">
        <f t="shared" si="48"/>
        <v>Europe</v>
      </c>
      <c r="DJ143" s="977" t="str">
        <f t="shared" si="48"/>
        <v>Northern Europe</v>
      </c>
      <c r="DK143" s="977" t="e">
        <f>VLOOKUP(DH143,#REF!,1)</f>
        <v>#REF!</v>
      </c>
      <c r="DL143" s="977" t="e">
        <f>VLOOKUP(DK143,#REF!,2,FALSE)</f>
        <v>#REF!</v>
      </c>
      <c r="DN143" s="977" t="s">
        <v>3142</v>
      </c>
      <c r="DO143" s="977" t="s">
        <v>3143</v>
      </c>
    </row>
    <row r="144" spans="49:119">
      <c r="AW144" s="969" t="s">
        <v>3144</v>
      </c>
      <c r="AX144" s="969" t="s">
        <v>2493</v>
      </c>
      <c r="AY144" s="970" t="str">
        <f>+BZ15</f>
        <v>Western Europe</v>
      </c>
      <c r="AZ144" s="969">
        <v>219.3</v>
      </c>
      <c r="BA144" s="971" t="s">
        <v>2678</v>
      </c>
      <c r="BB144" s="972">
        <v>6.2992125984251963</v>
      </c>
      <c r="BC144" s="971" t="s">
        <v>2494</v>
      </c>
      <c r="BD144" s="973"/>
      <c r="BE144" s="973"/>
      <c r="BF144" s="971"/>
      <c r="BG144" s="973"/>
      <c r="BH144" s="974">
        <f t="shared" si="40"/>
        <v>27.5</v>
      </c>
      <c r="BI144" s="974">
        <f t="shared" si="41"/>
        <v>7.4</v>
      </c>
      <c r="BJ144" s="974">
        <f t="shared" si="42"/>
        <v>24.2</v>
      </c>
      <c r="BK144" s="974">
        <f t="shared" si="43"/>
        <v>11</v>
      </c>
      <c r="BL144" s="974">
        <f t="shared" si="44"/>
        <v>9.5</v>
      </c>
      <c r="BM144" s="974">
        <f t="shared" si="45"/>
        <v>5.6</v>
      </c>
      <c r="BN144" s="974">
        <f t="shared" si="46"/>
        <v>7.4</v>
      </c>
      <c r="BO144" s="974">
        <f t="shared" si="47"/>
        <v>7.3999999999999986</v>
      </c>
      <c r="BP144" s="974">
        <f t="shared" si="39"/>
        <v>100</v>
      </c>
      <c r="BQ144" s="971" t="s">
        <v>2467</v>
      </c>
      <c r="BR144" s="975"/>
      <c r="BS144" s="975"/>
      <c r="BT144" s="975"/>
      <c r="BU144" s="975"/>
      <c r="BV144" s="975"/>
      <c r="BW144" s="975"/>
      <c r="BX144" s="971"/>
      <c r="DH144" s="977" t="str">
        <f t="shared" si="48"/>
        <v>Luxembourg</v>
      </c>
      <c r="DI144" s="977" t="str">
        <f t="shared" si="48"/>
        <v>Europe</v>
      </c>
      <c r="DJ144" s="977" t="str">
        <f t="shared" si="48"/>
        <v>Western Europe</v>
      </c>
      <c r="DK144" s="977" t="e">
        <f>VLOOKUP(DH144,#REF!,1)</f>
        <v>#REF!</v>
      </c>
      <c r="DL144" s="977" t="e">
        <f>VLOOKUP(DK144,#REF!,2,FALSE)</f>
        <v>#REF!</v>
      </c>
      <c r="DN144" s="977" t="s">
        <v>3145</v>
      </c>
      <c r="DO144" s="977" t="s">
        <v>3146</v>
      </c>
    </row>
    <row r="145" spans="49:119" ht="26">
      <c r="AW145" s="969" t="s">
        <v>3147</v>
      </c>
      <c r="AX145" s="969" t="s">
        <v>2464</v>
      </c>
      <c r="AY145" s="970" t="str">
        <f>+BZ3</f>
        <v>Eastern Asia</v>
      </c>
      <c r="AZ145" s="969">
        <v>239</v>
      </c>
      <c r="BA145" s="971" t="s">
        <v>2465</v>
      </c>
      <c r="BB145" s="972">
        <v>5.4123414965002699</v>
      </c>
      <c r="BC145" s="971" t="s">
        <v>2537</v>
      </c>
      <c r="BD145" s="973"/>
      <c r="BE145" s="973"/>
      <c r="BF145" s="971"/>
      <c r="BG145" s="973"/>
      <c r="BH145" s="974">
        <f t="shared" si="40"/>
        <v>18.8</v>
      </c>
      <c r="BI145" s="974">
        <f t="shared" si="41"/>
        <v>3.5</v>
      </c>
      <c r="BJ145" s="974">
        <f t="shared" si="42"/>
        <v>26.2</v>
      </c>
      <c r="BK145" s="974">
        <f t="shared" si="43"/>
        <v>3.5</v>
      </c>
      <c r="BL145" s="974">
        <f t="shared" si="44"/>
        <v>9.5</v>
      </c>
      <c r="BM145" s="974">
        <f t="shared" si="45"/>
        <v>5.6</v>
      </c>
      <c r="BN145" s="974">
        <f t="shared" si="46"/>
        <v>14.3</v>
      </c>
      <c r="BO145" s="974">
        <f t="shared" si="47"/>
        <v>18.600000000000009</v>
      </c>
      <c r="BP145" s="974">
        <f t="shared" si="39"/>
        <v>100</v>
      </c>
      <c r="BQ145" s="971" t="s">
        <v>2467</v>
      </c>
      <c r="BR145" s="975"/>
      <c r="BS145" s="975"/>
      <c r="BT145" s="975"/>
      <c r="BU145" s="975"/>
      <c r="BV145" s="975"/>
      <c r="BW145" s="975"/>
      <c r="BX145" s="971"/>
      <c r="DH145" s="977" t="str">
        <f t="shared" si="48"/>
        <v>Macao (China)</v>
      </c>
      <c r="DI145" s="977" t="str">
        <f t="shared" si="48"/>
        <v>Asia</v>
      </c>
      <c r="DJ145" s="977" t="str">
        <f t="shared" si="48"/>
        <v>Eastern Asia</v>
      </c>
      <c r="DL145" s="977" t="s">
        <v>35</v>
      </c>
      <c r="DN145" s="977" t="s">
        <v>3148</v>
      </c>
      <c r="DO145" s="977" t="s">
        <v>3149</v>
      </c>
    </row>
    <row r="146" spans="49:119">
      <c r="AW146" s="969" t="s">
        <v>3150</v>
      </c>
      <c r="AX146" s="969" t="s">
        <v>2493</v>
      </c>
      <c r="AY146" s="970" t="str">
        <f>+BZ14</f>
        <v>Southern Europe</v>
      </c>
      <c r="AZ146" s="969">
        <v>691</v>
      </c>
      <c r="BA146" s="971" t="s">
        <v>2465</v>
      </c>
      <c r="BB146" s="972">
        <v>19.892072943803498</v>
      </c>
      <c r="BC146" s="971" t="s">
        <v>2494</v>
      </c>
      <c r="BD146" s="973"/>
      <c r="BE146" s="973"/>
      <c r="BF146" s="971"/>
      <c r="BG146" s="973"/>
      <c r="BH146" s="974">
        <f t="shared" si="40"/>
        <v>17</v>
      </c>
      <c r="BI146" s="974">
        <f t="shared" si="41"/>
        <v>6.8</v>
      </c>
      <c r="BJ146" s="974">
        <f t="shared" si="42"/>
        <v>36.9</v>
      </c>
      <c r="BK146" s="974">
        <f t="shared" si="43"/>
        <v>10.6</v>
      </c>
      <c r="BL146" s="974">
        <f t="shared" si="44"/>
        <v>9.5</v>
      </c>
      <c r="BM146" s="974">
        <f t="shared" si="45"/>
        <v>5.6</v>
      </c>
      <c r="BN146" s="974">
        <f t="shared" si="46"/>
        <v>6.8</v>
      </c>
      <c r="BO146" s="974">
        <f t="shared" si="47"/>
        <v>6.8</v>
      </c>
      <c r="BP146" s="974">
        <f t="shared" si="39"/>
        <v>99.999999999999986</v>
      </c>
      <c r="BQ146" s="971" t="s">
        <v>2467</v>
      </c>
      <c r="BR146" s="975"/>
      <c r="BS146" s="975"/>
      <c r="BT146" s="975"/>
      <c r="BU146" s="975"/>
      <c r="BV146" s="975"/>
      <c r="BW146" s="975"/>
      <c r="BX146" s="971"/>
      <c r="DH146" s="977" t="str">
        <f t="shared" si="48"/>
        <v>Macedonia. North</v>
      </c>
      <c r="DI146" s="977" t="str">
        <f t="shared" si="48"/>
        <v>Europe</v>
      </c>
      <c r="DJ146" s="977" t="str">
        <f t="shared" si="48"/>
        <v>Southern Europe</v>
      </c>
      <c r="DL146" s="977" t="s">
        <v>35</v>
      </c>
      <c r="DN146" s="977" t="s">
        <v>3151</v>
      </c>
      <c r="DO146" s="977" t="s">
        <v>3152</v>
      </c>
    </row>
    <row r="147" spans="49:119" ht="26">
      <c r="AW147" s="969" t="s">
        <v>3153</v>
      </c>
      <c r="AX147" s="969" t="s">
        <v>2520</v>
      </c>
      <c r="AY147" s="970" t="str">
        <f>+BZ7</f>
        <v>Eastern Africa</v>
      </c>
      <c r="AZ147" s="969">
        <v>377</v>
      </c>
      <c r="BA147" s="971" t="s">
        <v>2465</v>
      </c>
      <c r="BB147" s="972">
        <v>11.740747004194485</v>
      </c>
      <c r="BC147" s="971" t="s">
        <v>2774</v>
      </c>
      <c r="BD147" s="973"/>
      <c r="BE147" s="973"/>
      <c r="BF147" s="971"/>
      <c r="BG147" s="973"/>
      <c r="BH147" s="974">
        <f t="shared" si="40"/>
        <v>7.7</v>
      </c>
      <c r="BI147" s="974">
        <f t="shared" si="41"/>
        <v>1.7</v>
      </c>
      <c r="BJ147" s="974">
        <f t="shared" si="42"/>
        <v>53.9</v>
      </c>
      <c r="BK147" s="974">
        <f t="shared" si="43"/>
        <v>7</v>
      </c>
      <c r="BL147" s="974">
        <f t="shared" si="44"/>
        <v>9.5</v>
      </c>
      <c r="BM147" s="974">
        <f t="shared" si="45"/>
        <v>5.6</v>
      </c>
      <c r="BN147" s="974">
        <f t="shared" si="46"/>
        <v>5.5</v>
      </c>
      <c r="BO147" s="974">
        <f t="shared" si="47"/>
        <v>9.1000000000000085</v>
      </c>
      <c r="BP147" s="974">
        <f t="shared" si="39"/>
        <v>100</v>
      </c>
      <c r="BQ147" s="971" t="s">
        <v>2467</v>
      </c>
      <c r="BR147" s="975"/>
      <c r="BS147" s="975"/>
      <c r="BT147" s="975"/>
      <c r="BU147" s="975"/>
      <c r="BV147" s="975"/>
      <c r="BW147" s="975"/>
      <c r="BX147" s="971"/>
      <c r="DH147" s="977" t="str">
        <f t="shared" si="48"/>
        <v>Madagascar</v>
      </c>
      <c r="DI147" s="977" t="str">
        <f t="shared" si="48"/>
        <v>Africa</v>
      </c>
      <c r="DJ147" s="977" t="str">
        <f t="shared" si="48"/>
        <v>Eastern Africa</v>
      </c>
      <c r="DL147" s="977" t="s">
        <v>35</v>
      </c>
      <c r="DN147" s="977" t="s">
        <v>3154</v>
      </c>
      <c r="DO147" s="977" t="s">
        <v>3155</v>
      </c>
    </row>
    <row r="148" spans="49:119">
      <c r="AW148" s="969" t="s">
        <v>3156</v>
      </c>
      <c r="AX148" s="969" t="s">
        <v>2493</v>
      </c>
      <c r="AY148" s="970" t="str">
        <f>+BZ14</f>
        <v>Southern Europe</v>
      </c>
      <c r="AZ148" s="969">
        <v>474</v>
      </c>
      <c r="BA148" s="971" t="s">
        <v>2465</v>
      </c>
      <c r="BB148" s="972">
        <v>10.025212186531689</v>
      </c>
      <c r="BC148" s="971" t="s">
        <v>2690</v>
      </c>
      <c r="BD148" s="973"/>
      <c r="BE148" s="973"/>
      <c r="BF148" s="971"/>
      <c r="BG148" s="973"/>
      <c r="BH148" s="974">
        <f t="shared" si="40"/>
        <v>17</v>
      </c>
      <c r="BI148" s="974">
        <f t="shared" si="41"/>
        <v>6.8</v>
      </c>
      <c r="BJ148" s="974">
        <f t="shared" si="42"/>
        <v>36.9</v>
      </c>
      <c r="BK148" s="974">
        <f t="shared" si="43"/>
        <v>10.6</v>
      </c>
      <c r="BL148" s="974">
        <f t="shared" si="44"/>
        <v>9.5</v>
      </c>
      <c r="BM148" s="974">
        <f t="shared" si="45"/>
        <v>5.6</v>
      </c>
      <c r="BN148" s="974">
        <f t="shared" si="46"/>
        <v>6.8</v>
      </c>
      <c r="BO148" s="974">
        <f t="shared" si="47"/>
        <v>6.8</v>
      </c>
      <c r="BP148" s="974">
        <f t="shared" si="39"/>
        <v>99.999999999999986</v>
      </c>
      <c r="BQ148" s="971" t="s">
        <v>2467</v>
      </c>
      <c r="BR148" s="975"/>
      <c r="BS148" s="975"/>
      <c r="BT148" s="975"/>
      <c r="BU148" s="975"/>
      <c r="BV148" s="975"/>
      <c r="BW148" s="975"/>
      <c r="BX148" s="971"/>
      <c r="DH148" s="977" t="str">
        <f t="shared" si="48"/>
        <v>Madeira (Portugal)</v>
      </c>
      <c r="DI148" s="977" t="str">
        <f t="shared" si="48"/>
        <v>Europe</v>
      </c>
      <c r="DJ148" s="977" t="str">
        <f t="shared" si="48"/>
        <v>Southern Europe</v>
      </c>
      <c r="DL148" s="977" t="s">
        <v>35</v>
      </c>
      <c r="DN148" s="977" t="s">
        <v>3157</v>
      </c>
      <c r="DO148" s="977" t="s">
        <v>3158</v>
      </c>
    </row>
    <row r="149" spans="49:119" ht="26">
      <c r="AW149" s="969" t="s">
        <v>3159</v>
      </c>
      <c r="AX149" s="969" t="s">
        <v>2520</v>
      </c>
      <c r="AY149" s="970" t="str">
        <f>+BZ7</f>
        <v>Eastern Africa</v>
      </c>
      <c r="AZ149" s="969">
        <v>43</v>
      </c>
      <c r="BA149" s="971" t="s">
        <v>2465</v>
      </c>
      <c r="BB149" s="972">
        <v>11.740747004194485</v>
      </c>
      <c r="BC149" s="971" t="s">
        <v>2774</v>
      </c>
      <c r="BD149" s="973"/>
      <c r="BE149" s="973"/>
      <c r="BF149" s="971"/>
      <c r="BG149" s="973"/>
      <c r="BH149" s="974">
        <f t="shared" si="40"/>
        <v>7.7</v>
      </c>
      <c r="BI149" s="974">
        <f t="shared" si="41"/>
        <v>1.7</v>
      </c>
      <c r="BJ149" s="974">
        <f t="shared" si="42"/>
        <v>53.9</v>
      </c>
      <c r="BK149" s="974">
        <f t="shared" si="43"/>
        <v>7</v>
      </c>
      <c r="BL149" s="974">
        <f t="shared" si="44"/>
        <v>9.5</v>
      </c>
      <c r="BM149" s="974">
        <f t="shared" si="45"/>
        <v>5.6</v>
      </c>
      <c r="BN149" s="974">
        <f t="shared" si="46"/>
        <v>5.5</v>
      </c>
      <c r="BO149" s="974">
        <f t="shared" si="47"/>
        <v>9.1000000000000085</v>
      </c>
      <c r="BP149" s="974">
        <f t="shared" si="39"/>
        <v>100</v>
      </c>
      <c r="BQ149" s="971" t="s">
        <v>2467</v>
      </c>
      <c r="BR149" s="975"/>
      <c r="BS149" s="975"/>
      <c r="BT149" s="975"/>
      <c r="BU149" s="975"/>
      <c r="BV149" s="975"/>
      <c r="BW149" s="975"/>
      <c r="BX149" s="971"/>
      <c r="DH149" s="977" t="str">
        <f t="shared" si="48"/>
        <v>Malawi</v>
      </c>
      <c r="DI149" s="977" t="str">
        <f t="shared" si="48"/>
        <v>Africa</v>
      </c>
      <c r="DJ149" s="977" t="str">
        <f t="shared" si="48"/>
        <v>Eastern Africa</v>
      </c>
      <c r="DL149" s="977" t="s">
        <v>35</v>
      </c>
      <c r="DN149" s="977" t="s">
        <v>3160</v>
      </c>
      <c r="DO149" s="977" t="s">
        <v>3161</v>
      </c>
    </row>
    <row r="150" spans="49:119">
      <c r="AW150" s="969" t="s">
        <v>54</v>
      </c>
      <c r="AX150" s="969" t="s">
        <v>2464</v>
      </c>
      <c r="AY150" s="970" t="str">
        <f>+BZ5</f>
        <v>South-Eastern Asia</v>
      </c>
      <c r="AZ150" s="969">
        <v>470</v>
      </c>
      <c r="BA150" s="971" t="s">
        <v>2465</v>
      </c>
      <c r="BB150" s="972">
        <v>5.7924038272450487</v>
      </c>
      <c r="BC150" s="971" t="s">
        <v>2494</v>
      </c>
      <c r="BD150" s="973"/>
      <c r="BE150" s="973"/>
      <c r="BF150" s="971"/>
      <c r="BG150" s="973"/>
      <c r="BH150" s="974">
        <f t="shared" si="40"/>
        <v>12.9</v>
      </c>
      <c r="BI150" s="974">
        <f t="shared" si="41"/>
        <v>2.7</v>
      </c>
      <c r="BJ150" s="974">
        <f t="shared" si="42"/>
        <v>43.5</v>
      </c>
      <c r="BK150" s="974">
        <f t="shared" si="43"/>
        <v>9.9</v>
      </c>
      <c r="BL150" s="974">
        <f t="shared" si="44"/>
        <v>9.5</v>
      </c>
      <c r="BM150" s="974">
        <f t="shared" si="45"/>
        <v>5.6</v>
      </c>
      <c r="BN150" s="974">
        <f t="shared" si="46"/>
        <v>7.2</v>
      </c>
      <c r="BO150" s="974">
        <f t="shared" si="47"/>
        <v>8.7000000000000028</v>
      </c>
      <c r="BP150" s="974">
        <f t="shared" si="39"/>
        <v>100</v>
      </c>
      <c r="BQ150" s="971" t="s">
        <v>2467</v>
      </c>
      <c r="BR150" s="975"/>
      <c r="BS150" s="975"/>
      <c r="BT150" s="975"/>
      <c r="BU150" s="975"/>
      <c r="BV150" s="975"/>
      <c r="BW150" s="975"/>
      <c r="BX150" s="971"/>
      <c r="DH150" s="977" t="str">
        <f t="shared" si="48"/>
        <v>Malaysia</v>
      </c>
      <c r="DI150" s="977" t="str">
        <f t="shared" si="48"/>
        <v>Asia</v>
      </c>
      <c r="DJ150" s="977" t="str">
        <f t="shared" si="48"/>
        <v>South-Eastern Asia</v>
      </c>
      <c r="DL150" s="977" t="s">
        <v>35</v>
      </c>
      <c r="DN150" s="977" t="s">
        <v>3162</v>
      </c>
      <c r="DO150" s="977" t="s">
        <v>3163</v>
      </c>
    </row>
    <row r="151" spans="49:119" ht="26">
      <c r="AW151" s="969" t="s">
        <v>55</v>
      </c>
      <c r="AX151" s="969" t="s">
        <v>2464</v>
      </c>
      <c r="AY151" s="970" t="str">
        <f>+BZ4</f>
        <v>South-Central Asia</v>
      </c>
      <c r="AZ151" s="969">
        <v>553</v>
      </c>
      <c r="BA151" s="971" t="s">
        <v>2465</v>
      </c>
      <c r="BB151" s="972">
        <v>18.8367793271604</v>
      </c>
      <c r="BC151" s="971" t="s">
        <v>2734</v>
      </c>
      <c r="BD151" s="973"/>
      <c r="BE151" s="973"/>
      <c r="BF151" s="971"/>
      <c r="BG151" s="973"/>
      <c r="BH151" s="974">
        <f t="shared" si="40"/>
        <v>11.3</v>
      </c>
      <c r="BI151" s="974">
        <f t="shared" si="41"/>
        <v>2.5</v>
      </c>
      <c r="BJ151" s="974">
        <f t="shared" si="42"/>
        <v>40.299999999999997</v>
      </c>
      <c r="BK151" s="974">
        <f t="shared" si="43"/>
        <v>7.9</v>
      </c>
      <c r="BL151" s="974">
        <f t="shared" si="44"/>
        <v>9.5</v>
      </c>
      <c r="BM151" s="974">
        <f t="shared" si="45"/>
        <v>5.6</v>
      </c>
      <c r="BN151" s="974">
        <f t="shared" si="46"/>
        <v>6.4</v>
      </c>
      <c r="BO151" s="974">
        <f t="shared" si="47"/>
        <v>16.5</v>
      </c>
      <c r="BP151" s="974">
        <f t="shared" si="39"/>
        <v>100</v>
      </c>
      <c r="BQ151" s="971" t="s">
        <v>2467</v>
      </c>
      <c r="BR151" s="975"/>
      <c r="BS151" s="975"/>
      <c r="BT151" s="975"/>
      <c r="BU151" s="975"/>
      <c r="BV151" s="975"/>
      <c r="BW151" s="975"/>
      <c r="BX151" s="971"/>
      <c r="DH151" s="977" t="str">
        <f t="shared" si="48"/>
        <v>Maldives</v>
      </c>
      <c r="DI151" s="977" t="str">
        <f t="shared" si="48"/>
        <v>Asia</v>
      </c>
      <c r="DJ151" s="977" t="str">
        <f t="shared" si="48"/>
        <v>South-Central Asia</v>
      </c>
      <c r="DL151" s="977" t="s">
        <v>35</v>
      </c>
      <c r="DN151" s="977" t="s">
        <v>3164</v>
      </c>
      <c r="DO151" s="977" t="s">
        <v>3165</v>
      </c>
    </row>
    <row r="152" spans="49:119" ht="26">
      <c r="AW152" s="969" t="s">
        <v>3166</v>
      </c>
      <c r="AX152" s="969" t="s">
        <v>2520</v>
      </c>
      <c r="AY152" s="970" t="str">
        <f>+BZ11</f>
        <v>Western Africa</v>
      </c>
      <c r="AZ152" s="969">
        <v>550</v>
      </c>
      <c r="BA152" s="971" t="s">
        <v>2465</v>
      </c>
      <c r="BB152" s="972">
        <v>13.490630673342661</v>
      </c>
      <c r="BC152" s="971" t="s">
        <v>2725</v>
      </c>
      <c r="BD152" s="973"/>
      <c r="BE152" s="973"/>
      <c r="BF152" s="971"/>
      <c r="BG152" s="973"/>
      <c r="BH152" s="974">
        <f t="shared" si="40"/>
        <v>9.8000000000000007</v>
      </c>
      <c r="BI152" s="974">
        <f t="shared" si="41"/>
        <v>1</v>
      </c>
      <c r="BJ152" s="974">
        <f t="shared" si="42"/>
        <v>40.4</v>
      </c>
      <c r="BK152" s="974">
        <f t="shared" si="43"/>
        <v>4.4000000000000004</v>
      </c>
      <c r="BL152" s="974">
        <f t="shared" si="44"/>
        <v>9.5</v>
      </c>
      <c r="BM152" s="974">
        <f t="shared" si="45"/>
        <v>5.6</v>
      </c>
      <c r="BN152" s="974">
        <f t="shared" si="46"/>
        <v>3</v>
      </c>
      <c r="BO152" s="974">
        <f t="shared" si="47"/>
        <v>26.300000000000011</v>
      </c>
      <c r="BP152" s="974">
        <f t="shared" si="39"/>
        <v>100</v>
      </c>
      <c r="BQ152" s="971" t="s">
        <v>2467</v>
      </c>
      <c r="BR152" s="975"/>
      <c r="BS152" s="975"/>
      <c r="BT152" s="975"/>
      <c r="BU152" s="975"/>
      <c r="BV152" s="975"/>
      <c r="BW152" s="975"/>
      <c r="BX152" s="971"/>
      <c r="DH152" s="977" t="str">
        <f t="shared" si="48"/>
        <v>Mali</v>
      </c>
      <c r="DI152" s="977" t="str">
        <f t="shared" si="48"/>
        <v>Africa</v>
      </c>
      <c r="DJ152" s="977" t="str">
        <f t="shared" si="48"/>
        <v>Western Africa</v>
      </c>
      <c r="DL152" s="977" t="s">
        <v>35</v>
      </c>
      <c r="DN152" s="977" t="s">
        <v>3167</v>
      </c>
      <c r="DO152" s="977" t="s">
        <v>3168</v>
      </c>
    </row>
    <row r="153" spans="49:119">
      <c r="AW153" s="969" t="s">
        <v>3169</v>
      </c>
      <c r="AX153" s="969" t="s">
        <v>2493</v>
      </c>
      <c r="AY153" s="970" t="str">
        <f>+BZ14</f>
        <v>Southern Europe</v>
      </c>
      <c r="AZ153" s="969">
        <v>648</v>
      </c>
      <c r="BA153" s="971" t="s">
        <v>2678</v>
      </c>
      <c r="BB153" s="972">
        <v>4.6770601336302899</v>
      </c>
      <c r="BC153" s="971" t="s">
        <v>2494</v>
      </c>
      <c r="BD153" s="973"/>
      <c r="BE153" s="973"/>
      <c r="BF153" s="971"/>
      <c r="BG153" s="973"/>
      <c r="BH153" s="974">
        <f t="shared" si="40"/>
        <v>17</v>
      </c>
      <c r="BI153" s="974">
        <f t="shared" si="41"/>
        <v>6.8</v>
      </c>
      <c r="BJ153" s="974">
        <f t="shared" si="42"/>
        <v>36.9</v>
      </c>
      <c r="BK153" s="974">
        <f t="shared" si="43"/>
        <v>10.6</v>
      </c>
      <c r="BL153" s="974">
        <f t="shared" si="44"/>
        <v>9.5</v>
      </c>
      <c r="BM153" s="974">
        <f t="shared" si="45"/>
        <v>5.6</v>
      </c>
      <c r="BN153" s="974">
        <f t="shared" si="46"/>
        <v>6.8</v>
      </c>
      <c r="BO153" s="974">
        <f t="shared" si="47"/>
        <v>6.8</v>
      </c>
      <c r="BP153" s="974">
        <f t="shared" si="39"/>
        <v>99.999999999999986</v>
      </c>
      <c r="BQ153" s="971" t="s">
        <v>2467</v>
      </c>
      <c r="BR153" s="975"/>
      <c r="BS153" s="975"/>
      <c r="BT153" s="975"/>
      <c r="BU153" s="975"/>
      <c r="BV153" s="975"/>
      <c r="BW153" s="975"/>
      <c r="BX153" s="971"/>
      <c r="DH153" s="977" t="str">
        <f t="shared" si="48"/>
        <v>Malta</v>
      </c>
      <c r="DI153" s="977" t="str">
        <f t="shared" si="48"/>
        <v>Europe</v>
      </c>
      <c r="DJ153" s="977" t="str">
        <f t="shared" si="48"/>
        <v>Southern Europe</v>
      </c>
      <c r="DK153" s="977" t="e">
        <f>VLOOKUP(DH153,#REF!,1)</f>
        <v>#REF!</v>
      </c>
      <c r="DL153" s="977" t="e">
        <f>VLOOKUP(DK153,#REF!,2,FALSE)</f>
        <v>#REF!</v>
      </c>
      <c r="DN153" s="977" t="s">
        <v>3170</v>
      </c>
      <c r="DO153" s="977" t="s">
        <v>3171</v>
      </c>
    </row>
    <row r="154" spans="49:119" ht="26">
      <c r="AW154" s="969" t="s">
        <v>3172</v>
      </c>
      <c r="AX154" s="987" t="s">
        <v>2536</v>
      </c>
      <c r="AY154" s="970" t="str">
        <f>+BZ17</f>
        <v>Rest of Oceania</v>
      </c>
      <c r="AZ154" s="969">
        <v>610</v>
      </c>
      <c r="BA154" s="971" t="s">
        <v>2465</v>
      </c>
      <c r="BB154" s="972">
        <v>5.4123414965002699</v>
      </c>
      <c r="BC154" s="971" t="s">
        <v>2537</v>
      </c>
      <c r="BD154" s="973"/>
      <c r="BE154" s="973"/>
      <c r="BF154" s="971"/>
      <c r="BG154" s="973"/>
      <c r="BH154" s="974">
        <f t="shared" si="40"/>
        <v>6</v>
      </c>
      <c r="BI154" s="974">
        <f t="shared" si="41"/>
        <v>2.97</v>
      </c>
      <c r="BJ154" s="974">
        <f t="shared" si="42"/>
        <v>67.5</v>
      </c>
      <c r="BK154" s="974">
        <f t="shared" si="43"/>
        <v>2.5</v>
      </c>
      <c r="BL154" s="974">
        <f t="shared" si="44"/>
        <v>9.5</v>
      </c>
      <c r="BM154" s="974">
        <f t="shared" si="45"/>
        <v>5.6</v>
      </c>
      <c r="BN154" s="974">
        <f t="shared" si="46"/>
        <v>2.97</v>
      </c>
      <c r="BO154" s="974">
        <f t="shared" si="47"/>
        <v>2.9666666666666668</v>
      </c>
      <c r="BP154" s="974">
        <f t="shared" si="39"/>
        <v>100.00666666666666</v>
      </c>
      <c r="BQ154" s="971" t="s">
        <v>2467</v>
      </c>
      <c r="BR154" s="975"/>
      <c r="BS154" s="975"/>
      <c r="BT154" s="975"/>
      <c r="BU154" s="975"/>
      <c r="BV154" s="975"/>
      <c r="BW154" s="975"/>
      <c r="BX154" s="971"/>
      <c r="DH154" s="977" t="str">
        <f t="shared" si="48"/>
        <v>Marshall Islands</v>
      </c>
      <c r="DI154" s="977" t="str">
        <f t="shared" si="48"/>
        <v>Oceania</v>
      </c>
      <c r="DJ154" s="977" t="str">
        <f t="shared" si="48"/>
        <v>Rest of Oceania</v>
      </c>
      <c r="DL154" s="977" t="s">
        <v>35</v>
      </c>
      <c r="DN154" s="977" t="s">
        <v>3173</v>
      </c>
      <c r="DO154" s="977" t="s">
        <v>3174</v>
      </c>
    </row>
    <row r="155" spans="49:119" ht="26">
      <c r="AW155" s="969" t="s">
        <v>3175</v>
      </c>
      <c r="AX155" s="987" t="s">
        <v>2576</v>
      </c>
      <c r="AY155" s="970" t="str">
        <f>+BZ21</f>
        <v>Caribbean</v>
      </c>
      <c r="AZ155" s="969">
        <v>468</v>
      </c>
      <c r="BA155" s="971" t="s">
        <v>2465</v>
      </c>
      <c r="BB155" s="972">
        <v>9.3894684857089938</v>
      </c>
      <c r="BC155" s="971" t="s">
        <v>2577</v>
      </c>
      <c r="BD155" s="973"/>
      <c r="BE155" s="973"/>
      <c r="BF155" s="971"/>
      <c r="BG155" s="973"/>
      <c r="BH155" s="974">
        <f t="shared" si="40"/>
        <v>17</v>
      </c>
      <c r="BI155" s="974">
        <f t="shared" si="41"/>
        <v>5.0999999999999996</v>
      </c>
      <c r="BJ155" s="974">
        <f t="shared" si="42"/>
        <v>46.9</v>
      </c>
      <c r="BK155" s="974">
        <f t="shared" si="43"/>
        <v>2.4</v>
      </c>
      <c r="BL155" s="974">
        <f t="shared" si="44"/>
        <v>9.5</v>
      </c>
      <c r="BM155" s="974">
        <f t="shared" si="45"/>
        <v>5.6</v>
      </c>
      <c r="BN155" s="974">
        <f t="shared" si="46"/>
        <v>9.9</v>
      </c>
      <c r="BO155" s="974">
        <f t="shared" si="47"/>
        <v>3.5999999999999943</v>
      </c>
      <c r="BP155" s="974">
        <f t="shared" si="39"/>
        <v>100</v>
      </c>
      <c r="BQ155" s="971" t="s">
        <v>2467</v>
      </c>
      <c r="BR155" s="975"/>
      <c r="BS155" s="975"/>
      <c r="BT155" s="975"/>
      <c r="BU155" s="975"/>
      <c r="BV155" s="975"/>
      <c r="BW155" s="975"/>
      <c r="BX155" s="971"/>
      <c r="DH155" s="977" t="str">
        <f t="shared" si="48"/>
        <v>Martinique (France)</v>
      </c>
      <c r="DI155" s="977" t="str">
        <f t="shared" si="48"/>
        <v>Americas</v>
      </c>
      <c r="DJ155" s="977" t="str">
        <f t="shared" si="48"/>
        <v>Caribbean</v>
      </c>
      <c r="DL155" s="977" t="s">
        <v>35</v>
      </c>
      <c r="DN155" s="977" t="s">
        <v>3176</v>
      </c>
      <c r="DO155" s="977" t="s">
        <v>3177</v>
      </c>
    </row>
    <row r="156" spans="49:119" ht="26">
      <c r="AW156" s="969" t="s">
        <v>3178</v>
      </c>
      <c r="AX156" s="969" t="s">
        <v>2520</v>
      </c>
      <c r="AY156" s="970" t="str">
        <f>+BZ11</f>
        <v>Western Africa</v>
      </c>
      <c r="AZ156" s="969">
        <v>512</v>
      </c>
      <c r="BA156" s="971" t="s">
        <v>2465</v>
      </c>
      <c r="BB156" s="972">
        <v>13.490630673342661</v>
      </c>
      <c r="BC156" s="971" t="s">
        <v>2725</v>
      </c>
      <c r="BD156" s="973"/>
      <c r="BE156" s="973"/>
      <c r="BF156" s="971"/>
      <c r="BG156" s="973"/>
      <c r="BH156" s="974">
        <f t="shared" si="40"/>
        <v>9.8000000000000007</v>
      </c>
      <c r="BI156" s="974">
        <f t="shared" si="41"/>
        <v>1</v>
      </c>
      <c r="BJ156" s="974">
        <f t="shared" si="42"/>
        <v>40.4</v>
      </c>
      <c r="BK156" s="974">
        <f t="shared" si="43"/>
        <v>4.4000000000000004</v>
      </c>
      <c r="BL156" s="974">
        <f t="shared" si="44"/>
        <v>9.5</v>
      </c>
      <c r="BM156" s="974">
        <f t="shared" si="45"/>
        <v>5.6</v>
      </c>
      <c r="BN156" s="974">
        <f t="shared" si="46"/>
        <v>3</v>
      </c>
      <c r="BO156" s="974">
        <f t="shared" si="47"/>
        <v>26.300000000000011</v>
      </c>
      <c r="BP156" s="974">
        <f t="shared" si="39"/>
        <v>100</v>
      </c>
      <c r="BQ156" s="971" t="s">
        <v>2467</v>
      </c>
      <c r="BR156" s="975"/>
      <c r="BS156" s="975"/>
      <c r="BT156" s="975"/>
      <c r="BU156" s="975"/>
      <c r="BV156" s="975"/>
      <c r="BW156" s="975"/>
      <c r="BX156" s="971"/>
      <c r="DH156" s="977" t="str">
        <f t="shared" si="48"/>
        <v>Mauritania</v>
      </c>
      <c r="DI156" s="977" t="str">
        <f t="shared" si="48"/>
        <v>Africa</v>
      </c>
      <c r="DJ156" s="977" t="str">
        <f t="shared" si="48"/>
        <v>Western Africa</v>
      </c>
      <c r="DL156" s="977" t="s">
        <v>35</v>
      </c>
      <c r="DN156" s="977" t="s">
        <v>3179</v>
      </c>
      <c r="DO156" s="977" t="s">
        <v>3180</v>
      </c>
    </row>
    <row r="157" spans="49:119">
      <c r="AW157" s="969" t="s">
        <v>3181</v>
      </c>
      <c r="AX157" s="969" t="s">
        <v>2520</v>
      </c>
      <c r="AY157" s="970" t="str">
        <f>+BZ7</f>
        <v>Eastern Africa</v>
      </c>
      <c r="AZ157" s="969">
        <v>552</v>
      </c>
      <c r="BA157" s="971" t="s">
        <v>2465</v>
      </c>
      <c r="BB157" s="972">
        <v>6.1967994552264214</v>
      </c>
      <c r="BC157" s="971" t="s">
        <v>2494</v>
      </c>
      <c r="BD157" s="973"/>
      <c r="BE157" s="973"/>
      <c r="BF157" s="971"/>
      <c r="BG157" s="973"/>
      <c r="BH157" s="974">
        <f t="shared" si="40"/>
        <v>7.7</v>
      </c>
      <c r="BI157" s="974">
        <f t="shared" si="41"/>
        <v>1.7</v>
      </c>
      <c r="BJ157" s="974">
        <f t="shared" si="42"/>
        <v>53.9</v>
      </c>
      <c r="BK157" s="974">
        <f t="shared" si="43"/>
        <v>7</v>
      </c>
      <c r="BL157" s="974">
        <f t="shared" si="44"/>
        <v>9.5</v>
      </c>
      <c r="BM157" s="974">
        <f t="shared" si="45"/>
        <v>5.6</v>
      </c>
      <c r="BN157" s="974">
        <f t="shared" si="46"/>
        <v>5.5</v>
      </c>
      <c r="BO157" s="974">
        <f t="shared" si="47"/>
        <v>9.1000000000000085</v>
      </c>
      <c r="BP157" s="974">
        <f t="shared" si="39"/>
        <v>100</v>
      </c>
      <c r="BQ157" s="971" t="s">
        <v>2467</v>
      </c>
      <c r="BR157" s="975"/>
      <c r="BS157" s="975"/>
      <c r="BT157" s="975"/>
      <c r="BU157" s="975"/>
      <c r="BV157" s="975"/>
      <c r="BW157" s="975"/>
      <c r="BX157" s="971"/>
      <c r="DH157" s="977" t="str">
        <f t="shared" si="48"/>
        <v>Mauritius</v>
      </c>
      <c r="DI157" s="977" t="str">
        <f t="shared" si="48"/>
        <v>Africa</v>
      </c>
      <c r="DJ157" s="977" t="str">
        <f t="shared" si="48"/>
        <v>Eastern Africa</v>
      </c>
      <c r="DL157" s="977" t="s">
        <v>35</v>
      </c>
      <c r="DN157" s="977" t="s">
        <v>3182</v>
      </c>
      <c r="DO157" s="977" t="s">
        <v>3183</v>
      </c>
    </row>
    <row r="158" spans="49:119" ht="26">
      <c r="AW158" s="969" t="s">
        <v>3184</v>
      </c>
      <c r="AX158" s="969" t="s">
        <v>2520</v>
      </c>
      <c r="AY158" s="970" t="str">
        <f>+BZ7</f>
        <v>Eastern Africa</v>
      </c>
      <c r="AZ158" s="969">
        <v>545</v>
      </c>
      <c r="BA158" s="971" t="s">
        <v>2465</v>
      </c>
      <c r="BB158" s="972">
        <v>11.740747004194485</v>
      </c>
      <c r="BC158" s="971" t="s">
        <v>2774</v>
      </c>
      <c r="BD158" s="973"/>
      <c r="BE158" s="973"/>
      <c r="BF158" s="971"/>
      <c r="BG158" s="973"/>
      <c r="BH158" s="974">
        <f t="shared" si="40"/>
        <v>7.7</v>
      </c>
      <c r="BI158" s="974">
        <f t="shared" si="41"/>
        <v>1.7</v>
      </c>
      <c r="BJ158" s="974">
        <f t="shared" si="42"/>
        <v>53.9</v>
      </c>
      <c r="BK158" s="974">
        <f t="shared" si="43"/>
        <v>7</v>
      </c>
      <c r="BL158" s="974">
        <f t="shared" si="44"/>
        <v>9.5</v>
      </c>
      <c r="BM158" s="974">
        <f t="shared" si="45"/>
        <v>5.6</v>
      </c>
      <c r="BN158" s="974">
        <f t="shared" si="46"/>
        <v>5.5</v>
      </c>
      <c r="BO158" s="974">
        <f t="shared" si="47"/>
        <v>9.1000000000000085</v>
      </c>
      <c r="BP158" s="974">
        <f t="shared" si="39"/>
        <v>100</v>
      </c>
      <c r="BQ158" s="971" t="s">
        <v>2467</v>
      </c>
      <c r="BR158" s="975"/>
      <c r="BS158" s="975"/>
      <c r="BT158" s="975"/>
      <c r="BU158" s="975"/>
      <c r="BV158" s="975"/>
      <c r="BW158" s="975"/>
      <c r="BX158" s="971"/>
      <c r="DH158" s="977" t="str">
        <f t="shared" ref="DH158:DJ181" si="49">AW158</f>
        <v>Mayotte (France)</v>
      </c>
      <c r="DI158" s="977" t="str">
        <f t="shared" si="49"/>
        <v>Africa</v>
      </c>
      <c r="DJ158" s="977" t="str">
        <f t="shared" si="49"/>
        <v>Eastern Africa</v>
      </c>
      <c r="DL158" s="977" t="s">
        <v>35</v>
      </c>
      <c r="DN158" s="977" t="s">
        <v>3185</v>
      </c>
      <c r="DO158" s="977" t="s">
        <v>3186</v>
      </c>
    </row>
    <row r="159" spans="49:119">
      <c r="AW159" s="987" t="s">
        <v>56</v>
      </c>
      <c r="AX159" s="987" t="s">
        <v>2576</v>
      </c>
      <c r="AY159" s="991" t="str">
        <f>+BZ19</f>
        <v>Central America</v>
      </c>
      <c r="AZ159" s="987">
        <v>505</v>
      </c>
      <c r="BA159" s="971" t="s">
        <v>3187</v>
      </c>
      <c r="BB159" s="992">
        <v>13.705654469711041</v>
      </c>
      <c r="BC159" s="971" t="s">
        <v>2494</v>
      </c>
      <c r="BD159" s="973"/>
      <c r="BE159" s="973"/>
      <c r="BF159" s="971"/>
      <c r="BG159" s="973"/>
      <c r="BH159" s="952">
        <v>14</v>
      </c>
      <c r="BI159" s="952">
        <v>3</v>
      </c>
      <c r="BJ159" s="952">
        <v>34</v>
      </c>
      <c r="BK159" s="952">
        <v>1</v>
      </c>
      <c r="BL159" s="952">
        <v>15</v>
      </c>
      <c r="BM159" s="952">
        <v>3</v>
      </c>
      <c r="BN159" s="952" t="s">
        <v>2453</v>
      </c>
      <c r="BO159" s="952">
        <f>100-SUM(BH159:BN159)</f>
        <v>30</v>
      </c>
      <c r="BP159" s="974">
        <f t="shared" si="39"/>
        <v>100</v>
      </c>
      <c r="BQ159" s="963" t="s">
        <v>3188</v>
      </c>
      <c r="BR159" s="1002"/>
      <c r="BS159" s="1002"/>
      <c r="BT159" s="1002"/>
      <c r="BU159" s="1002"/>
      <c r="BV159" s="1002"/>
      <c r="BW159" s="1002"/>
      <c r="BX159" s="963"/>
      <c r="DH159" s="977" t="str">
        <f t="shared" si="49"/>
        <v>Mexico</v>
      </c>
      <c r="DI159" s="977" t="str">
        <f t="shared" si="49"/>
        <v>Americas</v>
      </c>
      <c r="DJ159" s="977" t="str">
        <f t="shared" si="49"/>
        <v>Central America</v>
      </c>
      <c r="DK159" s="977" t="e">
        <f>VLOOKUP(DH159,#REF!,1)</f>
        <v>#REF!</v>
      </c>
      <c r="DL159" s="977" t="e">
        <f>VLOOKUP(DK159,#REF!,2,FALSE)</f>
        <v>#REF!</v>
      </c>
      <c r="DN159" s="977" t="s">
        <v>3189</v>
      </c>
      <c r="DO159" s="977" t="s">
        <v>3190</v>
      </c>
    </row>
    <row r="160" spans="49:119" ht="26">
      <c r="AW160" s="969" t="s">
        <v>3191</v>
      </c>
      <c r="AX160" s="987" t="s">
        <v>2536</v>
      </c>
      <c r="AY160" s="970" t="str">
        <f>+BZ17</f>
        <v>Rest of Oceania</v>
      </c>
      <c r="AZ160" s="969">
        <v>610</v>
      </c>
      <c r="BA160" s="971" t="s">
        <v>2465</v>
      </c>
      <c r="BB160" s="972">
        <v>5.4123414965002699</v>
      </c>
      <c r="BC160" s="971" t="s">
        <v>2537</v>
      </c>
      <c r="BD160" s="973"/>
      <c r="BE160" s="973"/>
      <c r="BF160" s="971"/>
      <c r="BG160" s="973"/>
      <c r="BH160" s="974">
        <f t="shared" ref="BH160:BH223" si="50">+VLOOKUP($AY160,$BZ$3:$CH$21,2,FALSE)</f>
        <v>6</v>
      </c>
      <c r="BI160" s="974">
        <f t="shared" ref="BI160:BI223" si="51">+VLOOKUP($AY160,$BZ$3:$CH$21,3,FALSE)</f>
        <v>2.97</v>
      </c>
      <c r="BJ160" s="974">
        <f t="shared" ref="BJ160:BJ223" si="52">+VLOOKUP($AY160,$BZ$3:$CH$21,4,FALSE)</f>
        <v>67.5</v>
      </c>
      <c r="BK160" s="974">
        <f t="shared" ref="BK160:BK223" si="53">+VLOOKUP($AY160,$BZ$3:$CH$21,5,FALSE)</f>
        <v>2.5</v>
      </c>
      <c r="BL160" s="974">
        <f t="shared" ref="BL160:BL223" si="54">+VLOOKUP($AY160,$BZ$3:$CH$21,6,FALSE)</f>
        <v>9.5</v>
      </c>
      <c r="BM160" s="974">
        <f t="shared" ref="BM160:BM223" si="55">+VLOOKUP($AY160,$BZ$3:$CH$21,7,FALSE)</f>
        <v>5.6</v>
      </c>
      <c r="BN160" s="974">
        <f t="shared" ref="BN160:BN223" si="56">+VLOOKUP($AY160,$BZ$3:$CH$21,8,FALSE)</f>
        <v>2.97</v>
      </c>
      <c r="BO160" s="974">
        <f t="shared" ref="BO160:BO223" si="57">+VLOOKUP($AY160,$BZ$3:$CH$21,9,FALSE)</f>
        <v>2.9666666666666668</v>
      </c>
      <c r="BP160" s="974">
        <f t="shared" si="39"/>
        <v>100.00666666666666</v>
      </c>
      <c r="BQ160" s="971" t="s">
        <v>2467</v>
      </c>
      <c r="BR160" s="975"/>
      <c r="BS160" s="975"/>
      <c r="BT160" s="975"/>
      <c r="BU160" s="975"/>
      <c r="BV160" s="975"/>
      <c r="BW160" s="975"/>
      <c r="BX160" s="971"/>
      <c r="DH160" s="977" t="str">
        <f t="shared" si="49"/>
        <v>Micronesia</v>
      </c>
      <c r="DI160" s="977" t="str">
        <f t="shared" si="49"/>
        <v>Oceania</v>
      </c>
      <c r="DJ160" s="977" t="str">
        <f t="shared" si="49"/>
        <v>Rest of Oceania</v>
      </c>
      <c r="DL160" s="977" t="s">
        <v>35</v>
      </c>
      <c r="DN160" s="977" t="s">
        <v>3192</v>
      </c>
      <c r="DO160" s="977" t="s">
        <v>3192</v>
      </c>
    </row>
    <row r="161" spans="49:116">
      <c r="AW161" s="969" t="s">
        <v>3193</v>
      </c>
      <c r="AX161" s="969" t="s">
        <v>2493</v>
      </c>
      <c r="AY161" s="970" t="str">
        <f>+BZ12</f>
        <v>Eastern Europe</v>
      </c>
      <c r="AZ161" s="969">
        <v>436</v>
      </c>
      <c r="BA161" s="971" t="s">
        <v>2465</v>
      </c>
      <c r="BB161" s="972">
        <v>21.528686226873482</v>
      </c>
      <c r="BC161" s="971" t="s">
        <v>2494</v>
      </c>
      <c r="BD161" s="973"/>
      <c r="BE161" s="973"/>
      <c r="BF161" s="971"/>
      <c r="BG161" s="973"/>
      <c r="BH161" s="974">
        <f t="shared" si="50"/>
        <v>21.8</v>
      </c>
      <c r="BI161" s="974">
        <f t="shared" si="51"/>
        <v>4.7</v>
      </c>
      <c r="BJ161" s="974">
        <f t="shared" si="52"/>
        <v>30.1</v>
      </c>
      <c r="BK161" s="974">
        <f t="shared" si="53"/>
        <v>7.5</v>
      </c>
      <c r="BL161" s="974">
        <f t="shared" si="54"/>
        <v>9.5</v>
      </c>
      <c r="BM161" s="974">
        <f t="shared" si="55"/>
        <v>5.6</v>
      </c>
      <c r="BN161" s="974">
        <f t="shared" si="56"/>
        <v>6.2</v>
      </c>
      <c r="BO161" s="974">
        <f t="shared" si="57"/>
        <v>14.600000000000009</v>
      </c>
      <c r="BP161" s="974">
        <f t="shared" si="39"/>
        <v>100</v>
      </c>
      <c r="BQ161" s="971" t="s">
        <v>2467</v>
      </c>
      <c r="BR161" s="975"/>
      <c r="BS161" s="975"/>
      <c r="BT161" s="975"/>
      <c r="BU161" s="975"/>
      <c r="BV161" s="975"/>
      <c r="BW161" s="975"/>
      <c r="BX161" s="971"/>
      <c r="DH161" s="977" t="str">
        <f t="shared" si="49"/>
        <v>Moldova</v>
      </c>
      <c r="DI161" s="977" t="str">
        <f t="shared" si="49"/>
        <v>Europe</v>
      </c>
      <c r="DJ161" s="977" t="str">
        <f t="shared" si="49"/>
        <v>Eastern Europe</v>
      </c>
      <c r="DL161" s="977" t="s">
        <v>35</v>
      </c>
    </row>
    <row r="162" spans="49:116" ht="26">
      <c r="AW162" s="969" t="s">
        <v>3194</v>
      </c>
      <c r="AX162" s="969" t="s">
        <v>2493</v>
      </c>
      <c r="AY162" s="970" t="str">
        <f>+BZ15</f>
        <v>Western Europe</v>
      </c>
      <c r="AZ162" s="969">
        <v>43</v>
      </c>
      <c r="BA162" s="971" t="s">
        <v>2465</v>
      </c>
      <c r="BB162" s="972">
        <v>6.2171813834411278</v>
      </c>
      <c r="BC162" s="971" t="s">
        <v>2550</v>
      </c>
      <c r="BD162" s="973"/>
      <c r="BE162" s="973"/>
      <c r="BF162" s="971"/>
      <c r="BG162" s="973"/>
      <c r="BH162" s="974">
        <f t="shared" si="50"/>
        <v>27.5</v>
      </c>
      <c r="BI162" s="974">
        <f t="shared" si="51"/>
        <v>7.4</v>
      </c>
      <c r="BJ162" s="974">
        <f t="shared" si="52"/>
        <v>24.2</v>
      </c>
      <c r="BK162" s="974">
        <f t="shared" si="53"/>
        <v>11</v>
      </c>
      <c r="BL162" s="974">
        <f t="shared" si="54"/>
        <v>9.5</v>
      </c>
      <c r="BM162" s="974">
        <f t="shared" si="55"/>
        <v>5.6</v>
      </c>
      <c r="BN162" s="974">
        <f t="shared" si="56"/>
        <v>7.4</v>
      </c>
      <c r="BO162" s="974">
        <f t="shared" si="57"/>
        <v>7.3999999999999986</v>
      </c>
      <c r="BP162" s="974">
        <f t="shared" si="39"/>
        <v>100</v>
      </c>
      <c r="BQ162" s="971" t="s">
        <v>2467</v>
      </c>
      <c r="BR162" s="975"/>
      <c r="BS162" s="975"/>
      <c r="BT162" s="975"/>
      <c r="BU162" s="975"/>
      <c r="BV162" s="975"/>
      <c r="BW162" s="975"/>
      <c r="BX162" s="971"/>
      <c r="DH162" s="977" t="str">
        <f t="shared" si="49"/>
        <v>Monaco</v>
      </c>
      <c r="DI162" s="977" t="str">
        <f t="shared" si="49"/>
        <v>Europe</v>
      </c>
      <c r="DJ162" s="977" t="str">
        <f t="shared" si="49"/>
        <v>Western Europe</v>
      </c>
      <c r="DL162" s="977" t="s">
        <v>35</v>
      </c>
    </row>
    <row r="163" spans="49:116">
      <c r="AW163" s="969" t="s">
        <v>3195</v>
      </c>
      <c r="AX163" s="969" t="s">
        <v>2464</v>
      </c>
      <c r="AY163" s="970" t="str">
        <f>+BZ3</f>
        <v>Eastern Asia</v>
      </c>
      <c r="AZ163" s="969">
        <v>1049</v>
      </c>
      <c r="BA163" s="971" t="s">
        <v>2465</v>
      </c>
      <c r="BB163" s="972">
        <v>14.750744047619047</v>
      </c>
      <c r="BC163" s="971" t="s">
        <v>2494</v>
      </c>
      <c r="BD163" s="973"/>
      <c r="BE163" s="973"/>
      <c r="BF163" s="971"/>
      <c r="BG163" s="973"/>
      <c r="BH163" s="974">
        <f t="shared" si="50"/>
        <v>18.8</v>
      </c>
      <c r="BI163" s="974">
        <f t="shared" si="51"/>
        <v>3.5</v>
      </c>
      <c r="BJ163" s="974">
        <f t="shared" si="52"/>
        <v>26.2</v>
      </c>
      <c r="BK163" s="974">
        <f t="shared" si="53"/>
        <v>3.5</v>
      </c>
      <c r="BL163" s="974">
        <f t="shared" si="54"/>
        <v>9.5</v>
      </c>
      <c r="BM163" s="974">
        <f t="shared" si="55"/>
        <v>5.6</v>
      </c>
      <c r="BN163" s="974">
        <f t="shared" si="56"/>
        <v>14.3</v>
      </c>
      <c r="BO163" s="974">
        <f t="shared" si="57"/>
        <v>18.600000000000009</v>
      </c>
      <c r="BP163" s="974">
        <f t="shared" si="39"/>
        <v>100</v>
      </c>
      <c r="BQ163" s="971" t="s">
        <v>2467</v>
      </c>
      <c r="BR163" s="975"/>
      <c r="BS163" s="975"/>
      <c r="BT163" s="975"/>
      <c r="BU163" s="975"/>
      <c r="BV163" s="975"/>
      <c r="BW163" s="975"/>
      <c r="BX163" s="971"/>
      <c r="DH163" s="977" t="str">
        <f t="shared" si="49"/>
        <v>Mongolia</v>
      </c>
      <c r="DI163" s="977" t="str">
        <f t="shared" si="49"/>
        <v>Asia</v>
      </c>
      <c r="DJ163" s="977" t="str">
        <f t="shared" si="49"/>
        <v>Eastern Asia</v>
      </c>
      <c r="DL163" s="977" t="s">
        <v>35</v>
      </c>
    </row>
    <row r="164" spans="49:116">
      <c r="AW164" s="969" t="s">
        <v>3196</v>
      </c>
      <c r="AX164" s="969" t="s">
        <v>2493</v>
      </c>
      <c r="AY164" s="970" t="str">
        <f>+BZ14</f>
        <v>Southern Europe</v>
      </c>
      <c r="AZ164" s="969">
        <v>544</v>
      </c>
      <c r="BA164" s="971" t="s">
        <v>2465</v>
      </c>
      <c r="BB164" s="972">
        <v>17.554364954301924</v>
      </c>
      <c r="BC164" s="971" t="s">
        <v>2494</v>
      </c>
      <c r="BD164" s="973"/>
      <c r="BE164" s="973"/>
      <c r="BF164" s="971"/>
      <c r="BG164" s="973"/>
      <c r="BH164" s="974">
        <f t="shared" si="50"/>
        <v>17</v>
      </c>
      <c r="BI164" s="974">
        <f t="shared" si="51"/>
        <v>6.8</v>
      </c>
      <c r="BJ164" s="974">
        <f t="shared" si="52"/>
        <v>36.9</v>
      </c>
      <c r="BK164" s="974">
        <f t="shared" si="53"/>
        <v>10.6</v>
      </c>
      <c r="BL164" s="974">
        <f t="shared" si="54"/>
        <v>9.5</v>
      </c>
      <c r="BM164" s="974">
        <f t="shared" si="55"/>
        <v>5.6</v>
      </c>
      <c r="BN164" s="974">
        <f t="shared" si="56"/>
        <v>6.8</v>
      </c>
      <c r="BO164" s="974">
        <f t="shared" si="57"/>
        <v>6.8</v>
      </c>
      <c r="BP164" s="974">
        <f t="shared" si="39"/>
        <v>99.999999999999986</v>
      </c>
      <c r="BQ164" s="971" t="s">
        <v>2467</v>
      </c>
      <c r="BR164" s="975"/>
      <c r="BS164" s="975"/>
      <c r="BT164" s="975"/>
      <c r="BU164" s="975"/>
      <c r="BV164" s="975"/>
      <c r="BW164" s="975"/>
      <c r="BX164" s="971"/>
      <c r="DH164" s="977" t="str">
        <f t="shared" si="49"/>
        <v>Montenegro</v>
      </c>
      <c r="DI164" s="977" t="str">
        <f t="shared" si="49"/>
        <v>Europe</v>
      </c>
      <c r="DJ164" s="977" t="str">
        <f t="shared" si="49"/>
        <v>Southern Europe</v>
      </c>
      <c r="DL164" s="977" t="s">
        <v>35</v>
      </c>
    </row>
    <row r="165" spans="49:116" ht="26">
      <c r="AW165" s="969" t="s">
        <v>3197</v>
      </c>
      <c r="AX165" s="987" t="s">
        <v>2576</v>
      </c>
      <c r="AY165" s="970" t="str">
        <f>+BZ21</f>
        <v>Caribbean</v>
      </c>
      <c r="AZ165" s="969">
        <v>542</v>
      </c>
      <c r="BA165" s="971" t="s">
        <v>2465</v>
      </c>
      <c r="BB165" s="972">
        <v>9.3894684857089938</v>
      </c>
      <c r="BC165" s="971" t="s">
        <v>2577</v>
      </c>
      <c r="BD165" s="973"/>
      <c r="BE165" s="973"/>
      <c r="BF165" s="971"/>
      <c r="BG165" s="973"/>
      <c r="BH165" s="974">
        <f t="shared" si="50"/>
        <v>17</v>
      </c>
      <c r="BI165" s="974">
        <f t="shared" si="51"/>
        <v>5.0999999999999996</v>
      </c>
      <c r="BJ165" s="974">
        <f t="shared" si="52"/>
        <v>46.9</v>
      </c>
      <c r="BK165" s="974">
        <f t="shared" si="53"/>
        <v>2.4</v>
      </c>
      <c r="BL165" s="974">
        <f t="shared" si="54"/>
        <v>9.5</v>
      </c>
      <c r="BM165" s="974">
        <f t="shared" si="55"/>
        <v>5.6</v>
      </c>
      <c r="BN165" s="974">
        <f t="shared" si="56"/>
        <v>9.9</v>
      </c>
      <c r="BO165" s="974">
        <f t="shared" si="57"/>
        <v>3.5999999999999943</v>
      </c>
      <c r="BP165" s="974">
        <f t="shared" si="39"/>
        <v>100</v>
      </c>
      <c r="BQ165" s="971" t="s">
        <v>2467</v>
      </c>
      <c r="BR165" s="975"/>
      <c r="BS165" s="975"/>
      <c r="BT165" s="975"/>
      <c r="BU165" s="975"/>
      <c r="BV165" s="975"/>
      <c r="BW165" s="975"/>
      <c r="BX165" s="971"/>
      <c r="DH165" s="977" t="str">
        <f t="shared" si="49"/>
        <v>Montserrat</v>
      </c>
      <c r="DI165" s="977" t="str">
        <f t="shared" si="49"/>
        <v>Americas</v>
      </c>
      <c r="DJ165" s="977" t="str">
        <f t="shared" si="49"/>
        <v>Caribbean</v>
      </c>
      <c r="DL165" s="977" t="s">
        <v>35</v>
      </c>
    </row>
    <row r="166" spans="49:116">
      <c r="AW166" s="969" t="s">
        <v>3198</v>
      </c>
      <c r="AX166" s="969" t="s">
        <v>2520</v>
      </c>
      <c r="AY166" s="970" t="str">
        <f>+BZ9</f>
        <v>Northern Africa</v>
      </c>
      <c r="AZ166" s="969">
        <v>551</v>
      </c>
      <c r="BA166" s="971" t="s">
        <v>2465</v>
      </c>
      <c r="BB166" s="972">
        <v>14.704654560634523</v>
      </c>
      <c r="BC166" s="971" t="s">
        <v>2494</v>
      </c>
      <c r="BD166" s="973"/>
      <c r="BE166" s="973"/>
      <c r="BF166" s="971"/>
      <c r="BG166" s="973"/>
      <c r="BH166" s="974">
        <f t="shared" si="50"/>
        <v>16.5</v>
      </c>
      <c r="BI166" s="974">
        <f t="shared" si="51"/>
        <v>2.5</v>
      </c>
      <c r="BJ166" s="974">
        <f t="shared" si="52"/>
        <v>51.1</v>
      </c>
      <c r="BK166" s="974">
        <f t="shared" si="53"/>
        <v>2</v>
      </c>
      <c r="BL166" s="974">
        <f t="shared" si="54"/>
        <v>9.5</v>
      </c>
      <c r="BM166" s="974">
        <f t="shared" si="55"/>
        <v>5.6</v>
      </c>
      <c r="BN166" s="974">
        <f t="shared" si="56"/>
        <v>4.5</v>
      </c>
      <c r="BO166" s="974">
        <f t="shared" si="57"/>
        <v>8.3000000000000114</v>
      </c>
      <c r="BP166" s="974">
        <f t="shared" si="39"/>
        <v>100</v>
      </c>
      <c r="BQ166" s="971" t="s">
        <v>2467</v>
      </c>
      <c r="BR166" s="975"/>
      <c r="BS166" s="975"/>
      <c r="BT166" s="975"/>
      <c r="BU166" s="975"/>
      <c r="BV166" s="975"/>
      <c r="BW166" s="975"/>
      <c r="BX166" s="971"/>
      <c r="DH166" s="977" t="str">
        <f t="shared" si="49"/>
        <v>Morocco</v>
      </c>
      <c r="DI166" s="977" t="str">
        <f t="shared" si="49"/>
        <v>Africa</v>
      </c>
      <c r="DJ166" s="977" t="str">
        <f t="shared" si="49"/>
        <v>Northern Africa</v>
      </c>
      <c r="DL166" s="977" t="s">
        <v>35</v>
      </c>
    </row>
    <row r="167" spans="49:116">
      <c r="AW167" s="969" t="s">
        <v>3199</v>
      </c>
      <c r="AX167" s="969" t="s">
        <v>2520</v>
      </c>
      <c r="AY167" s="970" t="str">
        <f>+BZ7</f>
        <v>Eastern Africa</v>
      </c>
      <c r="AZ167" s="969">
        <v>128</v>
      </c>
      <c r="BA167" s="971" t="s">
        <v>2465</v>
      </c>
      <c r="BB167" s="972">
        <v>14.720468890892697</v>
      </c>
      <c r="BC167" s="971" t="s">
        <v>2494</v>
      </c>
      <c r="BD167" s="973"/>
      <c r="BE167" s="973"/>
      <c r="BF167" s="971"/>
      <c r="BG167" s="973"/>
      <c r="BH167" s="974">
        <f t="shared" si="50"/>
        <v>7.7</v>
      </c>
      <c r="BI167" s="974">
        <f t="shared" si="51"/>
        <v>1.7</v>
      </c>
      <c r="BJ167" s="974">
        <f t="shared" si="52"/>
        <v>53.9</v>
      </c>
      <c r="BK167" s="974">
        <f t="shared" si="53"/>
        <v>7</v>
      </c>
      <c r="BL167" s="974">
        <f t="shared" si="54"/>
        <v>9.5</v>
      </c>
      <c r="BM167" s="974">
        <f t="shared" si="55"/>
        <v>5.6</v>
      </c>
      <c r="BN167" s="974">
        <f t="shared" si="56"/>
        <v>5.5</v>
      </c>
      <c r="BO167" s="974">
        <f t="shared" si="57"/>
        <v>9.1000000000000085</v>
      </c>
      <c r="BP167" s="974">
        <f t="shared" si="39"/>
        <v>100</v>
      </c>
      <c r="BQ167" s="971" t="s">
        <v>2467</v>
      </c>
      <c r="BR167" s="975"/>
      <c r="BS167" s="975"/>
      <c r="BT167" s="975"/>
      <c r="BU167" s="975"/>
      <c r="BV167" s="975"/>
      <c r="BW167" s="975"/>
      <c r="BX167" s="971"/>
      <c r="DH167" s="977" t="str">
        <f t="shared" si="49"/>
        <v>Mozambique</v>
      </c>
      <c r="DI167" s="977" t="str">
        <f t="shared" si="49"/>
        <v>Africa</v>
      </c>
      <c r="DJ167" s="977" t="str">
        <f t="shared" si="49"/>
        <v>Eastern Africa</v>
      </c>
      <c r="DL167" s="977" t="s">
        <v>35</v>
      </c>
    </row>
    <row r="168" spans="49:116">
      <c r="AW168" s="969" t="s">
        <v>3200</v>
      </c>
      <c r="AX168" s="969" t="s">
        <v>2464</v>
      </c>
      <c r="AY168" s="970" t="str">
        <f>+BZ5</f>
        <v>South-Eastern Asia</v>
      </c>
      <c r="AZ168" s="969">
        <v>367</v>
      </c>
      <c r="BA168" s="971" t="s">
        <v>2465</v>
      </c>
      <c r="BB168" s="972">
        <v>20.491629582538671</v>
      </c>
      <c r="BC168" s="971" t="s">
        <v>2494</v>
      </c>
      <c r="BD168" s="973"/>
      <c r="BE168" s="973"/>
      <c r="BF168" s="971"/>
      <c r="BG168" s="973"/>
      <c r="BH168" s="974">
        <f t="shared" si="50"/>
        <v>12.9</v>
      </c>
      <c r="BI168" s="974">
        <f t="shared" si="51"/>
        <v>2.7</v>
      </c>
      <c r="BJ168" s="974">
        <f t="shared" si="52"/>
        <v>43.5</v>
      </c>
      <c r="BK168" s="974">
        <f t="shared" si="53"/>
        <v>9.9</v>
      </c>
      <c r="BL168" s="974">
        <f t="shared" si="54"/>
        <v>9.5</v>
      </c>
      <c r="BM168" s="974">
        <f t="shared" si="55"/>
        <v>5.6</v>
      </c>
      <c r="BN168" s="974">
        <f t="shared" si="56"/>
        <v>7.2</v>
      </c>
      <c r="BO168" s="974">
        <f t="shared" si="57"/>
        <v>8.7000000000000028</v>
      </c>
      <c r="BP168" s="974">
        <f t="shared" si="39"/>
        <v>100</v>
      </c>
      <c r="BQ168" s="971" t="s">
        <v>2467</v>
      </c>
      <c r="BR168" s="975"/>
      <c r="BS168" s="975"/>
      <c r="BT168" s="975"/>
      <c r="BU168" s="975"/>
      <c r="BV168" s="975"/>
      <c r="BW168" s="975"/>
      <c r="BX168" s="971"/>
      <c r="DH168" s="977" t="str">
        <f t="shared" si="49"/>
        <v>Myanmar</v>
      </c>
      <c r="DI168" s="977" t="str">
        <f t="shared" si="49"/>
        <v>Asia</v>
      </c>
      <c r="DJ168" s="977" t="str">
        <f t="shared" si="49"/>
        <v>South-Eastern Asia</v>
      </c>
      <c r="DL168" s="977" t="s">
        <v>35</v>
      </c>
    </row>
    <row r="169" spans="49:116">
      <c r="AW169" s="969" t="s">
        <v>3201</v>
      </c>
      <c r="AX169" s="969" t="s">
        <v>2520</v>
      </c>
      <c r="AY169" s="970" t="str">
        <f>+BZ10</f>
        <v>Southern Africa</v>
      </c>
      <c r="AZ169" s="969">
        <v>134</v>
      </c>
      <c r="BA169" s="971" t="s">
        <v>2465</v>
      </c>
      <c r="BB169" s="972">
        <v>36.248331108144193</v>
      </c>
      <c r="BC169" s="971" t="s">
        <v>2494</v>
      </c>
      <c r="BD169" s="973"/>
      <c r="BE169" s="973"/>
      <c r="BF169" s="971"/>
      <c r="BG169" s="973"/>
      <c r="BH169" s="974">
        <f t="shared" si="50"/>
        <v>25</v>
      </c>
      <c r="BI169" s="974">
        <f t="shared" si="51"/>
        <v>7.3</v>
      </c>
      <c r="BJ169" s="974">
        <f t="shared" si="52"/>
        <v>23</v>
      </c>
      <c r="BK169" s="974">
        <f t="shared" si="53"/>
        <v>15</v>
      </c>
      <c r="BL169" s="974">
        <f t="shared" si="54"/>
        <v>9.5</v>
      </c>
      <c r="BM169" s="974">
        <f t="shared" si="55"/>
        <v>5.6</v>
      </c>
      <c r="BN169" s="974">
        <f t="shared" si="56"/>
        <v>7.3</v>
      </c>
      <c r="BO169" s="974">
        <f t="shared" si="57"/>
        <v>7.3</v>
      </c>
      <c r="BP169" s="974">
        <f t="shared" si="39"/>
        <v>99.999999999999986</v>
      </c>
      <c r="BQ169" s="971" t="s">
        <v>2467</v>
      </c>
      <c r="BR169" s="975"/>
      <c r="BS169" s="975"/>
      <c r="BT169" s="975"/>
      <c r="BU169" s="975"/>
      <c r="BV169" s="975"/>
      <c r="BW169" s="975"/>
      <c r="BX169" s="971"/>
      <c r="DH169" s="977" t="str">
        <f t="shared" si="49"/>
        <v>Namibia</v>
      </c>
      <c r="DI169" s="977" t="str">
        <f t="shared" si="49"/>
        <v>Africa</v>
      </c>
      <c r="DJ169" s="977" t="str">
        <f t="shared" si="49"/>
        <v>Southern Africa</v>
      </c>
      <c r="DL169" s="977" t="s">
        <v>35</v>
      </c>
    </row>
    <row r="170" spans="49:116" ht="26">
      <c r="AW170" s="969" t="s">
        <v>3202</v>
      </c>
      <c r="AX170" s="987" t="s">
        <v>2536</v>
      </c>
      <c r="AY170" s="970" t="str">
        <f>+BZ17</f>
        <v>Rest of Oceania</v>
      </c>
      <c r="AZ170" s="969">
        <v>568</v>
      </c>
      <c r="BA170" s="971" t="s">
        <v>2465</v>
      </c>
      <c r="BB170" s="972">
        <v>5.4123414965002699</v>
      </c>
      <c r="BC170" s="971" t="s">
        <v>2537</v>
      </c>
      <c r="BD170" s="973"/>
      <c r="BE170" s="973"/>
      <c r="BF170" s="971"/>
      <c r="BG170" s="973"/>
      <c r="BH170" s="974">
        <f t="shared" si="50"/>
        <v>6</v>
      </c>
      <c r="BI170" s="974">
        <f t="shared" si="51"/>
        <v>2.97</v>
      </c>
      <c r="BJ170" s="974">
        <f t="shared" si="52"/>
        <v>67.5</v>
      </c>
      <c r="BK170" s="974">
        <f t="shared" si="53"/>
        <v>2.5</v>
      </c>
      <c r="BL170" s="974">
        <f t="shared" si="54"/>
        <v>9.5</v>
      </c>
      <c r="BM170" s="974">
        <f t="shared" si="55"/>
        <v>5.6</v>
      </c>
      <c r="BN170" s="974">
        <f t="shared" si="56"/>
        <v>2.97</v>
      </c>
      <c r="BO170" s="974">
        <f t="shared" si="57"/>
        <v>2.9666666666666668</v>
      </c>
      <c r="BP170" s="974">
        <f t="shared" si="39"/>
        <v>100.00666666666666</v>
      </c>
      <c r="BQ170" s="971" t="s">
        <v>2467</v>
      </c>
      <c r="BR170" s="975"/>
      <c r="BS170" s="975"/>
      <c r="BT170" s="975"/>
      <c r="BU170" s="975"/>
      <c r="BV170" s="975"/>
      <c r="BW170" s="975"/>
      <c r="BX170" s="971"/>
      <c r="DH170" s="977" t="str">
        <f t="shared" si="49"/>
        <v>Nauru</v>
      </c>
      <c r="DI170" s="977" t="str">
        <f t="shared" si="49"/>
        <v>Oceania</v>
      </c>
      <c r="DJ170" s="977" t="str">
        <f t="shared" si="49"/>
        <v>Rest of Oceania</v>
      </c>
      <c r="DL170" s="977" t="s">
        <v>35</v>
      </c>
    </row>
    <row r="171" spans="49:116">
      <c r="AW171" s="969" t="s">
        <v>3203</v>
      </c>
      <c r="AX171" s="969" t="s">
        <v>2464</v>
      </c>
      <c r="AY171" s="970" t="str">
        <f>+BZ4</f>
        <v>South-Central Asia</v>
      </c>
      <c r="AZ171" s="969">
        <v>43</v>
      </c>
      <c r="BA171" s="971" t="s">
        <v>2465</v>
      </c>
      <c r="BB171" s="972">
        <v>32.209639188833286</v>
      </c>
      <c r="BC171" s="971" t="s">
        <v>2494</v>
      </c>
      <c r="BD171" s="973"/>
      <c r="BE171" s="973"/>
      <c r="BF171" s="971"/>
      <c r="BG171" s="973"/>
      <c r="BH171" s="974">
        <f t="shared" si="50"/>
        <v>11.3</v>
      </c>
      <c r="BI171" s="974">
        <f t="shared" si="51"/>
        <v>2.5</v>
      </c>
      <c r="BJ171" s="974">
        <f t="shared" si="52"/>
        <v>40.299999999999997</v>
      </c>
      <c r="BK171" s="974">
        <f t="shared" si="53"/>
        <v>7.9</v>
      </c>
      <c r="BL171" s="974">
        <f t="shared" si="54"/>
        <v>9.5</v>
      </c>
      <c r="BM171" s="974">
        <f t="shared" si="55"/>
        <v>5.6</v>
      </c>
      <c r="BN171" s="974">
        <f t="shared" si="56"/>
        <v>6.4</v>
      </c>
      <c r="BO171" s="974">
        <f t="shared" si="57"/>
        <v>16.5</v>
      </c>
      <c r="BP171" s="974">
        <f t="shared" si="39"/>
        <v>100</v>
      </c>
      <c r="BQ171" s="971" t="s">
        <v>2467</v>
      </c>
      <c r="BR171" s="975"/>
      <c r="BS171" s="975"/>
      <c r="BT171" s="975"/>
      <c r="BU171" s="975"/>
      <c r="BV171" s="975"/>
      <c r="BW171" s="975"/>
      <c r="BX171" s="971"/>
      <c r="DH171" s="977" t="str">
        <f t="shared" si="49"/>
        <v>Nepal</v>
      </c>
      <c r="DI171" s="977" t="str">
        <f t="shared" si="49"/>
        <v>Asia</v>
      </c>
      <c r="DJ171" s="977" t="str">
        <f t="shared" si="49"/>
        <v>South-Central Asia</v>
      </c>
      <c r="DL171" s="977" t="s">
        <v>35</v>
      </c>
    </row>
    <row r="172" spans="49:116">
      <c r="AW172" s="969" t="s">
        <v>57</v>
      </c>
      <c r="AX172" s="969" t="s">
        <v>2493</v>
      </c>
      <c r="AY172" s="970" t="str">
        <f>+BZ15</f>
        <v>Western Europe</v>
      </c>
      <c r="AZ172" s="969">
        <v>505.2</v>
      </c>
      <c r="BA172" s="971" t="s">
        <v>2678</v>
      </c>
      <c r="BB172" s="972">
        <v>4.770929625403701</v>
      </c>
      <c r="BC172" s="971" t="s">
        <v>2494</v>
      </c>
      <c r="BD172" s="973"/>
      <c r="BE172" s="973"/>
      <c r="BF172" s="971"/>
      <c r="BG172" s="973"/>
      <c r="BH172" s="974">
        <f t="shared" si="50"/>
        <v>27.5</v>
      </c>
      <c r="BI172" s="974">
        <f t="shared" si="51"/>
        <v>7.4</v>
      </c>
      <c r="BJ172" s="974">
        <f t="shared" si="52"/>
        <v>24.2</v>
      </c>
      <c r="BK172" s="974">
        <f t="shared" si="53"/>
        <v>11</v>
      </c>
      <c r="BL172" s="974">
        <f t="shared" si="54"/>
        <v>9.5</v>
      </c>
      <c r="BM172" s="974">
        <f t="shared" si="55"/>
        <v>5.6</v>
      </c>
      <c r="BN172" s="974">
        <f t="shared" si="56"/>
        <v>7.4</v>
      </c>
      <c r="BO172" s="974">
        <f t="shared" si="57"/>
        <v>7.3999999999999986</v>
      </c>
      <c r="BP172" s="974">
        <f t="shared" si="39"/>
        <v>100</v>
      </c>
      <c r="BQ172" s="971" t="s">
        <v>2467</v>
      </c>
      <c r="BR172" s="975"/>
      <c r="BS172" s="975"/>
      <c r="BT172" s="975"/>
      <c r="BU172" s="975"/>
      <c r="BV172" s="975"/>
      <c r="BW172" s="975"/>
      <c r="BX172" s="971"/>
      <c r="DH172" s="977" t="str">
        <f t="shared" si="49"/>
        <v>Netherlands</v>
      </c>
      <c r="DI172" s="977" t="str">
        <f t="shared" si="49"/>
        <v>Europe</v>
      </c>
      <c r="DJ172" s="977" t="str">
        <f t="shared" si="49"/>
        <v>Western Europe</v>
      </c>
      <c r="DK172" s="977" t="s">
        <v>3204</v>
      </c>
      <c r="DL172" s="977" t="e">
        <f>VLOOKUP(DK172,#REF!,2,FALSE)</f>
        <v>#REF!</v>
      </c>
    </row>
    <row r="173" spans="49:116" ht="26">
      <c r="AW173" s="969" t="s">
        <v>3205</v>
      </c>
      <c r="AX173" s="987" t="s">
        <v>2576</v>
      </c>
      <c r="AY173" s="970" t="str">
        <f>+BZ21</f>
        <v>Caribbean</v>
      </c>
      <c r="AZ173" s="969">
        <v>485</v>
      </c>
      <c r="BA173" s="971" t="s">
        <v>2465</v>
      </c>
      <c r="BB173" s="972">
        <v>9.3894684857089938</v>
      </c>
      <c r="BC173" s="971" t="s">
        <v>2577</v>
      </c>
      <c r="BD173" s="973"/>
      <c r="BE173" s="973"/>
      <c r="BF173" s="971"/>
      <c r="BG173" s="973"/>
      <c r="BH173" s="974">
        <f t="shared" si="50"/>
        <v>17</v>
      </c>
      <c r="BI173" s="974">
        <f t="shared" si="51"/>
        <v>5.0999999999999996</v>
      </c>
      <c r="BJ173" s="974">
        <f t="shared" si="52"/>
        <v>46.9</v>
      </c>
      <c r="BK173" s="974">
        <f t="shared" si="53"/>
        <v>2.4</v>
      </c>
      <c r="BL173" s="974">
        <f t="shared" si="54"/>
        <v>9.5</v>
      </c>
      <c r="BM173" s="974">
        <f t="shared" si="55"/>
        <v>5.6</v>
      </c>
      <c r="BN173" s="974">
        <f t="shared" si="56"/>
        <v>9.9</v>
      </c>
      <c r="BO173" s="974">
        <f t="shared" si="57"/>
        <v>3.5999999999999943</v>
      </c>
      <c r="BP173" s="974">
        <f t="shared" si="39"/>
        <v>100</v>
      </c>
      <c r="BQ173" s="971" t="s">
        <v>2467</v>
      </c>
      <c r="BR173" s="975"/>
      <c r="BS173" s="975"/>
      <c r="BT173" s="975"/>
      <c r="BU173" s="975"/>
      <c r="BV173" s="975"/>
      <c r="BW173" s="975"/>
      <c r="BX173" s="971"/>
      <c r="DH173" s="977" t="str">
        <f t="shared" si="49"/>
        <v>Netherlands Antilles</v>
      </c>
      <c r="DI173" s="977" t="str">
        <f t="shared" si="49"/>
        <v>Americas</v>
      </c>
      <c r="DJ173" s="977" t="str">
        <f t="shared" si="49"/>
        <v>Caribbean</v>
      </c>
      <c r="DL173" s="977" t="s">
        <v>35</v>
      </c>
    </row>
    <row r="174" spans="49:116" ht="26">
      <c r="AW174" s="969" t="s">
        <v>3206</v>
      </c>
      <c r="AX174" s="987" t="s">
        <v>2536</v>
      </c>
      <c r="AY174" s="970" t="str">
        <f>+BZ17</f>
        <v>Rest of Oceania</v>
      </c>
      <c r="AZ174" s="969">
        <v>417</v>
      </c>
      <c r="BA174" s="971" t="s">
        <v>2465</v>
      </c>
      <c r="BB174" s="972">
        <v>5.4123414965002699</v>
      </c>
      <c r="BC174" s="971" t="s">
        <v>2537</v>
      </c>
      <c r="BD174" s="973"/>
      <c r="BE174" s="973"/>
      <c r="BF174" s="971"/>
      <c r="BG174" s="973"/>
      <c r="BH174" s="974">
        <f t="shared" si="50"/>
        <v>6</v>
      </c>
      <c r="BI174" s="974">
        <f t="shared" si="51"/>
        <v>2.97</v>
      </c>
      <c r="BJ174" s="974">
        <f t="shared" si="52"/>
        <v>67.5</v>
      </c>
      <c r="BK174" s="974">
        <f t="shared" si="53"/>
        <v>2.5</v>
      </c>
      <c r="BL174" s="974">
        <f t="shared" si="54"/>
        <v>9.5</v>
      </c>
      <c r="BM174" s="974">
        <f t="shared" si="55"/>
        <v>5.6</v>
      </c>
      <c r="BN174" s="974">
        <f t="shared" si="56"/>
        <v>2.97</v>
      </c>
      <c r="BO174" s="974">
        <f t="shared" si="57"/>
        <v>2.9666666666666668</v>
      </c>
      <c r="BP174" s="974">
        <f t="shared" si="39"/>
        <v>100.00666666666666</v>
      </c>
      <c r="BQ174" s="971" t="s">
        <v>2467</v>
      </c>
      <c r="BR174" s="975"/>
      <c r="BS174" s="975"/>
      <c r="BT174" s="975"/>
      <c r="BU174" s="975"/>
      <c r="BV174" s="975"/>
      <c r="BW174" s="975"/>
      <c r="BX174" s="971"/>
      <c r="DH174" s="977" t="str">
        <f t="shared" si="49"/>
        <v>New Caledonia (France)</v>
      </c>
      <c r="DI174" s="977" t="str">
        <f t="shared" si="49"/>
        <v>Oceania</v>
      </c>
      <c r="DJ174" s="977" t="str">
        <f t="shared" si="49"/>
        <v>Rest of Oceania</v>
      </c>
      <c r="DL174" s="977" t="s">
        <v>35</v>
      </c>
    </row>
    <row r="175" spans="49:116">
      <c r="AW175" s="969" t="s">
        <v>3207</v>
      </c>
      <c r="AX175" s="987" t="s">
        <v>2536</v>
      </c>
      <c r="AY175" s="970" t="str">
        <f>+BZ16</f>
        <v>Australia and New Zealand</v>
      </c>
      <c r="AZ175" s="969">
        <v>160</v>
      </c>
      <c r="BA175" s="971" t="s">
        <v>2465</v>
      </c>
      <c r="BB175" s="972">
        <v>6.5440753936329159</v>
      </c>
      <c r="BC175" s="971" t="s">
        <v>2494</v>
      </c>
      <c r="BD175" s="973"/>
      <c r="BE175" s="973"/>
      <c r="BF175" s="971"/>
      <c r="BG175" s="973"/>
      <c r="BH175" s="974">
        <f t="shared" si="50"/>
        <v>30</v>
      </c>
      <c r="BI175" s="974">
        <f t="shared" si="51"/>
        <v>2</v>
      </c>
      <c r="BJ175" s="974">
        <f t="shared" si="52"/>
        <v>36</v>
      </c>
      <c r="BK175" s="974">
        <f t="shared" si="53"/>
        <v>24</v>
      </c>
      <c r="BL175" s="974">
        <f t="shared" si="54"/>
        <v>2</v>
      </c>
      <c r="BM175" s="974">
        <f t="shared" si="55"/>
        <v>2</v>
      </c>
      <c r="BN175" s="974">
        <f t="shared" si="56"/>
        <v>2</v>
      </c>
      <c r="BO175" s="974">
        <f t="shared" si="57"/>
        <v>2</v>
      </c>
      <c r="BP175" s="974">
        <f t="shared" si="39"/>
        <v>100</v>
      </c>
      <c r="BQ175" s="971" t="s">
        <v>2467</v>
      </c>
      <c r="BR175" s="975"/>
      <c r="BS175" s="975"/>
      <c r="BT175" s="975"/>
      <c r="BU175" s="975"/>
      <c r="BV175" s="975"/>
      <c r="BW175" s="975"/>
      <c r="BX175" s="971"/>
      <c r="DH175" s="977" t="str">
        <f t="shared" si="49"/>
        <v>New Zealand</v>
      </c>
      <c r="DI175" s="977" t="str">
        <f t="shared" si="49"/>
        <v>Oceania</v>
      </c>
      <c r="DJ175" s="977" t="str">
        <f t="shared" si="49"/>
        <v>Australia and New Zealand</v>
      </c>
      <c r="DL175" s="977" t="s">
        <v>35</v>
      </c>
    </row>
    <row r="176" spans="49:116">
      <c r="AW176" s="969" t="s">
        <v>3208</v>
      </c>
      <c r="AX176" s="987" t="s">
        <v>2576</v>
      </c>
      <c r="AY176" s="970" t="str">
        <f>+BZ19</f>
        <v>Central America</v>
      </c>
      <c r="AZ176" s="969">
        <v>429</v>
      </c>
      <c r="BA176" s="971" t="s">
        <v>2465</v>
      </c>
      <c r="BB176" s="972">
        <v>20.827710301394511</v>
      </c>
      <c r="BC176" s="971" t="s">
        <v>2494</v>
      </c>
      <c r="BD176" s="973"/>
      <c r="BE176" s="973"/>
      <c r="BF176" s="971"/>
      <c r="BG176" s="973"/>
      <c r="BH176" s="974">
        <f t="shared" si="50"/>
        <v>13.7</v>
      </c>
      <c r="BI176" s="974">
        <f t="shared" si="51"/>
        <v>2.6</v>
      </c>
      <c r="BJ176" s="974">
        <f t="shared" si="52"/>
        <v>43.8</v>
      </c>
      <c r="BK176" s="974">
        <f t="shared" si="53"/>
        <v>13.5</v>
      </c>
      <c r="BL176" s="974">
        <f t="shared" si="54"/>
        <v>9.5</v>
      </c>
      <c r="BM176" s="974">
        <f t="shared" si="55"/>
        <v>5.6</v>
      </c>
      <c r="BN176" s="974">
        <f t="shared" si="56"/>
        <v>6.7</v>
      </c>
      <c r="BO176" s="974">
        <f t="shared" si="57"/>
        <v>4.6000000000000085</v>
      </c>
      <c r="BP176" s="974">
        <f t="shared" si="39"/>
        <v>100</v>
      </c>
      <c r="BQ176" s="971" t="s">
        <v>2467</v>
      </c>
      <c r="BR176" s="975"/>
      <c r="BS176" s="975"/>
      <c r="BT176" s="975"/>
      <c r="BU176" s="975"/>
      <c r="BV176" s="975"/>
      <c r="BW176" s="975"/>
      <c r="BX176" s="971"/>
      <c r="DH176" s="977" t="str">
        <f t="shared" si="49"/>
        <v>Nicaragua</v>
      </c>
      <c r="DI176" s="977" t="str">
        <f t="shared" si="49"/>
        <v>Americas</v>
      </c>
      <c r="DJ176" s="977" t="str">
        <f t="shared" si="49"/>
        <v>Central America</v>
      </c>
      <c r="DL176" s="977" t="s">
        <v>35</v>
      </c>
    </row>
    <row r="177" spans="49:116">
      <c r="AW177" s="969" t="s">
        <v>3209</v>
      </c>
      <c r="AX177" s="969" t="s">
        <v>2520</v>
      </c>
      <c r="AY177" s="970" t="str">
        <f>+BZ11</f>
        <v>Western Africa</v>
      </c>
      <c r="AZ177" s="969">
        <v>749</v>
      </c>
      <c r="BA177" s="971" t="s">
        <v>2465</v>
      </c>
      <c r="BB177" s="972">
        <v>41.760722347629795</v>
      </c>
      <c r="BC177" s="971" t="s">
        <v>2494</v>
      </c>
      <c r="BD177" s="973"/>
      <c r="BE177" s="973"/>
      <c r="BF177" s="971"/>
      <c r="BG177" s="973"/>
      <c r="BH177" s="974">
        <f t="shared" si="50"/>
        <v>9.8000000000000007</v>
      </c>
      <c r="BI177" s="974">
        <f t="shared" si="51"/>
        <v>1</v>
      </c>
      <c r="BJ177" s="974">
        <f t="shared" si="52"/>
        <v>40.4</v>
      </c>
      <c r="BK177" s="974">
        <f t="shared" si="53"/>
        <v>4.4000000000000004</v>
      </c>
      <c r="BL177" s="974">
        <f t="shared" si="54"/>
        <v>9.5</v>
      </c>
      <c r="BM177" s="974">
        <f t="shared" si="55"/>
        <v>5.6</v>
      </c>
      <c r="BN177" s="974">
        <f t="shared" si="56"/>
        <v>3</v>
      </c>
      <c r="BO177" s="974">
        <f t="shared" si="57"/>
        <v>26.300000000000011</v>
      </c>
      <c r="BP177" s="974">
        <f t="shared" si="39"/>
        <v>100</v>
      </c>
      <c r="BQ177" s="971" t="s">
        <v>2467</v>
      </c>
      <c r="BR177" s="975"/>
      <c r="BS177" s="975"/>
      <c r="BT177" s="975"/>
      <c r="BU177" s="975"/>
      <c r="BV177" s="975"/>
      <c r="BW177" s="975"/>
      <c r="BX177" s="971"/>
      <c r="DH177" s="977" t="str">
        <f t="shared" si="49"/>
        <v>Niger</v>
      </c>
      <c r="DI177" s="977" t="str">
        <f t="shared" si="49"/>
        <v>Africa</v>
      </c>
      <c r="DJ177" s="977" t="str">
        <f t="shared" si="49"/>
        <v>Western Africa</v>
      </c>
      <c r="DL177" s="977" t="s">
        <v>35</v>
      </c>
    </row>
    <row r="178" spans="49:116">
      <c r="AW178" s="969" t="s">
        <v>3210</v>
      </c>
      <c r="AX178" s="969" t="s">
        <v>2520</v>
      </c>
      <c r="AY178" s="970" t="str">
        <f>+BZ11</f>
        <v>Western Africa</v>
      </c>
      <c r="AZ178" s="969">
        <v>395</v>
      </c>
      <c r="BA178" s="971" t="s">
        <v>2465</v>
      </c>
      <c r="BB178" s="972">
        <v>16.107272128989798</v>
      </c>
      <c r="BC178" s="971" t="s">
        <v>2494</v>
      </c>
      <c r="BD178" s="973"/>
      <c r="BE178" s="973"/>
      <c r="BF178" s="971"/>
      <c r="BG178" s="973"/>
      <c r="BH178" s="974">
        <f t="shared" si="50"/>
        <v>9.8000000000000007</v>
      </c>
      <c r="BI178" s="974">
        <f t="shared" si="51"/>
        <v>1</v>
      </c>
      <c r="BJ178" s="974">
        <f t="shared" si="52"/>
        <v>40.4</v>
      </c>
      <c r="BK178" s="974">
        <f t="shared" si="53"/>
        <v>4.4000000000000004</v>
      </c>
      <c r="BL178" s="974">
        <f t="shared" si="54"/>
        <v>9.5</v>
      </c>
      <c r="BM178" s="974">
        <f t="shared" si="55"/>
        <v>5.6</v>
      </c>
      <c r="BN178" s="974">
        <f t="shared" si="56"/>
        <v>3</v>
      </c>
      <c r="BO178" s="974">
        <f t="shared" si="57"/>
        <v>26.300000000000011</v>
      </c>
      <c r="BP178" s="974">
        <f t="shared" si="39"/>
        <v>100</v>
      </c>
      <c r="BQ178" s="971" t="s">
        <v>2467</v>
      </c>
      <c r="BR178" s="975"/>
      <c r="BS178" s="975"/>
      <c r="BT178" s="975"/>
      <c r="BU178" s="975"/>
      <c r="BV178" s="975"/>
      <c r="BW178" s="975"/>
      <c r="BX178" s="971"/>
      <c r="DH178" s="977" t="str">
        <f t="shared" si="49"/>
        <v>Nigeria</v>
      </c>
      <c r="DI178" s="977" t="str">
        <f t="shared" si="49"/>
        <v>Africa</v>
      </c>
      <c r="DJ178" s="977" t="str">
        <f t="shared" si="49"/>
        <v>Western Africa</v>
      </c>
      <c r="DL178" s="977" t="s">
        <v>35</v>
      </c>
    </row>
    <row r="179" spans="49:116" ht="26">
      <c r="AW179" s="969" t="s">
        <v>3211</v>
      </c>
      <c r="AX179" s="987" t="s">
        <v>2536</v>
      </c>
      <c r="AY179" s="970" t="str">
        <f>+BZ17</f>
        <v>Rest of Oceania</v>
      </c>
      <c r="AZ179" s="969">
        <v>355</v>
      </c>
      <c r="BA179" s="971" t="s">
        <v>2465</v>
      </c>
      <c r="BB179" s="972">
        <v>5.4123414965002699</v>
      </c>
      <c r="BC179" s="971" t="s">
        <v>2537</v>
      </c>
      <c r="BD179" s="973"/>
      <c r="BE179" s="973"/>
      <c r="BF179" s="971"/>
      <c r="BG179" s="973"/>
      <c r="BH179" s="974">
        <f t="shared" si="50"/>
        <v>6</v>
      </c>
      <c r="BI179" s="974">
        <f t="shared" si="51"/>
        <v>2.97</v>
      </c>
      <c r="BJ179" s="974">
        <f t="shared" si="52"/>
        <v>67.5</v>
      </c>
      <c r="BK179" s="974">
        <f t="shared" si="53"/>
        <v>2.5</v>
      </c>
      <c r="BL179" s="974">
        <f t="shared" si="54"/>
        <v>9.5</v>
      </c>
      <c r="BM179" s="974">
        <f t="shared" si="55"/>
        <v>5.6</v>
      </c>
      <c r="BN179" s="974">
        <f t="shared" si="56"/>
        <v>2.97</v>
      </c>
      <c r="BO179" s="974">
        <f t="shared" si="57"/>
        <v>2.9666666666666668</v>
      </c>
      <c r="BP179" s="974">
        <f t="shared" si="39"/>
        <v>100.00666666666666</v>
      </c>
      <c r="BQ179" s="971" t="s">
        <v>2467</v>
      </c>
      <c r="BR179" s="975"/>
      <c r="BS179" s="975"/>
      <c r="BT179" s="975"/>
      <c r="BU179" s="975"/>
      <c r="BV179" s="975"/>
      <c r="BW179" s="975"/>
      <c r="BX179" s="971"/>
      <c r="DH179" s="977" t="str">
        <f t="shared" si="49"/>
        <v>Niue</v>
      </c>
      <c r="DI179" s="977" t="str">
        <f t="shared" si="49"/>
        <v>Oceania</v>
      </c>
      <c r="DJ179" s="977" t="str">
        <f t="shared" si="49"/>
        <v>Rest of Oceania</v>
      </c>
      <c r="DL179" s="977" t="s">
        <v>35</v>
      </c>
    </row>
    <row r="180" spans="49:116" ht="26">
      <c r="AW180" s="969" t="s">
        <v>3212</v>
      </c>
      <c r="AX180" s="987" t="s">
        <v>2536</v>
      </c>
      <c r="AY180" s="970" t="str">
        <f>+BZ17</f>
        <v>Rest of Oceania</v>
      </c>
      <c r="AZ180" s="969">
        <v>486</v>
      </c>
      <c r="BA180" s="971" t="s">
        <v>2465</v>
      </c>
      <c r="BB180" s="972">
        <v>5.4123414965002699</v>
      </c>
      <c r="BC180" s="971" t="s">
        <v>2537</v>
      </c>
      <c r="BD180" s="973"/>
      <c r="BE180" s="973"/>
      <c r="BF180" s="971"/>
      <c r="BG180" s="973"/>
      <c r="BH180" s="974">
        <f t="shared" si="50"/>
        <v>6</v>
      </c>
      <c r="BI180" s="974">
        <f t="shared" si="51"/>
        <v>2.97</v>
      </c>
      <c r="BJ180" s="974">
        <f t="shared" si="52"/>
        <v>67.5</v>
      </c>
      <c r="BK180" s="974">
        <f t="shared" si="53"/>
        <v>2.5</v>
      </c>
      <c r="BL180" s="974">
        <f t="shared" si="54"/>
        <v>9.5</v>
      </c>
      <c r="BM180" s="974">
        <f t="shared" si="55"/>
        <v>5.6</v>
      </c>
      <c r="BN180" s="974">
        <f t="shared" si="56"/>
        <v>2.97</v>
      </c>
      <c r="BO180" s="974">
        <f t="shared" si="57"/>
        <v>2.9666666666666668</v>
      </c>
      <c r="BP180" s="974">
        <f t="shared" si="39"/>
        <v>100.00666666666666</v>
      </c>
      <c r="BQ180" s="971" t="s">
        <v>2467</v>
      </c>
      <c r="BR180" s="975"/>
      <c r="BS180" s="975"/>
      <c r="BT180" s="975"/>
      <c r="BU180" s="975"/>
      <c r="BV180" s="975"/>
      <c r="BW180" s="975"/>
      <c r="BX180" s="971"/>
      <c r="DH180" s="977" t="str">
        <f t="shared" si="49"/>
        <v>Northern Mariana Islands (U.S.)</v>
      </c>
      <c r="DI180" s="977" t="str">
        <f t="shared" si="49"/>
        <v>Oceania</v>
      </c>
      <c r="DJ180" s="977" t="str">
        <f t="shared" si="49"/>
        <v>Rest of Oceania</v>
      </c>
      <c r="DL180" s="977" t="s">
        <v>35</v>
      </c>
    </row>
    <row r="181" spans="49:116">
      <c r="AW181" s="969" t="s">
        <v>3213</v>
      </c>
      <c r="AX181" s="969" t="s">
        <v>2493</v>
      </c>
      <c r="AY181" s="970" t="str">
        <f>+BZ13</f>
        <v>Northern Europe</v>
      </c>
      <c r="AZ181" s="969">
        <v>61</v>
      </c>
      <c r="BA181" s="971" t="s">
        <v>2465</v>
      </c>
      <c r="BB181" s="972">
        <v>6.0796170676787558</v>
      </c>
      <c r="BC181" s="971" t="s">
        <v>2494</v>
      </c>
      <c r="BD181" s="987">
        <v>0.04</v>
      </c>
      <c r="BE181" s="987">
        <v>0</v>
      </c>
      <c r="BF181" s="971" t="s">
        <v>2679</v>
      </c>
      <c r="BG181" s="973"/>
      <c r="BH181" s="974">
        <f t="shared" si="50"/>
        <v>30.6</v>
      </c>
      <c r="BI181" s="974">
        <f t="shared" si="51"/>
        <v>2</v>
      </c>
      <c r="BJ181" s="974">
        <f t="shared" si="52"/>
        <v>23.8</v>
      </c>
      <c r="BK181" s="974">
        <f t="shared" si="53"/>
        <v>10</v>
      </c>
      <c r="BL181" s="974">
        <f t="shared" si="54"/>
        <v>9.5</v>
      </c>
      <c r="BM181" s="974">
        <f t="shared" si="55"/>
        <v>5.6</v>
      </c>
      <c r="BN181" s="974">
        <f t="shared" si="56"/>
        <v>13</v>
      </c>
      <c r="BO181" s="974">
        <f t="shared" si="57"/>
        <v>5.5</v>
      </c>
      <c r="BP181" s="974">
        <f t="shared" si="39"/>
        <v>100</v>
      </c>
      <c r="BQ181" s="971" t="s">
        <v>2467</v>
      </c>
      <c r="BR181" s="975"/>
      <c r="BS181" s="975"/>
      <c r="BT181" s="975"/>
      <c r="BU181" s="975"/>
      <c r="BV181" s="975"/>
      <c r="BW181" s="975"/>
      <c r="BX181" s="971"/>
      <c r="DH181" s="977" t="str">
        <f t="shared" si="49"/>
        <v>Norway</v>
      </c>
      <c r="DI181" s="977" t="str">
        <f t="shared" si="49"/>
        <v>Europe</v>
      </c>
      <c r="DJ181" s="977" t="str">
        <f t="shared" si="49"/>
        <v>Northern Europe</v>
      </c>
      <c r="DK181" s="977" t="e">
        <f>VLOOKUP(DH181,#REF!,1)</f>
        <v>#REF!</v>
      </c>
      <c r="DL181" s="977" t="e">
        <f>VLOOKUP(DK181,#REF!,2,FALSE)</f>
        <v>#REF!</v>
      </c>
    </row>
    <row r="182" spans="49:116">
      <c r="AW182" s="969" t="s">
        <v>58</v>
      </c>
      <c r="AX182" s="969" t="s">
        <v>2464</v>
      </c>
      <c r="AY182" s="970" t="str">
        <f>+BZ5</f>
        <v>South-Eastern Asia</v>
      </c>
      <c r="AZ182" s="969">
        <v>381</v>
      </c>
      <c r="BA182" s="971" t="s">
        <v>2465</v>
      </c>
      <c r="BB182" s="972">
        <v>10.882999176050536</v>
      </c>
      <c r="BC182" s="971" t="s">
        <v>2494</v>
      </c>
      <c r="BD182" s="973"/>
      <c r="BE182" s="973"/>
      <c r="BF182" s="971"/>
      <c r="BG182" s="973"/>
      <c r="BH182" s="974">
        <f t="shared" si="50"/>
        <v>12.9</v>
      </c>
      <c r="BI182" s="974">
        <f t="shared" si="51"/>
        <v>2.7</v>
      </c>
      <c r="BJ182" s="974">
        <f t="shared" si="52"/>
        <v>43.5</v>
      </c>
      <c r="BK182" s="974">
        <f t="shared" si="53"/>
        <v>9.9</v>
      </c>
      <c r="BL182" s="974">
        <f t="shared" si="54"/>
        <v>9.5</v>
      </c>
      <c r="BM182" s="974">
        <f t="shared" si="55"/>
        <v>5.6</v>
      </c>
      <c r="BN182" s="974">
        <f t="shared" si="56"/>
        <v>7.2</v>
      </c>
      <c r="BO182" s="974">
        <f t="shared" si="57"/>
        <v>8.7000000000000028</v>
      </c>
      <c r="BP182" s="974">
        <f t="shared" si="39"/>
        <v>100</v>
      </c>
      <c r="BQ182" s="971" t="s">
        <v>2467</v>
      </c>
      <c r="BR182" s="975"/>
      <c r="BS182" s="975"/>
      <c r="BT182" s="975"/>
      <c r="BU182" s="975"/>
      <c r="BV182" s="975"/>
      <c r="BW182" s="975"/>
      <c r="BX182" s="971"/>
      <c r="DH182" s="977" t="str">
        <f t="shared" ref="DH182:DJ212" si="58">AW182</f>
        <v>Oman</v>
      </c>
      <c r="DI182" s="977" t="str">
        <f t="shared" si="58"/>
        <v>Asia</v>
      </c>
      <c r="DJ182" s="977" t="str">
        <f t="shared" si="58"/>
        <v>South-Eastern Asia</v>
      </c>
      <c r="DL182" s="977" t="s">
        <v>35</v>
      </c>
    </row>
    <row r="183" spans="49:116">
      <c r="AW183" s="969" t="s">
        <v>3214</v>
      </c>
      <c r="AX183" s="969" t="s">
        <v>2464</v>
      </c>
      <c r="AY183" s="970" t="str">
        <f>+BZ4</f>
        <v>South-Central Asia</v>
      </c>
      <c r="AZ183" s="969">
        <v>453</v>
      </c>
      <c r="BA183" s="971" t="s">
        <v>2465</v>
      </c>
      <c r="BB183" s="972">
        <v>17.135566605600626</v>
      </c>
      <c r="BC183" s="971" t="s">
        <v>2494</v>
      </c>
      <c r="BD183" s="973"/>
      <c r="BE183" s="973"/>
      <c r="BF183" s="971"/>
      <c r="BG183" s="973"/>
      <c r="BH183" s="974">
        <f t="shared" si="50"/>
        <v>11.3</v>
      </c>
      <c r="BI183" s="974">
        <f t="shared" si="51"/>
        <v>2.5</v>
      </c>
      <c r="BJ183" s="974">
        <f t="shared" si="52"/>
        <v>40.299999999999997</v>
      </c>
      <c r="BK183" s="974">
        <f t="shared" si="53"/>
        <v>7.9</v>
      </c>
      <c r="BL183" s="974">
        <f t="shared" si="54"/>
        <v>9.5</v>
      </c>
      <c r="BM183" s="974">
        <f t="shared" si="55"/>
        <v>5.6</v>
      </c>
      <c r="BN183" s="974">
        <f t="shared" si="56"/>
        <v>6.4</v>
      </c>
      <c r="BO183" s="974">
        <f t="shared" si="57"/>
        <v>16.5</v>
      </c>
      <c r="BP183" s="974">
        <f t="shared" si="39"/>
        <v>100</v>
      </c>
      <c r="BQ183" s="971" t="s">
        <v>2467</v>
      </c>
      <c r="BR183" s="975"/>
      <c r="BS183" s="975"/>
      <c r="BT183" s="975"/>
      <c r="BU183" s="975"/>
      <c r="BV183" s="975"/>
      <c r="BW183" s="975"/>
      <c r="BX183" s="971"/>
      <c r="DH183" s="977" t="str">
        <f t="shared" si="58"/>
        <v>Pakistan</v>
      </c>
      <c r="DI183" s="977" t="str">
        <f t="shared" si="58"/>
        <v>Asia</v>
      </c>
      <c r="DJ183" s="977" t="str">
        <f t="shared" si="58"/>
        <v>South-Central Asia</v>
      </c>
      <c r="DL183" s="977" t="s">
        <v>35</v>
      </c>
    </row>
    <row r="184" spans="49:116" ht="26">
      <c r="AW184" s="969" t="s">
        <v>3215</v>
      </c>
      <c r="AX184" s="987" t="s">
        <v>2536</v>
      </c>
      <c r="AY184" s="970" t="str">
        <f>+BZ17</f>
        <v>Rest of Oceania</v>
      </c>
      <c r="AZ184" s="969">
        <v>530</v>
      </c>
      <c r="BA184" s="971" t="s">
        <v>2465</v>
      </c>
      <c r="BB184" s="972">
        <v>5.4123414965002699</v>
      </c>
      <c r="BC184" s="971" t="s">
        <v>2537</v>
      </c>
      <c r="BD184" s="973"/>
      <c r="BE184" s="973"/>
      <c r="BF184" s="971"/>
      <c r="BG184" s="973"/>
      <c r="BH184" s="974">
        <f t="shared" si="50"/>
        <v>6</v>
      </c>
      <c r="BI184" s="974">
        <f t="shared" si="51"/>
        <v>2.97</v>
      </c>
      <c r="BJ184" s="974">
        <f t="shared" si="52"/>
        <v>67.5</v>
      </c>
      <c r="BK184" s="974">
        <f t="shared" si="53"/>
        <v>2.5</v>
      </c>
      <c r="BL184" s="974">
        <f t="shared" si="54"/>
        <v>9.5</v>
      </c>
      <c r="BM184" s="974">
        <f t="shared" si="55"/>
        <v>5.6</v>
      </c>
      <c r="BN184" s="974">
        <f t="shared" si="56"/>
        <v>2.97</v>
      </c>
      <c r="BO184" s="974">
        <f t="shared" si="57"/>
        <v>2.9666666666666668</v>
      </c>
      <c r="BP184" s="974">
        <f t="shared" si="39"/>
        <v>100.00666666666666</v>
      </c>
      <c r="BQ184" s="971" t="s">
        <v>2467</v>
      </c>
      <c r="BR184" s="975"/>
      <c r="BS184" s="975"/>
      <c r="BT184" s="975"/>
      <c r="BU184" s="975"/>
      <c r="BV184" s="975"/>
      <c r="BW184" s="975"/>
      <c r="BX184" s="971"/>
      <c r="DH184" s="977" t="str">
        <f t="shared" si="58"/>
        <v>Palau</v>
      </c>
      <c r="DI184" s="977" t="str">
        <f t="shared" si="58"/>
        <v>Oceania</v>
      </c>
      <c r="DJ184" s="977" t="str">
        <f t="shared" si="58"/>
        <v>Rest of Oceania</v>
      </c>
      <c r="DL184" s="977" t="s">
        <v>35</v>
      </c>
    </row>
    <row r="185" spans="49:116">
      <c r="AW185" s="969" t="s">
        <v>3216</v>
      </c>
      <c r="AX185" s="987" t="s">
        <v>2576</v>
      </c>
      <c r="AY185" s="970" t="str">
        <f>+BZ19</f>
        <v>Central America</v>
      </c>
      <c r="AZ185" s="969">
        <v>361</v>
      </c>
      <c r="BA185" s="971" t="s">
        <v>2465</v>
      </c>
      <c r="BB185" s="972">
        <v>14.299558522666093</v>
      </c>
      <c r="BC185" s="971" t="s">
        <v>2494</v>
      </c>
      <c r="BD185" s="973"/>
      <c r="BE185" s="973"/>
      <c r="BF185" s="971"/>
      <c r="BG185" s="973"/>
      <c r="BH185" s="974">
        <f t="shared" si="50"/>
        <v>13.7</v>
      </c>
      <c r="BI185" s="974">
        <f t="shared" si="51"/>
        <v>2.6</v>
      </c>
      <c r="BJ185" s="974">
        <f t="shared" si="52"/>
        <v>43.8</v>
      </c>
      <c r="BK185" s="974">
        <f t="shared" si="53"/>
        <v>13.5</v>
      </c>
      <c r="BL185" s="974">
        <f t="shared" si="54"/>
        <v>9.5</v>
      </c>
      <c r="BM185" s="974">
        <f t="shared" si="55"/>
        <v>5.6</v>
      </c>
      <c r="BN185" s="974">
        <f t="shared" si="56"/>
        <v>6.7</v>
      </c>
      <c r="BO185" s="974">
        <f t="shared" si="57"/>
        <v>4.6000000000000085</v>
      </c>
      <c r="BP185" s="974">
        <f t="shared" si="39"/>
        <v>100</v>
      </c>
      <c r="BQ185" s="971" t="s">
        <v>2467</v>
      </c>
      <c r="BR185" s="975"/>
      <c r="BS185" s="975"/>
      <c r="BT185" s="975"/>
      <c r="BU185" s="975"/>
      <c r="BV185" s="975"/>
      <c r="BW185" s="975"/>
      <c r="BX185" s="971"/>
      <c r="DH185" s="977" t="str">
        <f t="shared" si="58"/>
        <v>Panama</v>
      </c>
      <c r="DI185" s="977" t="str">
        <f t="shared" si="58"/>
        <v>Americas</v>
      </c>
      <c r="DJ185" s="977" t="str">
        <f t="shared" si="58"/>
        <v>Central America</v>
      </c>
      <c r="DL185" s="977" t="s">
        <v>35</v>
      </c>
    </row>
    <row r="186" spans="49:116" ht="26">
      <c r="AW186" s="969" t="s">
        <v>3217</v>
      </c>
      <c r="AX186" s="987" t="s">
        <v>2536</v>
      </c>
      <c r="AY186" s="970" t="str">
        <f>+BZ17</f>
        <v>Rest of Oceania</v>
      </c>
      <c r="AZ186" s="969">
        <v>468</v>
      </c>
      <c r="BA186" s="971" t="s">
        <v>2465</v>
      </c>
      <c r="BB186" s="972">
        <v>5.4123414965002699</v>
      </c>
      <c r="BC186" s="971" t="s">
        <v>2537</v>
      </c>
      <c r="BD186" s="973"/>
      <c r="BE186" s="973"/>
      <c r="BF186" s="971"/>
      <c r="BG186" s="973"/>
      <c r="BH186" s="974">
        <f t="shared" si="50"/>
        <v>6</v>
      </c>
      <c r="BI186" s="974">
        <f t="shared" si="51"/>
        <v>2.97</v>
      </c>
      <c r="BJ186" s="974">
        <f t="shared" si="52"/>
        <v>67.5</v>
      </c>
      <c r="BK186" s="974">
        <f t="shared" si="53"/>
        <v>2.5</v>
      </c>
      <c r="BL186" s="974">
        <f t="shared" si="54"/>
        <v>9.5</v>
      </c>
      <c r="BM186" s="974">
        <f t="shared" si="55"/>
        <v>5.6</v>
      </c>
      <c r="BN186" s="974">
        <f t="shared" si="56"/>
        <v>2.97</v>
      </c>
      <c r="BO186" s="974">
        <f t="shared" si="57"/>
        <v>2.9666666666666668</v>
      </c>
      <c r="BP186" s="974">
        <f t="shared" si="39"/>
        <v>100.00666666666666</v>
      </c>
      <c r="BQ186" s="971" t="s">
        <v>2467</v>
      </c>
      <c r="BR186" s="975"/>
      <c r="BS186" s="975"/>
      <c r="BT186" s="975"/>
      <c r="BU186" s="975"/>
      <c r="BV186" s="975"/>
      <c r="BW186" s="975"/>
      <c r="BX186" s="971"/>
      <c r="DH186" s="977" t="str">
        <f t="shared" si="58"/>
        <v>Papua New Guinea</v>
      </c>
      <c r="DI186" s="977" t="str">
        <f t="shared" si="58"/>
        <v>Oceania</v>
      </c>
      <c r="DJ186" s="977" t="str">
        <f t="shared" si="58"/>
        <v>Rest of Oceania</v>
      </c>
      <c r="DL186" s="977" t="s">
        <v>35</v>
      </c>
    </row>
    <row r="187" spans="49:116">
      <c r="AW187" s="969" t="s">
        <v>3218</v>
      </c>
      <c r="AX187" s="987" t="s">
        <v>2576</v>
      </c>
      <c r="AY187" s="970" t="str">
        <f>+BZ20</f>
        <v>South America</v>
      </c>
      <c r="AZ187" s="969">
        <v>43</v>
      </c>
      <c r="BA187" s="971" t="s">
        <v>2465</v>
      </c>
      <c r="BB187" s="972">
        <v>6.5789949712383775</v>
      </c>
      <c r="BC187" s="971" t="s">
        <v>2494</v>
      </c>
      <c r="BD187" s="987">
        <v>0.02</v>
      </c>
      <c r="BE187" s="987">
        <v>0.25</v>
      </c>
      <c r="BF187" s="971" t="s">
        <v>2679</v>
      </c>
      <c r="BG187" s="973"/>
      <c r="BH187" s="974">
        <f t="shared" si="50"/>
        <v>17.100000000000001</v>
      </c>
      <c r="BI187" s="974">
        <f t="shared" si="51"/>
        <v>2.6</v>
      </c>
      <c r="BJ187" s="974">
        <f t="shared" si="52"/>
        <v>44.9</v>
      </c>
      <c r="BK187" s="974">
        <f t="shared" si="53"/>
        <v>4.7</v>
      </c>
      <c r="BL187" s="974">
        <f t="shared" si="54"/>
        <v>9.5</v>
      </c>
      <c r="BM187" s="974">
        <f t="shared" si="55"/>
        <v>5.6</v>
      </c>
      <c r="BN187" s="974">
        <f t="shared" si="56"/>
        <v>10.8</v>
      </c>
      <c r="BO187" s="974">
        <f t="shared" si="57"/>
        <v>4.8000000000000114</v>
      </c>
      <c r="BP187" s="974">
        <f t="shared" si="39"/>
        <v>100</v>
      </c>
      <c r="BQ187" s="971" t="s">
        <v>2467</v>
      </c>
      <c r="BR187" s="975"/>
      <c r="BS187" s="975"/>
      <c r="BT187" s="975"/>
      <c r="BU187" s="975"/>
      <c r="BV187" s="975"/>
      <c r="BW187" s="975"/>
      <c r="BX187" s="971"/>
      <c r="DH187" s="977" t="str">
        <f t="shared" si="58"/>
        <v>Paraguay</v>
      </c>
      <c r="DI187" s="977" t="str">
        <f t="shared" si="58"/>
        <v>Americas</v>
      </c>
      <c r="DJ187" s="977" t="str">
        <f t="shared" si="58"/>
        <v>South America</v>
      </c>
      <c r="DL187" s="977" t="s">
        <v>35</v>
      </c>
    </row>
    <row r="188" spans="49:116">
      <c r="AW188" s="969" t="s">
        <v>3219</v>
      </c>
      <c r="AX188" s="987" t="s">
        <v>2576</v>
      </c>
      <c r="AY188" s="970" t="str">
        <f>+BZ20</f>
        <v>South America</v>
      </c>
      <c r="AZ188" s="969">
        <v>301</v>
      </c>
      <c r="BA188" s="971" t="s">
        <v>2465</v>
      </c>
      <c r="BB188" s="972">
        <v>10.969689017189346</v>
      </c>
      <c r="BC188" s="971" t="s">
        <v>2494</v>
      </c>
      <c r="BD188" s="987">
        <v>0.05</v>
      </c>
      <c r="BE188" s="987">
        <v>0.08</v>
      </c>
      <c r="BF188" s="971" t="s">
        <v>2679</v>
      </c>
      <c r="BG188" s="973"/>
      <c r="BH188" s="974">
        <f t="shared" si="50"/>
        <v>17.100000000000001</v>
      </c>
      <c r="BI188" s="974">
        <f t="shared" si="51"/>
        <v>2.6</v>
      </c>
      <c r="BJ188" s="974">
        <f t="shared" si="52"/>
        <v>44.9</v>
      </c>
      <c r="BK188" s="974">
        <f t="shared" si="53"/>
        <v>4.7</v>
      </c>
      <c r="BL188" s="974">
        <f t="shared" si="54"/>
        <v>9.5</v>
      </c>
      <c r="BM188" s="974">
        <f t="shared" si="55"/>
        <v>5.6</v>
      </c>
      <c r="BN188" s="974">
        <f t="shared" si="56"/>
        <v>10.8</v>
      </c>
      <c r="BO188" s="974">
        <f t="shared" si="57"/>
        <v>4.8000000000000114</v>
      </c>
      <c r="BP188" s="974">
        <f t="shared" si="39"/>
        <v>100</v>
      </c>
      <c r="BQ188" s="971" t="s">
        <v>2467</v>
      </c>
      <c r="BR188" s="975"/>
      <c r="BS188" s="975"/>
      <c r="BT188" s="975"/>
      <c r="BU188" s="975"/>
      <c r="BV188" s="975"/>
      <c r="BW188" s="975"/>
      <c r="BX188" s="971"/>
      <c r="DH188" s="977" t="str">
        <f t="shared" si="58"/>
        <v>Peru</v>
      </c>
      <c r="DI188" s="977" t="str">
        <f t="shared" si="58"/>
        <v>Americas</v>
      </c>
      <c r="DJ188" s="977" t="str">
        <f t="shared" si="58"/>
        <v>South America</v>
      </c>
      <c r="DL188" s="977" t="s">
        <v>35</v>
      </c>
    </row>
    <row r="189" spans="49:116">
      <c r="AW189" s="969" t="s">
        <v>59</v>
      </c>
      <c r="AX189" s="969" t="s">
        <v>2464</v>
      </c>
      <c r="AY189" s="970" t="str">
        <f>+BZ5</f>
        <v>South-Eastern Asia</v>
      </c>
      <c r="AZ189" s="969">
        <v>489</v>
      </c>
      <c r="BA189" s="971" t="s">
        <v>2465</v>
      </c>
      <c r="BB189" s="972">
        <v>9.4095415598871366</v>
      </c>
      <c r="BC189" s="971" t="s">
        <v>2494</v>
      </c>
      <c r="BD189" s="973"/>
      <c r="BE189" s="973"/>
      <c r="BF189" s="971"/>
      <c r="BG189" s="973"/>
      <c r="BH189" s="974">
        <f t="shared" si="50"/>
        <v>12.9</v>
      </c>
      <c r="BI189" s="974">
        <f t="shared" si="51"/>
        <v>2.7</v>
      </c>
      <c r="BJ189" s="974">
        <f t="shared" si="52"/>
        <v>43.5</v>
      </c>
      <c r="BK189" s="974">
        <f t="shared" si="53"/>
        <v>9.9</v>
      </c>
      <c r="BL189" s="974">
        <f t="shared" si="54"/>
        <v>9.5</v>
      </c>
      <c r="BM189" s="974">
        <f t="shared" si="55"/>
        <v>5.6</v>
      </c>
      <c r="BN189" s="974">
        <f t="shared" si="56"/>
        <v>7.2</v>
      </c>
      <c r="BO189" s="974">
        <f t="shared" si="57"/>
        <v>8.7000000000000028</v>
      </c>
      <c r="BP189" s="974">
        <f t="shared" si="39"/>
        <v>100</v>
      </c>
      <c r="BQ189" s="971" t="s">
        <v>2467</v>
      </c>
      <c r="BR189" s="975"/>
      <c r="BS189" s="975"/>
      <c r="BT189" s="975"/>
      <c r="BU189" s="975"/>
      <c r="BV189" s="975"/>
      <c r="BW189" s="975"/>
      <c r="BX189" s="971"/>
      <c r="DH189" s="977" t="str">
        <f t="shared" si="58"/>
        <v>Philippines</v>
      </c>
      <c r="DI189" s="977" t="str">
        <f t="shared" si="58"/>
        <v>Asia</v>
      </c>
      <c r="DJ189" s="977" t="str">
        <f t="shared" si="58"/>
        <v>South-Eastern Asia</v>
      </c>
      <c r="DL189" s="977" t="s">
        <v>35</v>
      </c>
    </row>
    <row r="190" spans="49:116">
      <c r="AW190" s="969" t="s">
        <v>3220</v>
      </c>
      <c r="AX190" s="969" t="s">
        <v>2493</v>
      </c>
      <c r="AY190" s="970" t="str">
        <f>+BZ12</f>
        <v>Eastern Europe</v>
      </c>
      <c r="AZ190" s="969">
        <v>773.3</v>
      </c>
      <c r="BA190" s="971" t="s">
        <v>2678</v>
      </c>
      <c r="BB190" s="972">
        <v>6.4665505841976429</v>
      </c>
      <c r="BC190" s="971" t="s">
        <v>2494</v>
      </c>
      <c r="BD190" s="987">
        <v>0.08</v>
      </c>
      <c r="BE190" s="987">
        <v>0.08</v>
      </c>
      <c r="BF190" s="971" t="s">
        <v>2679</v>
      </c>
      <c r="BG190" s="973"/>
      <c r="BH190" s="974">
        <f t="shared" si="50"/>
        <v>21.8</v>
      </c>
      <c r="BI190" s="974">
        <f t="shared" si="51"/>
        <v>4.7</v>
      </c>
      <c r="BJ190" s="974">
        <f t="shared" si="52"/>
        <v>30.1</v>
      </c>
      <c r="BK190" s="974">
        <f t="shared" si="53"/>
        <v>7.5</v>
      </c>
      <c r="BL190" s="974">
        <f t="shared" si="54"/>
        <v>9.5</v>
      </c>
      <c r="BM190" s="974">
        <f t="shared" si="55"/>
        <v>5.6</v>
      </c>
      <c r="BN190" s="974">
        <f t="shared" si="56"/>
        <v>6.2</v>
      </c>
      <c r="BO190" s="974">
        <f t="shared" si="57"/>
        <v>14.600000000000009</v>
      </c>
      <c r="BP190" s="974">
        <f t="shared" si="39"/>
        <v>100</v>
      </c>
      <c r="BQ190" s="971" t="s">
        <v>2467</v>
      </c>
      <c r="BR190" s="975"/>
      <c r="BS190" s="975"/>
      <c r="BT190" s="975"/>
      <c r="BU190" s="975"/>
      <c r="BV190" s="975"/>
      <c r="BW190" s="975"/>
      <c r="BX190" s="971"/>
      <c r="DH190" s="977" t="str">
        <f t="shared" si="58"/>
        <v>Poland</v>
      </c>
      <c r="DI190" s="977" t="str">
        <f t="shared" si="58"/>
        <v>Europe</v>
      </c>
      <c r="DJ190" s="977" t="str">
        <f t="shared" si="58"/>
        <v>Eastern Europe</v>
      </c>
      <c r="DK190" s="977" t="e">
        <f>VLOOKUP(DH190,#REF!,1)</f>
        <v>#REF!</v>
      </c>
      <c r="DL190" s="977" t="e">
        <f>VLOOKUP(DK190,#REF!,2,FALSE)</f>
        <v>#REF!</v>
      </c>
    </row>
    <row r="191" spans="49:116">
      <c r="AW191" s="969" t="s">
        <v>60</v>
      </c>
      <c r="AX191" s="969" t="s">
        <v>2493</v>
      </c>
      <c r="AY191" s="970" t="str">
        <f>+BZ14</f>
        <v>Southern Europe</v>
      </c>
      <c r="AZ191" s="969">
        <v>324.7</v>
      </c>
      <c r="BA191" s="971" t="s">
        <v>2678</v>
      </c>
      <c r="BB191" s="972">
        <v>10.025212186531689</v>
      </c>
      <c r="BC191" s="971" t="s">
        <v>2494</v>
      </c>
      <c r="BD191" s="973"/>
      <c r="BE191" s="973"/>
      <c r="BF191" s="971"/>
      <c r="BG191" s="973"/>
      <c r="BH191" s="974">
        <f t="shared" si="50"/>
        <v>17</v>
      </c>
      <c r="BI191" s="974">
        <f t="shared" si="51"/>
        <v>6.8</v>
      </c>
      <c r="BJ191" s="974">
        <f t="shared" si="52"/>
        <v>36.9</v>
      </c>
      <c r="BK191" s="974">
        <f t="shared" si="53"/>
        <v>10.6</v>
      </c>
      <c r="BL191" s="974">
        <f t="shared" si="54"/>
        <v>9.5</v>
      </c>
      <c r="BM191" s="974">
        <f t="shared" si="55"/>
        <v>5.6</v>
      </c>
      <c r="BN191" s="974">
        <f t="shared" si="56"/>
        <v>6.8</v>
      </c>
      <c r="BO191" s="974">
        <f t="shared" si="57"/>
        <v>6.8</v>
      </c>
      <c r="BP191" s="974">
        <f t="shared" si="39"/>
        <v>99.999999999999986</v>
      </c>
      <c r="BQ191" s="971" t="s">
        <v>2467</v>
      </c>
      <c r="BR191" s="975"/>
      <c r="BS191" s="975"/>
      <c r="BT191" s="975"/>
      <c r="BU191" s="975"/>
      <c r="BV191" s="975"/>
      <c r="BW191" s="975"/>
      <c r="BX191" s="971"/>
      <c r="DH191" s="977" t="str">
        <f t="shared" si="58"/>
        <v>Portugal</v>
      </c>
      <c r="DI191" s="977" t="str">
        <f t="shared" si="58"/>
        <v>Europe</v>
      </c>
      <c r="DJ191" s="977" t="str">
        <f t="shared" si="58"/>
        <v>Southern Europe</v>
      </c>
      <c r="DK191" s="977" t="e">
        <f>VLOOKUP(DH191,#REF!,1)</f>
        <v>#REF!</v>
      </c>
      <c r="DL191" s="977" t="e">
        <f>VLOOKUP(DK191,#REF!,2,FALSE)</f>
        <v>#REF!</v>
      </c>
    </row>
    <row r="192" spans="49:116" ht="26">
      <c r="AW192" s="969" t="s">
        <v>3221</v>
      </c>
      <c r="AX192" s="987" t="s">
        <v>2576</v>
      </c>
      <c r="AY192" s="970" t="str">
        <f>+BZ21</f>
        <v>Caribbean</v>
      </c>
      <c r="AZ192" s="969">
        <v>390</v>
      </c>
      <c r="BA192" s="971" t="s">
        <v>2465</v>
      </c>
      <c r="BB192" s="972">
        <v>9.3894684857089938</v>
      </c>
      <c r="BC192" s="971" t="s">
        <v>2577</v>
      </c>
      <c r="BD192" s="973"/>
      <c r="BE192" s="973"/>
      <c r="BF192" s="971"/>
      <c r="BG192" s="973"/>
      <c r="BH192" s="974">
        <f t="shared" si="50"/>
        <v>17</v>
      </c>
      <c r="BI192" s="974">
        <f t="shared" si="51"/>
        <v>5.0999999999999996</v>
      </c>
      <c r="BJ192" s="974">
        <f t="shared" si="52"/>
        <v>46.9</v>
      </c>
      <c r="BK192" s="974">
        <f t="shared" si="53"/>
        <v>2.4</v>
      </c>
      <c r="BL192" s="974">
        <f t="shared" si="54"/>
        <v>9.5</v>
      </c>
      <c r="BM192" s="974">
        <f t="shared" si="55"/>
        <v>5.6</v>
      </c>
      <c r="BN192" s="974">
        <f t="shared" si="56"/>
        <v>9.9</v>
      </c>
      <c r="BO192" s="974">
        <f t="shared" si="57"/>
        <v>3.5999999999999943</v>
      </c>
      <c r="BP192" s="974">
        <f t="shared" si="39"/>
        <v>100</v>
      </c>
      <c r="BQ192" s="971" t="s">
        <v>2467</v>
      </c>
      <c r="BR192" s="975"/>
      <c r="BS192" s="975"/>
      <c r="BT192" s="975"/>
      <c r="BU192" s="975"/>
      <c r="BV192" s="975"/>
      <c r="BW192" s="975"/>
      <c r="BX192" s="971"/>
      <c r="DH192" s="977" t="str">
        <f t="shared" si="58"/>
        <v>Puerto Rico (U.S.)</v>
      </c>
      <c r="DI192" s="977" t="str">
        <f t="shared" si="58"/>
        <v>Americas</v>
      </c>
      <c r="DJ192" s="977" t="str">
        <f t="shared" si="58"/>
        <v>Caribbean</v>
      </c>
      <c r="DL192" s="977" t="s">
        <v>35</v>
      </c>
    </row>
    <row r="193" spans="49:116">
      <c r="AW193" s="969" t="s">
        <v>61</v>
      </c>
      <c r="AX193" s="969" t="s">
        <v>2464</v>
      </c>
      <c r="AY193" s="970" t="str">
        <f>+BZ5</f>
        <v>South-Eastern Asia</v>
      </c>
      <c r="AZ193" s="969">
        <v>276</v>
      </c>
      <c r="BA193" s="971" t="s">
        <v>2465</v>
      </c>
      <c r="BB193" s="972">
        <v>6.0503463248216685</v>
      </c>
      <c r="BC193" s="971" t="s">
        <v>2494</v>
      </c>
      <c r="BD193" s="973"/>
      <c r="BE193" s="973"/>
      <c r="BF193" s="971"/>
      <c r="BG193" s="973"/>
      <c r="BH193" s="974">
        <f t="shared" si="50"/>
        <v>12.9</v>
      </c>
      <c r="BI193" s="974">
        <f t="shared" si="51"/>
        <v>2.7</v>
      </c>
      <c r="BJ193" s="974">
        <f t="shared" si="52"/>
        <v>43.5</v>
      </c>
      <c r="BK193" s="974">
        <f t="shared" si="53"/>
        <v>9.9</v>
      </c>
      <c r="BL193" s="974">
        <f t="shared" si="54"/>
        <v>9.5</v>
      </c>
      <c r="BM193" s="974">
        <f t="shared" si="55"/>
        <v>5.6</v>
      </c>
      <c r="BN193" s="974">
        <f t="shared" si="56"/>
        <v>7.2</v>
      </c>
      <c r="BO193" s="974">
        <f t="shared" si="57"/>
        <v>8.7000000000000028</v>
      </c>
      <c r="BP193" s="974">
        <f t="shared" si="39"/>
        <v>100</v>
      </c>
      <c r="BQ193" s="971" t="s">
        <v>2467</v>
      </c>
      <c r="BR193" s="975"/>
      <c r="BS193" s="975"/>
      <c r="BT193" s="975"/>
      <c r="BU193" s="975"/>
      <c r="BV193" s="975"/>
      <c r="BW193" s="975"/>
      <c r="BX193" s="971"/>
      <c r="DH193" s="977" t="str">
        <f t="shared" si="58"/>
        <v>Qatar</v>
      </c>
      <c r="DI193" s="977" t="str">
        <f t="shared" si="58"/>
        <v>Asia</v>
      </c>
      <c r="DJ193" s="977" t="str">
        <f t="shared" si="58"/>
        <v>South-Eastern Asia</v>
      </c>
      <c r="DL193" s="977" t="s">
        <v>35</v>
      </c>
    </row>
    <row r="194" spans="49:116" ht="26">
      <c r="AW194" s="969" t="s">
        <v>3222</v>
      </c>
      <c r="AX194" s="969" t="s">
        <v>2520</v>
      </c>
      <c r="AY194" s="970" t="str">
        <f>+BZ7</f>
        <v>Eastern Africa</v>
      </c>
      <c r="AZ194" s="969">
        <v>430</v>
      </c>
      <c r="BA194" s="971" t="s">
        <v>2465</v>
      </c>
      <c r="BB194" s="972">
        <v>11.740747004194485</v>
      </c>
      <c r="BC194" s="971" t="s">
        <v>2774</v>
      </c>
      <c r="BD194" s="973"/>
      <c r="BE194" s="973"/>
      <c r="BF194" s="971"/>
      <c r="BG194" s="973"/>
      <c r="BH194" s="974">
        <f t="shared" si="50"/>
        <v>7.7</v>
      </c>
      <c r="BI194" s="974">
        <f t="shared" si="51"/>
        <v>1.7</v>
      </c>
      <c r="BJ194" s="974">
        <f t="shared" si="52"/>
        <v>53.9</v>
      </c>
      <c r="BK194" s="974">
        <f t="shared" si="53"/>
        <v>7</v>
      </c>
      <c r="BL194" s="974">
        <f t="shared" si="54"/>
        <v>9.5</v>
      </c>
      <c r="BM194" s="974">
        <f t="shared" si="55"/>
        <v>5.6</v>
      </c>
      <c r="BN194" s="974">
        <f t="shared" si="56"/>
        <v>5.5</v>
      </c>
      <c r="BO194" s="974">
        <f t="shared" si="57"/>
        <v>9.1000000000000085</v>
      </c>
      <c r="BP194" s="974">
        <f t="shared" si="39"/>
        <v>100</v>
      </c>
      <c r="BQ194" s="971" t="s">
        <v>2467</v>
      </c>
      <c r="BR194" s="975"/>
      <c r="BS194" s="975"/>
      <c r="BT194" s="975"/>
      <c r="BU194" s="975"/>
      <c r="BV194" s="975"/>
      <c r="BW194" s="975"/>
      <c r="BX194" s="971"/>
      <c r="DH194" s="977" t="str">
        <f t="shared" si="58"/>
        <v>Reunion (France)</v>
      </c>
      <c r="DI194" s="977" t="str">
        <f t="shared" si="58"/>
        <v>Africa</v>
      </c>
      <c r="DJ194" s="977" t="str">
        <f t="shared" si="58"/>
        <v>Eastern Africa</v>
      </c>
      <c r="DL194" s="977" t="s">
        <v>35</v>
      </c>
    </row>
    <row r="195" spans="49:116">
      <c r="AW195" s="969" t="s">
        <v>3223</v>
      </c>
      <c r="AX195" s="969" t="s">
        <v>2493</v>
      </c>
      <c r="AY195" s="970" t="str">
        <f>+BZ12</f>
        <v>Eastern Europe</v>
      </c>
      <c r="AZ195" s="969">
        <v>306</v>
      </c>
      <c r="BA195" s="971" t="s">
        <v>2678</v>
      </c>
      <c r="BB195" s="972">
        <v>10.884635440630655</v>
      </c>
      <c r="BC195" s="971" t="s">
        <v>2494</v>
      </c>
      <c r="BD195" s="973"/>
      <c r="BE195" s="973"/>
      <c r="BF195" s="971"/>
      <c r="BG195" s="973"/>
      <c r="BH195" s="974">
        <f t="shared" si="50"/>
        <v>21.8</v>
      </c>
      <c r="BI195" s="974">
        <f t="shared" si="51"/>
        <v>4.7</v>
      </c>
      <c r="BJ195" s="974">
        <f t="shared" si="52"/>
        <v>30.1</v>
      </c>
      <c r="BK195" s="974">
        <f t="shared" si="53"/>
        <v>7.5</v>
      </c>
      <c r="BL195" s="974">
        <f t="shared" si="54"/>
        <v>9.5</v>
      </c>
      <c r="BM195" s="974">
        <f t="shared" si="55"/>
        <v>5.6</v>
      </c>
      <c r="BN195" s="974">
        <f t="shared" si="56"/>
        <v>6.2</v>
      </c>
      <c r="BO195" s="974">
        <f t="shared" si="57"/>
        <v>14.600000000000009</v>
      </c>
      <c r="BP195" s="974">
        <f t="shared" si="39"/>
        <v>100</v>
      </c>
      <c r="BQ195" s="971" t="s">
        <v>2467</v>
      </c>
      <c r="BR195" s="975"/>
      <c r="BS195" s="975"/>
      <c r="BT195" s="975"/>
      <c r="BU195" s="975"/>
      <c r="BV195" s="975"/>
      <c r="BW195" s="975"/>
      <c r="BX195" s="971"/>
      <c r="DH195" s="977" t="str">
        <f t="shared" si="58"/>
        <v>Romania</v>
      </c>
      <c r="DI195" s="977" t="str">
        <f t="shared" si="58"/>
        <v>Europe</v>
      </c>
      <c r="DJ195" s="977" t="str">
        <f t="shared" si="58"/>
        <v>Eastern Europe</v>
      </c>
      <c r="DK195" s="977" t="e">
        <f>VLOOKUP(DH195,#REF!,1)</f>
        <v>#REF!</v>
      </c>
      <c r="DL195" s="977" t="e">
        <f>VLOOKUP(DK195,#REF!,2,FALSE)</f>
        <v>#REF!</v>
      </c>
    </row>
    <row r="196" spans="49:116">
      <c r="AW196" s="969" t="s">
        <v>62</v>
      </c>
      <c r="AX196" s="969" t="s">
        <v>2493</v>
      </c>
      <c r="AY196" s="970" t="str">
        <f>+BZ12</f>
        <v>Eastern Europe</v>
      </c>
      <c r="AZ196" s="969">
        <v>325</v>
      </c>
      <c r="BA196" s="971" t="s">
        <v>3224</v>
      </c>
      <c r="BB196" s="972">
        <v>10.031411996050203</v>
      </c>
      <c r="BC196" s="971" t="s">
        <v>2494</v>
      </c>
      <c r="BD196" s="973"/>
      <c r="BE196" s="973"/>
      <c r="BF196" s="971"/>
      <c r="BG196" s="973"/>
      <c r="BH196" s="974">
        <f t="shared" si="50"/>
        <v>21.8</v>
      </c>
      <c r="BI196" s="974">
        <f t="shared" si="51"/>
        <v>4.7</v>
      </c>
      <c r="BJ196" s="974">
        <f t="shared" si="52"/>
        <v>30.1</v>
      </c>
      <c r="BK196" s="974">
        <f t="shared" si="53"/>
        <v>7.5</v>
      </c>
      <c r="BL196" s="974">
        <f t="shared" si="54"/>
        <v>9.5</v>
      </c>
      <c r="BM196" s="974">
        <f t="shared" si="55"/>
        <v>5.6</v>
      </c>
      <c r="BN196" s="974">
        <f t="shared" si="56"/>
        <v>6.2</v>
      </c>
      <c r="BO196" s="974">
        <f t="shared" si="57"/>
        <v>14.600000000000009</v>
      </c>
      <c r="BP196" s="974">
        <f t="shared" ref="BP196:BP259" si="59">+SUM(BH196:BO196)</f>
        <v>100</v>
      </c>
      <c r="BQ196" s="971" t="s">
        <v>2467</v>
      </c>
      <c r="BR196" s="975"/>
      <c r="BS196" s="975"/>
      <c r="BT196" s="975"/>
      <c r="BU196" s="975"/>
      <c r="BV196" s="975"/>
      <c r="BW196" s="975"/>
      <c r="BX196" s="971"/>
      <c r="DH196" s="977" t="str">
        <f t="shared" si="58"/>
        <v>Russian Federation</v>
      </c>
      <c r="DI196" s="977" t="str">
        <f t="shared" si="58"/>
        <v>Europe</v>
      </c>
      <c r="DJ196" s="977" t="str">
        <f t="shared" si="58"/>
        <v>Eastern Europe</v>
      </c>
      <c r="DK196" s="977" t="s">
        <v>3225</v>
      </c>
      <c r="DL196" s="977" t="e">
        <f>VLOOKUP(DK196,#REF!,2,FALSE)</f>
        <v>#REF!</v>
      </c>
    </row>
    <row r="197" spans="49:116" ht="26">
      <c r="AW197" s="969" t="s">
        <v>3226</v>
      </c>
      <c r="AX197" s="969" t="s">
        <v>2520</v>
      </c>
      <c r="AY197" s="970" t="str">
        <f>+BZ7</f>
        <v>Eastern Africa</v>
      </c>
      <c r="AZ197" s="969">
        <v>461</v>
      </c>
      <c r="BA197" s="971" t="s">
        <v>2465</v>
      </c>
      <c r="BB197" s="972">
        <v>11.740747004194485</v>
      </c>
      <c r="BC197" s="971" t="s">
        <v>2774</v>
      </c>
      <c r="BD197" s="973"/>
      <c r="BE197" s="973"/>
      <c r="BF197" s="971"/>
      <c r="BG197" s="973"/>
      <c r="BH197" s="974">
        <f t="shared" si="50"/>
        <v>7.7</v>
      </c>
      <c r="BI197" s="974">
        <f t="shared" si="51"/>
        <v>1.7</v>
      </c>
      <c r="BJ197" s="974">
        <f t="shared" si="52"/>
        <v>53.9</v>
      </c>
      <c r="BK197" s="974">
        <f t="shared" si="53"/>
        <v>7</v>
      </c>
      <c r="BL197" s="974">
        <f t="shared" si="54"/>
        <v>9.5</v>
      </c>
      <c r="BM197" s="974">
        <f t="shared" si="55"/>
        <v>5.6</v>
      </c>
      <c r="BN197" s="974">
        <f t="shared" si="56"/>
        <v>5.5</v>
      </c>
      <c r="BO197" s="974">
        <f t="shared" si="57"/>
        <v>9.1000000000000085</v>
      </c>
      <c r="BP197" s="974">
        <f t="shared" si="59"/>
        <v>100</v>
      </c>
      <c r="BQ197" s="971" t="s">
        <v>2467</v>
      </c>
      <c r="BR197" s="975"/>
      <c r="BS197" s="975"/>
      <c r="BT197" s="975"/>
      <c r="BU197" s="975"/>
      <c r="BV197" s="975"/>
      <c r="BW197" s="975"/>
      <c r="BX197" s="971"/>
      <c r="DH197" s="977" t="str">
        <f t="shared" si="58"/>
        <v>Rwanda</v>
      </c>
      <c r="DI197" s="977" t="str">
        <f t="shared" si="58"/>
        <v>Africa</v>
      </c>
      <c r="DJ197" s="977" t="str">
        <f t="shared" si="58"/>
        <v>Eastern Africa</v>
      </c>
      <c r="DL197" s="977" t="s">
        <v>35</v>
      </c>
    </row>
    <row r="198" spans="49:116" ht="26">
      <c r="AW198" s="969" t="s">
        <v>3227</v>
      </c>
      <c r="AX198" s="969" t="s">
        <v>2520</v>
      </c>
      <c r="AY198" s="970" t="str">
        <f>+BZ11</f>
        <v>Western Africa</v>
      </c>
      <c r="AZ198" s="969">
        <v>310</v>
      </c>
      <c r="BA198" s="971" t="s">
        <v>2465</v>
      </c>
      <c r="BB198" s="972">
        <v>11.740747004194485</v>
      </c>
      <c r="BC198" s="971" t="s">
        <v>2774</v>
      </c>
      <c r="BD198" s="973"/>
      <c r="BE198" s="973"/>
      <c r="BF198" s="971"/>
      <c r="BG198" s="973"/>
      <c r="BH198" s="974">
        <f t="shared" si="50"/>
        <v>9.8000000000000007</v>
      </c>
      <c r="BI198" s="974">
        <f t="shared" si="51"/>
        <v>1</v>
      </c>
      <c r="BJ198" s="974">
        <f t="shared" si="52"/>
        <v>40.4</v>
      </c>
      <c r="BK198" s="974">
        <f t="shared" si="53"/>
        <v>4.4000000000000004</v>
      </c>
      <c r="BL198" s="974">
        <f t="shared" si="54"/>
        <v>9.5</v>
      </c>
      <c r="BM198" s="974">
        <f t="shared" si="55"/>
        <v>5.6</v>
      </c>
      <c r="BN198" s="974">
        <f t="shared" si="56"/>
        <v>3</v>
      </c>
      <c r="BO198" s="974">
        <f t="shared" si="57"/>
        <v>26.300000000000011</v>
      </c>
      <c r="BP198" s="974">
        <f t="shared" si="59"/>
        <v>100</v>
      </c>
      <c r="BQ198" s="971" t="s">
        <v>2467</v>
      </c>
      <c r="BR198" s="975"/>
      <c r="BS198" s="975"/>
      <c r="BT198" s="975"/>
      <c r="BU198" s="975"/>
      <c r="BV198" s="975"/>
      <c r="BW198" s="975"/>
      <c r="BX198" s="971"/>
      <c r="DH198" s="977" t="str">
        <f t="shared" si="58"/>
        <v>Saint Helena (U.K.)</v>
      </c>
      <c r="DI198" s="977" t="str">
        <f t="shared" si="58"/>
        <v>Africa</v>
      </c>
      <c r="DJ198" s="977" t="str">
        <f t="shared" si="58"/>
        <v>Western Africa</v>
      </c>
      <c r="DL198" s="977" t="s">
        <v>35</v>
      </c>
    </row>
    <row r="199" spans="49:116" ht="26">
      <c r="AW199" s="969" t="s">
        <v>3228</v>
      </c>
      <c r="AX199" s="987" t="s">
        <v>2576</v>
      </c>
      <c r="AY199" s="970" t="str">
        <f>+BZ21</f>
        <v>Caribbean</v>
      </c>
      <c r="AZ199" s="969">
        <v>502</v>
      </c>
      <c r="BA199" s="971" t="s">
        <v>2465</v>
      </c>
      <c r="BB199" s="972">
        <v>9.3894684857089938</v>
      </c>
      <c r="BC199" s="971" t="s">
        <v>2577</v>
      </c>
      <c r="BD199" s="973"/>
      <c r="BE199" s="973"/>
      <c r="BF199" s="971"/>
      <c r="BG199" s="973"/>
      <c r="BH199" s="974">
        <f t="shared" si="50"/>
        <v>17</v>
      </c>
      <c r="BI199" s="974">
        <f t="shared" si="51"/>
        <v>5.0999999999999996</v>
      </c>
      <c r="BJ199" s="974">
        <f t="shared" si="52"/>
        <v>46.9</v>
      </c>
      <c r="BK199" s="974">
        <f t="shared" si="53"/>
        <v>2.4</v>
      </c>
      <c r="BL199" s="974">
        <f t="shared" si="54"/>
        <v>9.5</v>
      </c>
      <c r="BM199" s="974">
        <f t="shared" si="55"/>
        <v>5.6</v>
      </c>
      <c r="BN199" s="974">
        <f t="shared" si="56"/>
        <v>9.9</v>
      </c>
      <c r="BO199" s="974">
        <f t="shared" si="57"/>
        <v>3.5999999999999943</v>
      </c>
      <c r="BP199" s="974">
        <f t="shared" si="59"/>
        <v>100</v>
      </c>
      <c r="BQ199" s="971" t="s">
        <v>2467</v>
      </c>
      <c r="BR199" s="975"/>
      <c r="BS199" s="975"/>
      <c r="BT199" s="975"/>
      <c r="BU199" s="975"/>
      <c r="BV199" s="975"/>
      <c r="BW199" s="975"/>
      <c r="BX199" s="971"/>
      <c r="DH199" s="977" t="str">
        <f t="shared" si="58"/>
        <v>Saint Kitts and Nevis</v>
      </c>
      <c r="DI199" s="977" t="str">
        <f t="shared" si="58"/>
        <v>Americas</v>
      </c>
      <c r="DJ199" s="977" t="str">
        <f t="shared" si="58"/>
        <v>Caribbean</v>
      </c>
      <c r="DL199" s="977" t="s">
        <v>35</v>
      </c>
    </row>
    <row r="200" spans="49:116" ht="26">
      <c r="AW200" s="969" t="s">
        <v>3229</v>
      </c>
      <c r="AX200" s="987" t="s">
        <v>2576</v>
      </c>
      <c r="AY200" s="970" t="str">
        <f>+BZ21</f>
        <v>Caribbean</v>
      </c>
      <c r="AZ200" s="969">
        <v>561</v>
      </c>
      <c r="BA200" s="971" t="s">
        <v>2465</v>
      </c>
      <c r="BB200" s="972">
        <v>9.3894684857089938</v>
      </c>
      <c r="BC200" s="971" t="s">
        <v>2577</v>
      </c>
      <c r="BD200" s="973"/>
      <c r="BE200" s="973"/>
      <c r="BF200" s="971"/>
      <c r="BG200" s="973"/>
      <c r="BH200" s="974">
        <f t="shared" si="50"/>
        <v>17</v>
      </c>
      <c r="BI200" s="974">
        <f t="shared" si="51"/>
        <v>5.0999999999999996</v>
      </c>
      <c r="BJ200" s="974">
        <f t="shared" si="52"/>
        <v>46.9</v>
      </c>
      <c r="BK200" s="974">
        <f t="shared" si="53"/>
        <v>2.4</v>
      </c>
      <c r="BL200" s="974">
        <f t="shared" si="54"/>
        <v>9.5</v>
      </c>
      <c r="BM200" s="974">
        <f t="shared" si="55"/>
        <v>5.6</v>
      </c>
      <c r="BN200" s="974">
        <f t="shared" si="56"/>
        <v>9.9</v>
      </c>
      <c r="BO200" s="974">
        <f t="shared" si="57"/>
        <v>3.5999999999999943</v>
      </c>
      <c r="BP200" s="974">
        <f t="shared" si="59"/>
        <v>100</v>
      </c>
      <c r="BQ200" s="971" t="s">
        <v>2467</v>
      </c>
      <c r="BR200" s="975"/>
      <c r="BS200" s="975"/>
      <c r="BT200" s="975"/>
      <c r="BU200" s="975"/>
      <c r="BV200" s="975"/>
      <c r="BW200" s="975"/>
      <c r="BX200" s="971"/>
      <c r="DH200" s="977" t="str">
        <f t="shared" si="58"/>
        <v>Saint Lucia</v>
      </c>
      <c r="DI200" s="977" t="str">
        <f t="shared" si="58"/>
        <v>Americas</v>
      </c>
      <c r="DJ200" s="977" t="str">
        <f t="shared" si="58"/>
        <v>Caribbean</v>
      </c>
      <c r="DL200" s="977" t="s">
        <v>35</v>
      </c>
    </row>
    <row r="201" spans="49:116" ht="26">
      <c r="AW201" s="969" t="s">
        <v>3230</v>
      </c>
      <c r="AX201" s="987" t="s">
        <v>2576</v>
      </c>
      <c r="AY201" s="970" t="str">
        <f>+BZ21</f>
        <v>Caribbean</v>
      </c>
      <c r="AZ201" s="969">
        <v>487</v>
      </c>
      <c r="BA201" s="971" t="s">
        <v>2465</v>
      </c>
      <c r="BB201" s="972">
        <v>9.3894684857089938</v>
      </c>
      <c r="BC201" s="971" t="s">
        <v>2577</v>
      </c>
      <c r="BD201" s="973"/>
      <c r="BE201" s="973"/>
      <c r="BF201" s="971"/>
      <c r="BG201" s="973"/>
      <c r="BH201" s="974">
        <f t="shared" si="50"/>
        <v>17</v>
      </c>
      <c r="BI201" s="974">
        <f t="shared" si="51"/>
        <v>5.0999999999999996</v>
      </c>
      <c r="BJ201" s="974">
        <f t="shared" si="52"/>
        <v>46.9</v>
      </c>
      <c r="BK201" s="974">
        <f t="shared" si="53"/>
        <v>2.4</v>
      </c>
      <c r="BL201" s="974">
        <f t="shared" si="54"/>
        <v>9.5</v>
      </c>
      <c r="BM201" s="974">
        <f t="shared" si="55"/>
        <v>5.6</v>
      </c>
      <c r="BN201" s="974">
        <f t="shared" si="56"/>
        <v>9.9</v>
      </c>
      <c r="BO201" s="974">
        <f t="shared" si="57"/>
        <v>3.5999999999999943</v>
      </c>
      <c r="BP201" s="974">
        <f t="shared" si="59"/>
        <v>100</v>
      </c>
      <c r="BQ201" s="971" t="s">
        <v>2467</v>
      </c>
      <c r="BR201" s="975"/>
      <c r="BS201" s="975"/>
      <c r="BT201" s="975"/>
      <c r="BU201" s="975"/>
      <c r="BV201" s="975"/>
      <c r="BW201" s="975"/>
      <c r="BX201" s="971"/>
      <c r="DH201" s="977" t="str">
        <f t="shared" si="58"/>
        <v>Saint Martin (France)</v>
      </c>
      <c r="DI201" s="977" t="str">
        <f t="shared" si="58"/>
        <v>Americas</v>
      </c>
      <c r="DJ201" s="977" t="str">
        <f t="shared" si="58"/>
        <v>Caribbean</v>
      </c>
      <c r="DL201" s="977" t="s">
        <v>35</v>
      </c>
    </row>
    <row r="202" spans="49:116">
      <c r="AW202" s="969" t="s">
        <v>3231</v>
      </c>
      <c r="AX202" s="987" t="s">
        <v>2576</v>
      </c>
      <c r="AY202" s="970" t="str">
        <f>+BZ18</f>
        <v>North America</v>
      </c>
      <c r="AZ202" s="969">
        <v>432</v>
      </c>
      <c r="BA202" s="971" t="s">
        <v>2465</v>
      </c>
      <c r="BB202" s="992">
        <v>8.2505991847772364</v>
      </c>
      <c r="BC202" s="971" t="s">
        <v>2999</v>
      </c>
      <c r="BD202" s="973"/>
      <c r="BE202" s="973"/>
      <c r="BF202" s="971"/>
      <c r="BG202" s="973"/>
      <c r="BH202" s="974">
        <f t="shared" si="50"/>
        <v>23.2</v>
      </c>
      <c r="BI202" s="974">
        <f t="shared" si="51"/>
        <v>3.9</v>
      </c>
      <c r="BJ202" s="974">
        <f t="shared" si="52"/>
        <v>33.9</v>
      </c>
      <c r="BK202" s="974">
        <f t="shared" si="53"/>
        <v>6.2</v>
      </c>
      <c r="BL202" s="974">
        <f t="shared" si="54"/>
        <v>9.5</v>
      </c>
      <c r="BM202" s="974">
        <f t="shared" si="55"/>
        <v>5.6</v>
      </c>
      <c r="BN202" s="974">
        <f t="shared" si="56"/>
        <v>8.5</v>
      </c>
      <c r="BO202" s="974">
        <f t="shared" si="57"/>
        <v>9.2000000000000028</v>
      </c>
      <c r="BP202" s="974">
        <f t="shared" si="59"/>
        <v>100</v>
      </c>
      <c r="BQ202" s="971" t="s">
        <v>2467</v>
      </c>
      <c r="BR202" s="975"/>
      <c r="BS202" s="975"/>
      <c r="BT202" s="975"/>
      <c r="BU202" s="975"/>
      <c r="BV202" s="975"/>
      <c r="BW202" s="975"/>
      <c r="BX202" s="971"/>
      <c r="DH202" s="977" t="str">
        <f t="shared" si="58"/>
        <v>Saint Pierre and Miquelon (France)</v>
      </c>
      <c r="DI202" s="977" t="str">
        <f t="shared" si="58"/>
        <v>Americas</v>
      </c>
      <c r="DJ202" s="977" t="str">
        <f t="shared" si="58"/>
        <v>North America</v>
      </c>
      <c r="DL202" s="977" t="s">
        <v>35</v>
      </c>
    </row>
    <row r="203" spans="49:116" ht="26">
      <c r="AW203" s="969" t="s">
        <v>3232</v>
      </c>
      <c r="AX203" s="987" t="s">
        <v>2576</v>
      </c>
      <c r="AY203" s="970" t="str">
        <f>+BZ21</f>
        <v>Caribbean</v>
      </c>
      <c r="AZ203" s="969">
        <v>521</v>
      </c>
      <c r="BA203" s="971" t="s">
        <v>2465</v>
      </c>
      <c r="BB203" s="972">
        <v>9.3894684857089938</v>
      </c>
      <c r="BC203" s="971" t="s">
        <v>2577</v>
      </c>
      <c r="BD203" s="973"/>
      <c r="BE203" s="973"/>
      <c r="BF203" s="971"/>
      <c r="BG203" s="973"/>
      <c r="BH203" s="974">
        <f t="shared" si="50"/>
        <v>17</v>
      </c>
      <c r="BI203" s="974">
        <f t="shared" si="51"/>
        <v>5.0999999999999996</v>
      </c>
      <c r="BJ203" s="974">
        <f t="shared" si="52"/>
        <v>46.9</v>
      </c>
      <c r="BK203" s="974">
        <f t="shared" si="53"/>
        <v>2.4</v>
      </c>
      <c r="BL203" s="974">
        <f t="shared" si="54"/>
        <v>9.5</v>
      </c>
      <c r="BM203" s="974">
        <f t="shared" si="55"/>
        <v>5.6</v>
      </c>
      <c r="BN203" s="974">
        <f t="shared" si="56"/>
        <v>9.9</v>
      </c>
      <c r="BO203" s="974">
        <f t="shared" si="57"/>
        <v>3.5999999999999943</v>
      </c>
      <c r="BP203" s="974">
        <f t="shared" si="59"/>
        <v>100</v>
      </c>
      <c r="BQ203" s="971" t="s">
        <v>2467</v>
      </c>
      <c r="BR203" s="975"/>
      <c r="BS203" s="975"/>
      <c r="BT203" s="975"/>
      <c r="BU203" s="975"/>
      <c r="BV203" s="975"/>
      <c r="BW203" s="975"/>
      <c r="BX203" s="971"/>
      <c r="DH203" s="977" t="str">
        <f t="shared" si="58"/>
        <v>Saint Vincent and Grenadines</v>
      </c>
      <c r="DI203" s="977" t="str">
        <f t="shared" si="58"/>
        <v>Americas</v>
      </c>
      <c r="DJ203" s="977" t="str">
        <f t="shared" si="58"/>
        <v>Caribbean</v>
      </c>
      <c r="DL203" s="977" t="s">
        <v>35</v>
      </c>
    </row>
    <row r="204" spans="49:116" ht="26">
      <c r="AW204" s="969" t="s">
        <v>3233</v>
      </c>
      <c r="AX204" s="987" t="s">
        <v>2536</v>
      </c>
      <c r="AY204" s="970" t="str">
        <f>+BZ17</f>
        <v>Rest of Oceania</v>
      </c>
      <c r="AZ204" s="969">
        <v>459</v>
      </c>
      <c r="BA204" s="971" t="s">
        <v>2465</v>
      </c>
      <c r="BB204" s="972">
        <v>5.4123414965002699</v>
      </c>
      <c r="BC204" s="971" t="s">
        <v>2537</v>
      </c>
      <c r="BD204" s="973"/>
      <c r="BE204" s="973"/>
      <c r="BF204" s="971"/>
      <c r="BG204" s="973"/>
      <c r="BH204" s="974">
        <f t="shared" si="50"/>
        <v>6</v>
      </c>
      <c r="BI204" s="974">
        <f t="shared" si="51"/>
        <v>2.97</v>
      </c>
      <c r="BJ204" s="974">
        <f t="shared" si="52"/>
        <v>67.5</v>
      </c>
      <c r="BK204" s="974">
        <f t="shared" si="53"/>
        <v>2.5</v>
      </c>
      <c r="BL204" s="974">
        <f t="shared" si="54"/>
        <v>9.5</v>
      </c>
      <c r="BM204" s="974">
        <f t="shared" si="55"/>
        <v>5.6</v>
      </c>
      <c r="BN204" s="974">
        <f t="shared" si="56"/>
        <v>2.97</v>
      </c>
      <c r="BO204" s="974">
        <f t="shared" si="57"/>
        <v>2.9666666666666668</v>
      </c>
      <c r="BP204" s="974">
        <f t="shared" si="59"/>
        <v>100.00666666666666</v>
      </c>
      <c r="BQ204" s="971" t="s">
        <v>2467</v>
      </c>
      <c r="BR204" s="975"/>
      <c r="BS204" s="975"/>
      <c r="BT204" s="975"/>
      <c r="BU204" s="975"/>
      <c r="BV204" s="975"/>
      <c r="BW204" s="975"/>
      <c r="BX204" s="971"/>
      <c r="DH204" s="977" t="str">
        <f t="shared" si="58"/>
        <v>Samoa</v>
      </c>
      <c r="DI204" s="977" t="str">
        <f t="shared" si="58"/>
        <v>Oceania</v>
      </c>
      <c r="DJ204" s="977" t="str">
        <f t="shared" si="58"/>
        <v>Rest of Oceania</v>
      </c>
      <c r="DL204" s="977" t="s">
        <v>35</v>
      </c>
    </row>
    <row r="205" spans="49:116" ht="26">
      <c r="AW205" s="969" t="s">
        <v>3234</v>
      </c>
      <c r="AX205" s="969" t="s">
        <v>2493</v>
      </c>
      <c r="AY205" s="970" t="str">
        <f>+BZ14</f>
        <v>Southern Europe</v>
      </c>
      <c r="AZ205" s="969">
        <v>43</v>
      </c>
      <c r="BA205" s="971" t="s">
        <v>2465</v>
      </c>
      <c r="BB205" s="972">
        <v>6.2171813834411278</v>
      </c>
      <c r="BC205" s="971" t="s">
        <v>2550</v>
      </c>
      <c r="BD205" s="973"/>
      <c r="BE205" s="973"/>
      <c r="BF205" s="971"/>
      <c r="BG205" s="973"/>
      <c r="BH205" s="974">
        <f t="shared" si="50"/>
        <v>17</v>
      </c>
      <c r="BI205" s="974">
        <f t="shared" si="51"/>
        <v>6.8</v>
      </c>
      <c r="BJ205" s="974">
        <f t="shared" si="52"/>
        <v>36.9</v>
      </c>
      <c r="BK205" s="974">
        <f t="shared" si="53"/>
        <v>10.6</v>
      </c>
      <c r="BL205" s="974">
        <f t="shared" si="54"/>
        <v>9.5</v>
      </c>
      <c r="BM205" s="974">
        <f t="shared" si="55"/>
        <v>5.6</v>
      </c>
      <c r="BN205" s="974">
        <f t="shared" si="56"/>
        <v>6.8</v>
      </c>
      <c r="BO205" s="974">
        <f t="shared" si="57"/>
        <v>6.8</v>
      </c>
      <c r="BP205" s="974">
        <f t="shared" si="59"/>
        <v>99.999999999999986</v>
      </c>
      <c r="BQ205" s="971" t="s">
        <v>2467</v>
      </c>
      <c r="BR205" s="975"/>
      <c r="BS205" s="975"/>
      <c r="BT205" s="975"/>
      <c r="BU205" s="975"/>
      <c r="BV205" s="975"/>
      <c r="BW205" s="975"/>
      <c r="BX205" s="971"/>
      <c r="DH205" s="977" t="str">
        <f t="shared" si="58"/>
        <v>San Marino</v>
      </c>
      <c r="DI205" s="977" t="str">
        <f t="shared" si="58"/>
        <v>Europe</v>
      </c>
      <c r="DJ205" s="977" t="str">
        <f t="shared" si="58"/>
        <v>Southern Europe</v>
      </c>
      <c r="DL205" s="977" t="s">
        <v>35</v>
      </c>
    </row>
    <row r="206" spans="49:116" ht="26">
      <c r="AW206" s="969" t="s">
        <v>3235</v>
      </c>
      <c r="AX206" s="969" t="s">
        <v>2520</v>
      </c>
      <c r="AY206" s="970" t="str">
        <f>+BZ8</f>
        <v>Middle Africa</v>
      </c>
      <c r="AZ206" s="969">
        <v>530</v>
      </c>
      <c r="BA206" s="971" t="s">
        <v>2465</v>
      </c>
      <c r="BB206" s="972">
        <v>11.740747004194485</v>
      </c>
      <c r="BC206" s="971" t="s">
        <v>2774</v>
      </c>
      <c r="BD206" s="973"/>
      <c r="BE206" s="973"/>
      <c r="BF206" s="971"/>
      <c r="BG206" s="973"/>
      <c r="BH206" s="974">
        <f t="shared" si="50"/>
        <v>16.8</v>
      </c>
      <c r="BI206" s="974">
        <f t="shared" si="51"/>
        <v>2.5</v>
      </c>
      <c r="BJ206" s="974">
        <f t="shared" si="52"/>
        <v>43.4</v>
      </c>
      <c r="BK206" s="974">
        <f t="shared" si="53"/>
        <v>6.5</v>
      </c>
      <c r="BL206" s="974">
        <f t="shared" si="54"/>
        <v>9.5</v>
      </c>
      <c r="BM206" s="974">
        <f t="shared" si="55"/>
        <v>5.6</v>
      </c>
      <c r="BN206" s="974">
        <f t="shared" si="56"/>
        <v>4.5</v>
      </c>
      <c r="BO206" s="974">
        <f t="shared" si="57"/>
        <v>11.200000000000003</v>
      </c>
      <c r="BP206" s="974">
        <f t="shared" si="59"/>
        <v>100</v>
      </c>
      <c r="BQ206" s="971" t="s">
        <v>2467</v>
      </c>
      <c r="BR206" s="975"/>
      <c r="BS206" s="975"/>
      <c r="BT206" s="975"/>
      <c r="BU206" s="975"/>
      <c r="BV206" s="975"/>
      <c r="BW206" s="975"/>
      <c r="BX206" s="971"/>
      <c r="DH206" s="977" t="str">
        <f t="shared" si="58"/>
        <v>Sao Tomé &amp; Principe</v>
      </c>
      <c r="DI206" s="977" t="str">
        <f t="shared" si="58"/>
        <v>Africa</v>
      </c>
      <c r="DJ206" s="977" t="str">
        <f t="shared" si="58"/>
        <v>Middle Africa</v>
      </c>
      <c r="DL206" s="977" t="s">
        <v>35</v>
      </c>
    </row>
    <row r="207" spans="49:116">
      <c r="AW207" s="969" t="s">
        <v>63</v>
      </c>
      <c r="AX207" s="969" t="s">
        <v>2464</v>
      </c>
      <c r="AY207" s="970" t="str">
        <f>+BZ5</f>
        <v>South-Eastern Asia</v>
      </c>
      <c r="AZ207" s="969">
        <v>732</v>
      </c>
      <c r="BA207" s="971" t="s">
        <v>3236</v>
      </c>
      <c r="BB207" s="972">
        <v>6.7811395547231283</v>
      </c>
      <c r="BC207" s="971" t="s">
        <v>2494</v>
      </c>
      <c r="BD207" s="973"/>
      <c r="BE207" s="973"/>
      <c r="BF207" s="971"/>
      <c r="BG207" s="973"/>
      <c r="BH207" s="974">
        <f t="shared" si="50"/>
        <v>12.9</v>
      </c>
      <c r="BI207" s="974">
        <f t="shared" si="51"/>
        <v>2.7</v>
      </c>
      <c r="BJ207" s="974">
        <f t="shared" si="52"/>
        <v>43.5</v>
      </c>
      <c r="BK207" s="974">
        <f t="shared" si="53"/>
        <v>9.9</v>
      </c>
      <c r="BL207" s="974">
        <f t="shared" si="54"/>
        <v>9.5</v>
      </c>
      <c r="BM207" s="974">
        <f t="shared" si="55"/>
        <v>5.6</v>
      </c>
      <c r="BN207" s="974">
        <f t="shared" si="56"/>
        <v>7.2</v>
      </c>
      <c r="BO207" s="974">
        <f t="shared" si="57"/>
        <v>8.7000000000000028</v>
      </c>
      <c r="BP207" s="974">
        <f t="shared" si="59"/>
        <v>100</v>
      </c>
      <c r="BQ207" s="971" t="s">
        <v>2467</v>
      </c>
      <c r="BR207" s="975"/>
      <c r="BS207" s="975"/>
      <c r="BT207" s="975"/>
      <c r="BU207" s="975"/>
      <c r="BV207" s="975"/>
      <c r="BW207" s="975"/>
      <c r="BX207" s="971"/>
      <c r="DH207" s="977" t="str">
        <f t="shared" si="58"/>
        <v>Saudi Arabia</v>
      </c>
      <c r="DI207" s="977" t="str">
        <f t="shared" si="58"/>
        <v>Asia</v>
      </c>
      <c r="DJ207" s="977" t="str">
        <f t="shared" si="58"/>
        <v>South-Eastern Asia</v>
      </c>
      <c r="DL207" s="977" t="s">
        <v>35</v>
      </c>
    </row>
    <row r="208" spans="49:116">
      <c r="AW208" s="969" t="s">
        <v>3237</v>
      </c>
      <c r="AX208" s="969" t="s">
        <v>2520</v>
      </c>
      <c r="AY208" s="970" t="str">
        <f>+BZ11</f>
        <v>Western Africa</v>
      </c>
      <c r="AZ208" s="969">
        <v>568</v>
      </c>
      <c r="BA208" s="971" t="s">
        <v>2465</v>
      </c>
      <c r="BB208" s="972">
        <v>12.866756393001348</v>
      </c>
      <c r="BC208" s="971" t="s">
        <v>2494</v>
      </c>
      <c r="BD208" s="973"/>
      <c r="BE208" s="973"/>
      <c r="BF208" s="971"/>
      <c r="BG208" s="973"/>
      <c r="BH208" s="974">
        <f t="shared" si="50"/>
        <v>9.8000000000000007</v>
      </c>
      <c r="BI208" s="974">
        <f t="shared" si="51"/>
        <v>1</v>
      </c>
      <c r="BJ208" s="974">
        <f t="shared" si="52"/>
        <v>40.4</v>
      </c>
      <c r="BK208" s="974">
        <f t="shared" si="53"/>
        <v>4.4000000000000004</v>
      </c>
      <c r="BL208" s="974">
        <f t="shared" si="54"/>
        <v>9.5</v>
      </c>
      <c r="BM208" s="974">
        <f t="shared" si="55"/>
        <v>5.6</v>
      </c>
      <c r="BN208" s="974">
        <f t="shared" si="56"/>
        <v>3</v>
      </c>
      <c r="BO208" s="974">
        <f t="shared" si="57"/>
        <v>26.300000000000011</v>
      </c>
      <c r="BP208" s="974">
        <f t="shared" si="59"/>
        <v>100</v>
      </c>
      <c r="BQ208" s="971" t="s">
        <v>2467</v>
      </c>
      <c r="BR208" s="975"/>
      <c r="BS208" s="975"/>
      <c r="BT208" s="975"/>
      <c r="BU208" s="975"/>
      <c r="BV208" s="975"/>
      <c r="BW208" s="975"/>
      <c r="BX208" s="971"/>
      <c r="DH208" s="977" t="str">
        <f t="shared" si="58"/>
        <v>Senegal</v>
      </c>
      <c r="DI208" s="977" t="str">
        <f t="shared" si="58"/>
        <v>Africa</v>
      </c>
      <c r="DJ208" s="977" t="str">
        <f t="shared" si="58"/>
        <v>Western Africa</v>
      </c>
      <c r="DL208" s="977" t="s">
        <v>35</v>
      </c>
    </row>
    <row r="209" spans="49:116">
      <c r="AW209" s="969" t="s">
        <v>3238</v>
      </c>
      <c r="AX209" s="969" t="s">
        <v>2493</v>
      </c>
      <c r="AY209" s="970" t="str">
        <f>+BZ14</f>
        <v>Southern Europe</v>
      </c>
      <c r="AZ209" s="969">
        <v>690</v>
      </c>
      <c r="BA209" s="971" t="s">
        <v>2465</v>
      </c>
      <c r="BB209" s="972">
        <v>15.436823536446809</v>
      </c>
      <c r="BC209" s="971" t="s">
        <v>2494</v>
      </c>
      <c r="BD209" s="973"/>
      <c r="BE209" s="973"/>
      <c r="BF209" s="971"/>
      <c r="BG209" s="973"/>
      <c r="BH209" s="974">
        <f t="shared" si="50"/>
        <v>17</v>
      </c>
      <c r="BI209" s="974">
        <f t="shared" si="51"/>
        <v>6.8</v>
      </c>
      <c r="BJ209" s="974">
        <f t="shared" si="52"/>
        <v>36.9</v>
      </c>
      <c r="BK209" s="974">
        <f t="shared" si="53"/>
        <v>10.6</v>
      </c>
      <c r="BL209" s="974">
        <f t="shared" si="54"/>
        <v>9.5</v>
      </c>
      <c r="BM209" s="974">
        <f t="shared" si="55"/>
        <v>5.6</v>
      </c>
      <c r="BN209" s="974">
        <f t="shared" si="56"/>
        <v>6.8</v>
      </c>
      <c r="BO209" s="974">
        <f t="shared" si="57"/>
        <v>6.8</v>
      </c>
      <c r="BP209" s="974">
        <f t="shared" si="59"/>
        <v>99.999999999999986</v>
      </c>
      <c r="BQ209" s="971" t="s">
        <v>2467</v>
      </c>
      <c r="BR209" s="975"/>
      <c r="BS209" s="975"/>
      <c r="BT209" s="975"/>
      <c r="BU209" s="975"/>
      <c r="BV209" s="975"/>
      <c r="BW209" s="975"/>
      <c r="BX209" s="971"/>
      <c r="DH209" s="977" t="str">
        <f t="shared" si="58"/>
        <v>Serbia</v>
      </c>
      <c r="DI209" s="977" t="str">
        <f t="shared" si="58"/>
        <v>Europe</v>
      </c>
      <c r="DJ209" s="977" t="str">
        <f t="shared" si="58"/>
        <v>Southern Europe</v>
      </c>
      <c r="DL209" s="977" t="s">
        <v>35</v>
      </c>
    </row>
    <row r="210" spans="49:116" ht="26">
      <c r="AW210" s="969" t="s">
        <v>3239</v>
      </c>
      <c r="AX210" s="969" t="s">
        <v>2520</v>
      </c>
      <c r="AY210" s="970" t="str">
        <f>+BZ7</f>
        <v>Eastern Africa</v>
      </c>
      <c r="AZ210" s="969">
        <v>516</v>
      </c>
      <c r="BA210" s="971" t="s">
        <v>2465</v>
      </c>
      <c r="BB210" s="972">
        <v>11.740747004194485</v>
      </c>
      <c r="BC210" s="971" t="s">
        <v>2774</v>
      </c>
      <c r="BD210" s="973"/>
      <c r="BE210" s="973"/>
      <c r="BF210" s="971"/>
      <c r="BG210" s="973"/>
      <c r="BH210" s="974">
        <f t="shared" si="50"/>
        <v>7.7</v>
      </c>
      <c r="BI210" s="974">
        <f t="shared" si="51"/>
        <v>1.7</v>
      </c>
      <c r="BJ210" s="974">
        <f t="shared" si="52"/>
        <v>53.9</v>
      </c>
      <c r="BK210" s="974">
        <f t="shared" si="53"/>
        <v>7</v>
      </c>
      <c r="BL210" s="974">
        <f t="shared" si="54"/>
        <v>9.5</v>
      </c>
      <c r="BM210" s="974">
        <f t="shared" si="55"/>
        <v>5.6</v>
      </c>
      <c r="BN210" s="974">
        <f t="shared" si="56"/>
        <v>5.5</v>
      </c>
      <c r="BO210" s="974">
        <f t="shared" si="57"/>
        <v>9.1000000000000085</v>
      </c>
      <c r="BP210" s="974">
        <f t="shared" si="59"/>
        <v>100</v>
      </c>
      <c r="BQ210" s="971" t="s">
        <v>2467</v>
      </c>
      <c r="BR210" s="975"/>
      <c r="BS210" s="975"/>
      <c r="BT210" s="975"/>
      <c r="BU210" s="975"/>
      <c r="BV210" s="975"/>
      <c r="BW210" s="975"/>
      <c r="BX210" s="971"/>
      <c r="DH210" s="977" t="str">
        <f t="shared" si="58"/>
        <v>Seychelles</v>
      </c>
      <c r="DI210" s="977" t="str">
        <f t="shared" si="58"/>
        <v>Africa</v>
      </c>
      <c r="DJ210" s="977" t="str">
        <f t="shared" si="58"/>
        <v>Eastern Africa</v>
      </c>
      <c r="DL210" s="977" t="s">
        <v>35</v>
      </c>
    </row>
    <row r="211" spans="49:116" ht="26">
      <c r="AW211" s="969" t="s">
        <v>3240</v>
      </c>
      <c r="AX211" s="969" t="s">
        <v>2520</v>
      </c>
      <c r="AY211" s="970" t="str">
        <f>+BZ11</f>
        <v>Western Africa</v>
      </c>
      <c r="AZ211" s="969">
        <v>455</v>
      </c>
      <c r="BA211" s="971" t="s">
        <v>2465</v>
      </c>
      <c r="BB211" s="972">
        <v>13.490630673342661</v>
      </c>
      <c r="BC211" s="971" t="s">
        <v>2725</v>
      </c>
      <c r="BD211" s="973"/>
      <c r="BE211" s="973"/>
      <c r="BF211" s="971"/>
      <c r="BG211" s="973"/>
      <c r="BH211" s="974">
        <f t="shared" si="50"/>
        <v>9.8000000000000007</v>
      </c>
      <c r="BI211" s="974">
        <f t="shared" si="51"/>
        <v>1</v>
      </c>
      <c r="BJ211" s="974">
        <f t="shared" si="52"/>
        <v>40.4</v>
      </c>
      <c r="BK211" s="974">
        <f t="shared" si="53"/>
        <v>4.4000000000000004</v>
      </c>
      <c r="BL211" s="974">
        <f t="shared" si="54"/>
        <v>9.5</v>
      </c>
      <c r="BM211" s="974">
        <f t="shared" si="55"/>
        <v>5.6</v>
      </c>
      <c r="BN211" s="974">
        <f t="shared" si="56"/>
        <v>3</v>
      </c>
      <c r="BO211" s="974">
        <f t="shared" si="57"/>
        <v>26.300000000000011</v>
      </c>
      <c r="BP211" s="974">
        <f t="shared" si="59"/>
        <v>100</v>
      </c>
      <c r="BQ211" s="971" t="s">
        <v>2467</v>
      </c>
      <c r="BR211" s="975"/>
      <c r="BS211" s="975"/>
      <c r="BT211" s="975"/>
      <c r="BU211" s="975"/>
      <c r="BV211" s="975"/>
      <c r="BW211" s="975"/>
      <c r="BX211" s="971"/>
      <c r="DH211" s="977" t="str">
        <f t="shared" si="58"/>
        <v>Sierra Leone</v>
      </c>
      <c r="DI211" s="977" t="str">
        <f t="shared" si="58"/>
        <v>Africa</v>
      </c>
      <c r="DJ211" s="977" t="str">
        <f t="shared" si="58"/>
        <v>Western Africa</v>
      </c>
      <c r="DL211" s="977" t="s">
        <v>35</v>
      </c>
    </row>
    <row r="212" spans="49:116">
      <c r="AW212" s="969" t="s">
        <v>64</v>
      </c>
      <c r="AX212" s="969" t="s">
        <v>2464</v>
      </c>
      <c r="AY212" s="970" t="str">
        <f>+BZ5</f>
        <v>South-Eastern Asia</v>
      </c>
      <c r="AZ212" s="969">
        <v>249</v>
      </c>
      <c r="BA212" s="971" t="s">
        <v>2465</v>
      </c>
      <c r="BB212" s="972">
        <v>2.0291616038882139</v>
      </c>
      <c r="BC212" s="971" t="s">
        <v>2494</v>
      </c>
      <c r="BD212" s="973"/>
      <c r="BE212" s="973"/>
      <c r="BF212" s="971"/>
      <c r="BG212" s="973"/>
      <c r="BH212" s="974">
        <f t="shared" si="50"/>
        <v>12.9</v>
      </c>
      <c r="BI212" s="974">
        <f t="shared" si="51"/>
        <v>2.7</v>
      </c>
      <c r="BJ212" s="974">
        <f t="shared" si="52"/>
        <v>43.5</v>
      </c>
      <c r="BK212" s="974">
        <f t="shared" si="53"/>
        <v>9.9</v>
      </c>
      <c r="BL212" s="974">
        <f t="shared" si="54"/>
        <v>9.5</v>
      </c>
      <c r="BM212" s="974">
        <f t="shared" si="55"/>
        <v>5.6</v>
      </c>
      <c r="BN212" s="974">
        <f t="shared" si="56"/>
        <v>7.2</v>
      </c>
      <c r="BO212" s="974">
        <f t="shared" si="57"/>
        <v>8.7000000000000028</v>
      </c>
      <c r="BP212" s="974">
        <f t="shared" si="59"/>
        <v>100</v>
      </c>
      <c r="BQ212" s="971" t="s">
        <v>2467</v>
      </c>
      <c r="BR212" s="975"/>
      <c r="BS212" s="975"/>
      <c r="BT212" s="975"/>
      <c r="BU212" s="975"/>
      <c r="BV212" s="975"/>
      <c r="BW212" s="975"/>
      <c r="BX212" s="971"/>
      <c r="DH212" s="977" t="str">
        <f t="shared" si="58"/>
        <v>Singapore</v>
      </c>
      <c r="DI212" s="977" t="str">
        <f t="shared" si="58"/>
        <v>Asia</v>
      </c>
      <c r="DJ212" s="977" t="str">
        <f t="shared" si="58"/>
        <v>South-Eastern Asia</v>
      </c>
      <c r="DL212" s="977" t="s">
        <v>35</v>
      </c>
    </row>
    <row r="213" spans="49:116" ht="26">
      <c r="AW213" s="969" t="s">
        <v>3241</v>
      </c>
      <c r="AX213" s="987" t="s">
        <v>2576</v>
      </c>
      <c r="AY213" s="970" t="str">
        <f>+BZ21</f>
        <v>Caribbean</v>
      </c>
      <c r="AZ213" s="969">
        <v>469</v>
      </c>
      <c r="BA213" s="971" t="s">
        <v>2465</v>
      </c>
      <c r="BB213" s="972">
        <v>9.3894684857089938</v>
      </c>
      <c r="BC213" s="971" t="s">
        <v>2577</v>
      </c>
      <c r="BD213" s="973"/>
      <c r="BE213" s="973"/>
      <c r="BF213" s="971"/>
      <c r="BG213" s="973"/>
      <c r="BH213" s="974">
        <f t="shared" si="50"/>
        <v>17</v>
      </c>
      <c r="BI213" s="974">
        <f t="shared" si="51"/>
        <v>5.0999999999999996</v>
      </c>
      <c r="BJ213" s="974">
        <f t="shared" si="52"/>
        <v>46.9</v>
      </c>
      <c r="BK213" s="974">
        <f t="shared" si="53"/>
        <v>2.4</v>
      </c>
      <c r="BL213" s="974">
        <f t="shared" si="54"/>
        <v>9.5</v>
      </c>
      <c r="BM213" s="974">
        <f t="shared" si="55"/>
        <v>5.6</v>
      </c>
      <c r="BN213" s="974">
        <f t="shared" si="56"/>
        <v>9.9</v>
      </c>
      <c r="BO213" s="974">
        <f t="shared" si="57"/>
        <v>3.5999999999999943</v>
      </c>
      <c r="BP213" s="974">
        <f t="shared" si="59"/>
        <v>100</v>
      </c>
      <c r="BQ213" s="971" t="s">
        <v>2467</v>
      </c>
      <c r="BR213" s="975"/>
      <c r="BS213" s="975"/>
      <c r="BT213" s="975"/>
      <c r="BU213" s="975"/>
      <c r="BV213" s="975"/>
      <c r="BW213" s="975"/>
      <c r="BX213" s="971"/>
      <c r="DH213" s="977" t="str">
        <f t="shared" ref="DH213:DJ266" si="60">AW213</f>
        <v>Sint Martin (Netherlands)</v>
      </c>
      <c r="DI213" s="977" t="str">
        <f t="shared" si="60"/>
        <v>Americas</v>
      </c>
      <c r="DJ213" s="977" t="str">
        <f t="shared" si="60"/>
        <v>Caribbean</v>
      </c>
      <c r="DL213" s="977" t="s">
        <v>35</v>
      </c>
    </row>
    <row r="214" spans="49:116">
      <c r="AW214" s="969" t="s">
        <v>3242</v>
      </c>
      <c r="AX214" s="969" t="s">
        <v>2493</v>
      </c>
      <c r="AY214" s="970" t="str">
        <f>+BZ12</f>
        <v>Eastern Europe</v>
      </c>
      <c r="AZ214" s="969">
        <v>132.30000000000001</v>
      </c>
      <c r="BA214" s="971" t="s">
        <v>2678</v>
      </c>
      <c r="BB214" s="972">
        <v>2.456902902607927</v>
      </c>
      <c r="BC214" s="971" t="s">
        <v>2494</v>
      </c>
      <c r="BD214" s="973"/>
      <c r="BE214" s="973"/>
      <c r="BF214" s="971"/>
      <c r="BG214" s="973"/>
      <c r="BH214" s="974">
        <f t="shared" si="50"/>
        <v>21.8</v>
      </c>
      <c r="BI214" s="974">
        <f t="shared" si="51"/>
        <v>4.7</v>
      </c>
      <c r="BJ214" s="974">
        <f t="shared" si="52"/>
        <v>30.1</v>
      </c>
      <c r="BK214" s="974">
        <f t="shared" si="53"/>
        <v>7.5</v>
      </c>
      <c r="BL214" s="974">
        <f t="shared" si="54"/>
        <v>9.5</v>
      </c>
      <c r="BM214" s="974">
        <f t="shared" si="55"/>
        <v>5.6</v>
      </c>
      <c r="BN214" s="974">
        <f t="shared" si="56"/>
        <v>6.2</v>
      </c>
      <c r="BO214" s="974">
        <f t="shared" si="57"/>
        <v>14.600000000000009</v>
      </c>
      <c r="BP214" s="974">
        <f t="shared" si="59"/>
        <v>100</v>
      </c>
      <c r="BQ214" s="971" t="s">
        <v>2467</v>
      </c>
      <c r="BR214" s="975"/>
      <c r="BS214" s="975"/>
      <c r="BT214" s="975"/>
      <c r="BU214" s="975"/>
      <c r="BV214" s="975"/>
      <c r="BW214" s="975"/>
      <c r="BX214" s="971"/>
      <c r="DH214" s="977" t="str">
        <f t="shared" si="60"/>
        <v>Slovakia</v>
      </c>
      <c r="DI214" s="977" t="str">
        <f t="shared" si="60"/>
        <v>Europe</v>
      </c>
      <c r="DJ214" s="977" t="str">
        <f t="shared" si="60"/>
        <v>Eastern Europe</v>
      </c>
      <c r="DK214" s="977" t="e">
        <f>VLOOKUP(DH214,#REF!,1)</f>
        <v>#REF!</v>
      </c>
      <c r="DL214" s="977" t="e">
        <f>VLOOKUP(DK214,#REF!,2,FALSE)</f>
        <v>#REF!</v>
      </c>
    </row>
    <row r="215" spans="49:116">
      <c r="AW215" s="969" t="s">
        <v>3243</v>
      </c>
      <c r="AX215" s="969" t="s">
        <v>2493</v>
      </c>
      <c r="AY215" s="970" t="str">
        <f>+BZ14</f>
        <v>Southern Europe</v>
      </c>
      <c r="AZ215" s="969">
        <v>254.1</v>
      </c>
      <c r="BA215" s="971" t="s">
        <v>2678</v>
      </c>
      <c r="BB215" s="972">
        <v>4.7835460001165302</v>
      </c>
      <c r="BC215" s="971" t="s">
        <v>2494</v>
      </c>
      <c r="BD215" s="973"/>
      <c r="BE215" s="973"/>
      <c r="BF215" s="971"/>
      <c r="BG215" s="973"/>
      <c r="BH215" s="974">
        <f t="shared" si="50"/>
        <v>17</v>
      </c>
      <c r="BI215" s="974">
        <f t="shared" si="51"/>
        <v>6.8</v>
      </c>
      <c r="BJ215" s="974">
        <f t="shared" si="52"/>
        <v>36.9</v>
      </c>
      <c r="BK215" s="974">
        <f t="shared" si="53"/>
        <v>10.6</v>
      </c>
      <c r="BL215" s="974">
        <f t="shared" si="54"/>
        <v>9.5</v>
      </c>
      <c r="BM215" s="974">
        <f t="shared" si="55"/>
        <v>5.6</v>
      </c>
      <c r="BN215" s="974">
        <f t="shared" si="56"/>
        <v>6.8</v>
      </c>
      <c r="BO215" s="974">
        <f t="shared" si="57"/>
        <v>6.8</v>
      </c>
      <c r="BP215" s="974">
        <f t="shared" si="59"/>
        <v>99.999999999999986</v>
      </c>
      <c r="BQ215" s="971" t="s">
        <v>2467</v>
      </c>
      <c r="BR215" s="975"/>
      <c r="BS215" s="975"/>
      <c r="BT215" s="975"/>
      <c r="BU215" s="975"/>
      <c r="BV215" s="975"/>
      <c r="BW215" s="975"/>
      <c r="BX215" s="971"/>
      <c r="DH215" s="977" t="str">
        <f t="shared" si="60"/>
        <v>Slovenia</v>
      </c>
      <c r="DI215" s="977" t="str">
        <f t="shared" si="60"/>
        <v>Europe</v>
      </c>
      <c r="DJ215" s="977" t="str">
        <f t="shared" si="60"/>
        <v>Southern Europe</v>
      </c>
      <c r="DK215" s="977" t="e">
        <f>VLOOKUP(DH215,#REF!,1)</f>
        <v>#REF!</v>
      </c>
      <c r="DL215" s="977" t="e">
        <f>VLOOKUP(DK215,#REF!,2,FALSE)</f>
        <v>#REF!</v>
      </c>
    </row>
    <row r="216" spans="49:116" ht="26">
      <c r="AW216" s="969" t="s">
        <v>3244</v>
      </c>
      <c r="AX216" s="987" t="s">
        <v>2536</v>
      </c>
      <c r="AY216" s="970" t="str">
        <f>+BZ17</f>
        <v>Rest of Oceania</v>
      </c>
      <c r="AZ216" s="969">
        <v>631</v>
      </c>
      <c r="BA216" s="971" t="s">
        <v>2465</v>
      </c>
      <c r="BB216" s="972">
        <v>5.4123414965002699</v>
      </c>
      <c r="BC216" s="971" t="s">
        <v>2537</v>
      </c>
      <c r="BD216" s="973"/>
      <c r="BE216" s="973"/>
      <c r="BF216" s="971"/>
      <c r="BG216" s="973"/>
      <c r="BH216" s="974">
        <f t="shared" si="50"/>
        <v>6</v>
      </c>
      <c r="BI216" s="974">
        <f t="shared" si="51"/>
        <v>2.97</v>
      </c>
      <c r="BJ216" s="974">
        <f t="shared" si="52"/>
        <v>67.5</v>
      </c>
      <c r="BK216" s="974">
        <f t="shared" si="53"/>
        <v>2.5</v>
      </c>
      <c r="BL216" s="974">
        <f t="shared" si="54"/>
        <v>9.5</v>
      </c>
      <c r="BM216" s="974">
        <f t="shared" si="55"/>
        <v>5.6</v>
      </c>
      <c r="BN216" s="974">
        <f t="shared" si="56"/>
        <v>2.97</v>
      </c>
      <c r="BO216" s="974">
        <f t="shared" si="57"/>
        <v>2.9666666666666668</v>
      </c>
      <c r="BP216" s="974">
        <f t="shared" si="59"/>
        <v>100.00666666666666</v>
      </c>
      <c r="BQ216" s="971" t="s">
        <v>2467</v>
      </c>
      <c r="BR216" s="975"/>
      <c r="BS216" s="975"/>
      <c r="BT216" s="975"/>
      <c r="BU216" s="975"/>
      <c r="BV216" s="975"/>
      <c r="BW216" s="975"/>
      <c r="BX216" s="971"/>
      <c r="DH216" s="977" t="str">
        <f t="shared" si="60"/>
        <v>Solomon Islands</v>
      </c>
      <c r="DI216" s="977" t="str">
        <f t="shared" si="60"/>
        <v>Oceania</v>
      </c>
      <c r="DJ216" s="977" t="str">
        <f t="shared" si="60"/>
        <v>Rest of Oceania</v>
      </c>
      <c r="DL216" s="977" t="s">
        <v>35</v>
      </c>
    </row>
    <row r="217" spans="49:116" ht="26">
      <c r="AW217" s="969" t="s">
        <v>3245</v>
      </c>
      <c r="AX217" s="969" t="s">
        <v>2520</v>
      </c>
      <c r="AY217" s="970" t="str">
        <f>+BZ7</f>
        <v>Eastern Africa</v>
      </c>
      <c r="AZ217" s="969">
        <v>658</v>
      </c>
      <c r="BA217" s="971" t="s">
        <v>2465</v>
      </c>
      <c r="BB217" s="972">
        <v>13.490630673342661</v>
      </c>
      <c r="BC217" s="971" t="s">
        <v>2725</v>
      </c>
      <c r="BD217" s="973"/>
      <c r="BE217" s="973"/>
      <c r="BF217" s="971"/>
      <c r="BG217" s="973"/>
      <c r="BH217" s="974">
        <f t="shared" si="50"/>
        <v>7.7</v>
      </c>
      <c r="BI217" s="974">
        <f t="shared" si="51"/>
        <v>1.7</v>
      </c>
      <c r="BJ217" s="974">
        <f t="shared" si="52"/>
        <v>53.9</v>
      </c>
      <c r="BK217" s="974">
        <f t="shared" si="53"/>
        <v>7</v>
      </c>
      <c r="BL217" s="974">
        <f t="shared" si="54"/>
        <v>9.5</v>
      </c>
      <c r="BM217" s="974">
        <f t="shared" si="55"/>
        <v>5.6</v>
      </c>
      <c r="BN217" s="974">
        <f t="shared" si="56"/>
        <v>5.5</v>
      </c>
      <c r="BO217" s="974">
        <f t="shared" si="57"/>
        <v>9.1000000000000085</v>
      </c>
      <c r="BP217" s="974">
        <f t="shared" si="59"/>
        <v>100</v>
      </c>
      <c r="BQ217" s="971" t="s">
        <v>2467</v>
      </c>
      <c r="BR217" s="975"/>
      <c r="BS217" s="975"/>
      <c r="BT217" s="975"/>
      <c r="BU217" s="975"/>
      <c r="BV217" s="975"/>
      <c r="BW217" s="975"/>
      <c r="BX217" s="971"/>
      <c r="DH217" s="977" t="str">
        <f t="shared" si="60"/>
        <v>Somalia</v>
      </c>
      <c r="DI217" s="977" t="str">
        <f t="shared" si="60"/>
        <v>Africa</v>
      </c>
      <c r="DJ217" s="977" t="str">
        <f t="shared" si="60"/>
        <v>Eastern Africa</v>
      </c>
      <c r="DL217" s="977" t="s">
        <v>35</v>
      </c>
    </row>
    <row r="218" spans="49:116">
      <c r="AW218" s="969" t="s">
        <v>65</v>
      </c>
      <c r="AX218" s="969" t="s">
        <v>2520</v>
      </c>
      <c r="AY218" s="970" t="str">
        <f>+BZ10</f>
        <v>Southern Africa</v>
      </c>
      <c r="AZ218" s="969">
        <v>928</v>
      </c>
      <c r="BA218" s="971" t="s">
        <v>3246</v>
      </c>
      <c r="BB218" s="972">
        <v>8.393761198696442</v>
      </c>
      <c r="BC218" s="971" t="s">
        <v>2494</v>
      </c>
      <c r="BD218" s="973"/>
      <c r="BE218" s="973"/>
      <c r="BF218" s="971"/>
      <c r="BG218" s="973"/>
      <c r="BH218" s="974">
        <f t="shared" si="50"/>
        <v>25</v>
      </c>
      <c r="BI218" s="974">
        <f t="shared" si="51"/>
        <v>7.3</v>
      </c>
      <c r="BJ218" s="974">
        <f t="shared" si="52"/>
        <v>23</v>
      </c>
      <c r="BK218" s="974">
        <f t="shared" si="53"/>
        <v>15</v>
      </c>
      <c r="BL218" s="974">
        <f t="shared" si="54"/>
        <v>9.5</v>
      </c>
      <c r="BM218" s="974">
        <f t="shared" si="55"/>
        <v>5.6</v>
      </c>
      <c r="BN218" s="974">
        <f t="shared" si="56"/>
        <v>7.3</v>
      </c>
      <c r="BO218" s="974">
        <f t="shared" si="57"/>
        <v>7.3</v>
      </c>
      <c r="BP218" s="974">
        <f t="shared" si="59"/>
        <v>99.999999999999986</v>
      </c>
      <c r="BQ218" s="971" t="s">
        <v>2467</v>
      </c>
      <c r="BR218" s="975"/>
      <c r="BS218" s="975"/>
      <c r="BT218" s="975"/>
      <c r="BU218" s="975"/>
      <c r="BV218" s="975"/>
      <c r="BW218" s="975"/>
      <c r="BX218" s="971"/>
      <c r="DH218" s="977" t="str">
        <f t="shared" si="60"/>
        <v>South Africa</v>
      </c>
      <c r="DI218" s="977" t="str">
        <f t="shared" si="60"/>
        <v>Africa</v>
      </c>
      <c r="DJ218" s="977" t="str">
        <f t="shared" si="60"/>
        <v>Southern Africa</v>
      </c>
      <c r="DL218" s="977" t="s">
        <v>35</v>
      </c>
    </row>
    <row r="219" spans="49:116">
      <c r="AW219" s="969" t="s">
        <v>3247</v>
      </c>
      <c r="AX219" s="969" t="s">
        <v>2520</v>
      </c>
      <c r="AY219" s="970" t="str">
        <f>+BZ7</f>
        <v>Eastern Africa</v>
      </c>
      <c r="AZ219" s="969">
        <v>743</v>
      </c>
      <c r="BA219" s="971" t="s">
        <v>2465</v>
      </c>
      <c r="BB219" s="972">
        <v>5.7377049180327866</v>
      </c>
      <c r="BC219" s="971" t="s">
        <v>2494</v>
      </c>
      <c r="BD219" s="973"/>
      <c r="BE219" s="973"/>
      <c r="BF219" s="971"/>
      <c r="BG219" s="973"/>
      <c r="BH219" s="974">
        <f t="shared" si="50"/>
        <v>7.7</v>
      </c>
      <c r="BI219" s="974">
        <f t="shared" si="51"/>
        <v>1.7</v>
      </c>
      <c r="BJ219" s="974">
        <f t="shared" si="52"/>
        <v>53.9</v>
      </c>
      <c r="BK219" s="974">
        <f t="shared" si="53"/>
        <v>7</v>
      </c>
      <c r="BL219" s="974">
        <f t="shared" si="54"/>
        <v>9.5</v>
      </c>
      <c r="BM219" s="974">
        <f t="shared" si="55"/>
        <v>5.6</v>
      </c>
      <c r="BN219" s="974">
        <f t="shared" si="56"/>
        <v>5.5</v>
      </c>
      <c r="BO219" s="974">
        <f t="shared" si="57"/>
        <v>9.1000000000000085</v>
      </c>
      <c r="BP219" s="974">
        <f t="shared" si="59"/>
        <v>100</v>
      </c>
      <c r="BQ219" s="971" t="s">
        <v>2467</v>
      </c>
      <c r="BR219" s="975"/>
      <c r="BS219" s="975"/>
      <c r="BT219" s="975"/>
      <c r="BU219" s="975"/>
      <c r="BV219" s="975"/>
      <c r="BW219" s="975"/>
      <c r="BX219" s="971"/>
      <c r="DH219" s="977" t="str">
        <f t="shared" si="60"/>
        <v>South Sudan</v>
      </c>
      <c r="DI219" s="977" t="str">
        <f t="shared" si="60"/>
        <v>Africa</v>
      </c>
      <c r="DJ219" s="977" t="str">
        <f t="shared" si="60"/>
        <v>Eastern Africa</v>
      </c>
      <c r="DL219" s="977" t="s">
        <v>35</v>
      </c>
    </row>
    <row r="220" spans="49:116">
      <c r="AW220" s="969" t="s">
        <v>66</v>
      </c>
      <c r="AX220" s="969" t="s">
        <v>2493</v>
      </c>
      <c r="AY220" s="970" t="str">
        <f>+BZ14</f>
        <v>Southern Europe</v>
      </c>
      <c r="AZ220" s="969">
        <v>265.39999999999998</v>
      </c>
      <c r="BA220" s="971" t="s">
        <v>2678</v>
      </c>
      <c r="BB220" s="972">
        <v>9.5992347671750036</v>
      </c>
      <c r="BC220" s="971" t="s">
        <v>2494</v>
      </c>
      <c r="BD220" s="973"/>
      <c r="BE220" s="973"/>
      <c r="BF220" s="971"/>
      <c r="BG220" s="973"/>
      <c r="BH220" s="974">
        <f t="shared" si="50"/>
        <v>17</v>
      </c>
      <c r="BI220" s="974">
        <f t="shared" si="51"/>
        <v>6.8</v>
      </c>
      <c r="BJ220" s="974">
        <f t="shared" si="52"/>
        <v>36.9</v>
      </c>
      <c r="BK220" s="974">
        <f t="shared" si="53"/>
        <v>10.6</v>
      </c>
      <c r="BL220" s="974">
        <f t="shared" si="54"/>
        <v>9.5</v>
      </c>
      <c r="BM220" s="974">
        <f t="shared" si="55"/>
        <v>5.6</v>
      </c>
      <c r="BN220" s="974">
        <f t="shared" si="56"/>
        <v>6.8</v>
      </c>
      <c r="BO220" s="974">
        <f t="shared" si="57"/>
        <v>6.8</v>
      </c>
      <c r="BP220" s="974">
        <f t="shared" si="59"/>
        <v>99.999999999999986</v>
      </c>
      <c r="BQ220" s="971" t="s">
        <v>2467</v>
      </c>
      <c r="BR220" s="975"/>
      <c r="BS220" s="975"/>
      <c r="BT220" s="975"/>
      <c r="BU220" s="975"/>
      <c r="BV220" s="975"/>
      <c r="BW220" s="975"/>
      <c r="BX220" s="971"/>
      <c r="DH220" s="977" t="str">
        <f t="shared" si="60"/>
        <v>Spain</v>
      </c>
      <c r="DI220" s="977" t="str">
        <f t="shared" si="60"/>
        <v>Europe</v>
      </c>
      <c r="DJ220" s="977" t="str">
        <f t="shared" si="60"/>
        <v>Southern Europe</v>
      </c>
      <c r="DK220" s="977" t="e">
        <f>VLOOKUP(DH220,#REF!,1)</f>
        <v>#REF!</v>
      </c>
      <c r="DL220" s="977" t="e">
        <f>VLOOKUP(DK220,#REF!,2,FALSE)</f>
        <v>#REF!</v>
      </c>
    </row>
    <row r="221" spans="49:116">
      <c r="AW221" s="969" t="s">
        <v>3248</v>
      </c>
      <c r="AX221" s="969" t="s">
        <v>2464</v>
      </c>
      <c r="AY221" s="970" t="str">
        <f>+BZ4</f>
        <v>South-Central Asia</v>
      </c>
      <c r="AZ221" s="969">
        <v>468</v>
      </c>
      <c r="BA221" s="971" t="s">
        <v>2465</v>
      </c>
      <c r="BB221" s="972">
        <v>11.443704357595699</v>
      </c>
      <c r="BC221" s="971" t="s">
        <v>2494</v>
      </c>
      <c r="BD221" s="973"/>
      <c r="BE221" s="973"/>
      <c r="BF221" s="971"/>
      <c r="BG221" s="973"/>
      <c r="BH221" s="974">
        <f t="shared" si="50"/>
        <v>11.3</v>
      </c>
      <c r="BI221" s="974">
        <f t="shared" si="51"/>
        <v>2.5</v>
      </c>
      <c r="BJ221" s="974">
        <f t="shared" si="52"/>
        <v>40.299999999999997</v>
      </c>
      <c r="BK221" s="974">
        <f t="shared" si="53"/>
        <v>7.9</v>
      </c>
      <c r="BL221" s="974">
        <f t="shared" si="54"/>
        <v>9.5</v>
      </c>
      <c r="BM221" s="974">
        <f t="shared" si="55"/>
        <v>5.6</v>
      </c>
      <c r="BN221" s="974">
        <f t="shared" si="56"/>
        <v>6.4</v>
      </c>
      <c r="BO221" s="974">
        <f t="shared" si="57"/>
        <v>16.5</v>
      </c>
      <c r="BP221" s="974">
        <f t="shared" si="59"/>
        <v>100</v>
      </c>
      <c r="BQ221" s="971" t="s">
        <v>2467</v>
      </c>
      <c r="BR221" s="975"/>
      <c r="BS221" s="975"/>
      <c r="BT221" s="975"/>
      <c r="BU221" s="975"/>
      <c r="BV221" s="975"/>
      <c r="BW221" s="975"/>
      <c r="BX221" s="971"/>
      <c r="DH221" s="977" t="str">
        <f t="shared" si="60"/>
        <v>Sri Lanka</v>
      </c>
      <c r="DI221" s="977" t="str">
        <f t="shared" si="60"/>
        <v>Asia</v>
      </c>
      <c r="DJ221" s="977" t="str">
        <f t="shared" si="60"/>
        <v>South-Central Asia</v>
      </c>
      <c r="DL221" s="977" t="s">
        <v>35</v>
      </c>
    </row>
    <row r="222" spans="49:116">
      <c r="AW222" s="969" t="s">
        <v>3249</v>
      </c>
      <c r="AX222" s="969" t="s">
        <v>2520</v>
      </c>
      <c r="AY222" s="970" t="str">
        <f>+BZ7</f>
        <v>Eastern Africa</v>
      </c>
      <c r="AZ222" s="969">
        <v>352</v>
      </c>
      <c r="BA222" s="971" t="s">
        <v>2465</v>
      </c>
      <c r="BB222" s="972">
        <v>14.284458509142054</v>
      </c>
      <c r="BC222" s="971" t="s">
        <v>2494</v>
      </c>
      <c r="BD222" s="973"/>
      <c r="BE222" s="973"/>
      <c r="BF222" s="971"/>
      <c r="BG222" s="973"/>
      <c r="BH222" s="974">
        <f t="shared" si="50"/>
        <v>7.7</v>
      </c>
      <c r="BI222" s="974">
        <f t="shared" si="51"/>
        <v>1.7</v>
      </c>
      <c r="BJ222" s="974">
        <f t="shared" si="52"/>
        <v>53.9</v>
      </c>
      <c r="BK222" s="974">
        <f t="shared" si="53"/>
        <v>7</v>
      </c>
      <c r="BL222" s="974">
        <f t="shared" si="54"/>
        <v>9.5</v>
      </c>
      <c r="BM222" s="974">
        <f t="shared" si="55"/>
        <v>5.6</v>
      </c>
      <c r="BN222" s="974">
        <f t="shared" si="56"/>
        <v>5.5</v>
      </c>
      <c r="BO222" s="974">
        <f t="shared" si="57"/>
        <v>9.1000000000000085</v>
      </c>
      <c r="BP222" s="974">
        <f t="shared" si="59"/>
        <v>100</v>
      </c>
      <c r="BQ222" s="971" t="s">
        <v>2467</v>
      </c>
      <c r="BR222" s="975"/>
      <c r="BS222" s="975"/>
      <c r="BT222" s="975"/>
      <c r="BU222" s="975"/>
      <c r="BV222" s="975"/>
      <c r="BW222" s="975"/>
      <c r="BX222" s="971"/>
      <c r="DH222" s="977" t="str">
        <f t="shared" si="60"/>
        <v>Sudan</v>
      </c>
      <c r="DI222" s="977" t="str">
        <f t="shared" si="60"/>
        <v>Africa</v>
      </c>
      <c r="DJ222" s="977" t="str">
        <f t="shared" si="60"/>
        <v>Eastern Africa</v>
      </c>
      <c r="DL222" s="977" t="s">
        <v>35</v>
      </c>
    </row>
    <row r="223" spans="49:116">
      <c r="AW223" s="969" t="s">
        <v>3250</v>
      </c>
      <c r="AX223" s="987" t="s">
        <v>2576</v>
      </c>
      <c r="AY223" s="970" t="str">
        <f>+BZ20</f>
        <v>South America</v>
      </c>
      <c r="AZ223" s="969">
        <v>485</v>
      </c>
      <c r="BA223" s="971" t="s">
        <v>2465</v>
      </c>
      <c r="BB223" s="972">
        <v>8.7155963302752291</v>
      </c>
      <c r="BC223" s="971" t="s">
        <v>2494</v>
      </c>
      <c r="BD223" s="973"/>
      <c r="BE223" s="973"/>
      <c r="BF223" s="971"/>
      <c r="BG223" s="973"/>
      <c r="BH223" s="974">
        <f t="shared" si="50"/>
        <v>17.100000000000001</v>
      </c>
      <c r="BI223" s="974">
        <f t="shared" si="51"/>
        <v>2.6</v>
      </c>
      <c r="BJ223" s="974">
        <f t="shared" si="52"/>
        <v>44.9</v>
      </c>
      <c r="BK223" s="974">
        <f t="shared" si="53"/>
        <v>4.7</v>
      </c>
      <c r="BL223" s="974">
        <f t="shared" si="54"/>
        <v>9.5</v>
      </c>
      <c r="BM223" s="974">
        <f t="shared" si="55"/>
        <v>5.6</v>
      </c>
      <c r="BN223" s="974">
        <f t="shared" si="56"/>
        <v>10.8</v>
      </c>
      <c r="BO223" s="974">
        <f t="shared" si="57"/>
        <v>4.8000000000000114</v>
      </c>
      <c r="BP223" s="974">
        <f t="shared" si="59"/>
        <v>100</v>
      </c>
      <c r="BQ223" s="971" t="s">
        <v>2467</v>
      </c>
      <c r="BR223" s="975"/>
      <c r="BS223" s="975"/>
      <c r="BT223" s="975"/>
      <c r="BU223" s="975"/>
      <c r="BV223" s="975"/>
      <c r="BW223" s="975"/>
      <c r="BX223" s="971"/>
      <c r="DH223" s="977" t="str">
        <f t="shared" si="60"/>
        <v>Suriname</v>
      </c>
      <c r="DI223" s="977" t="str">
        <f t="shared" si="60"/>
        <v>Americas</v>
      </c>
      <c r="DJ223" s="977" t="str">
        <f t="shared" si="60"/>
        <v>South America</v>
      </c>
      <c r="DL223" s="977" t="s">
        <v>35</v>
      </c>
    </row>
    <row r="224" spans="49:116">
      <c r="AW224" s="969" t="s">
        <v>3251</v>
      </c>
      <c r="AX224" s="969" t="s">
        <v>2493</v>
      </c>
      <c r="AY224" s="970" t="str">
        <f>+BZ13</f>
        <v>Northern Europe</v>
      </c>
      <c r="AZ224" s="969">
        <v>13.3</v>
      </c>
      <c r="BA224" s="971" t="s">
        <v>2678</v>
      </c>
      <c r="BB224" s="972">
        <v>4.7761699467288379</v>
      </c>
      <c r="BC224" s="971" t="s">
        <v>2494</v>
      </c>
      <c r="BD224" s="973"/>
      <c r="BE224" s="973"/>
      <c r="BF224" s="971"/>
      <c r="BG224" s="973"/>
      <c r="BH224" s="974">
        <f t="shared" ref="BH224:BH280" si="61">+VLOOKUP($AY224,$BZ$3:$CH$21,2,FALSE)</f>
        <v>30.6</v>
      </c>
      <c r="BI224" s="974">
        <f t="shared" ref="BI224:BI280" si="62">+VLOOKUP($AY224,$BZ$3:$CH$21,3,FALSE)</f>
        <v>2</v>
      </c>
      <c r="BJ224" s="974">
        <f t="shared" ref="BJ224:BJ280" si="63">+VLOOKUP($AY224,$BZ$3:$CH$21,4,FALSE)</f>
        <v>23.8</v>
      </c>
      <c r="BK224" s="974">
        <f t="shared" ref="BK224:BK280" si="64">+VLOOKUP($AY224,$BZ$3:$CH$21,5,FALSE)</f>
        <v>10</v>
      </c>
      <c r="BL224" s="974">
        <f t="shared" ref="BL224:BL280" si="65">+VLOOKUP($AY224,$BZ$3:$CH$21,6,FALSE)</f>
        <v>9.5</v>
      </c>
      <c r="BM224" s="974">
        <f t="shared" ref="BM224:BM280" si="66">+VLOOKUP($AY224,$BZ$3:$CH$21,7,FALSE)</f>
        <v>5.6</v>
      </c>
      <c r="BN224" s="974">
        <f t="shared" ref="BN224:BN280" si="67">+VLOOKUP($AY224,$BZ$3:$CH$21,8,FALSE)</f>
        <v>13</v>
      </c>
      <c r="BO224" s="974">
        <f t="shared" ref="BO224:BO280" si="68">+VLOOKUP($AY224,$BZ$3:$CH$21,9,FALSE)</f>
        <v>5.5</v>
      </c>
      <c r="BP224" s="974">
        <f t="shared" si="59"/>
        <v>100</v>
      </c>
      <c r="BQ224" s="971" t="s">
        <v>2467</v>
      </c>
      <c r="BR224" s="975"/>
      <c r="BS224" s="975"/>
      <c r="BT224" s="975"/>
      <c r="BU224" s="975"/>
      <c r="BV224" s="975"/>
      <c r="BW224" s="975"/>
      <c r="BX224" s="971"/>
      <c r="DH224" s="977" t="str">
        <f t="shared" si="60"/>
        <v>Sweden</v>
      </c>
      <c r="DI224" s="977" t="str">
        <f t="shared" si="60"/>
        <v>Europe</v>
      </c>
      <c r="DJ224" s="977" t="str">
        <f t="shared" si="60"/>
        <v>Northern Europe</v>
      </c>
      <c r="DK224" s="977" t="e">
        <f>VLOOKUP(DH224,#REF!,1)</f>
        <v>#REF!</v>
      </c>
      <c r="DL224" s="977" t="e">
        <f>VLOOKUP(DK224,#REF!,2,FALSE)</f>
        <v>#REF!</v>
      </c>
    </row>
    <row r="225" spans="49:116">
      <c r="AW225" s="969" t="s">
        <v>67</v>
      </c>
      <c r="AX225" s="969" t="s">
        <v>2493</v>
      </c>
      <c r="AY225" s="970" t="str">
        <f>+BZ15</f>
        <v>Western Europe</v>
      </c>
      <c r="AZ225" s="969">
        <v>55</v>
      </c>
      <c r="BA225" s="971" t="s">
        <v>2465</v>
      </c>
      <c r="BB225" s="972">
        <v>6.6988103049841667</v>
      </c>
      <c r="BC225" s="971" t="s">
        <v>2494</v>
      </c>
      <c r="BD225" s="973"/>
      <c r="BE225" s="973"/>
      <c r="BF225" s="971"/>
      <c r="BG225" s="973"/>
      <c r="BH225" s="974">
        <f t="shared" si="61"/>
        <v>27.5</v>
      </c>
      <c r="BI225" s="974">
        <f t="shared" si="62"/>
        <v>7.4</v>
      </c>
      <c r="BJ225" s="974">
        <f t="shared" si="63"/>
        <v>24.2</v>
      </c>
      <c r="BK225" s="974">
        <f t="shared" si="64"/>
        <v>11</v>
      </c>
      <c r="BL225" s="974">
        <f t="shared" si="65"/>
        <v>9.5</v>
      </c>
      <c r="BM225" s="974">
        <f t="shared" si="66"/>
        <v>5.6</v>
      </c>
      <c r="BN225" s="974">
        <f t="shared" si="67"/>
        <v>7.4</v>
      </c>
      <c r="BO225" s="974">
        <f t="shared" si="68"/>
        <v>7.3999999999999986</v>
      </c>
      <c r="BP225" s="974">
        <f t="shared" si="59"/>
        <v>100</v>
      </c>
      <c r="BQ225" s="971" t="s">
        <v>2467</v>
      </c>
      <c r="BR225" s="975"/>
      <c r="BS225" s="975"/>
      <c r="BT225" s="975"/>
      <c r="BU225" s="975"/>
      <c r="BV225" s="975"/>
      <c r="BW225" s="975"/>
      <c r="BX225" s="971"/>
      <c r="DH225" s="977" t="str">
        <f t="shared" si="60"/>
        <v>Switzerland</v>
      </c>
      <c r="DI225" s="977" t="str">
        <f t="shared" si="60"/>
        <v>Europe</v>
      </c>
      <c r="DJ225" s="977" t="str">
        <f t="shared" si="60"/>
        <v>Western Europe</v>
      </c>
      <c r="DK225" s="977" t="e">
        <f>VLOOKUP(DH225,#REF!,1)</f>
        <v>#REF!</v>
      </c>
      <c r="DL225" s="977" t="e">
        <f>VLOOKUP(DK225,#REF!,2,FALSE)</f>
        <v>#REF!</v>
      </c>
    </row>
    <row r="226" spans="49:116">
      <c r="AW226" s="969" t="s">
        <v>3252</v>
      </c>
      <c r="AX226" s="969" t="s">
        <v>2464</v>
      </c>
      <c r="AY226" s="970" t="str">
        <f>+BZ6</f>
        <v>Western Asia &amp; Middle East</v>
      </c>
      <c r="AZ226" s="969">
        <v>525</v>
      </c>
      <c r="BA226" s="971" t="s">
        <v>2465</v>
      </c>
      <c r="BB226" s="972">
        <v>15.915887406844828</v>
      </c>
      <c r="BC226" s="971" t="s">
        <v>2494</v>
      </c>
      <c r="BD226" s="973"/>
      <c r="BE226" s="973"/>
      <c r="BF226" s="971"/>
      <c r="BG226" s="973"/>
      <c r="BH226" s="974">
        <f t="shared" si="61"/>
        <v>18</v>
      </c>
      <c r="BI226" s="974">
        <f t="shared" si="62"/>
        <v>2.9</v>
      </c>
      <c r="BJ226" s="974">
        <f t="shared" si="63"/>
        <v>41.1</v>
      </c>
      <c r="BK226" s="974">
        <f t="shared" si="64"/>
        <v>9.8000000000000007</v>
      </c>
      <c r="BL226" s="974">
        <f t="shared" si="65"/>
        <v>9.5</v>
      </c>
      <c r="BM226" s="974">
        <f t="shared" si="66"/>
        <v>5.6</v>
      </c>
      <c r="BN226" s="974">
        <f t="shared" si="67"/>
        <v>6.3</v>
      </c>
      <c r="BO226" s="974">
        <f t="shared" si="68"/>
        <v>6.8000000000000114</v>
      </c>
      <c r="BP226" s="974">
        <f t="shared" si="59"/>
        <v>100</v>
      </c>
      <c r="BQ226" s="971" t="s">
        <v>2467</v>
      </c>
      <c r="BR226" s="975"/>
      <c r="BS226" s="975"/>
      <c r="BT226" s="975"/>
      <c r="BU226" s="975"/>
      <c r="BV226" s="975"/>
      <c r="BW226" s="975"/>
      <c r="BX226" s="971"/>
      <c r="DH226" s="977" t="str">
        <f t="shared" si="60"/>
        <v>Syrian Arab Republic</v>
      </c>
      <c r="DI226" s="977" t="str">
        <f t="shared" si="60"/>
        <v>Asia</v>
      </c>
      <c r="DJ226" s="977" t="str">
        <f t="shared" si="60"/>
        <v>Western Asia &amp; Middle East</v>
      </c>
      <c r="DL226" s="977" t="s">
        <v>35</v>
      </c>
    </row>
    <row r="227" spans="49:116" ht="26">
      <c r="AW227" s="969" t="s">
        <v>3253</v>
      </c>
      <c r="AX227" s="969" t="s">
        <v>2464</v>
      </c>
      <c r="AY227" s="970" t="str">
        <f>+BZ3</f>
        <v>Eastern Asia</v>
      </c>
      <c r="AZ227" s="969">
        <v>365</v>
      </c>
      <c r="BA227" s="971" t="s">
        <v>2465</v>
      </c>
      <c r="BB227" s="972">
        <v>5.4123414965002699</v>
      </c>
      <c r="BC227" s="971" t="s">
        <v>2537</v>
      </c>
      <c r="BD227" s="973"/>
      <c r="BE227" s="973"/>
      <c r="BF227" s="971"/>
      <c r="BG227" s="973"/>
      <c r="BH227" s="974">
        <f t="shared" si="61"/>
        <v>18.8</v>
      </c>
      <c r="BI227" s="974">
        <f t="shared" si="62"/>
        <v>3.5</v>
      </c>
      <c r="BJ227" s="974">
        <f t="shared" si="63"/>
        <v>26.2</v>
      </c>
      <c r="BK227" s="974">
        <f t="shared" si="64"/>
        <v>3.5</v>
      </c>
      <c r="BL227" s="974">
        <f t="shared" si="65"/>
        <v>9.5</v>
      </c>
      <c r="BM227" s="974">
        <f t="shared" si="66"/>
        <v>5.6</v>
      </c>
      <c r="BN227" s="974">
        <f t="shared" si="67"/>
        <v>14.3</v>
      </c>
      <c r="BO227" s="974">
        <f t="shared" si="68"/>
        <v>18.600000000000009</v>
      </c>
      <c r="BP227" s="974">
        <f t="shared" si="59"/>
        <v>100</v>
      </c>
      <c r="BQ227" s="971" t="s">
        <v>2467</v>
      </c>
      <c r="BR227" s="975"/>
      <c r="BS227" s="975"/>
      <c r="BT227" s="975"/>
      <c r="BU227" s="975"/>
      <c r="BV227" s="975"/>
      <c r="BW227" s="975"/>
      <c r="BX227" s="971"/>
      <c r="DH227" s="977" t="str">
        <f t="shared" si="60"/>
        <v>Taiwan</v>
      </c>
      <c r="DI227" s="977" t="str">
        <f t="shared" si="60"/>
        <v>Asia</v>
      </c>
      <c r="DJ227" s="977" t="str">
        <f t="shared" si="60"/>
        <v>Eastern Asia</v>
      </c>
      <c r="DK227" s="977" t="s">
        <v>3254</v>
      </c>
      <c r="DL227" s="977" t="e">
        <f>VLOOKUP(DK227,#REF!,2,FALSE)</f>
        <v>#REF!</v>
      </c>
    </row>
    <row r="228" spans="49:116">
      <c r="AW228" s="969" t="s">
        <v>3255</v>
      </c>
      <c r="AX228" s="969" t="s">
        <v>2464</v>
      </c>
      <c r="AY228" s="970" t="str">
        <f>+BZ4</f>
        <v>South-Central Asia</v>
      </c>
      <c r="AZ228" s="969">
        <v>63</v>
      </c>
      <c r="BA228" s="971" t="s">
        <v>2465</v>
      </c>
      <c r="BB228" s="972">
        <v>17.022826614861582</v>
      </c>
      <c r="BC228" s="971" t="s">
        <v>2494</v>
      </c>
      <c r="BD228" s="973"/>
      <c r="BE228" s="973"/>
      <c r="BF228" s="971"/>
      <c r="BG228" s="973"/>
      <c r="BH228" s="974">
        <f t="shared" si="61"/>
        <v>11.3</v>
      </c>
      <c r="BI228" s="974">
        <f t="shared" si="62"/>
        <v>2.5</v>
      </c>
      <c r="BJ228" s="974">
        <f t="shared" si="63"/>
        <v>40.299999999999997</v>
      </c>
      <c r="BK228" s="974">
        <f t="shared" si="64"/>
        <v>7.9</v>
      </c>
      <c r="BL228" s="974">
        <f t="shared" si="65"/>
        <v>9.5</v>
      </c>
      <c r="BM228" s="974">
        <f t="shared" si="66"/>
        <v>5.6</v>
      </c>
      <c r="BN228" s="974">
        <f t="shared" si="67"/>
        <v>6.4</v>
      </c>
      <c r="BO228" s="974">
        <f t="shared" si="68"/>
        <v>16.5</v>
      </c>
      <c r="BP228" s="974">
        <f t="shared" si="59"/>
        <v>100</v>
      </c>
      <c r="BQ228" s="971" t="s">
        <v>2467</v>
      </c>
      <c r="BR228" s="975"/>
      <c r="BS228" s="975"/>
      <c r="BT228" s="975"/>
      <c r="BU228" s="975"/>
      <c r="BV228" s="975"/>
      <c r="BW228" s="975"/>
      <c r="BX228" s="971"/>
      <c r="DH228" s="977" t="str">
        <f t="shared" si="60"/>
        <v>Tajikistan</v>
      </c>
      <c r="DI228" s="977" t="str">
        <f t="shared" si="60"/>
        <v>Asia</v>
      </c>
      <c r="DJ228" s="977" t="str">
        <f t="shared" si="60"/>
        <v>South-Central Asia</v>
      </c>
      <c r="DL228" s="977" t="s">
        <v>35</v>
      </c>
    </row>
    <row r="229" spans="49:116">
      <c r="AW229" s="969" t="s">
        <v>3256</v>
      </c>
      <c r="AX229" s="969" t="s">
        <v>2520</v>
      </c>
      <c r="AY229" s="970" t="str">
        <f>+BZ7</f>
        <v>Eastern Africa</v>
      </c>
      <c r="AZ229" s="969">
        <v>477</v>
      </c>
      <c r="BA229" s="971" t="s">
        <v>2465</v>
      </c>
      <c r="BB229" s="972">
        <v>17.655571635311144</v>
      </c>
      <c r="BC229" s="971" t="s">
        <v>2494</v>
      </c>
      <c r="BD229" s="973"/>
      <c r="BE229" s="973"/>
      <c r="BF229" s="971"/>
      <c r="BG229" s="973"/>
      <c r="BH229" s="974">
        <f t="shared" si="61"/>
        <v>7.7</v>
      </c>
      <c r="BI229" s="974">
        <f t="shared" si="62"/>
        <v>1.7</v>
      </c>
      <c r="BJ229" s="974">
        <f t="shared" si="63"/>
        <v>53.9</v>
      </c>
      <c r="BK229" s="974">
        <f t="shared" si="64"/>
        <v>7</v>
      </c>
      <c r="BL229" s="974">
        <f t="shared" si="65"/>
        <v>9.5</v>
      </c>
      <c r="BM229" s="974">
        <f t="shared" si="66"/>
        <v>5.6</v>
      </c>
      <c r="BN229" s="974">
        <f t="shared" si="67"/>
        <v>5.5</v>
      </c>
      <c r="BO229" s="974">
        <f t="shared" si="68"/>
        <v>9.1000000000000085</v>
      </c>
      <c r="BP229" s="974">
        <f t="shared" si="59"/>
        <v>100</v>
      </c>
      <c r="BQ229" s="971" t="s">
        <v>2467</v>
      </c>
      <c r="BR229" s="975"/>
      <c r="BS229" s="975"/>
      <c r="BT229" s="975"/>
      <c r="BU229" s="975"/>
      <c r="BV229" s="975"/>
      <c r="BW229" s="975"/>
      <c r="BX229" s="971"/>
      <c r="DH229" s="977" t="str">
        <f t="shared" si="60"/>
        <v>Tanzania</v>
      </c>
      <c r="DI229" s="977" t="str">
        <f t="shared" si="60"/>
        <v>Africa</v>
      </c>
      <c r="DJ229" s="977" t="str">
        <f t="shared" si="60"/>
        <v>Eastern Africa</v>
      </c>
      <c r="DL229" s="977" t="s">
        <v>35</v>
      </c>
    </row>
    <row r="230" spans="49:116">
      <c r="AW230" s="969" t="s">
        <v>68</v>
      </c>
      <c r="AX230" s="969" t="s">
        <v>2464</v>
      </c>
      <c r="AY230" s="970" t="str">
        <f>+BZ5</f>
        <v>South-Eastern Asia</v>
      </c>
      <c r="AZ230" s="969">
        <v>390</v>
      </c>
      <c r="BA230" s="971" t="s">
        <v>2465</v>
      </c>
      <c r="BB230" s="972">
        <v>6.1112012610691266</v>
      </c>
      <c r="BC230" s="971" t="s">
        <v>2494</v>
      </c>
      <c r="BD230" s="987">
        <v>7.0000000000000007E-2</v>
      </c>
      <c r="BE230" s="987">
        <v>0.14000000000000001</v>
      </c>
      <c r="BF230" s="971" t="s">
        <v>2679</v>
      </c>
      <c r="BG230" s="973"/>
      <c r="BH230" s="974">
        <f t="shared" si="61"/>
        <v>12.9</v>
      </c>
      <c r="BI230" s="974">
        <f t="shared" si="62"/>
        <v>2.7</v>
      </c>
      <c r="BJ230" s="974">
        <f t="shared" si="63"/>
        <v>43.5</v>
      </c>
      <c r="BK230" s="974">
        <f t="shared" si="64"/>
        <v>9.9</v>
      </c>
      <c r="BL230" s="974">
        <f t="shared" si="65"/>
        <v>9.5</v>
      </c>
      <c r="BM230" s="974">
        <f t="shared" si="66"/>
        <v>5.6</v>
      </c>
      <c r="BN230" s="974">
        <f t="shared" si="67"/>
        <v>7.2</v>
      </c>
      <c r="BO230" s="974">
        <f t="shared" si="68"/>
        <v>8.7000000000000028</v>
      </c>
      <c r="BP230" s="974">
        <f t="shared" si="59"/>
        <v>100</v>
      </c>
      <c r="BQ230" s="971" t="s">
        <v>2467</v>
      </c>
      <c r="BR230" s="975"/>
      <c r="BS230" s="975"/>
      <c r="BT230" s="975"/>
      <c r="BU230" s="975"/>
      <c r="BV230" s="975"/>
      <c r="BW230" s="975"/>
      <c r="BX230" s="971"/>
      <c r="DH230" s="977" t="str">
        <f t="shared" si="60"/>
        <v>Thailand</v>
      </c>
      <c r="DI230" s="977" t="str">
        <f t="shared" si="60"/>
        <v>Asia</v>
      </c>
      <c r="DJ230" s="977" t="str">
        <f t="shared" si="60"/>
        <v>South-Eastern Asia</v>
      </c>
      <c r="DL230" s="977" t="s">
        <v>35</v>
      </c>
    </row>
    <row r="231" spans="49:116" ht="26">
      <c r="AW231" s="969" t="s">
        <v>3257</v>
      </c>
      <c r="AX231" s="969" t="s">
        <v>2464</v>
      </c>
      <c r="AY231" s="970" t="str">
        <f>+BZ5</f>
        <v>South-Eastern Asia</v>
      </c>
      <c r="AZ231" s="969">
        <v>630</v>
      </c>
      <c r="BA231" s="971" t="s">
        <v>2465</v>
      </c>
      <c r="BB231" s="972">
        <v>5.4123414965002699</v>
      </c>
      <c r="BC231" s="971" t="s">
        <v>2537</v>
      </c>
      <c r="BD231" s="973"/>
      <c r="BE231" s="973"/>
      <c r="BF231" s="971"/>
      <c r="BG231" s="973"/>
      <c r="BH231" s="974">
        <f t="shared" si="61"/>
        <v>12.9</v>
      </c>
      <c r="BI231" s="974">
        <f t="shared" si="62"/>
        <v>2.7</v>
      </c>
      <c r="BJ231" s="974">
        <f t="shared" si="63"/>
        <v>43.5</v>
      </c>
      <c r="BK231" s="974">
        <f t="shared" si="64"/>
        <v>9.9</v>
      </c>
      <c r="BL231" s="974">
        <f t="shared" si="65"/>
        <v>9.5</v>
      </c>
      <c r="BM231" s="974">
        <f t="shared" si="66"/>
        <v>5.6</v>
      </c>
      <c r="BN231" s="974">
        <f t="shared" si="67"/>
        <v>7.2</v>
      </c>
      <c r="BO231" s="974">
        <f t="shared" si="68"/>
        <v>8.7000000000000028</v>
      </c>
      <c r="BP231" s="974">
        <f t="shared" si="59"/>
        <v>100</v>
      </c>
      <c r="BQ231" s="971" t="s">
        <v>2467</v>
      </c>
      <c r="BR231" s="975"/>
      <c r="BS231" s="975"/>
      <c r="BT231" s="975"/>
      <c r="BU231" s="975"/>
      <c r="BV231" s="975"/>
      <c r="BW231" s="975"/>
      <c r="BX231" s="971"/>
      <c r="DH231" s="977" t="str">
        <f t="shared" si="60"/>
        <v>Timor-Leste</v>
      </c>
      <c r="DI231" s="977" t="str">
        <f t="shared" si="60"/>
        <v>Asia</v>
      </c>
      <c r="DJ231" s="977" t="str">
        <f t="shared" si="60"/>
        <v>South-Eastern Asia</v>
      </c>
      <c r="DL231" s="977" t="s">
        <v>35</v>
      </c>
    </row>
    <row r="232" spans="49:116">
      <c r="AW232" s="969" t="s">
        <v>3258</v>
      </c>
      <c r="AX232" s="969" t="s">
        <v>2520</v>
      </c>
      <c r="AY232" s="970" t="str">
        <f>+BZ11</f>
        <v>Western Africa</v>
      </c>
      <c r="AZ232" s="969">
        <v>341</v>
      </c>
      <c r="BA232" s="971" t="s">
        <v>2465</v>
      </c>
      <c r="BB232" s="972">
        <v>71.034482758620683</v>
      </c>
      <c r="BC232" s="971" t="s">
        <v>2494</v>
      </c>
      <c r="BD232" s="973"/>
      <c r="BE232" s="973"/>
      <c r="BF232" s="971"/>
      <c r="BG232" s="973"/>
      <c r="BH232" s="974">
        <f t="shared" si="61"/>
        <v>9.8000000000000007</v>
      </c>
      <c r="BI232" s="974">
        <f t="shared" si="62"/>
        <v>1</v>
      </c>
      <c r="BJ232" s="974">
        <f t="shared" si="63"/>
        <v>40.4</v>
      </c>
      <c r="BK232" s="974">
        <f t="shared" si="64"/>
        <v>4.4000000000000004</v>
      </c>
      <c r="BL232" s="974">
        <f t="shared" si="65"/>
        <v>9.5</v>
      </c>
      <c r="BM232" s="974">
        <f t="shared" si="66"/>
        <v>5.6</v>
      </c>
      <c r="BN232" s="974">
        <f t="shared" si="67"/>
        <v>3</v>
      </c>
      <c r="BO232" s="974">
        <f t="shared" si="68"/>
        <v>26.300000000000011</v>
      </c>
      <c r="BP232" s="974">
        <f t="shared" si="59"/>
        <v>100</v>
      </c>
      <c r="BQ232" s="971" t="s">
        <v>2467</v>
      </c>
      <c r="BR232" s="975"/>
      <c r="BS232" s="975"/>
      <c r="BT232" s="975"/>
      <c r="BU232" s="975"/>
      <c r="BV232" s="975"/>
      <c r="BW232" s="975"/>
      <c r="BX232" s="971"/>
      <c r="DH232" s="977" t="str">
        <f t="shared" si="60"/>
        <v>Togo</v>
      </c>
      <c r="DI232" s="977" t="str">
        <f t="shared" si="60"/>
        <v>Africa</v>
      </c>
      <c r="DJ232" s="977" t="str">
        <f t="shared" si="60"/>
        <v>Western Africa</v>
      </c>
      <c r="DL232" s="977" t="s">
        <v>35</v>
      </c>
    </row>
    <row r="233" spans="49:116" ht="26">
      <c r="AW233" s="969" t="s">
        <v>3259</v>
      </c>
      <c r="AX233" s="987" t="s">
        <v>2536</v>
      </c>
      <c r="AY233" s="970" t="str">
        <f>+BZ17</f>
        <v>Rest of Oceania</v>
      </c>
      <c r="AZ233" s="969">
        <v>583</v>
      </c>
      <c r="BA233" s="971" t="s">
        <v>2465</v>
      </c>
      <c r="BB233" s="972">
        <v>5.4123414965002699</v>
      </c>
      <c r="BC233" s="971" t="s">
        <v>2537</v>
      </c>
      <c r="BD233" s="973"/>
      <c r="BE233" s="973"/>
      <c r="BF233" s="971"/>
      <c r="BG233" s="973"/>
      <c r="BH233" s="974">
        <f t="shared" si="61"/>
        <v>6</v>
      </c>
      <c r="BI233" s="974">
        <f t="shared" si="62"/>
        <v>2.97</v>
      </c>
      <c r="BJ233" s="974">
        <f t="shared" si="63"/>
        <v>67.5</v>
      </c>
      <c r="BK233" s="974">
        <f t="shared" si="64"/>
        <v>2.5</v>
      </c>
      <c r="BL233" s="974">
        <f t="shared" si="65"/>
        <v>9.5</v>
      </c>
      <c r="BM233" s="974">
        <f t="shared" si="66"/>
        <v>5.6</v>
      </c>
      <c r="BN233" s="974">
        <f t="shared" si="67"/>
        <v>2.97</v>
      </c>
      <c r="BO233" s="974">
        <f t="shared" si="68"/>
        <v>2.9666666666666668</v>
      </c>
      <c r="BP233" s="974">
        <f t="shared" si="59"/>
        <v>100.00666666666666</v>
      </c>
      <c r="BQ233" s="971" t="s">
        <v>2467</v>
      </c>
      <c r="BR233" s="975"/>
      <c r="BS233" s="975"/>
      <c r="BT233" s="975"/>
      <c r="BU233" s="975"/>
      <c r="BV233" s="975"/>
      <c r="BW233" s="975"/>
      <c r="BX233" s="971"/>
      <c r="DH233" s="977" t="str">
        <f t="shared" si="60"/>
        <v>Tonga</v>
      </c>
      <c r="DI233" s="977" t="str">
        <f t="shared" si="60"/>
        <v>Oceania</v>
      </c>
      <c r="DJ233" s="977" t="str">
        <f t="shared" si="60"/>
        <v>Rest of Oceania</v>
      </c>
      <c r="DL233" s="977" t="s">
        <v>35</v>
      </c>
    </row>
    <row r="234" spans="49:116">
      <c r="AW234" s="969" t="s">
        <v>3260</v>
      </c>
      <c r="AX234" s="987" t="s">
        <v>2576</v>
      </c>
      <c r="AY234" s="970" t="str">
        <f>+BZ21</f>
        <v>Caribbean</v>
      </c>
      <c r="AZ234" s="969">
        <v>424</v>
      </c>
      <c r="BA234" s="971" t="s">
        <v>2465</v>
      </c>
      <c r="BB234" s="972">
        <v>2.3041940373926222</v>
      </c>
      <c r="BC234" s="971" t="s">
        <v>2494</v>
      </c>
      <c r="BD234" s="973"/>
      <c r="BE234" s="973"/>
      <c r="BF234" s="971"/>
      <c r="BG234" s="973"/>
      <c r="BH234" s="974">
        <f t="shared" si="61"/>
        <v>17</v>
      </c>
      <c r="BI234" s="974">
        <f t="shared" si="62"/>
        <v>5.0999999999999996</v>
      </c>
      <c r="BJ234" s="974">
        <f t="shared" si="63"/>
        <v>46.9</v>
      </c>
      <c r="BK234" s="974">
        <f t="shared" si="64"/>
        <v>2.4</v>
      </c>
      <c r="BL234" s="974">
        <f t="shared" si="65"/>
        <v>9.5</v>
      </c>
      <c r="BM234" s="974">
        <f t="shared" si="66"/>
        <v>5.6</v>
      </c>
      <c r="BN234" s="974">
        <f t="shared" si="67"/>
        <v>9.9</v>
      </c>
      <c r="BO234" s="974">
        <f t="shared" si="68"/>
        <v>3.5999999999999943</v>
      </c>
      <c r="BP234" s="974">
        <f t="shared" si="59"/>
        <v>100</v>
      </c>
      <c r="BQ234" s="971" t="s">
        <v>2467</v>
      </c>
      <c r="BR234" s="975"/>
      <c r="BS234" s="975"/>
      <c r="BT234" s="975"/>
      <c r="BU234" s="975"/>
      <c r="BV234" s="975"/>
      <c r="BW234" s="975"/>
      <c r="BX234" s="971"/>
      <c r="DH234" s="977" t="str">
        <f t="shared" si="60"/>
        <v>Trinidad and Tobago</v>
      </c>
      <c r="DI234" s="977" t="str">
        <f t="shared" si="60"/>
        <v>Americas</v>
      </c>
      <c r="DJ234" s="977" t="str">
        <f t="shared" si="60"/>
        <v>Caribbean</v>
      </c>
      <c r="DL234" s="977" t="s">
        <v>35</v>
      </c>
    </row>
    <row r="235" spans="49:116">
      <c r="AW235" s="969" t="s">
        <v>3261</v>
      </c>
      <c r="AX235" s="969" t="s">
        <v>2520</v>
      </c>
      <c r="AY235" s="970" t="str">
        <f>+BZ9</f>
        <v>Northern Africa</v>
      </c>
      <c r="AZ235" s="969">
        <v>404</v>
      </c>
      <c r="BA235" s="971" t="s">
        <v>2465</v>
      </c>
      <c r="BB235" s="972">
        <v>14.799770869135031</v>
      </c>
      <c r="BC235" s="971" t="s">
        <v>2494</v>
      </c>
      <c r="BD235" s="973"/>
      <c r="BE235" s="973"/>
      <c r="BF235" s="971"/>
      <c r="BG235" s="973"/>
      <c r="BH235" s="974">
        <f t="shared" si="61"/>
        <v>16.5</v>
      </c>
      <c r="BI235" s="974">
        <f t="shared" si="62"/>
        <v>2.5</v>
      </c>
      <c r="BJ235" s="974">
        <f t="shared" si="63"/>
        <v>51.1</v>
      </c>
      <c r="BK235" s="974">
        <f t="shared" si="64"/>
        <v>2</v>
      </c>
      <c r="BL235" s="974">
        <f t="shared" si="65"/>
        <v>9.5</v>
      </c>
      <c r="BM235" s="974">
        <f t="shared" si="66"/>
        <v>5.6</v>
      </c>
      <c r="BN235" s="974">
        <f t="shared" si="67"/>
        <v>4.5</v>
      </c>
      <c r="BO235" s="974">
        <f t="shared" si="68"/>
        <v>8.3000000000000114</v>
      </c>
      <c r="BP235" s="974">
        <f t="shared" si="59"/>
        <v>100</v>
      </c>
      <c r="BQ235" s="971" t="s">
        <v>2467</v>
      </c>
      <c r="BR235" s="975"/>
      <c r="BS235" s="975"/>
      <c r="BT235" s="975"/>
      <c r="BU235" s="975"/>
      <c r="BV235" s="975"/>
      <c r="BW235" s="975"/>
      <c r="BX235" s="971"/>
      <c r="DH235" s="977" t="str">
        <f t="shared" si="60"/>
        <v>Tunisia</v>
      </c>
      <c r="DI235" s="977" t="str">
        <f t="shared" si="60"/>
        <v>Africa</v>
      </c>
      <c r="DJ235" s="977" t="str">
        <f t="shared" si="60"/>
        <v>Northern Africa</v>
      </c>
      <c r="DL235" s="977" t="s">
        <v>35</v>
      </c>
    </row>
    <row r="236" spans="49:116">
      <c r="AW236" s="969" t="s">
        <v>69</v>
      </c>
      <c r="AX236" s="969" t="s">
        <v>2464</v>
      </c>
      <c r="AY236" s="970" t="str">
        <f>+BZ6</f>
        <v>Western Asia &amp; Middle East</v>
      </c>
      <c r="AZ236" s="969">
        <v>481</v>
      </c>
      <c r="BA236" s="971" t="s">
        <v>3262</v>
      </c>
      <c r="BB236" s="972">
        <v>14.816064263403753</v>
      </c>
      <c r="BC236" s="971" t="s">
        <v>2494</v>
      </c>
      <c r="BD236" s="973"/>
      <c r="BE236" s="973"/>
      <c r="BF236" s="971"/>
      <c r="BG236" s="973"/>
      <c r="BH236" s="974">
        <f t="shared" si="61"/>
        <v>18</v>
      </c>
      <c r="BI236" s="974">
        <f t="shared" si="62"/>
        <v>2.9</v>
      </c>
      <c r="BJ236" s="974">
        <f t="shared" si="63"/>
        <v>41.1</v>
      </c>
      <c r="BK236" s="974">
        <f t="shared" si="64"/>
        <v>9.8000000000000007</v>
      </c>
      <c r="BL236" s="974">
        <f t="shared" si="65"/>
        <v>9.5</v>
      </c>
      <c r="BM236" s="974">
        <f t="shared" si="66"/>
        <v>5.6</v>
      </c>
      <c r="BN236" s="974">
        <f t="shared" si="67"/>
        <v>6.3</v>
      </c>
      <c r="BO236" s="974">
        <f t="shared" si="68"/>
        <v>6.8000000000000114</v>
      </c>
      <c r="BP236" s="974">
        <f t="shared" si="59"/>
        <v>100</v>
      </c>
      <c r="BQ236" s="971" t="s">
        <v>2467</v>
      </c>
      <c r="BR236" s="975"/>
      <c r="BS236" s="975"/>
      <c r="BT236" s="975"/>
      <c r="BU236" s="975"/>
      <c r="BV236" s="975"/>
      <c r="BW236" s="975"/>
      <c r="BX236" s="971"/>
      <c r="DH236" s="977" t="str">
        <f t="shared" si="60"/>
        <v>Turkey</v>
      </c>
      <c r="DI236" s="977" t="str">
        <f t="shared" si="60"/>
        <v>Asia</v>
      </c>
      <c r="DJ236" s="977" t="str">
        <f t="shared" si="60"/>
        <v>Western Asia &amp; Middle East</v>
      </c>
      <c r="DK236" s="977" t="e">
        <f>VLOOKUP(DH236,#REF!,1)</f>
        <v>#REF!</v>
      </c>
      <c r="DL236" s="977" t="e">
        <f>VLOOKUP(DK236,#REF!,2,FALSE)</f>
        <v>#REF!</v>
      </c>
    </row>
    <row r="237" spans="49:116">
      <c r="AW237" s="969" t="s">
        <v>3263</v>
      </c>
      <c r="AX237" s="969" t="s">
        <v>2464</v>
      </c>
      <c r="AY237" s="970" t="str">
        <f>+BZ4</f>
        <v>South-Central Asia</v>
      </c>
      <c r="AZ237" s="969">
        <v>691</v>
      </c>
      <c r="BA237" s="971" t="s">
        <v>2465</v>
      </c>
      <c r="BB237" s="972">
        <v>12.485294117647058</v>
      </c>
      <c r="BC237" s="971" t="s">
        <v>2494</v>
      </c>
      <c r="BD237" s="973"/>
      <c r="BE237" s="973"/>
      <c r="BF237" s="971"/>
      <c r="BG237" s="973"/>
      <c r="BH237" s="974">
        <f t="shared" si="61"/>
        <v>11.3</v>
      </c>
      <c r="BI237" s="974">
        <f t="shared" si="62"/>
        <v>2.5</v>
      </c>
      <c r="BJ237" s="974">
        <f t="shared" si="63"/>
        <v>40.299999999999997</v>
      </c>
      <c r="BK237" s="974">
        <f t="shared" si="64"/>
        <v>7.9</v>
      </c>
      <c r="BL237" s="974">
        <f t="shared" si="65"/>
        <v>9.5</v>
      </c>
      <c r="BM237" s="974">
        <f t="shared" si="66"/>
        <v>5.6</v>
      </c>
      <c r="BN237" s="974">
        <f t="shared" si="67"/>
        <v>6.4</v>
      </c>
      <c r="BO237" s="974">
        <f t="shared" si="68"/>
        <v>16.5</v>
      </c>
      <c r="BP237" s="974">
        <f t="shared" si="59"/>
        <v>100</v>
      </c>
      <c r="BQ237" s="971" t="s">
        <v>2467</v>
      </c>
      <c r="BR237" s="975"/>
      <c r="BS237" s="975"/>
      <c r="BT237" s="975"/>
      <c r="BU237" s="975"/>
      <c r="BV237" s="975"/>
      <c r="BW237" s="975"/>
      <c r="BX237" s="971"/>
      <c r="DH237" s="977" t="str">
        <f t="shared" si="60"/>
        <v>Turkmenistan</v>
      </c>
      <c r="DI237" s="977" t="str">
        <f t="shared" si="60"/>
        <v>Asia</v>
      </c>
      <c r="DJ237" s="977" t="str">
        <f t="shared" si="60"/>
        <v>South-Central Asia</v>
      </c>
      <c r="DL237" s="977" t="s">
        <v>35</v>
      </c>
    </row>
    <row r="238" spans="49:116" ht="26">
      <c r="AW238" s="969" t="s">
        <v>3264</v>
      </c>
      <c r="AX238" s="987" t="s">
        <v>2576</v>
      </c>
      <c r="AY238" s="970" t="str">
        <f>+BZ21</f>
        <v>Caribbean</v>
      </c>
      <c r="AZ238" s="969">
        <v>468</v>
      </c>
      <c r="BA238" s="971" t="s">
        <v>2465</v>
      </c>
      <c r="BB238" s="972">
        <v>9.3894684857089938</v>
      </c>
      <c r="BC238" s="971" t="s">
        <v>2577</v>
      </c>
      <c r="BD238" s="973"/>
      <c r="BE238" s="973"/>
      <c r="BF238" s="971"/>
      <c r="BG238" s="973"/>
      <c r="BH238" s="974">
        <f t="shared" si="61"/>
        <v>17</v>
      </c>
      <c r="BI238" s="974">
        <f t="shared" si="62"/>
        <v>5.0999999999999996</v>
      </c>
      <c r="BJ238" s="974">
        <f t="shared" si="63"/>
        <v>46.9</v>
      </c>
      <c r="BK238" s="974">
        <f t="shared" si="64"/>
        <v>2.4</v>
      </c>
      <c r="BL238" s="974">
        <f t="shared" si="65"/>
        <v>9.5</v>
      </c>
      <c r="BM238" s="974">
        <f t="shared" si="66"/>
        <v>5.6</v>
      </c>
      <c r="BN238" s="974">
        <f t="shared" si="67"/>
        <v>9.9</v>
      </c>
      <c r="BO238" s="974">
        <f t="shared" si="68"/>
        <v>3.5999999999999943</v>
      </c>
      <c r="BP238" s="974">
        <f t="shared" si="59"/>
        <v>100</v>
      </c>
      <c r="BQ238" s="971" t="s">
        <v>2467</v>
      </c>
      <c r="BR238" s="975"/>
      <c r="BS238" s="975"/>
      <c r="BT238" s="975"/>
      <c r="BU238" s="975"/>
      <c r="BV238" s="975"/>
      <c r="BW238" s="975"/>
      <c r="BX238" s="971"/>
      <c r="DH238" s="977" t="str">
        <f t="shared" si="60"/>
        <v>Turks and Caicos Islands (U.K.)</v>
      </c>
      <c r="DI238" s="977" t="str">
        <f t="shared" si="60"/>
        <v>Americas</v>
      </c>
      <c r="DJ238" s="977" t="str">
        <f t="shared" si="60"/>
        <v>Caribbean</v>
      </c>
      <c r="DL238" s="977" t="s">
        <v>35</v>
      </c>
    </row>
    <row r="239" spans="49:116" ht="26">
      <c r="AW239" s="969" t="s">
        <v>3265</v>
      </c>
      <c r="AX239" s="987" t="s">
        <v>2536</v>
      </c>
      <c r="AY239" s="970" t="str">
        <f>+BZ17</f>
        <v>Rest of Oceania</v>
      </c>
      <c r="AZ239" s="969">
        <v>528</v>
      </c>
      <c r="BA239" s="971" t="s">
        <v>2465</v>
      </c>
      <c r="BB239" s="972">
        <v>5.4123414965002699</v>
      </c>
      <c r="BC239" s="971" t="s">
        <v>2537</v>
      </c>
      <c r="BD239" s="973"/>
      <c r="BE239" s="973"/>
      <c r="BF239" s="971"/>
      <c r="BG239" s="973"/>
      <c r="BH239" s="974">
        <f t="shared" si="61"/>
        <v>6</v>
      </c>
      <c r="BI239" s="974">
        <f t="shared" si="62"/>
        <v>2.97</v>
      </c>
      <c r="BJ239" s="974">
        <f t="shared" si="63"/>
        <v>67.5</v>
      </c>
      <c r="BK239" s="974">
        <f t="shared" si="64"/>
        <v>2.5</v>
      </c>
      <c r="BL239" s="974">
        <f t="shared" si="65"/>
        <v>9.5</v>
      </c>
      <c r="BM239" s="974">
        <f t="shared" si="66"/>
        <v>5.6</v>
      </c>
      <c r="BN239" s="974">
        <f t="shared" si="67"/>
        <v>2.97</v>
      </c>
      <c r="BO239" s="974">
        <f t="shared" si="68"/>
        <v>2.9666666666666668</v>
      </c>
      <c r="BP239" s="974">
        <f t="shared" si="59"/>
        <v>100.00666666666666</v>
      </c>
      <c r="BQ239" s="971" t="s">
        <v>2467</v>
      </c>
      <c r="BR239" s="975"/>
      <c r="BS239" s="975"/>
      <c r="BT239" s="975"/>
      <c r="BU239" s="975"/>
      <c r="BV239" s="975"/>
      <c r="BW239" s="975"/>
      <c r="BX239" s="971"/>
      <c r="DH239" s="977" t="str">
        <f t="shared" si="60"/>
        <v>Tuvalu</v>
      </c>
      <c r="DI239" s="977" t="str">
        <f t="shared" si="60"/>
        <v>Oceania</v>
      </c>
      <c r="DJ239" s="977" t="str">
        <f t="shared" si="60"/>
        <v>Rest of Oceania</v>
      </c>
      <c r="DL239" s="977" t="s">
        <v>35</v>
      </c>
    </row>
    <row r="240" spans="49:116" ht="26">
      <c r="AW240" s="969" t="s">
        <v>3266</v>
      </c>
      <c r="AX240" s="969" t="s">
        <v>2520</v>
      </c>
      <c r="AY240" s="970" t="str">
        <f>+BZ7</f>
        <v>Eastern Africa</v>
      </c>
      <c r="AZ240" s="969">
        <v>140</v>
      </c>
      <c r="BA240" s="971" t="s">
        <v>2465</v>
      </c>
      <c r="BB240" s="972">
        <v>11.740747004194485</v>
      </c>
      <c r="BC240" s="971" t="s">
        <v>2774</v>
      </c>
      <c r="BD240" s="973"/>
      <c r="BE240" s="973"/>
      <c r="BF240" s="971"/>
      <c r="BG240" s="973"/>
      <c r="BH240" s="974">
        <f t="shared" si="61"/>
        <v>7.7</v>
      </c>
      <c r="BI240" s="974">
        <f t="shared" si="62"/>
        <v>1.7</v>
      </c>
      <c r="BJ240" s="974">
        <f t="shared" si="63"/>
        <v>53.9</v>
      </c>
      <c r="BK240" s="974">
        <f t="shared" si="64"/>
        <v>7</v>
      </c>
      <c r="BL240" s="974">
        <f t="shared" si="65"/>
        <v>9.5</v>
      </c>
      <c r="BM240" s="974">
        <f t="shared" si="66"/>
        <v>5.6</v>
      </c>
      <c r="BN240" s="974">
        <f t="shared" si="67"/>
        <v>5.5</v>
      </c>
      <c r="BO240" s="974">
        <f t="shared" si="68"/>
        <v>9.1000000000000085</v>
      </c>
      <c r="BP240" s="974">
        <f t="shared" si="59"/>
        <v>100</v>
      </c>
      <c r="BQ240" s="971" t="s">
        <v>2467</v>
      </c>
      <c r="BR240" s="975"/>
      <c r="BS240" s="975"/>
      <c r="BT240" s="975"/>
      <c r="BU240" s="975"/>
      <c r="BV240" s="975"/>
      <c r="BW240" s="975"/>
      <c r="BX240" s="971"/>
      <c r="DH240" s="977" t="str">
        <f t="shared" si="60"/>
        <v>Uganda</v>
      </c>
      <c r="DI240" s="977" t="str">
        <f t="shared" si="60"/>
        <v>Africa</v>
      </c>
      <c r="DJ240" s="977" t="str">
        <f t="shared" si="60"/>
        <v>Eastern Africa</v>
      </c>
      <c r="DL240" s="977" t="s">
        <v>35</v>
      </c>
    </row>
    <row r="241" spans="49:116">
      <c r="AW241" s="969" t="s">
        <v>3267</v>
      </c>
      <c r="AX241" s="969" t="s">
        <v>2493</v>
      </c>
      <c r="AY241" s="970" t="str">
        <f>+BZ12</f>
        <v>Eastern Europe</v>
      </c>
      <c r="AZ241" s="969">
        <v>525</v>
      </c>
      <c r="BA241" s="971" t="s">
        <v>2465</v>
      </c>
      <c r="BB241" s="972">
        <v>10.77895315290562</v>
      </c>
      <c r="BC241" s="971" t="s">
        <v>2494</v>
      </c>
      <c r="BD241" s="973"/>
      <c r="BE241" s="973"/>
      <c r="BF241" s="971"/>
      <c r="BG241" s="973"/>
      <c r="BH241" s="974">
        <f t="shared" si="61"/>
        <v>21.8</v>
      </c>
      <c r="BI241" s="974">
        <f t="shared" si="62"/>
        <v>4.7</v>
      </c>
      <c r="BJ241" s="974">
        <f t="shared" si="63"/>
        <v>30.1</v>
      </c>
      <c r="BK241" s="974">
        <f t="shared" si="64"/>
        <v>7.5</v>
      </c>
      <c r="BL241" s="974">
        <f t="shared" si="65"/>
        <v>9.5</v>
      </c>
      <c r="BM241" s="974">
        <f t="shared" si="66"/>
        <v>5.6</v>
      </c>
      <c r="BN241" s="974">
        <f t="shared" si="67"/>
        <v>6.2</v>
      </c>
      <c r="BO241" s="974">
        <f t="shared" si="68"/>
        <v>14.600000000000009</v>
      </c>
      <c r="BP241" s="974">
        <f t="shared" si="59"/>
        <v>100</v>
      </c>
      <c r="BQ241" s="971" t="s">
        <v>2467</v>
      </c>
      <c r="BR241" s="975"/>
      <c r="BS241" s="975"/>
      <c r="BT241" s="975"/>
      <c r="BU241" s="975"/>
      <c r="BV241" s="975"/>
      <c r="BW241" s="975"/>
      <c r="BX241" s="971"/>
      <c r="DH241" s="977" t="str">
        <f t="shared" si="60"/>
        <v>Ukraine</v>
      </c>
      <c r="DI241" s="977" t="str">
        <f t="shared" si="60"/>
        <v>Europe</v>
      </c>
      <c r="DJ241" s="977" t="str">
        <f t="shared" si="60"/>
        <v>Eastern Europe</v>
      </c>
      <c r="DL241" s="977" t="s">
        <v>35</v>
      </c>
    </row>
    <row r="242" spans="49:116">
      <c r="AW242" s="969" t="s">
        <v>70</v>
      </c>
      <c r="AX242" s="969" t="s">
        <v>2464</v>
      </c>
      <c r="AY242" s="970" t="str">
        <f>+BZ5</f>
        <v>South-Eastern Asia</v>
      </c>
      <c r="AZ242" s="969">
        <v>353</v>
      </c>
      <c r="BA242" s="971" t="s">
        <v>2465</v>
      </c>
      <c r="BB242" s="972">
        <v>6.773479335438692</v>
      </c>
      <c r="BC242" s="971" t="s">
        <v>2494</v>
      </c>
      <c r="BD242" s="973"/>
      <c r="BE242" s="973"/>
      <c r="BF242" s="971"/>
      <c r="BG242" s="973"/>
      <c r="BH242" s="974">
        <f t="shared" si="61"/>
        <v>12.9</v>
      </c>
      <c r="BI242" s="974">
        <f t="shared" si="62"/>
        <v>2.7</v>
      </c>
      <c r="BJ242" s="974">
        <f t="shared" si="63"/>
        <v>43.5</v>
      </c>
      <c r="BK242" s="974">
        <f t="shared" si="64"/>
        <v>9.9</v>
      </c>
      <c r="BL242" s="974">
        <f t="shared" si="65"/>
        <v>9.5</v>
      </c>
      <c r="BM242" s="974">
        <f t="shared" si="66"/>
        <v>5.6</v>
      </c>
      <c r="BN242" s="974">
        <f t="shared" si="67"/>
        <v>7.2</v>
      </c>
      <c r="BO242" s="974">
        <f t="shared" si="68"/>
        <v>8.7000000000000028</v>
      </c>
      <c r="BP242" s="974">
        <f t="shared" si="59"/>
        <v>100</v>
      </c>
      <c r="BQ242" s="971" t="s">
        <v>2467</v>
      </c>
      <c r="BR242" s="975"/>
      <c r="BS242" s="975"/>
      <c r="BT242" s="975"/>
      <c r="BU242" s="975"/>
      <c r="BV242" s="975"/>
      <c r="BW242" s="975"/>
      <c r="BX242" s="971"/>
      <c r="DH242" s="977" t="str">
        <f t="shared" si="60"/>
        <v>United Arab Emirates</v>
      </c>
      <c r="DI242" s="977" t="str">
        <f t="shared" si="60"/>
        <v>Asia</v>
      </c>
      <c r="DJ242" s="977" t="str">
        <f t="shared" si="60"/>
        <v>South-Eastern Asia</v>
      </c>
      <c r="DL242" s="977" t="s">
        <v>35</v>
      </c>
    </row>
    <row r="243" spans="49:116">
      <c r="AW243" s="969" t="s">
        <v>3268</v>
      </c>
      <c r="AX243" s="969" t="s">
        <v>2493</v>
      </c>
      <c r="AY243" s="970" t="str">
        <f>+BZ13</f>
        <v>Northern Europe</v>
      </c>
      <c r="AZ243" s="969">
        <v>233.14</v>
      </c>
      <c r="BA243" s="971" t="s">
        <v>3269</v>
      </c>
      <c r="BB243" s="972">
        <v>8.5999828429269964</v>
      </c>
      <c r="BC243" s="971" t="s">
        <v>3269</v>
      </c>
      <c r="BD243" s="973"/>
      <c r="BE243" s="973"/>
      <c r="BF243" s="971"/>
      <c r="BG243" s="973"/>
      <c r="BH243" s="974">
        <f t="shared" si="61"/>
        <v>30.6</v>
      </c>
      <c r="BI243" s="974">
        <f t="shared" si="62"/>
        <v>2</v>
      </c>
      <c r="BJ243" s="974">
        <f t="shared" si="63"/>
        <v>23.8</v>
      </c>
      <c r="BK243" s="974">
        <f t="shared" si="64"/>
        <v>10</v>
      </c>
      <c r="BL243" s="974">
        <f t="shared" si="65"/>
        <v>9.5</v>
      </c>
      <c r="BM243" s="974">
        <f t="shared" si="66"/>
        <v>5.6</v>
      </c>
      <c r="BN243" s="974">
        <f t="shared" si="67"/>
        <v>13</v>
      </c>
      <c r="BO243" s="974">
        <f t="shared" si="68"/>
        <v>5.5</v>
      </c>
      <c r="BP243" s="974">
        <f t="shared" si="59"/>
        <v>100</v>
      </c>
      <c r="BQ243" s="971" t="s">
        <v>2467</v>
      </c>
      <c r="BR243" s="975"/>
      <c r="BS243" s="975"/>
      <c r="BT243" s="975"/>
      <c r="BU243" s="975"/>
      <c r="BV243" s="975"/>
      <c r="BW243" s="975"/>
      <c r="BX243" s="971"/>
      <c r="DH243" s="977" t="str">
        <f t="shared" si="60"/>
        <v>United Kingdom</v>
      </c>
      <c r="DI243" s="977" t="str">
        <f t="shared" si="60"/>
        <v>Europe</v>
      </c>
      <c r="DJ243" s="977" t="str">
        <f t="shared" si="60"/>
        <v>Northern Europe</v>
      </c>
      <c r="DK243" s="977" t="s">
        <v>3270</v>
      </c>
      <c r="DL243" s="977" t="e">
        <f>VLOOKUP(DK243,#REF!,2,FALSE)</f>
        <v>#REF!</v>
      </c>
    </row>
    <row r="244" spans="49:116">
      <c r="AW244" s="987" t="s">
        <v>3271</v>
      </c>
      <c r="AX244" s="987" t="s">
        <v>2576</v>
      </c>
      <c r="AY244" s="991" t="str">
        <f>+BZ20</f>
        <v>South America</v>
      </c>
      <c r="AZ244" s="987">
        <v>28</v>
      </c>
      <c r="BA244" s="971" t="s">
        <v>3272</v>
      </c>
      <c r="BB244" s="992">
        <v>9.6273530541682675</v>
      </c>
      <c r="BC244" s="971" t="s">
        <v>2494</v>
      </c>
      <c r="BD244" s="987">
        <v>0.05</v>
      </c>
      <c r="BE244" s="987">
        <v>0.08</v>
      </c>
      <c r="BF244" s="971" t="s">
        <v>2679</v>
      </c>
      <c r="BG244" s="973"/>
      <c r="BH244" s="974">
        <f t="shared" si="61"/>
        <v>17.100000000000001</v>
      </c>
      <c r="BI244" s="974">
        <f t="shared" si="62"/>
        <v>2.6</v>
      </c>
      <c r="BJ244" s="974">
        <f t="shared" si="63"/>
        <v>44.9</v>
      </c>
      <c r="BK244" s="974">
        <f t="shared" si="64"/>
        <v>4.7</v>
      </c>
      <c r="BL244" s="974">
        <f t="shared" si="65"/>
        <v>9.5</v>
      </c>
      <c r="BM244" s="974">
        <f t="shared" si="66"/>
        <v>5.6</v>
      </c>
      <c r="BN244" s="974">
        <f t="shared" si="67"/>
        <v>10.8</v>
      </c>
      <c r="BO244" s="974">
        <f t="shared" si="68"/>
        <v>4.8000000000000114</v>
      </c>
      <c r="BP244" s="974">
        <f t="shared" si="59"/>
        <v>100</v>
      </c>
      <c r="BQ244" s="971" t="s">
        <v>3273</v>
      </c>
      <c r="BR244" s="975"/>
      <c r="BS244" s="975"/>
      <c r="BT244" s="975"/>
      <c r="BU244" s="975"/>
      <c r="BV244" s="975"/>
      <c r="BW244" s="975"/>
      <c r="BX244" s="971"/>
      <c r="DH244" s="977" t="str">
        <f t="shared" si="60"/>
        <v>Uruguay</v>
      </c>
      <c r="DI244" s="977" t="str">
        <f t="shared" si="60"/>
        <v>Americas</v>
      </c>
      <c r="DJ244" s="977" t="str">
        <f t="shared" si="60"/>
        <v>South America</v>
      </c>
      <c r="DK244" s="977" t="e">
        <f>VLOOKUP(DH244,#REF!,1)</f>
        <v>#REF!</v>
      </c>
      <c r="DL244" s="977" t="e">
        <f>VLOOKUP(DK244,#REF!,2,FALSE)</f>
        <v>#REF!</v>
      </c>
    </row>
    <row r="245" spans="49:116">
      <c r="AW245" s="987" t="s">
        <v>3274</v>
      </c>
      <c r="AX245" s="987" t="s">
        <v>2576</v>
      </c>
      <c r="AY245" s="991" t="str">
        <f>+BZ18</f>
        <v>North America</v>
      </c>
      <c r="AZ245" s="995">
        <v>725.71181982400003</v>
      </c>
      <c r="BA245" s="971" t="s">
        <v>3275</v>
      </c>
      <c r="BB245" s="992">
        <v>5.9113863912301383</v>
      </c>
      <c r="BC245" s="971" t="s">
        <v>2494</v>
      </c>
      <c r="BD245" s="987">
        <v>0.04</v>
      </c>
      <c r="BE245" s="987">
        <v>0.1</v>
      </c>
      <c r="BF245" s="971" t="s">
        <v>2679</v>
      </c>
      <c r="BG245" s="973"/>
      <c r="BH245" s="974">
        <f t="shared" si="61"/>
        <v>23.2</v>
      </c>
      <c r="BI245" s="974">
        <f t="shared" si="62"/>
        <v>3.9</v>
      </c>
      <c r="BJ245" s="974">
        <f t="shared" si="63"/>
        <v>33.9</v>
      </c>
      <c r="BK245" s="974">
        <f t="shared" si="64"/>
        <v>6.2</v>
      </c>
      <c r="BL245" s="974">
        <f t="shared" si="65"/>
        <v>9.5</v>
      </c>
      <c r="BM245" s="974">
        <f t="shared" si="66"/>
        <v>5.6</v>
      </c>
      <c r="BN245" s="974">
        <f t="shared" si="67"/>
        <v>8.5</v>
      </c>
      <c r="BO245" s="974">
        <f t="shared" si="68"/>
        <v>9.2000000000000028</v>
      </c>
      <c r="BP245" s="974">
        <f t="shared" si="59"/>
        <v>100</v>
      </c>
      <c r="BQ245" s="971" t="s">
        <v>2467</v>
      </c>
      <c r="BR245" s="1001">
        <v>6.6400000000000001E-2</v>
      </c>
      <c r="BS245" s="1001">
        <v>6.6400000000000001E-2</v>
      </c>
      <c r="BT245" s="1001">
        <v>5.2699999999999997E-2</v>
      </c>
      <c r="BU245" s="1001">
        <v>7.3889999999999997E-2</v>
      </c>
      <c r="BV245" s="1001">
        <v>4.931E-2</v>
      </c>
      <c r="BW245" s="1001" t="s">
        <v>2790</v>
      </c>
      <c r="BX245" s="971" t="s">
        <v>2791</v>
      </c>
      <c r="DH245" s="977" t="str">
        <f t="shared" si="60"/>
        <v>PRMS (Puerto Rico Miscellaneous)</v>
      </c>
      <c r="DI245" s="977" t="str">
        <f t="shared" si="60"/>
        <v>Americas</v>
      </c>
      <c r="DJ245" s="977" t="str">
        <f t="shared" si="60"/>
        <v>North America</v>
      </c>
      <c r="DK245" s="977" t="e">
        <f>VLOOKUP(DH245,#REF!,1)</f>
        <v>#REF!</v>
      </c>
      <c r="DL245" s="977" t="e">
        <f>VLOOKUP(DK245,#REF!,2,FALSE)</f>
        <v>#REF!</v>
      </c>
    </row>
    <row r="246" spans="49:116">
      <c r="AW246" s="987"/>
      <c r="AX246" s="987" t="s">
        <v>2576</v>
      </c>
      <c r="AY246" s="991" t="str">
        <f>+BZ18</f>
        <v>North America</v>
      </c>
      <c r="AZ246" s="987"/>
      <c r="BA246" s="971" t="s">
        <v>3275</v>
      </c>
      <c r="BB246" s="992">
        <v>5.9113863912301383</v>
      </c>
      <c r="BC246" s="971" t="s">
        <v>2494</v>
      </c>
      <c r="BD246" s="987">
        <v>0.04</v>
      </c>
      <c r="BE246" s="987">
        <v>0.1</v>
      </c>
      <c r="BF246" s="971" t="s">
        <v>2679</v>
      </c>
      <c r="BG246" s="973"/>
      <c r="BH246" s="974">
        <f t="shared" si="61"/>
        <v>23.2</v>
      </c>
      <c r="BI246" s="974">
        <f t="shared" si="62"/>
        <v>3.9</v>
      </c>
      <c r="BJ246" s="974">
        <f t="shared" si="63"/>
        <v>33.9</v>
      </c>
      <c r="BK246" s="974">
        <f t="shared" si="64"/>
        <v>6.2</v>
      </c>
      <c r="BL246" s="974">
        <f t="shared" si="65"/>
        <v>9.5</v>
      </c>
      <c r="BM246" s="974">
        <f t="shared" si="66"/>
        <v>5.6</v>
      </c>
      <c r="BN246" s="974">
        <f t="shared" si="67"/>
        <v>8.5</v>
      </c>
      <c r="BO246" s="974">
        <f t="shared" si="68"/>
        <v>9.2000000000000028</v>
      </c>
      <c r="BP246" s="974">
        <f t="shared" si="59"/>
        <v>100</v>
      </c>
      <c r="BQ246" s="971" t="s">
        <v>2467</v>
      </c>
      <c r="BR246" s="1001">
        <v>6.6400000000000001E-2</v>
      </c>
      <c r="BS246" s="1001">
        <v>6.6400000000000001E-2</v>
      </c>
      <c r="BT246" s="1001">
        <v>5.2699999999999997E-2</v>
      </c>
      <c r="BU246" s="1001">
        <v>7.3889999999999997E-2</v>
      </c>
      <c r="BV246" s="1001">
        <v>4.931E-2</v>
      </c>
      <c r="BW246" s="1001" t="s">
        <v>2790</v>
      </c>
      <c r="BX246" s="971" t="s">
        <v>2791</v>
      </c>
      <c r="DH246" s="977">
        <f t="shared" si="60"/>
        <v>0</v>
      </c>
      <c r="DI246" s="977" t="str">
        <f t="shared" si="60"/>
        <v>Americas</v>
      </c>
      <c r="DJ246" s="977" t="str">
        <f t="shared" si="60"/>
        <v>North America</v>
      </c>
      <c r="DK246" s="977" t="e">
        <f>VLOOKUP(DH246,#REF!,1)</f>
        <v>#REF!</v>
      </c>
      <c r="DL246" s="977" t="e">
        <f>VLOOKUP(DK246,#REF!,2,FALSE)</f>
        <v>#REF!</v>
      </c>
    </row>
    <row r="247" spans="49:116">
      <c r="AW247" s="987"/>
      <c r="AX247" s="987" t="s">
        <v>2576</v>
      </c>
      <c r="AY247" s="991" t="str">
        <f>+BZ18</f>
        <v>North America</v>
      </c>
      <c r="AZ247" s="987"/>
      <c r="BA247" s="971" t="s">
        <v>3275</v>
      </c>
      <c r="BB247" s="992">
        <v>5.9113863912301383</v>
      </c>
      <c r="BC247" s="971" t="s">
        <v>2494</v>
      </c>
      <c r="BD247" s="987">
        <v>0.04</v>
      </c>
      <c r="BE247" s="987">
        <v>0.1</v>
      </c>
      <c r="BF247" s="971" t="s">
        <v>2679</v>
      </c>
      <c r="BG247" s="973"/>
      <c r="BH247" s="974">
        <f t="shared" si="61"/>
        <v>23.2</v>
      </c>
      <c r="BI247" s="974">
        <f t="shared" si="62"/>
        <v>3.9</v>
      </c>
      <c r="BJ247" s="974">
        <f t="shared" si="63"/>
        <v>33.9</v>
      </c>
      <c r="BK247" s="974">
        <f t="shared" si="64"/>
        <v>6.2</v>
      </c>
      <c r="BL247" s="974">
        <f t="shared" si="65"/>
        <v>9.5</v>
      </c>
      <c r="BM247" s="974">
        <f t="shared" si="66"/>
        <v>5.6</v>
      </c>
      <c r="BN247" s="974">
        <f t="shared" si="67"/>
        <v>8.5</v>
      </c>
      <c r="BO247" s="974">
        <f t="shared" si="68"/>
        <v>9.2000000000000028</v>
      </c>
      <c r="BP247" s="974">
        <f t="shared" si="59"/>
        <v>100</v>
      </c>
      <c r="BQ247" s="971" t="s">
        <v>2467</v>
      </c>
      <c r="BR247" s="1001">
        <v>6.6400000000000001E-2</v>
      </c>
      <c r="BS247" s="1001">
        <v>6.6400000000000001E-2</v>
      </c>
      <c r="BT247" s="1001">
        <v>5.2699999999999997E-2</v>
      </c>
      <c r="BU247" s="1001">
        <v>7.3889999999999997E-2</v>
      </c>
      <c r="BV247" s="1001">
        <v>4.931E-2</v>
      </c>
      <c r="BW247" s="1001" t="s">
        <v>2790</v>
      </c>
      <c r="BX247" s="971" t="s">
        <v>2791</v>
      </c>
      <c r="DH247" s="977">
        <f t="shared" si="60"/>
        <v>0</v>
      </c>
      <c r="DI247" s="977" t="str">
        <f t="shared" si="60"/>
        <v>Americas</v>
      </c>
      <c r="DJ247" s="977" t="str">
        <f t="shared" si="60"/>
        <v>North America</v>
      </c>
      <c r="DK247" s="977" t="e">
        <f>VLOOKUP(DH247,#REF!,1)</f>
        <v>#REF!</v>
      </c>
      <c r="DL247" s="977" t="e">
        <f>VLOOKUP(DK247,#REF!,2,FALSE)</f>
        <v>#REF!</v>
      </c>
    </row>
    <row r="248" spans="49:116">
      <c r="AW248" s="987"/>
      <c r="AX248" s="987" t="s">
        <v>2576</v>
      </c>
      <c r="AY248" s="991" t="str">
        <f>+BZ18</f>
        <v>North America</v>
      </c>
      <c r="AZ248" s="987"/>
      <c r="BA248" s="971" t="s">
        <v>3275</v>
      </c>
      <c r="BB248" s="992">
        <v>5.9113863912301383</v>
      </c>
      <c r="BC248" s="971" t="s">
        <v>2494</v>
      </c>
      <c r="BD248" s="987">
        <v>0.04</v>
      </c>
      <c r="BE248" s="987">
        <v>0.1</v>
      </c>
      <c r="BF248" s="971" t="s">
        <v>2679</v>
      </c>
      <c r="BG248" s="973"/>
      <c r="BH248" s="974">
        <f t="shared" si="61"/>
        <v>23.2</v>
      </c>
      <c r="BI248" s="974">
        <f t="shared" si="62"/>
        <v>3.9</v>
      </c>
      <c r="BJ248" s="974">
        <f t="shared" si="63"/>
        <v>33.9</v>
      </c>
      <c r="BK248" s="974">
        <f t="shared" si="64"/>
        <v>6.2</v>
      </c>
      <c r="BL248" s="974">
        <f t="shared" si="65"/>
        <v>9.5</v>
      </c>
      <c r="BM248" s="974">
        <f t="shared" si="66"/>
        <v>5.6</v>
      </c>
      <c r="BN248" s="974">
        <f t="shared" si="67"/>
        <v>8.5</v>
      </c>
      <c r="BO248" s="974">
        <f t="shared" si="68"/>
        <v>9.2000000000000028</v>
      </c>
      <c r="BP248" s="974">
        <f t="shared" si="59"/>
        <v>100</v>
      </c>
      <c r="BQ248" s="971" t="s">
        <v>2467</v>
      </c>
      <c r="BR248" s="1001">
        <v>6.6400000000000001E-2</v>
      </c>
      <c r="BS248" s="1001">
        <v>6.6400000000000001E-2</v>
      </c>
      <c r="BT248" s="1001">
        <v>5.2699999999999997E-2</v>
      </c>
      <c r="BU248" s="1001">
        <v>7.3889999999999997E-2</v>
      </c>
      <c r="BV248" s="1001">
        <v>4.931E-2</v>
      </c>
      <c r="BW248" s="1001" t="s">
        <v>2790</v>
      </c>
      <c r="BX248" s="971" t="s">
        <v>2791</v>
      </c>
      <c r="DH248" s="977">
        <f t="shared" si="60"/>
        <v>0</v>
      </c>
      <c r="DI248" s="977" t="str">
        <f t="shared" si="60"/>
        <v>Americas</v>
      </c>
      <c r="DJ248" s="977" t="str">
        <f t="shared" si="60"/>
        <v>North America</v>
      </c>
      <c r="DK248" s="977" t="e">
        <f>VLOOKUP(DH248,#REF!,1)</f>
        <v>#REF!</v>
      </c>
      <c r="DL248" s="977" t="e">
        <f>VLOOKUP(DK248,#REF!,2,FALSE)</f>
        <v>#REF!</v>
      </c>
    </row>
    <row r="249" spans="49:116">
      <c r="AW249" s="987"/>
      <c r="AX249" s="987" t="s">
        <v>2576</v>
      </c>
      <c r="AY249" s="991" t="str">
        <f>+BZ18</f>
        <v>North America</v>
      </c>
      <c r="AZ249" s="987"/>
      <c r="BA249" s="971" t="s">
        <v>3275</v>
      </c>
      <c r="BB249" s="992">
        <v>5.9113863912301383</v>
      </c>
      <c r="BC249" s="971" t="s">
        <v>2494</v>
      </c>
      <c r="BD249" s="987">
        <v>0.04</v>
      </c>
      <c r="BE249" s="987">
        <v>0.1</v>
      </c>
      <c r="BF249" s="971" t="s">
        <v>2679</v>
      </c>
      <c r="BG249" s="973"/>
      <c r="BH249" s="974">
        <f t="shared" si="61"/>
        <v>23.2</v>
      </c>
      <c r="BI249" s="974">
        <f t="shared" si="62"/>
        <v>3.9</v>
      </c>
      <c r="BJ249" s="974">
        <f t="shared" si="63"/>
        <v>33.9</v>
      </c>
      <c r="BK249" s="974">
        <f t="shared" si="64"/>
        <v>6.2</v>
      </c>
      <c r="BL249" s="974">
        <f t="shared" si="65"/>
        <v>9.5</v>
      </c>
      <c r="BM249" s="974">
        <f t="shared" si="66"/>
        <v>5.6</v>
      </c>
      <c r="BN249" s="974">
        <f t="shared" si="67"/>
        <v>8.5</v>
      </c>
      <c r="BO249" s="974">
        <f t="shared" si="68"/>
        <v>9.2000000000000028</v>
      </c>
      <c r="BP249" s="974">
        <f t="shared" si="59"/>
        <v>100</v>
      </c>
      <c r="BQ249" s="971" t="s">
        <v>2467</v>
      </c>
      <c r="BR249" s="1001">
        <v>6.6400000000000001E-2</v>
      </c>
      <c r="BS249" s="1001">
        <v>6.6400000000000001E-2</v>
      </c>
      <c r="BT249" s="1001">
        <v>5.2699999999999997E-2</v>
      </c>
      <c r="BU249" s="1001">
        <v>7.3889999999999997E-2</v>
      </c>
      <c r="BV249" s="1001">
        <v>4.931E-2</v>
      </c>
      <c r="BW249" s="1001" t="s">
        <v>2790</v>
      </c>
      <c r="BX249" s="971" t="s">
        <v>2791</v>
      </c>
      <c r="DH249" s="977">
        <f t="shared" si="60"/>
        <v>0</v>
      </c>
      <c r="DI249" s="977" t="str">
        <f t="shared" si="60"/>
        <v>Americas</v>
      </c>
      <c r="DJ249" s="977" t="str">
        <f t="shared" si="60"/>
        <v>North America</v>
      </c>
      <c r="DK249" s="977" t="e">
        <f>VLOOKUP(DH249,#REF!,1)</f>
        <v>#REF!</v>
      </c>
      <c r="DL249" s="977" t="e">
        <f>VLOOKUP(DK249,#REF!,2,FALSE)</f>
        <v>#REF!</v>
      </c>
    </row>
    <row r="250" spans="49:116">
      <c r="AW250" s="987"/>
      <c r="AX250" s="987" t="s">
        <v>2576</v>
      </c>
      <c r="AY250" s="991" t="str">
        <f>+BZ18</f>
        <v>North America</v>
      </c>
      <c r="AZ250" s="987"/>
      <c r="BA250" s="971" t="s">
        <v>3275</v>
      </c>
      <c r="BB250" s="992">
        <v>5.9113863912301383</v>
      </c>
      <c r="BC250" s="971" t="s">
        <v>2494</v>
      </c>
      <c r="BD250" s="987">
        <v>0.04</v>
      </c>
      <c r="BE250" s="987">
        <v>0.1</v>
      </c>
      <c r="BF250" s="971" t="s">
        <v>2679</v>
      </c>
      <c r="BG250" s="973"/>
      <c r="BH250" s="974">
        <f t="shared" si="61"/>
        <v>23.2</v>
      </c>
      <c r="BI250" s="974">
        <f t="shared" si="62"/>
        <v>3.9</v>
      </c>
      <c r="BJ250" s="974">
        <f t="shared" si="63"/>
        <v>33.9</v>
      </c>
      <c r="BK250" s="974">
        <f t="shared" si="64"/>
        <v>6.2</v>
      </c>
      <c r="BL250" s="974">
        <f t="shared" si="65"/>
        <v>9.5</v>
      </c>
      <c r="BM250" s="974">
        <f t="shared" si="66"/>
        <v>5.6</v>
      </c>
      <c r="BN250" s="974">
        <f t="shared" si="67"/>
        <v>8.5</v>
      </c>
      <c r="BO250" s="974">
        <f t="shared" si="68"/>
        <v>9.2000000000000028</v>
      </c>
      <c r="BP250" s="974">
        <f t="shared" si="59"/>
        <v>100</v>
      </c>
      <c r="BQ250" s="971" t="s">
        <v>2467</v>
      </c>
      <c r="BR250" s="1001">
        <v>6.6400000000000001E-2</v>
      </c>
      <c r="BS250" s="1001">
        <v>6.6400000000000001E-2</v>
      </c>
      <c r="BT250" s="1001">
        <v>5.2699999999999997E-2</v>
      </c>
      <c r="BU250" s="1001">
        <v>7.3889999999999997E-2</v>
      </c>
      <c r="BV250" s="1001">
        <v>4.931E-2</v>
      </c>
      <c r="BW250" s="1001" t="s">
        <v>2790</v>
      </c>
      <c r="BX250" s="971" t="s">
        <v>2791</v>
      </c>
      <c r="DH250" s="977">
        <f t="shared" si="60"/>
        <v>0</v>
      </c>
      <c r="DI250" s="977" t="str">
        <f t="shared" si="60"/>
        <v>Americas</v>
      </c>
      <c r="DJ250" s="977" t="str">
        <f t="shared" si="60"/>
        <v>North America</v>
      </c>
      <c r="DK250" s="977" t="e">
        <f>VLOOKUP(DH250,#REF!,1)</f>
        <v>#REF!</v>
      </c>
      <c r="DL250" s="977" t="e">
        <f>VLOOKUP(DK250,#REF!,2,FALSE)</f>
        <v>#REF!</v>
      </c>
    </row>
    <row r="251" spans="49:116">
      <c r="AW251" s="987"/>
      <c r="AX251" s="987" t="s">
        <v>2576</v>
      </c>
      <c r="AY251" s="991" t="str">
        <f>+BZ18</f>
        <v>North America</v>
      </c>
      <c r="AZ251" s="987"/>
      <c r="BA251" s="971" t="s">
        <v>3275</v>
      </c>
      <c r="BB251" s="992">
        <v>5.9113863912301383</v>
      </c>
      <c r="BC251" s="971" t="s">
        <v>2494</v>
      </c>
      <c r="BD251" s="987">
        <v>0.04</v>
      </c>
      <c r="BE251" s="987">
        <v>0.1</v>
      </c>
      <c r="BF251" s="971" t="s">
        <v>2679</v>
      </c>
      <c r="BG251" s="973"/>
      <c r="BH251" s="974">
        <f t="shared" si="61"/>
        <v>23.2</v>
      </c>
      <c r="BI251" s="974">
        <f t="shared" si="62"/>
        <v>3.9</v>
      </c>
      <c r="BJ251" s="974">
        <f t="shared" si="63"/>
        <v>33.9</v>
      </c>
      <c r="BK251" s="974">
        <f t="shared" si="64"/>
        <v>6.2</v>
      </c>
      <c r="BL251" s="974">
        <f t="shared" si="65"/>
        <v>9.5</v>
      </c>
      <c r="BM251" s="974">
        <f t="shared" si="66"/>
        <v>5.6</v>
      </c>
      <c r="BN251" s="974">
        <f t="shared" si="67"/>
        <v>8.5</v>
      </c>
      <c r="BO251" s="974">
        <f t="shared" si="68"/>
        <v>9.2000000000000028</v>
      </c>
      <c r="BP251" s="974">
        <f t="shared" si="59"/>
        <v>100</v>
      </c>
      <c r="BQ251" s="971" t="s">
        <v>2467</v>
      </c>
      <c r="BR251" s="1001">
        <v>6.6400000000000001E-2</v>
      </c>
      <c r="BS251" s="1001">
        <v>6.6400000000000001E-2</v>
      </c>
      <c r="BT251" s="1001">
        <v>5.2699999999999997E-2</v>
      </c>
      <c r="BU251" s="1001">
        <v>7.3889999999999997E-2</v>
      </c>
      <c r="BV251" s="1001">
        <v>4.931E-2</v>
      </c>
      <c r="BW251" s="1001" t="s">
        <v>2790</v>
      </c>
      <c r="BX251" s="971" t="s">
        <v>2791</v>
      </c>
      <c r="DH251" s="977">
        <f t="shared" si="60"/>
        <v>0</v>
      </c>
      <c r="DI251" s="977" t="str">
        <f t="shared" si="60"/>
        <v>Americas</v>
      </c>
      <c r="DJ251" s="977" t="str">
        <f t="shared" si="60"/>
        <v>North America</v>
      </c>
      <c r="DK251" s="977" t="e">
        <f>VLOOKUP(DH251,#REF!,1)</f>
        <v>#REF!</v>
      </c>
      <c r="DL251" s="977" t="e">
        <f>VLOOKUP(DK251,#REF!,2,FALSE)</f>
        <v>#REF!</v>
      </c>
    </row>
    <row r="252" spans="49:116">
      <c r="AW252" s="987"/>
      <c r="AX252" s="987" t="s">
        <v>2576</v>
      </c>
      <c r="AY252" s="991" t="str">
        <f>+BZ18</f>
        <v>North America</v>
      </c>
      <c r="AZ252" s="987"/>
      <c r="BA252" s="971" t="s">
        <v>3275</v>
      </c>
      <c r="BB252" s="992">
        <v>5.9113863912301383</v>
      </c>
      <c r="BC252" s="971" t="s">
        <v>2494</v>
      </c>
      <c r="BD252" s="987">
        <v>0.04</v>
      </c>
      <c r="BE252" s="987">
        <v>0.1</v>
      </c>
      <c r="BF252" s="971" t="s">
        <v>2679</v>
      </c>
      <c r="BG252" s="973"/>
      <c r="BH252" s="974">
        <f t="shared" si="61"/>
        <v>23.2</v>
      </c>
      <c r="BI252" s="974">
        <f t="shared" si="62"/>
        <v>3.9</v>
      </c>
      <c r="BJ252" s="974">
        <f t="shared" si="63"/>
        <v>33.9</v>
      </c>
      <c r="BK252" s="974">
        <f t="shared" si="64"/>
        <v>6.2</v>
      </c>
      <c r="BL252" s="974">
        <f t="shared" si="65"/>
        <v>9.5</v>
      </c>
      <c r="BM252" s="974">
        <f t="shared" si="66"/>
        <v>5.6</v>
      </c>
      <c r="BN252" s="974">
        <f t="shared" si="67"/>
        <v>8.5</v>
      </c>
      <c r="BO252" s="974">
        <f t="shared" si="68"/>
        <v>9.2000000000000028</v>
      </c>
      <c r="BP252" s="974">
        <f t="shared" si="59"/>
        <v>100</v>
      </c>
      <c r="BQ252" s="971" t="s">
        <v>2467</v>
      </c>
      <c r="BR252" s="1001">
        <v>6.6400000000000001E-2</v>
      </c>
      <c r="BS252" s="1001">
        <v>6.6400000000000001E-2</v>
      </c>
      <c r="BT252" s="1001">
        <v>5.2699999999999997E-2</v>
      </c>
      <c r="BU252" s="1001">
        <v>7.3889999999999997E-2</v>
      </c>
      <c r="BV252" s="1001">
        <v>4.931E-2</v>
      </c>
      <c r="BW252" s="1001" t="s">
        <v>2790</v>
      </c>
      <c r="BX252" s="971" t="s">
        <v>2791</v>
      </c>
      <c r="DH252" s="977">
        <f t="shared" si="60"/>
        <v>0</v>
      </c>
      <c r="DI252" s="977" t="str">
        <f t="shared" si="60"/>
        <v>Americas</v>
      </c>
      <c r="DJ252" s="977" t="str">
        <f t="shared" si="60"/>
        <v>North America</v>
      </c>
      <c r="DK252" s="977" t="e">
        <f>VLOOKUP(DH252,#REF!,1)</f>
        <v>#REF!</v>
      </c>
      <c r="DL252" s="977" t="e">
        <f>VLOOKUP(DK252,#REF!,2,FALSE)</f>
        <v>#REF!</v>
      </c>
    </row>
    <row r="253" spans="49:116">
      <c r="AW253" s="987"/>
      <c r="AX253" s="987" t="s">
        <v>2576</v>
      </c>
      <c r="AY253" s="991" t="str">
        <f>+BZ18</f>
        <v>North America</v>
      </c>
      <c r="AZ253" s="987"/>
      <c r="BA253" s="971" t="s">
        <v>3275</v>
      </c>
      <c r="BB253" s="992">
        <v>5.9113863912301383</v>
      </c>
      <c r="BC253" s="971" t="s">
        <v>2494</v>
      </c>
      <c r="BD253" s="987">
        <v>0.04</v>
      </c>
      <c r="BE253" s="987">
        <v>0.1</v>
      </c>
      <c r="BF253" s="971" t="s">
        <v>2679</v>
      </c>
      <c r="BG253" s="973"/>
      <c r="BH253" s="974">
        <f t="shared" si="61"/>
        <v>23.2</v>
      </c>
      <c r="BI253" s="974">
        <f t="shared" si="62"/>
        <v>3.9</v>
      </c>
      <c r="BJ253" s="974">
        <f t="shared" si="63"/>
        <v>33.9</v>
      </c>
      <c r="BK253" s="974">
        <f t="shared" si="64"/>
        <v>6.2</v>
      </c>
      <c r="BL253" s="974">
        <f t="shared" si="65"/>
        <v>9.5</v>
      </c>
      <c r="BM253" s="974">
        <f t="shared" si="66"/>
        <v>5.6</v>
      </c>
      <c r="BN253" s="974">
        <f t="shared" si="67"/>
        <v>8.5</v>
      </c>
      <c r="BO253" s="974">
        <f t="shared" si="68"/>
        <v>9.2000000000000028</v>
      </c>
      <c r="BP253" s="974">
        <f t="shared" si="59"/>
        <v>100</v>
      </c>
      <c r="BQ253" s="971" t="s">
        <v>2467</v>
      </c>
      <c r="BR253" s="1001">
        <v>6.6400000000000001E-2</v>
      </c>
      <c r="BS253" s="1001">
        <v>6.6400000000000001E-2</v>
      </c>
      <c r="BT253" s="1001">
        <v>5.2699999999999997E-2</v>
      </c>
      <c r="BU253" s="1001">
        <v>7.3889999999999997E-2</v>
      </c>
      <c r="BV253" s="1001">
        <v>4.931E-2</v>
      </c>
      <c r="BW253" s="1001" t="s">
        <v>2790</v>
      </c>
      <c r="BX253" s="971" t="s">
        <v>2791</v>
      </c>
      <c r="DH253" s="977">
        <f t="shared" si="60"/>
        <v>0</v>
      </c>
      <c r="DI253" s="977" t="str">
        <f t="shared" si="60"/>
        <v>Americas</v>
      </c>
      <c r="DJ253" s="977" t="str">
        <f t="shared" si="60"/>
        <v>North America</v>
      </c>
      <c r="DK253" s="977" t="e">
        <f>VLOOKUP(DH253,#REF!,1)</f>
        <v>#REF!</v>
      </c>
      <c r="DL253" s="977" t="e">
        <f>VLOOKUP(DK253,#REF!,2,FALSE)</f>
        <v>#REF!</v>
      </c>
    </row>
    <row r="254" spans="49:116">
      <c r="AW254" s="987"/>
      <c r="AX254" s="987" t="s">
        <v>2576</v>
      </c>
      <c r="AY254" s="991" t="str">
        <f>+BZ18</f>
        <v>North America</v>
      </c>
      <c r="AZ254" s="987"/>
      <c r="BA254" s="971" t="s">
        <v>3275</v>
      </c>
      <c r="BB254" s="992">
        <v>5.9113863912301383</v>
      </c>
      <c r="BC254" s="971" t="s">
        <v>2494</v>
      </c>
      <c r="BD254" s="987">
        <v>0.04</v>
      </c>
      <c r="BE254" s="987">
        <v>0.1</v>
      </c>
      <c r="BF254" s="971" t="s">
        <v>2679</v>
      </c>
      <c r="BG254" s="973"/>
      <c r="BH254" s="974">
        <f t="shared" si="61"/>
        <v>23.2</v>
      </c>
      <c r="BI254" s="974">
        <f t="shared" si="62"/>
        <v>3.9</v>
      </c>
      <c r="BJ254" s="974">
        <f t="shared" si="63"/>
        <v>33.9</v>
      </c>
      <c r="BK254" s="974">
        <f t="shared" si="64"/>
        <v>6.2</v>
      </c>
      <c r="BL254" s="974">
        <f t="shared" si="65"/>
        <v>9.5</v>
      </c>
      <c r="BM254" s="974">
        <f t="shared" si="66"/>
        <v>5.6</v>
      </c>
      <c r="BN254" s="974">
        <f t="shared" si="67"/>
        <v>8.5</v>
      </c>
      <c r="BO254" s="974">
        <f t="shared" si="68"/>
        <v>9.2000000000000028</v>
      </c>
      <c r="BP254" s="974">
        <f t="shared" si="59"/>
        <v>100</v>
      </c>
      <c r="BQ254" s="971" t="s">
        <v>2467</v>
      </c>
      <c r="BR254" s="1001">
        <v>6.6400000000000001E-2</v>
      </c>
      <c r="BS254" s="1001">
        <v>6.6400000000000001E-2</v>
      </c>
      <c r="BT254" s="1001">
        <v>5.2699999999999997E-2</v>
      </c>
      <c r="BU254" s="1001">
        <v>7.3889999999999997E-2</v>
      </c>
      <c r="BV254" s="1001">
        <v>4.931E-2</v>
      </c>
      <c r="BW254" s="1001" t="s">
        <v>2790</v>
      </c>
      <c r="BX254" s="971" t="s">
        <v>2791</v>
      </c>
      <c r="DH254" s="977">
        <f t="shared" si="60"/>
        <v>0</v>
      </c>
      <c r="DI254" s="977" t="str">
        <f t="shared" si="60"/>
        <v>Americas</v>
      </c>
      <c r="DJ254" s="977" t="str">
        <f t="shared" si="60"/>
        <v>North America</v>
      </c>
      <c r="DK254" s="977" t="e">
        <f>VLOOKUP(DH254,#REF!,1)</f>
        <v>#REF!</v>
      </c>
      <c r="DL254" s="977" t="e">
        <f>VLOOKUP(DK254,#REF!,2,FALSE)</f>
        <v>#REF!</v>
      </c>
    </row>
    <row r="255" spans="49:116">
      <c r="AW255" s="987"/>
      <c r="AX255" s="987" t="s">
        <v>2576</v>
      </c>
      <c r="AY255" s="991" t="str">
        <f>+BZ18</f>
        <v>North America</v>
      </c>
      <c r="AZ255" s="987"/>
      <c r="BA255" s="971" t="s">
        <v>3275</v>
      </c>
      <c r="BB255" s="992">
        <v>5.9113863912301383</v>
      </c>
      <c r="BC255" s="971" t="s">
        <v>2494</v>
      </c>
      <c r="BD255" s="987">
        <v>0.04</v>
      </c>
      <c r="BE255" s="987">
        <v>0.1</v>
      </c>
      <c r="BF255" s="971" t="s">
        <v>2679</v>
      </c>
      <c r="BG255" s="973"/>
      <c r="BH255" s="974">
        <f t="shared" si="61"/>
        <v>23.2</v>
      </c>
      <c r="BI255" s="974">
        <f t="shared" si="62"/>
        <v>3.9</v>
      </c>
      <c r="BJ255" s="974">
        <f t="shared" si="63"/>
        <v>33.9</v>
      </c>
      <c r="BK255" s="974">
        <f t="shared" si="64"/>
        <v>6.2</v>
      </c>
      <c r="BL255" s="974">
        <f t="shared" si="65"/>
        <v>9.5</v>
      </c>
      <c r="BM255" s="974">
        <f t="shared" si="66"/>
        <v>5.6</v>
      </c>
      <c r="BN255" s="974">
        <f t="shared" si="67"/>
        <v>8.5</v>
      </c>
      <c r="BO255" s="974">
        <f t="shared" si="68"/>
        <v>9.2000000000000028</v>
      </c>
      <c r="BP255" s="974">
        <f t="shared" si="59"/>
        <v>100</v>
      </c>
      <c r="BQ255" s="971" t="s">
        <v>2467</v>
      </c>
      <c r="BR255" s="1001">
        <v>6.6400000000000001E-2</v>
      </c>
      <c r="BS255" s="1001">
        <v>6.6400000000000001E-2</v>
      </c>
      <c r="BT255" s="1001">
        <v>5.2699999999999997E-2</v>
      </c>
      <c r="BU255" s="1001">
        <v>7.3889999999999997E-2</v>
      </c>
      <c r="BV255" s="1001">
        <v>4.931E-2</v>
      </c>
      <c r="BW255" s="1001" t="s">
        <v>2790</v>
      </c>
      <c r="BX255" s="971" t="s">
        <v>2791</v>
      </c>
      <c r="DH255" s="977">
        <f t="shared" si="60"/>
        <v>0</v>
      </c>
      <c r="DI255" s="977" t="str">
        <f t="shared" si="60"/>
        <v>Americas</v>
      </c>
      <c r="DJ255" s="977" t="str">
        <f t="shared" si="60"/>
        <v>North America</v>
      </c>
      <c r="DK255" s="977" t="e">
        <f>VLOOKUP(DH255,#REF!,1)</f>
        <v>#REF!</v>
      </c>
      <c r="DL255" s="977" t="e">
        <f>VLOOKUP(DK255,#REF!,2,FALSE)</f>
        <v>#REF!</v>
      </c>
    </row>
    <row r="256" spans="49:116">
      <c r="AW256" s="987"/>
      <c r="AX256" s="987" t="s">
        <v>2576</v>
      </c>
      <c r="AY256" s="991" t="str">
        <f>+BZ18</f>
        <v>North America</v>
      </c>
      <c r="AZ256" s="987"/>
      <c r="BA256" s="971" t="s">
        <v>3275</v>
      </c>
      <c r="BB256" s="992">
        <v>5.9113863912301383</v>
      </c>
      <c r="BC256" s="971" t="s">
        <v>2494</v>
      </c>
      <c r="BD256" s="987">
        <v>0.04</v>
      </c>
      <c r="BE256" s="987">
        <v>0.1</v>
      </c>
      <c r="BF256" s="971" t="s">
        <v>2679</v>
      </c>
      <c r="BG256" s="973"/>
      <c r="BH256" s="974">
        <f t="shared" si="61"/>
        <v>23.2</v>
      </c>
      <c r="BI256" s="974">
        <f t="shared" si="62"/>
        <v>3.9</v>
      </c>
      <c r="BJ256" s="974">
        <f t="shared" si="63"/>
        <v>33.9</v>
      </c>
      <c r="BK256" s="974">
        <f t="shared" si="64"/>
        <v>6.2</v>
      </c>
      <c r="BL256" s="974">
        <f t="shared" si="65"/>
        <v>9.5</v>
      </c>
      <c r="BM256" s="974">
        <f t="shared" si="66"/>
        <v>5.6</v>
      </c>
      <c r="BN256" s="974">
        <f t="shared" si="67"/>
        <v>8.5</v>
      </c>
      <c r="BO256" s="974">
        <f t="shared" si="68"/>
        <v>9.2000000000000028</v>
      </c>
      <c r="BP256" s="974">
        <f t="shared" si="59"/>
        <v>100</v>
      </c>
      <c r="BQ256" s="971" t="s">
        <v>2467</v>
      </c>
      <c r="BR256" s="1001">
        <v>6.6400000000000001E-2</v>
      </c>
      <c r="BS256" s="1001">
        <v>6.6400000000000001E-2</v>
      </c>
      <c r="BT256" s="1001">
        <v>5.2699999999999997E-2</v>
      </c>
      <c r="BU256" s="1001">
        <v>7.3889999999999997E-2</v>
      </c>
      <c r="BV256" s="1001">
        <v>4.931E-2</v>
      </c>
      <c r="BW256" s="1001" t="s">
        <v>2790</v>
      </c>
      <c r="BX256" s="971" t="s">
        <v>2791</v>
      </c>
      <c r="DH256" s="977">
        <f t="shared" si="60"/>
        <v>0</v>
      </c>
      <c r="DI256" s="977" t="str">
        <f t="shared" si="60"/>
        <v>Americas</v>
      </c>
      <c r="DJ256" s="977" t="str">
        <f t="shared" si="60"/>
        <v>North America</v>
      </c>
      <c r="DK256" s="977" t="e">
        <f>VLOOKUP(DH256,#REF!,1)</f>
        <v>#REF!</v>
      </c>
      <c r="DL256" s="977" t="e">
        <f>VLOOKUP(DK256,#REF!,2,FALSE)</f>
        <v>#REF!</v>
      </c>
    </row>
    <row r="257" spans="49:116">
      <c r="AW257" s="987"/>
      <c r="AX257" s="987" t="s">
        <v>2576</v>
      </c>
      <c r="AY257" s="991" t="str">
        <f>+BZ18</f>
        <v>North America</v>
      </c>
      <c r="AZ257" s="987"/>
      <c r="BA257" s="971" t="s">
        <v>3275</v>
      </c>
      <c r="BB257" s="992">
        <v>5.9113863912301383</v>
      </c>
      <c r="BC257" s="971" t="s">
        <v>2494</v>
      </c>
      <c r="BD257" s="987">
        <v>0.04</v>
      </c>
      <c r="BE257" s="987">
        <v>0.1</v>
      </c>
      <c r="BF257" s="971" t="s">
        <v>2679</v>
      </c>
      <c r="BG257" s="973"/>
      <c r="BH257" s="974">
        <f t="shared" si="61"/>
        <v>23.2</v>
      </c>
      <c r="BI257" s="974">
        <f t="shared" si="62"/>
        <v>3.9</v>
      </c>
      <c r="BJ257" s="974">
        <f t="shared" si="63"/>
        <v>33.9</v>
      </c>
      <c r="BK257" s="974">
        <f t="shared" si="64"/>
        <v>6.2</v>
      </c>
      <c r="BL257" s="974">
        <f t="shared" si="65"/>
        <v>9.5</v>
      </c>
      <c r="BM257" s="974">
        <f t="shared" si="66"/>
        <v>5.6</v>
      </c>
      <c r="BN257" s="974">
        <f t="shared" si="67"/>
        <v>8.5</v>
      </c>
      <c r="BO257" s="974">
        <f t="shared" si="68"/>
        <v>9.2000000000000028</v>
      </c>
      <c r="BP257" s="974">
        <f t="shared" si="59"/>
        <v>100</v>
      </c>
      <c r="BQ257" s="971" t="s">
        <v>2467</v>
      </c>
      <c r="BR257" s="1001">
        <v>6.6400000000000001E-2</v>
      </c>
      <c r="BS257" s="1001">
        <v>6.6400000000000001E-2</v>
      </c>
      <c r="BT257" s="1001">
        <v>5.2699999999999997E-2</v>
      </c>
      <c r="BU257" s="1001">
        <v>7.3889999999999997E-2</v>
      </c>
      <c r="BV257" s="1001">
        <v>4.931E-2</v>
      </c>
      <c r="BW257" s="1001" t="s">
        <v>2790</v>
      </c>
      <c r="BX257" s="971" t="s">
        <v>2791</v>
      </c>
      <c r="DH257" s="977">
        <f t="shared" si="60"/>
        <v>0</v>
      </c>
      <c r="DI257" s="977" t="str">
        <f t="shared" si="60"/>
        <v>Americas</v>
      </c>
      <c r="DJ257" s="977" t="str">
        <f t="shared" si="60"/>
        <v>North America</v>
      </c>
      <c r="DK257" s="977" t="e">
        <f>VLOOKUP(DH257,#REF!,1)</f>
        <v>#REF!</v>
      </c>
      <c r="DL257" s="977" t="e">
        <f>VLOOKUP(DK257,#REF!,2,FALSE)</f>
        <v>#REF!</v>
      </c>
    </row>
    <row r="258" spans="49:116">
      <c r="AW258" s="987"/>
      <c r="AX258" s="987" t="s">
        <v>2576</v>
      </c>
      <c r="AY258" s="991" t="str">
        <f>+BZ18</f>
        <v>North America</v>
      </c>
      <c r="AZ258" s="987"/>
      <c r="BA258" s="971" t="s">
        <v>3275</v>
      </c>
      <c r="BB258" s="992">
        <v>5.9113863912301383</v>
      </c>
      <c r="BC258" s="971" t="s">
        <v>2494</v>
      </c>
      <c r="BD258" s="987">
        <v>0.04</v>
      </c>
      <c r="BE258" s="987">
        <v>0.1</v>
      </c>
      <c r="BF258" s="971" t="s">
        <v>2679</v>
      </c>
      <c r="BG258" s="973"/>
      <c r="BH258" s="974">
        <f t="shared" si="61"/>
        <v>23.2</v>
      </c>
      <c r="BI258" s="974">
        <f t="shared" si="62"/>
        <v>3.9</v>
      </c>
      <c r="BJ258" s="974">
        <f t="shared" si="63"/>
        <v>33.9</v>
      </c>
      <c r="BK258" s="974">
        <f t="shared" si="64"/>
        <v>6.2</v>
      </c>
      <c r="BL258" s="974">
        <f t="shared" si="65"/>
        <v>9.5</v>
      </c>
      <c r="BM258" s="974">
        <f t="shared" si="66"/>
        <v>5.6</v>
      </c>
      <c r="BN258" s="974">
        <f t="shared" si="67"/>
        <v>8.5</v>
      </c>
      <c r="BO258" s="974">
        <f t="shared" si="68"/>
        <v>9.2000000000000028</v>
      </c>
      <c r="BP258" s="974">
        <f t="shared" si="59"/>
        <v>100</v>
      </c>
      <c r="BQ258" s="971" t="s">
        <v>2467</v>
      </c>
      <c r="BR258" s="1001">
        <v>6.6400000000000001E-2</v>
      </c>
      <c r="BS258" s="1001">
        <v>6.6400000000000001E-2</v>
      </c>
      <c r="BT258" s="1001">
        <v>5.2699999999999997E-2</v>
      </c>
      <c r="BU258" s="1001">
        <v>7.3889999999999997E-2</v>
      </c>
      <c r="BV258" s="1001">
        <v>4.931E-2</v>
      </c>
      <c r="BW258" s="1001" t="s">
        <v>2790</v>
      </c>
      <c r="BX258" s="971" t="s">
        <v>2791</v>
      </c>
      <c r="DH258" s="977">
        <f t="shared" si="60"/>
        <v>0</v>
      </c>
      <c r="DI258" s="977" t="str">
        <f t="shared" si="60"/>
        <v>Americas</v>
      </c>
      <c r="DJ258" s="977" t="str">
        <f t="shared" si="60"/>
        <v>North America</v>
      </c>
      <c r="DK258" s="977" t="e">
        <f>VLOOKUP(DH258,#REF!,1)</f>
        <v>#REF!</v>
      </c>
      <c r="DL258" s="977" t="e">
        <f>VLOOKUP(DK258,#REF!,2,FALSE)</f>
        <v>#REF!</v>
      </c>
    </row>
    <row r="259" spans="49:116">
      <c r="AW259" s="987"/>
      <c r="AX259" s="987" t="s">
        <v>2576</v>
      </c>
      <c r="AY259" s="991" t="str">
        <f>+BZ18</f>
        <v>North America</v>
      </c>
      <c r="AZ259" s="987"/>
      <c r="BA259" s="971" t="s">
        <v>3275</v>
      </c>
      <c r="BB259" s="992">
        <v>5.9113863912301383</v>
      </c>
      <c r="BC259" s="971" t="s">
        <v>2494</v>
      </c>
      <c r="BD259" s="987">
        <v>0.04</v>
      </c>
      <c r="BE259" s="987">
        <v>0.1</v>
      </c>
      <c r="BF259" s="971" t="s">
        <v>2679</v>
      </c>
      <c r="BG259" s="973"/>
      <c r="BH259" s="974">
        <f t="shared" si="61"/>
        <v>23.2</v>
      </c>
      <c r="BI259" s="974">
        <f t="shared" si="62"/>
        <v>3.9</v>
      </c>
      <c r="BJ259" s="974">
        <f t="shared" si="63"/>
        <v>33.9</v>
      </c>
      <c r="BK259" s="974">
        <f t="shared" si="64"/>
        <v>6.2</v>
      </c>
      <c r="BL259" s="974">
        <f t="shared" si="65"/>
        <v>9.5</v>
      </c>
      <c r="BM259" s="974">
        <f t="shared" si="66"/>
        <v>5.6</v>
      </c>
      <c r="BN259" s="974">
        <f t="shared" si="67"/>
        <v>8.5</v>
      </c>
      <c r="BO259" s="974">
        <f t="shared" si="68"/>
        <v>9.2000000000000028</v>
      </c>
      <c r="BP259" s="974">
        <f t="shared" si="59"/>
        <v>100</v>
      </c>
      <c r="BQ259" s="971" t="s">
        <v>2467</v>
      </c>
      <c r="BR259" s="1001">
        <v>6.6400000000000001E-2</v>
      </c>
      <c r="BS259" s="1001">
        <v>6.6400000000000001E-2</v>
      </c>
      <c r="BT259" s="1001">
        <v>5.2699999999999997E-2</v>
      </c>
      <c r="BU259" s="1001">
        <v>7.3889999999999997E-2</v>
      </c>
      <c r="BV259" s="1001">
        <v>4.931E-2</v>
      </c>
      <c r="BW259" s="1001" t="s">
        <v>2790</v>
      </c>
      <c r="BX259" s="971" t="s">
        <v>2791</v>
      </c>
      <c r="DH259" s="977">
        <f t="shared" si="60"/>
        <v>0</v>
      </c>
      <c r="DI259" s="977" t="str">
        <f t="shared" si="60"/>
        <v>Americas</v>
      </c>
      <c r="DJ259" s="977" t="str">
        <f t="shared" si="60"/>
        <v>North America</v>
      </c>
      <c r="DK259" s="977" t="e">
        <f>VLOOKUP(DH259,#REF!,1)</f>
        <v>#REF!</v>
      </c>
      <c r="DL259" s="977" t="e">
        <f>VLOOKUP(DK259,#REF!,2,FALSE)</f>
        <v>#REF!</v>
      </c>
    </row>
    <row r="260" spans="49:116">
      <c r="AW260" s="987"/>
      <c r="AX260" s="987" t="s">
        <v>2576</v>
      </c>
      <c r="AY260" s="991" t="str">
        <f>+BZ18</f>
        <v>North America</v>
      </c>
      <c r="AZ260" s="987"/>
      <c r="BA260" s="971" t="s">
        <v>3275</v>
      </c>
      <c r="BB260" s="992">
        <v>5.9113863912301383</v>
      </c>
      <c r="BC260" s="971" t="s">
        <v>2494</v>
      </c>
      <c r="BD260" s="987">
        <v>0.04</v>
      </c>
      <c r="BE260" s="987">
        <v>0.1</v>
      </c>
      <c r="BF260" s="971" t="s">
        <v>2679</v>
      </c>
      <c r="BG260" s="973"/>
      <c r="BH260" s="974">
        <f t="shared" si="61"/>
        <v>23.2</v>
      </c>
      <c r="BI260" s="974">
        <f t="shared" si="62"/>
        <v>3.9</v>
      </c>
      <c r="BJ260" s="974">
        <f t="shared" si="63"/>
        <v>33.9</v>
      </c>
      <c r="BK260" s="974">
        <f t="shared" si="64"/>
        <v>6.2</v>
      </c>
      <c r="BL260" s="974">
        <f t="shared" si="65"/>
        <v>9.5</v>
      </c>
      <c r="BM260" s="974">
        <f t="shared" si="66"/>
        <v>5.6</v>
      </c>
      <c r="BN260" s="974">
        <f t="shared" si="67"/>
        <v>8.5</v>
      </c>
      <c r="BO260" s="974">
        <f t="shared" si="68"/>
        <v>9.2000000000000028</v>
      </c>
      <c r="BP260" s="974">
        <f t="shared" ref="BP260:BP280" si="69">+SUM(BH260:BO260)</f>
        <v>100</v>
      </c>
      <c r="BQ260" s="971" t="s">
        <v>2467</v>
      </c>
      <c r="BR260" s="1001">
        <v>6.6400000000000001E-2</v>
      </c>
      <c r="BS260" s="1001">
        <v>6.6400000000000001E-2</v>
      </c>
      <c r="BT260" s="1001">
        <v>5.2699999999999997E-2</v>
      </c>
      <c r="BU260" s="1001">
        <v>7.3889999999999997E-2</v>
      </c>
      <c r="BV260" s="1001">
        <v>4.931E-2</v>
      </c>
      <c r="BW260" s="1001" t="s">
        <v>2790</v>
      </c>
      <c r="BX260" s="971" t="s">
        <v>2791</v>
      </c>
      <c r="DH260" s="977">
        <f t="shared" si="60"/>
        <v>0</v>
      </c>
      <c r="DI260" s="977" t="str">
        <f t="shared" si="60"/>
        <v>Americas</v>
      </c>
      <c r="DJ260" s="977" t="str">
        <f t="shared" si="60"/>
        <v>North America</v>
      </c>
      <c r="DK260" s="977" t="e">
        <f>VLOOKUP(DH260,#REF!,1)</f>
        <v>#REF!</v>
      </c>
      <c r="DL260" s="977" t="e">
        <f>VLOOKUP(DK260,#REF!,2,FALSE)</f>
        <v>#REF!</v>
      </c>
    </row>
    <row r="261" spans="49:116">
      <c r="AW261" s="987"/>
      <c r="AX261" s="987" t="s">
        <v>2576</v>
      </c>
      <c r="AY261" s="991" t="str">
        <f>+BZ18</f>
        <v>North America</v>
      </c>
      <c r="AZ261" s="987"/>
      <c r="BA261" s="971" t="s">
        <v>3275</v>
      </c>
      <c r="BB261" s="992">
        <v>5.9113863912301383</v>
      </c>
      <c r="BC261" s="971" t="s">
        <v>2494</v>
      </c>
      <c r="BD261" s="987">
        <v>0.04</v>
      </c>
      <c r="BE261" s="987">
        <v>0.1</v>
      </c>
      <c r="BF261" s="971" t="s">
        <v>2679</v>
      </c>
      <c r="BG261" s="973"/>
      <c r="BH261" s="974">
        <f t="shared" si="61"/>
        <v>23.2</v>
      </c>
      <c r="BI261" s="974">
        <f t="shared" si="62"/>
        <v>3.9</v>
      </c>
      <c r="BJ261" s="974">
        <f t="shared" si="63"/>
        <v>33.9</v>
      </c>
      <c r="BK261" s="974">
        <f t="shared" si="64"/>
        <v>6.2</v>
      </c>
      <c r="BL261" s="974">
        <f t="shared" si="65"/>
        <v>9.5</v>
      </c>
      <c r="BM261" s="974">
        <f t="shared" si="66"/>
        <v>5.6</v>
      </c>
      <c r="BN261" s="974">
        <f t="shared" si="67"/>
        <v>8.5</v>
      </c>
      <c r="BO261" s="974">
        <f t="shared" si="68"/>
        <v>9.2000000000000028</v>
      </c>
      <c r="BP261" s="974">
        <f t="shared" si="69"/>
        <v>100</v>
      </c>
      <c r="BQ261" s="971" t="s">
        <v>2467</v>
      </c>
      <c r="BR261" s="1001">
        <v>6.6400000000000001E-2</v>
      </c>
      <c r="BS261" s="1001">
        <v>6.6400000000000001E-2</v>
      </c>
      <c r="BT261" s="1001">
        <v>5.2699999999999997E-2</v>
      </c>
      <c r="BU261" s="1001">
        <v>7.3889999999999997E-2</v>
      </c>
      <c r="BV261" s="1001">
        <v>4.931E-2</v>
      </c>
      <c r="BW261" s="1001" t="s">
        <v>2790</v>
      </c>
      <c r="BX261" s="971" t="s">
        <v>2791</v>
      </c>
      <c r="DH261" s="977">
        <f t="shared" si="60"/>
        <v>0</v>
      </c>
      <c r="DI261" s="977" t="str">
        <f t="shared" si="60"/>
        <v>Americas</v>
      </c>
      <c r="DJ261" s="977" t="str">
        <f t="shared" si="60"/>
        <v>North America</v>
      </c>
      <c r="DK261" s="977" t="e">
        <f>VLOOKUP(DH261,#REF!,1)</f>
        <v>#REF!</v>
      </c>
      <c r="DL261" s="977" t="e">
        <f>VLOOKUP(DK261,#REF!,2,FALSE)</f>
        <v>#REF!</v>
      </c>
    </row>
    <row r="262" spans="49:116">
      <c r="AW262" s="987"/>
      <c r="AX262" s="987" t="s">
        <v>2576</v>
      </c>
      <c r="AY262" s="991" t="str">
        <f>+BZ18</f>
        <v>North America</v>
      </c>
      <c r="AZ262" s="987"/>
      <c r="BA262" s="971" t="s">
        <v>3275</v>
      </c>
      <c r="BB262" s="992">
        <v>5.9113863912301383</v>
      </c>
      <c r="BC262" s="971" t="s">
        <v>2494</v>
      </c>
      <c r="BD262" s="987">
        <v>0.04</v>
      </c>
      <c r="BE262" s="987">
        <v>0.1</v>
      </c>
      <c r="BF262" s="971" t="s">
        <v>2679</v>
      </c>
      <c r="BG262" s="973"/>
      <c r="BH262" s="974">
        <f t="shared" si="61"/>
        <v>23.2</v>
      </c>
      <c r="BI262" s="974">
        <f t="shared" si="62"/>
        <v>3.9</v>
      </c>
      <c r="BJ262" s="974">
        <f t="shared" si="63"/>
        <v>33.9</v>
      </c>
      <c r="BK262" s="974">
        <f t="shared" si="64"/>
        <v>6.2</v>
      </c>
      <c r="BL262" s="974">
        <f t="shared" si="65"/>
        <v>9.5</v>
      </c>
      <c r="BM262" s="974">
        <f t="shared" si="66"/>
        <v>5.6</v>
      </c>
      <c r="BN262" s="974">
        <f t="shared" si="67"/>
        <v>8.5</v>
      </c>
      <c r="BO262" s="974">
        <f t="shared" si="68"/>
        <v>9.2000000000000028</v>
      </c>
      <c r="BP262" s="974">
        <f t="shared" si="69"/>
        <v>100</v>
      </c>
      <c r="BQ262" s="971" t="s">
        <v>2467</v>
      </c>
      <c r="BR262" s="1001">
        <v>6.6400000000000001E-2</v>
      </c>
      <c r="BS262" s="1001">
        <v>6.6400000000000001E-2</v>
      </c>
      <c r="BT262" s="1001">
        <v>5.2699999999999997E-2</v>
      </c>
      <c r="BU262" s="1001">
        <v>7.3889999999999997E-2</v>
      </c>
      <c r="BV262" s="1001">
        <v>4.931E-2</v>
      </c>
      <c r="BW262" s="1001" t="s">
        <v>2790</v>
      </c>
      <c r="BX262" s="971" t="s">
        <v>2791</v>
      </c>
      <c r="DH262" s="977">
        <f t="shared" si="60"/>
        <v>0</v>
      </c>
      <c r="DI262" s="977" t="str">
        <f t="shared" si="60"/>
        <v>Americas</v>
      </c>
      <c r="DJ262" s="977" t="str">
        <f t="shared" si="60"/>
        <v>North America</v>
      </c>
      <c r="DK262" s="977" t="e">
        <f>VLOOKUP(DH262,#REF!,1)</f>
        <v>#REF!</v>
      </c>
      <c r="DL262" s="977" t="e">
        <f>VLOOKUP(DK262,#REF!,2,FALSE)</f>
        <v>#REF!</v>
      </c>
    </row>
    <row r="263" spans="49:116">
      <c r="AW263" s="987"/>
      <c r="AX263" s="987" t="s">
        <v>2576</v>
      </c>
      <c r="AY263" s="991" t="str">
        <f>+BZ18</f>
        <v>North America</v>
      </c>
      <c r="AZ263" s="987"/>
      <c r="BA263" s="971" t="s">
        <v>3275</v>
      </c>
      <c r="BB263" s="992">
        <v>5.9113863912301383</v>
      </c>
      <c r="BC263" s="971" t="s">
        <v>2494</v>
      </c>
      <c r="BD263" s="987">
        <v>0.04</v>
      </c>
      <c r="BE263" s="987">
        <v>0.1</v>
      </c>
      <c r="BF263" s="971" t="s">
        <v>2679</v>
      </c>
      <c r="BG263" s="973"/>
      <c r="BH263" s="974">
        <f t="shared" si="61"/>
        <v>23.2</v>
      </c>
      <c r="BI263" s="974">
        <f t="shared" si="62"/>
        <v>3.9</v>
      </c>
      <c r="BJ263" s="974">
        <f t="shared" si="63"/>
        <v>33.9</v>
      </c>
      <c r="BK263" s="974">
        <f t="shared" si="64"/>
        <v>6.2</v>
      </c>
      <c r="BL263" s="974">
        <f t="shared" si="65"/>
        <v>9.5</v>
      </c>
      <c r="BM263" s="974">
        <f t="shared" si="66"/>
        <v>5.6</v>
      </c>
      <c r="BN263" s="974">
        <f t="shared" si="67"/>
        <v>8.5</v>
      </c>
      <c r="BO263" s="974">
        <f t="shared" si="68"/>
        <v>9.2000000000000028</v>
      </c>
      <c r="BP263" s="974">
        <f t="shared" si="69"/>
        <v>100</v>
      </c>
      <c r="BQ263" s="971" t="s">
        <v>2467</v>
      </c>
      <c r="BR263" s="1001">
        <v>6.6400000000000001E-2</v>
      </c>
      <c r="BS263" s="1001">
        <v>6.6400000000000001E-2</v>
      </c>
      <c r="BT263" s="1001">
        <v>5.2699999999999997E-2</v>
      </c>
      <c r="BU263" s="1001">
        <v>7.3889999999999997E-2</v>
      </c>
      <c r="BV263" s="1001">
        <v>4.931E-2</v>
      </c>
      <c r="BW263" s="1001" t="s">
        <v>2790</v>
      </c>
      <c r="BX263" s="971" t="s">
        <v>2791</v>
      </c>
      <c r="DH263" s="977">
        <f t="shared" si="60"/>
        <v>0</v>
      </c>
      <c r="DI263" s="977" t="str">
        <f t="shared" si="60"/>
        <v>Americas</v>
      </c>
      <c r="DJ263" s="977" t="str">
        <f t="shared" si="60"/>
        <v>North America</v>
      </c>
      <c r="DK263" s="977" t="e">
        <f>VLOOKUP(DH263,#REF!,1)</f>
        <v>#REF!</v>
      </c>
      <c r="DL263" s="977" t="e">
        <f>VLOOKUP(DK263,#REF!,2,FALSE)</f>
        <v>#REF!</v>
      </c>
    </row>
    <row r="264" spans="49:116">
      <c r="AW264" s="987"/>
      <c r="AX264" s="987" t="s">
        <v>2576</v>
      </c>
      <c r="AY264" s="991" t="str">
        <f>+BZ18</f>
        <v>North America</v>
      </c>
      <c r="AZ264" s="987"/>
      <c r="BA264" s="971" t="s">
        <v>3275</v>
      </c>
      <c r="BB264" s="992">
        <v>5.9113863912301383</v>
      </c>
      <c r="BC264" s="971" t="s">
        <v>2494</v>
      </c>
      <c r="BD264" s="987">
        <v>0.04</v>
      </c>
      <c r="BE264" s="987">
        <v>0.1</v>
      </c>
      <c r="BF264" s="971" t="s">
        <v>2679</v>
      </c>
      <c r="BG264" s="973"/>
      <c r="BH264" s="974">
        <f t="shared" si="61"/>
        <v>23.2</v>
      </c>
      <c r="BI264" s="974">
        <f t="shared" si="62"/>
        <v>3.9</v>
      </c>
      <c r="BJ264" s="974">
        <f t="shared" si="63"/>
        <v>33.9</v>
      </c>
      <c r="BK264" s="974">
        <f t="shared" si="64"/>
        <v>6.2</v>
      </c>
      <c r="BL264" s="974">
        <f t="shared" si="65"/>
        <v>9.5</v>
      </c>
      <c r="BM264" s="974">
        <f t="shared" si="66"/>
        <v>5.6</v>
      </c>
      <c r="BN264" s="974">
        <f t="shared" si="67"/>
        <v>8.5</v>
      </c>
      <c r="BO264" s="974">
        <f t="shared" si="68"/>
        <v>9.2000000000000028</v>
      </c>
      <c r="BP264" s="974">
        <f t="shared" si="69"/>
        <v>100</v>
      </c>
      <c r="BQ264" s="971" t="s">
        <v>2467</v>
      </c>
      <c r="BR264" s="1001">
        <v>6.6400000000000001E-2</v>
      </c>
      <c r="BS264" s="1001">
        <v>6.6400000000000001E-2</v>
      </c>
      <c r="BT264" s="1001">
        <v>5.2699999999999997E-2</v>
      </c>
      <c r="BU264" s="1001">
        <v>7.3889999999999997E-2</v>
      </c>
      <c r="BV264" s="1001">
        <v>4.931E-2</v>
      </c>
      <c r="BW264" s="1001" t="s">
        <v>2790</v>
      </c>
      <c r="BX264" s="971" t="s">
        <v>2791</v>
      </c>
      <c r="DH264" s="977">
        <f t="shared" si="60"/>
        <v>0</v>
      </c>
      <c r="DI264" s="977" t="str">
        <f t="shared" si="60"/>
        <v>Americas</v>
      </c>
      <c r="DJ264" s="977" t="str">
        <f t="shared" si="60"/>
        <v>North America</v>
      </c>
      <c r="DK264" s="977" t="e">
        <f>VLOOKUP(DH264,#REF!,1)</f>
        <v>#REF!</v>
      </c>
      <c r="DL264" s="977" t="e">
        <f>VLOOKUP(DK264,#REF!,2,FALSE)</f>
        <v>#REF!</v>
      </c>
    </row>
    <row r="265" spans="49:116">
      <c r="AW265" s="987"/>
      <c r="AX265" s="987" t="s">
        <v>2576</v>
      </c>
      <c r="AY265" s="991" t="str">
        <f>+BZ18</f>
        <v>North America</v>
      </c>
      <c r="AZ265" s="987"/>
      <c r="BA265" s="971" t="s">
        <v>3275</v>
      </c>
      <c r="BB265" s="992">
        <v>5.9113863912301383</v>
      </c>
      <c r="BC265" s="971" t="s">
        <v>2494</v>
      </c>
      <c r="BD265" s="987">
        <v>0.04</v>
      </c>
      <c r="BE265" s="987">
        <v>0.1</v>
      </c>
      <c r="BF265" s="971" t="s">
        <v>2679</v>
      </c>
      <c r="BG265" s="973"/>
      <c r="BH265" s="974">
        <f t="shared" si="61"/>
        <v>23.2</v>
      </c>
      <c r="BI265" s="974">
        <f t="shared" si="62"/>
        <v>3.9</v>
      </c>
      <c r="BJ265" s="974">
        <f t="shared" si="63"/>
        <v>33.9</v>
      </c>
      <c r="BK265" s="974">
        <f t="shared" si="64"/>
        <v>6.2</v>
      </c>
      <c r="BL265" s="974">
        <f t="shared" si="65"/>
        <v>9.5</v>
      </c>
      <c r="BM265" s="974">
        <f t="shared" si="66"/>
        <v>5.6</v>
      </c>
      <c r="BN265" s="974">
        <f t="shared" si="67"/>
        <v>8.5</v>
      </c>
      <c r="BO265" s="974">
        <f t="shared" si="68"/>
        <v>9.2000000000000028</v>
      </c>
      <c r="BP265" s="974">
        <f t="shared" si="69"/>
        <v>100</v>
      </c>
      <c r="BQ265" s="971" t="s">
        <v>2467</v>
      </c>
      <c r="BR265" s="1001">
        <v>6.6400000000000001E-2</v>
      </c>
      <c r="BS265" s="1001">
        <v>6.6400000000000001E-2</v>
      </c>
      <c r="BT265" s="1001">
        <v>5.2699999999999997E-2</v>
      </c>
      <c r="BU265" s="1001">
        <v>7.3889999999999997E-2</v>
      </c>
      <c r="BV265" s="1001">
        <v>4.931E-2</v>
      </c>
      <c r="BW265" s="1001" t="s">
        <v>2790</v>
      </c>
      <c r="BX265" s="971" t="s">
        <v>2791</v>
      </c>
      <c r="DH265" s="977">
        <f t="shared" si="60"/>
        <v>0</v>
      </c>
      <c r="DI265" s="977" t="str">
        <f t="shared" si="60"/>
        <v>Americas</v>
      </c>
      <c r="DJ265" s="977" t="str">
        <f t="shared" si="60"/>
        <v>North America</v>
      </c>
      <c r="DK265" s="977" t="e">
        <f>VLOOKUP(DH265,#REF!,1)</f>
        <v>#REF!</v>
      </c>
      <c r="DL265" s="977" t="e">
        <f>VLOOKUP(DK265,#REF!,2,FALSE)</f>
        <v>#REF!</v>
      </c>
    </row>
    <row r="266" spans="49:116">
      <c r="AW266" s="987"/>
      <c r="AX266" s="987" t="s">
        <v>2576</v>
      </c>
      <c r="AY266" s="991" t="str">
        <f>+BZ18</f>
        <v>North America</v>
      </c>
      <c r="AZ266" s="987"/>
      <c r="BA266" s="971" t="s">
        <v>3275</v>
      </c>
      <c r="BB266" s="992">
        <v>5.9113863912301383</v>
      </c>
      <c r="BC266" s="971" t="s">
        <v>2494</v>
      </c>
      <c r="BD266" s="987">
        <v>0.04</v>
      </c>
      <c r="BE266" s="987">
        <v>0.1</v>
      </c>
      <c r="BF266" s="971" t="s">
        <v>2679</v>
      </c>
      <c r="BG266" s="973"/>
      <c r="BH266" s="974">
        <f t="shared" si="61"/>
        <v>23.2</v>
      </c>
      <c r="BI266" s="974">
        <f t="shared" si="62"/>
        <v>3.9</v>
      </c>
      <c r="BJ266" s="974">
        <f t="shared" si="63"/>
        <v>33.9</v>
      </c>
      <c r="BK266" s="974">
        <f t="shared" si="64"/>
        <v>6.2</v>
      </c>
      <c r="BL266" s="974">
        <f t="shared" si="65"/>
        <v>9.5</v>
      </c>
      <c r="BM266" s="974">
        <f t="shared" si="66"/>
        <v>5.6</v>
      </c>
      <c r="BN266" s="974">
        <f t="shared" si="67"/>
        <v>8.5</v>
      </c>
      <c r="BO266" s="974">
        <f t="shared" si="68"/>
        <v>9.2000000000000028</v>
      </c>
      <c r="BP266" s="974">
        <f t="shared" si="69"/>
        <v>100</v>
      </c>
      <c r="BQ266" s="971" t="s">
        <v>2467</v>
      </c>
      <c r="BR266" s="1001">
        <v>6.6400000000000001E-2</v>
      </c>
      <c r="BS266" s="1001">
        <v>6.6400000000000001E-2</v>
      </c>
      <c r="BT266" s="1001">
        <v>5.2699999999999997E-2</v>
      </c>
      <c r="BU266" s="1001">
        <v>7.3889999999999997E-2</v>
      </c>
      <c r="BV266" s="1001">
        <v>4.931E-2</v>
      </c>
      <c r="BW266" s="1001" t="s">
        <v>2790</v>
      </c>
      <c r="BX266" s="971" t="s">
        <v>2791</v>
      </c>
      <c r="DH266" s="977">
        <f t="shared" si="60"/>
        <v>0</v>
      </c>
      <c r="DI266" s="977" t="str">
        <f t="shared" si="60"/>
        <v>Americas</v>
      </c>
      <c r="DJ266" s="977" t="str">
        <f t="shared" si="60"/>
        <v>North America</v>
      </c>
      <c r="DK266" s="977" t="e">
        <f>VLOOKUP(DH266,#REF!,1)</f>
        <v>#REF!</v>
      </c>
      <c r="DL266" s="977" t="e">
        <f>VLOOKUP(DK266,#REF!,2,FALSE)</f>
        <v>#REF!</v>
      </c>
    </row>
    <row r="267" spans="49:116">
      <c r="AW267" s="987"/>
      <c r="AX267" s="987" t="s">
        <v>2576</v>
      </c>
      <c r="AY267" s="991" t="str">
        <f>+BZ18</f>
        <v>North America</v>
      </c>
      <c r="AZ267" s="987"/>
      <c r="BA267" s="971" t="s">
        <v>3275</v>
      </c>
      <c r="BB267" s="992">
        <v>5.9113863912301383</v>
      </c>
      <c r="BC267" s="971" t="s">
        <v>2494</v>
      </c>
      <c r="BD267" s="987">
        <v>0.04</v>
      </c>
      <c r="BE267" s="987">
        <v>0.1</v>
      </c>
      <c r="BF267" s="971" t="s">
        <v>2679</v>
      </c>
      <c r="BG267" s="973"/>
      <c r="BH267" s="974">
        <f t="shared" si="61"/>
        <v>23.2</v>
      </c>
      <c r="BI267" s="974">
        <f t="shared" si="62"/>
        <v>3.9</v>
      </c>
      <c r="BJ267" s="974">
        <f t="shared" si="63"/>
        <v>33.9</v>
      </c>
      <c r="BK267" s="974">
        <f t="shared" si="64"/>
        <v>6.2</v>
      </c>
      <c r="BL267" s="974">
        <f t="shared" si="65"/>
        <v>9.5</v>
      </c>
      <c r="BM267" s="974">
        <f t="shared" si="66"/>
        <v>5.6</v>
      </c>
      <c r="BN267" s="974">
        <f t="shared" si="67"/>
        <v>8.5</v>
      </c>
      <c r="BO267" s="974">
        <f t="shared" si="68"/>
        <v>9.2000000000000028</v>
      </c>
      <c r="BP267" s="974">
        <f t="shared" si="69"/>
        <v>100</v>
      </c>
      <c r="BQ267" s="971" t="s">
        <v>2467</v>
      </c>
      <c r="BR267" s="1001">
        <v>6.6400000000000001E-2</v>
      </c>
      <c r="BS267" s="1001">
        <v>6.6400000000000001E-2</v>
      </c>
      <c r="BT267" s="1001">
        <v>5.2699999999999997E-2</v>
      </c>
      <c r="BU267" s="1001">
        <v>7.3889999999999997E-2</v>
      </c>
      <c r="BV267" s="1001">
        <v>4.931E-2</v>
      </c>
      <c r="BW267" s="1001" t="s">
        <v>2790</v>
      </c>
      <c r="BX267" s="971" t="s">
        <v>2791</v>
      </c>
      <c r="DH267" s="977">
        <f t="shared" ref="DH267:DJ280" si="70">AW267</f>
        <v>0</v>
      </c>
      <c r="DI267" s="977" t="str">
        <f t="shared" si="70"/>
        <v>Americas</v>
      </c>
      <c r="DJ267" s="977" t="str">
        <f t="shared" si="70"/>
        <v>North America</v>
      </c>
      <c r="DK267" s="977" t="e">
        <f>VLOOKUP(DH267,#REF!,1)</f>
        <v>#REF!</v>
      </c>
      <c r="DL267" s="977" t="e">
        <f>VLOOKUP(DK267,#REF!,2,FALSE)</f>
        <v>#REF!</v>
      </c>
    </row>
    <row r="268" spans="49:116">
      <c r="AW268" s="987"/>
      <c r="AX268" s="987" t="s">
        <v>2576</v>
      </c>
      <c r="AY268" s="991" t="str">
        <f>+BZ18</f>
        <v>North America</v>
      </c>
      <c r="AZ268" s="987"/>
      <c r="BA268" s="971" t="s">
        <v>3275</v>
      </c>
      <c r="BB268" s="992">
        <v>5.9113863912301383</v>
      </c>
      <c r="BC268" s="971" t="s">
        <v>2494</v>
      </c>
      <c r="BD268" s="987">
        <v>0.04</v>
      </c>
      <c r="BE268" s="987">
        <v>0.1</v>
      </c>
      <c r="BF268" s="971" t="s">
        <v>2679</v>
      </c>
      <c r="BG268" s="973"/>
      <c r="BH268" s="974">
        <f t="shared" si="61"/>
        <v>23.2</v>
      </c>
      <c r="BI268" s="974">
        <f t="shared" si="62"/>
        <v>3.9</v>
      </c>
      <c r="BJ268" s="974">
        <f t="shared" si="63"/>
        <v>33.9</v>
      </c>
      <c r="BK268" s="974">
        <f t="shared" si="64"/>
        <v>6.2</v>
      </c>
      <c r="BL268" s="974">
        <f t="shared" si="65"/>
        <v>9.5</v>
      </c>
      <c r="BM268" s="974">
        <f t="shared" si="66"/>
        <v>5.6</v>
      </c>
      <c r="BN268" s="974">
        <f t="shared" si="67"/>
        <v>8.5</v>
      </c>
      <c r="BO268" s="974">
        <f t="shared" si="68"/>
        <v>9.2000000000000028</v>
      </c>
      <c r="BP268" s="974">
        <f t="shared" si="69"/>
        <v>100</v>
      </c>
      <c r="BQ268" s="971" t="s">
        <v>2467</v>
      </c>
      <c r="BR268" s="1001">
        <v>6.6400000000000001E-2</v>
      </c>
      <c r="BS268" s="1001">
        <v>6.6400000000000001E-2</v>
      </c>
      <c r="BT268" s="1001">
        <v>5.2699999999999997E-2</v>
      </c>
      <c r="BU268" s="1001">
        <v>7.3889999999999997E-2</v>
      </c>
      <c r="BV268" s="1001">
        <v>4.931E-2</v>
      </c>
      <c r="BW268" s="1001" t="s">
        <v>2790</v>
      </c>
      <c r="BX268" s="971" t="s">
        <v>2791</v>
      </c>
      <c r="DH268" s="977">
        <f t="shared" si="70"/>
        <v>0</v>
      </c>
      <c r="DI268" s="977" t="str">
        <f t="shared" si="70"/>
        <v>Americas</v>
      </c>
      <c r="DJ268" s="977" t="str">
        <f t="shared" si="70"/>
        <v>North America</v>
      </c>
      <c r="DK268" s="977" t="e">
        <f>VLOOKUP(DH268,#REF!,1)</f>
        <v>#REF!</v>
      </c>
      <c r="DL268" s="977" t="e">
        <f>VLOOKUP(DK268,#REF!,2,FALSE)</f>
        <v>#REF!</v>
      </c>
    </row>
    <row r="269" spans="49:116">
      <c r="AW269" s="987"/>
      <c r="AX269" s="987" t="s">
        <v>2576</v>
      </c>
      <c r="AY269" s="991" t="str">
        <f>+BZ18</f>
        <v>North America</v>
      </c>
      <c r="AZ269" s="987"/>
      <c r="BA269" s="971" t="s">
        <v>3275</v>
      </c>
      <c r="BB269" s="992">
        <v>5.9113863912301383</v>
      </c>
      <c r="BC269" s="971" t="s">
        <v>2494</v>
      </c>
      <c r="BD269" s="987">
        <v>0.04</v>
      </c>
      <c r="BE269" s="987">
        <v>0.1</v>
      </c>
      <c r="BF269" s="971" t="s">
        <v>2679</v>
      </c>
      <c r="BG269" s="973"/>
      <c r="BH269" s="974">
        <f t="shared" si="61"/>
        <v>23.2</v>
      </c>
      <c r="BI269" s="974">
        <f t="shared" si="62"/>
        <v>3.9</v>
      </c>
      <c r="BJ269" s="974">
        <f t="shared" si="63"/>
        <v>33.9</v>
      </c>
      <c r="BK269" s="974">
        <f t="shared" si="64"/>
        <v>6.2</v>
      </c>
      <c r="BL269" s="974">
        <f t="shared" si="65"/>
        <v>9.5</v>
      </c>
      <c r="BM269" s="974">
        <f t="shared" si="66"/>
        <v>5.6</v>
      </c>
      <c r="BN269" s="974">
        <f t="shared" si="67"/>
        <v>8.5</v>
      </c>
      <c r="BO269" s="974">
        <f t="shared" si="68"/>
        <v>9.2000000000000028</v>
      </c>
      <c r="BP269" s="974">
        <f t="shared" si="69"/>
        <v>100</v>
      </c>
      <c r="BQ269" s="971" t="s">
        <v>2467</v>
      </c>
      <c r="BR269" s="1001">
        <v>6.6400000000000001E-2</v>
      </c>
      <c r="BS269" s="1001">
        <v>6.6400000000000001E-2</v>
      </c>
      <c r="BT269" s="1001">
        <v>5.2699999999999997E-2</v>
      </c>
      <c r="BU269" s="1001">
        <v>7.3889999999999997E-2</v>
      </c>
      <c r="BV269" s="1001">
        <v>4.931E-2</v>
      </c>
      <c r="BW269" s="1001" t="s">
        <v>2790</v>
      </c>
      <c r="BX269" s="971" t="s">
        <v>2791</v>
      </c>
      <c r="DH269" s="977">
        <f t="shared" si="70"/>
        <v>0</v>
      </c>
      <c r="DI269" s="977" t="str">
        <f t="shared" si="70"/>
        <v>Americas</v>
      </c>
      <c r="DJ269" s="977" t="str">
        <f t="shared" si="70"/>
        <v>North America</v>
      </c>
      <c r="DK269" s="977" t="e">
        <f>VLOOKUP(DH269,#REF!,1)</f>
        <v>#REF!</v>
      </c>
      <c r="DL269" s="977" t="e">
        <f>VLOOKUP(DK269,#REF!,2,FALSE)</f>
        <v>#REF!</v>
      </c>
    </row>
    <row r="270" spans="49:116">
      <c r="AW270" s="987"/>
      <c r="AX270" s="987" t="s">
        <v>2576</v>
      </c>
      <c r="AY270" s="991" t="str">
        <f>+BZ18</f>
        <v>North America</v>
      </c>
      <c r="AZ270" s="987"/>
      <c r="BA270" s="971" t="s">
        <v>3275</v>
      </c>
      <c r="BB270" s="992">
        <v>5.9113863912301383</v>
      </c>
      <c r="BC270" s="971" t="s">
        <v>2494</v>
      </c>
      <c r="BD270" s="987">
        <v>0.04</v>
      </c>
      <c r="BE270" s="987">
        <v>0.1</v>
      </c>
      <c r="BF270" s="971" t="s">
        <v>2679</v>
      </c>
      <c r="BG270" s="973"/>
      <c r="BH270" s="974">
        <f t="shared" si="61"/>
        <v>23.2</v>
      </c>
      <c r="BI270" s="974">
        <f t="shared" si="62"/>
        <v>3.9</v>
      </c>
      <c r="BJ270" s="974">
        <f t="shared" si="63"/>
        <v>33.9</v>
      </c>
      <c r="BK270" s="974">
        <f t="shared" si="64"/>
        <v>6.2</v>
      </c>
      <c r="BL270" s="974">
        <f t="shared" si="65"/>
        <v>9.5</v>
      </c>
      <c r="BM270" s="974">
        <f t="shared" si="66"/>
        <v>5.6</v>
      </c>
      <c r="BN270" s="974">
        <f t="shared" si="67"/>
        <v>8.5</v>
      </c>
      <c r="BO270" s="974">
        <f t="shared" si="68"/>
        <v>9.2000000000000028</v>
      </c>
      <c r="BP270" s="974">
        <f t="shared" si="69"/>
        <v>100</v>
      </c>
      <c r="BQ270" s="971" t="s">
        <v>2467</v>
      </c>
      <c r="BR270" s="1001">
        <v>6.6400000000000001E-2</v>
      </c>
      <c r="BS270" s="1001">
        <v>6.6400000000000001E-2</v>
      </c>
      <c r="BT270" s="1001">
        <v>5.2699999999999997E-2</v>
      </c>
      <c r="BU270" s="1001">
        <v>7.3889999999999997E-2</v>
      </c>
      <c r="BV270" s="1001">
        <v>4.931E-2</v>
      </c>
      <c r="BW270" s="1001" t="s">
        <v>2790</v>
      </c>
      <c r="BX270" s="971" t="s">
        <v>2791</v>
      </c>
      <c r="DH270" s="977">
        <f t="shared" si="70"/>
        <v>0</v>
      </c>
      <c r="DI270" s="977" t="str">
        <f t="shared" si="70"/>
        <v>Americas</v>
      </c>
      <c r="DJ270" s="977" t="str">
        <f t="shared" si="70"/>
        <v>North America</v>
      </c>
      <c r="DK270" s="977" t="e">
        <f>VLOOKUP(DH270,#REF!,1)</f>
        <v>#REF!</v>
      </c>
      <c r="DL270" s="977" t="e">
        <f>VLOOKUP(DK270,#REF!,2,FALSE)</f>
        <v>#REF!</v>
      </c>
    </row>
    <row r="271" spans="49:116">
      <c r="AW271" s="969" t="s">
        <v>3276</v>
      </c>
      <c r="AX271" s="969" t="s">
        <v>2464</v>
      </c>
      <c r="AY271" s="970" t="str">
        <f>+BZ4</f>
        <v>South-Central Asia</v>
      </c>
      <c r="AZ271" s="969">
        <v>506</v>
      </c>
      <c r="BA271" s="971" t="s">
        <v>2465</v>
      </c>
      <c r="BB271" s="972">
        <v>8.8158844765342952</v>
      </c>
      <c r="BC271" s="971" t="s">
        <v>2494</v>
      </c>
      <c r="BD271" s="973"/>
      <c r="BE271" s="973"/>
      <c r="BF271" s="971"/>
      <c r="BG271" s="973"/>
      <c r="BH271" s="974">
        <f t="shared" si="61"/>
        <v>11.3</v>
      </c>
      <c r="BI271" s="974">
        <f t="shared" si="62"/>
        <v>2.5</v>
      </c>
      <c r="BJ271" s="974">
        <f t="shared" si="63"/>
        <v>40.299999999999997</v>
      </c>
      <c r="BK271" s="974">
        <f t="shared" si="64"/>
        <v>7.9</v>
      </c>
      <c r="BL271" s="974">
        <f t="shared" si="65"/>
        <v>9.5</v>
      </c>
      <c r="BM271" s="974">
        <f t="shared" si="66"/>
        <v>5.6</v>
      </c>
      <c r="BN271" s="974">
        <f t="shared" si="67"/>
        <v>6.4</v>
      </c>
      <c r="BO271" s="974">
        <f t="shared" si="68"/>
        <v>16.5</v>
      </c>
      <c r="BP271" s="974">
        <f t="shared" si="69"/>
        <v>100</v>
      </c>
      <c r="BQ271" s="971" t="s">
        <v>2467</v>
      </c>
      <c r="BR271" s="975"/>
      <c r="BS271" s="975"/>
      <c r="BT271" s="975"/>
      <c r="BU271" s="975"/>
      <c r="BV271" s="975"/>
      <c r="BW271" s="975"/>
      <c r="BX271" s="971"/>
      <c r="DH271" s="977" t="str">
        <f t="shared" si="70"/>
        <v>Uzbekistan</v>
      </c>
      <c r="DI271" s="977" t="str">
        <f t="shared" si="70"/>
        <v>Asia</v>
      </c>
      <c r="DJ271" s="977" t="str">
        <f t="shared" si="70"/>
        <v>South-Central Asia</v>
      </c>
      <c r="DL271" s="977" t="s">
        <v>35</v>
      </c>
    </row>
    <row r="272" spans="49:116" ht="26">
      <c r="AW272" s="969" t="s">
        <v>3277</v>
      </c>
      <c r="AX272" s="987" t="s">
        <v>2536</v>
      </c>
      <c r="AY272" s="970" t="str">
        <f>+BZ17</f>
        <v>Rest of Oceania</v>
      </c>
      <c r="AZ272" s="969">
        <v>371</v>
      </c>
      <c r="BA272" s="971" t="s">
        <v>2465</v>
      </c>
      <c r="BB272" s="972">
        <v>5.4123414965002699</v>
      </c>
      <c r="BC272" s="971" t="s">
        <v>2537</v>
      </c>
      <c r="BD272" s="973"/>
      <c r="BE272" s="973"/>
      <c r="BF272" s="971"/>
      <c r="BG272" s="973"/>
      <c r="BH272" s="974">
        <f t="shared" si="61"/>
        <v>6</v>
      </c>
      <c r="BI272" s="974">
        <f t="shared" si="62"/>
        <v>2.97</v>
      </c>
      <c r="BJ272" s="974">
        <f t="shared" si="63"/>
        <v>67.5</v>
      </c>
      <c r="BK272" s="974">
        <f t="shared" si="64"/>
        <v>2.5</v>
      </c>
      <c r="BL272" s="974">
        <f t="shared" si="65"/>
        <v>9.5</v>
      </c>
      <c r="BM272" s="974">
        <f t="shared" si="66"/>
        <v>5.6</v>
      </c>
      <c r="BN272" s="974">
        <f t="shared" si="67"/>
        <v>2.97</v>
      </c>
      <c r="BO272" s="974">
        <f t="shared" si="68"/>
        <v>2.9666666666666668</v>
      </c>
      <c r="BP272" s="974">
        <f t="shared" si="69"/>
        <v>100.00666666666666</v>
      </c>
      <c r="BQ272" s="971" t="s">
        <v>2467</v>
      </c>
      <c r="BR272" s="975"/>
      <c r="BS272" s="975"/>
      <c r="BT272" s="975"/>
      <c r="BU272" s="975"/>
      <c r="BV272" s="975"/>
      <c r="BW272" s="975"/>
      <c r="BX272" s="971"/>
      <c r="DH272" s="977" t="str">
        <f t="shared" si="70"/>
        <v>Vanatu</v>
      </c>
      <c r="DI272" s="977" t="str">
        <f t="shared" si="70"/>
        <v>Oceania</v>
      </c>
      <c r="DJ272" s="977" t="str">
        <f t="shared" si="70"/>
        <v>Rest of Oceania</v>
      </c>
      <c r="DL272" s="977" t="s">
        <v>35</v>
      </c>
    </row>
    <row r="273" spans="49:116">
      <c r="AW273" s="969" t="s">
        <v>3278</v>
      </c>
      <c r="AX273" s="987" t="s">
        <v>2576</v>
      </c>
      <c r="AY273" s="970" t="str">
        <f>+BZ20</f>
        <v>South America</v>
      </c>
      <c r="AZ273" s="969">
        <v>345</v>
      </c>
      <c r="BA273" s="971" t="s">
        <v>2465</v>
      </c>
      <c r="BB273" s="972">
        <v>36.04471827953622</v>
      </c>
      <c r="BC273" s="971" t="s">
        <v>2494</v>
      </c>
      <c r="BD273" s="973"/>
      <c r="BE273" s="973"/>
      <c r="BF273" s="971"/>
      <c r="BG273" s="973"/>
      <c r="BH273" s="974">
        <f t="shared" si="61"/>
        <v>17.100000000000001</v>
      </c>
      <c r="BI273" s="974">
        <f t="shared" si="62"/>
        <v>2.6</v>
      </c>
      <c r="BJ273" s="974">
        <f t="shared" si="63"/>
        <v>44.9</v>
      </c>
      <c r="BK273" s="974">
        <f t="shared" si="64"/>
        <v>4.7</v>
      </c>
      <c r="BL273" s="974">
        <f t="shared" si="65"/>
        <v>9.5</v>
      </c>
      <c r="BM273" s="974">
        <f t="shared" si="66"/>
        <v>5.6</v>
      </c>
      <c r="BN273" s="974">
        <f t="shared" si="67"/>
        <v>10.8</v>
      </c>
      <c r="BO273" s="974">
        <f t="shared" si="68"/>
        <v>4.8000000000000114</v>
      </c>
      <c r="BP273" s="974">
        <f t="shared" si="69"/>
        <v>100</v>
      </c>
      <c r="BQ273" s="971" t="s">
        <v>2467</v>
      </c>
      <c r="BR273" s="975"/>
      <c r="BS273" s="975"/>
      <c r="BT273" s="975"/>
      <c r="BU273" s="975"/>
      <c r="BV273" s="975"/>
      <c r="BW273" s="975"/>
      <c r="BX273" s="971"/>
      <c r="DH273" s="977" t="str">
        <f t="shared" si="70"/>
        <v>Venezuela</v>
      </c>
      <c r="DI273" s="977" t="str">
        <f t="shared" si="70"/>
        <v>Americas</v>
      </c>
      <c r="DJ273" s="977" t="str">
        <f t="shared" si="70"/>
        <v>South America</v>
      </c>
      <c r="DL273" s="977" t="s">
        <v>35</v>
      </c>
    </row>
    <row r="274" spans="49:116">
      <c r="AW274" s="969" t="s">
        <v>71</v>
      </c>
      <c r="AX274" s="969" t="s">
        <v>2464</v>
      </c>
      <c r="AY274" s="970" t="str">
        <f>+BZ5</f>
        <v>South-Eastern Asia</v>
      </c>
      <c r="AZ274" s="969">
        <v>356</v>
      </c>
      <c r="BA274" s="971" t="s">
        <v>2465</v>
      </c>
      <c r="BB274" s="972">
        <v>9.2867122845985737</v>
      </c>
      <c r="BC274" s="971" t="s">
        <v>2494</v>
      </c>
      <c r="BD274" s="973"/>
      <c r="BE274" s="973"/>
      <c r="BF274" s="971"/>
      <c r="BG274" s="973"/>
      <c r="BH274" s="974">
        <f t="shared" si="61"/>
        <v>12.9</v>
      </c>
      <c r="BI274" s="974">
        <f t="shared" si="62"/>
        <v>2.7</v>
      </c>
      <c r="BJ274" s="974">
        <f t="shared" si="63"/>
        <v>43.5</v>
      </c>
      <c r="BK274" s="974">
        <f t="shared" si="64"/>
        <v>9.9</v>
      </c>
      <c r="BL274" s="974">
        <f t="shared" si="65"/>
        <v>9.5</v>
      </c>
      <c r="BM274" s="974">
        <f t="shared" si="66"/>
        <v>5.6</v>
      </c>
      <c r="BN274" s="974">
        <f t="shared" si="67"/>
        <v>7.2</v>
      </c>
      <c r="BO274" s="974">
        <f t="shared" si="68"/>
        <v>8.7000000000000028</v>
      </c>
      <c r="BP274" s="974">
        <f t="shared" si="69"/>
        <v>100</v>
      </c>
      <c r="BQ274" s="971" t="s">
        <v>2467</v>
      </c>
      <c r="BR274" s="975"/>
      <c r="BS274" s="975"/>
      <c r="BT274" s="975"/>
      <c r="BU274" s="975"/>
      <c r="BV274" s="975"/>
      <c r="BW274" s="975"/>
      <c r="BX274" s="971"/>
      <c r="DH274" s="977" t="str">
        <f t="shared" si="70"/>
        <v>Vietnam</v>
      </c>
      <c r="DI274" s="977" t="str">
        <f t="shared" si="70"/>
        <v>Asia</v>
      </c>
      <c r="DJ274" s="977" t="str">
        <f t="shared" si="70"/>
        <v>South-Eastern Asia</v>
      </c>
      <c r="DL274" s="977" t="s">
        <v>35</v>
      </c>
    </row>
    <row r="275" spans="49:116" ht="26">
      <c r="AW275" s="969" t="s">
        <v>3279</v>
      </c>
      <c r="AX275" s="987" t="s">
        <v>2576</v>
      </c>
      <c r="AY275" s="970" t="str">
        <f>+BZ21</f>
        <v>Caribbean</v>
      </c>
      <c r="AZ275" s="969">
        <v>375</v>
      </c>
      <c r="BA275" s="971" t="s">
        <v>2465</v>
      </c>
      <c r="BB275" s="972">
        <v>9.3894684857089938</v>
      </c>
      <c r="BC275" s="971" t="s">
        <v>2577</v>
      </c>
      <c r="BD275" s="973"/>
      <c r="BE275" s="973"/>
      <c r="BF275" s="971"/>
      <c r="BG275" s="973"/>
      <c r="BH275" s="974">
        <f t="shared" si="61"/>
        <v>17</v>
      </c>
      <c r="BI275" s="974">
        <f t="shared" si="62"/>
        <v>5.0999999999999996</v>
      </c>
      <c r="BJ275" s="974">
        <f t="shared" si="63"/>
        <v>46.9</v>
      </c>
      <c r="BK275" s="974">
        <f t="shared" si="64"/>
        <v>2.4</v>
      </c>
      <c r="BL275" s="974">
        <f t="shared" si="65"/>
        <v>9.5</v>
      </c>
      <c r="BM275" s="974">
        <f t="shared" si="66"/>
        <v>5.6</v>
      </c>
      <c r="BN275" s="974">
        <f t="shared" si="67"/>
        <v>9.9</v>
      </c>
      <c r="BO275" s="974">
        <f t="shared" si="68"/>
        <v>3.5999999999999943</v>
      </c>
      <c r="BP275" s="974">
        <f t="shared" si="69"/>
        <v>100</v>
      </c>
      <c r="BQ275" s="971" t="s">
        <v>2467</v>
      </c>
      <c r="BR275" s="975"/>
      <c r="BS275" s="975"/>
      <c r="BT275" s="975"/>
      <c r="BU275" s="975"/>
      <c r="BV275" s="975"/>
      <c r="BW275" s="975"/>
      <c r="BX275" s="971"/>
      <c r="DH275" s="977" t="str">
        <f t="shared" si="70"/>
        <v>Virgin Islands (U.S.)</v>
      </c>
      <c r="DI275" s="977" t="str">
        <f t="shared" si="70"/>
        <v>Americas</v>
      </c>
      <c r="DJ275" s="977" t="str">
        <f t="shared" si="70"/>
        <v>Caribbean</v>
      </c>
      <c r="DL275" s="977" t="s">
        <v>35</v>
      </c>
    </row>
    <row r="276" spans="49:116" ht="26">
      <c r="AW276" s="969" t="s">
        <v>3280</v>
      </c>
      <c r="AX276" s="969" t="s">
        <v>2464</v>
      </c>
      <c r="AY276" s="970" t="str">
        <f>+BZ6</f>
        <v>Western Asia &amp; Middle East</v>
      </c>
      <c r="AZ276" s="969">
        <v>625</v>
      </c>
      <c r="BA276" s="971" t="s">
        <v>2465</v>
      </c>
      <c r="BB276" s="972">
        <v>13.490630673342661</v>
      </c>
      <c r="BC276" s="971" t="s">
        <v>2725</v>
      </c>
      <c r="BD276" s="973"/>
      <c r="BE276" s="973"/>
      <c r="BF276" s="971"/>
      <c r="BG276" s="973"/>
      <c r="BH276" s="974">
        <f t="shared" si="61"/>
        <v>18</v>
      </c>
      <c r="BI276" s="974">
        <f t="shared" si="62"/>
        <v>2.9</v>
      </c>
      <c r="BJ276" s="974">
        <f t="shared" si="63"/>
        <v>41.1</v>
      </c>
      <c r="BK276" s="974">
        <f t="shared" si="64"/>
        <v>9.8000000000000007</v>
      </c>
      <c r="BL276" s="974">
        <f t="shared" si="65"/>
        <v>9.5</v>
      </c>
      <c r="BM276" s="974">
        <f t="shared" si="66"/>
        <v>5.6</v>
      </c>
      <c r="BN276" s="974">
        <f t="shared" si="67"/>
        <v>6.3</v>
      </c>
      <c r="BO276" s="974">
        <f t="shared" si="68"/>
        <v>6.8000000000000114</v>
      </c>
      <c r="BP276" s="974">
        <f t="shared" si="69"/>
        <v>100</v>
      </c>
      <c r="BQ276" s="971" t="s">
        <v>2467</v>
      </c>
      <c r="BR276" s="975"/>
      <c r="BS276" s="975"/>
      <c r="BT276" s="975"/>
      <c r="BU276" s="975"/>
      <c r="BV276" s="975"/>
      <c r="BW276" s="975"/>
      <c r="BX276" s="971"/>
      <c r="DH276" s="977" t="str">
        <f t="shared" si="70"/>
        <v>West Bank and Gaza</v>
      </c>
      <c r="DI276" s="977" t="str">
        <f t="shared" si="70"/>
        <v>Asia</v>
      </c>
      <c r="DJ276" s="977" t="str">
        <f t="shared" si="70"/>
        <v>Western Asia &amp; Middle East</v>
      </c>
      <c r="DL276" s="977" t="s">
        <v>35</v>
      </c>
    </row>
    <row r="277" spans="49:116">
      <c r="AW277" s="969" t="s">
        <v>3281</v>
      </c>
      <c r="AX277" s="969" t="s">
        <v>2464</v>
      </c>
      <c r="AY277" s="970" t="str">
        <f>+BZ5</f>
        <v>South-Eastern Asia</v>
      </c>
      <c r="AZ277" s="969">
        <v>636</v>
      </c>
      <c r="BA277" s="971" t="s">
        <v>2465</v>
      </c>
      <c r="BB277" s="972">
        <v>25.765105937745226</v>
      </c>
      <c r="BC277" s="971" t="s">
        <v>2494</v>
      </c>
      <c r="BD277" s="973"/>
      <c r="BE277" s="973"/>
      <c r="BF277" s="971"/>
      <c r="BG277" s="973"/>
      <c r="BH277" s="974">
        <f t="shared" si="61"/>
        <v>12.9</v>
      </c>
      <c r="BI277" s="974">
        <f t="shared" si="62"/>
        <v>2.7</v>
      </c>
      <c r="BJ277" s="974">
        <f t="shared" si="63"/>
        <v>43.5</v>
      </c>
      <c r="BK277" s="974">
        <f t="shared" si="64"/>
        <v>9.9</v>
      </c>
      <c r="BL277" s="974">
        <f t="shared" si="65"/>
        <v>9.5</v>
      </c>
      <c r="BM277" s="974">
        <f t="shared" si="66"/>
        <v>5.6</v>
      </c>
      <c r="BN277" s="974">
        <f t="shared" si="67"/>
        <v>7.2</v>
      </c>
      <c r="BO277" s="974">
        <f t="shared" si="68"/>
        <v>8.7000000000000028</v>
      </c>
      <c r="BP277" s="974">
        <f t="shared" si="69"/>
        <v>100</v>
      </c>
      <c r="BQ277" s="971" t="s">
        <v>2467</v>
      </c>
      <c r="BR277" s="975"/>
      <c r="BS277" s="975"/>
      <c r="BT277" s="975"/>
      <c r="BU277" s="975"/>
      <c r="BV277" s="975"/>
      <c r="BW277" s="975"/>
      <c r="BX277" s="971"/>
      <c r="DH277" s="977" t="str">
        <f t="shared" si="70"/>
        <v>Yemen</v>
      </c>
      <c r="DI277" s="977" t="str">
        <f t="shared" si="70"/>
        <v>Asia</v>
      </c>
      <c r="DJ277" s="977" t="str">
        <f t="shared" si="70"/>
        <v>South-Eastern Asia</v>
      </c>
      <c r="DL277" s="977" t="s">
        <v>35</v>
      </c>
    </row>
    <row r="278" spans="49:116">
      <c r="AW278" s="969" t="s">
        <v>3282</v>
      </c>
      <c r="AX278" s="969" t="s">
        <v>2520</v>
      </c>
      <c r="AY278" s="970" t="str">
        <f>+BZ7</f>
        <v>Eastern Africa</v>
      </c>
      <c r="AZ278" s="969">
        <v>99</v>
      </c>
      <c r="BA278" s="971" t="s">
        <v>2465</v>
      </c>
      <c r="BB278" s="972">
        <v>14.95986714641572</v>
      </c>
      <c r="BC278" s="971" t="s">
        <v>2494</v>
      </c>
      <c r="BD278" s="973"/>
      <c r="BE278" s="973"/>
      <c r="BF278" s="971"/>
      <c r="BG278" s="973"/>
      <c r="BH278" s="974">
        <f t="shared" si="61"/>
        <v>7.7</v>
      </c>
      <c r="BI278" s="974">
        <f t="shared" si="62"/>
        <v>1.7</v>
      </c>
      <c r="BJ278" s="974">
        <f t="shared" si="63"/>
        <v>53.9</v>
      </c>
      <c r="BK278" s="974">
        <f t="shared" si="64"/>
        <v>7</v>
      </c>
      <c r="BL278" s="974">
        <f t="shared" si="65"/>
        <v>9.5</v>
      </c>
      <c r="BM278" s="974">
        <f t="shared" si="66"/>
        <v>5.6</v>
      </c>
      <c r="BN278" s="974">
        <f t="shared" si="67"/>
        <v>5.5</v>
      </c>
      <c r="BO278" s="974">
        <f t="shared" si="68"/>
        <v>9.1000000000000085</v>
      </c>
      <c r="BP278" s="974">
        <f t="shared" si="69"/>
        <v>100</v>
      </c>
      <c r="BQ278" s="971" t="s">
        <v>2467</v>
      </c>
      <c r="BR278" s="975"/>
      <c r="BS278" s="975"/>
      <c r="BT278" s="975"/>
      <c r="BU278" s="975"/>
      <c r="BV278" s="975"/>
      <c r="BW278" s="975"/>
      <c r="BX278" s="971"/>
      <c r="DH278" s="977" t="str">
        <f t="shared" si="70"/>
        <v>Zambia</v>
      </c>
      <c r="DI278" s="977" t="str">
        <f t="shared" si="70"/>
        <v>Africa</v>
      </c>
      <c r="DJ278" s="977" t="str">
        <f t="shared" si="70"/>
        <v>Eastern Africa</v>
      </c>
      <c r="DL278" s="977" t="s">
        <v>35</v>
      </c>
    </row>
    <row r="279" spans="49:116">
      <c r="AW279" s="969" t="s">
        <v>3283</v>
      </c>
      <c r="AX279" s="969" t="s">
        <v>2520</v>
      </c>
      <c r="AY279" s="970" t="str">
        <f>+BZ7</f>
        <v>Eastern Africa</v>
      </c>
      <c r="AZ279" s="969">
        <v>648</v>
      </c>
      <c r="BA279" s="971" t="s">
        <v>2465</v>
      </c>
      <c r="BB279" s="972">
        <v>17.655571635311144</v>
      </c>
      <c r="BC279" s="971" t="s">
        <v>3284</v>
      </c>
      <c r="BD279" s="973"/>
      <c r="BE279" s="973"/>
      <c r="BF279" s="971"/>
      <c r="BG279" s="973"/>
      <c r="BH279" s="974">
        <f t="shared" si="61"/>
        <v>7.7</v>
      </c>
      <c r="BI279" s="974">
        <f t="shared" si="62"/>
        <v>1.7</v>
      </c>
      <c r="BJ279" s="974">
        <f t="shared" si="63"/>
        <v>53.9</v>
      </c>
      <c r="BK279" s="974">
        <f t="shared" si="64"/>
        <v>7</v>
      </c>
      <c r="BL279" s="974">
        <f t="shared" si="65"/>
        <v>9.5</v>
      </c>
      <c r="BM279" s="974">
        <f t="shared" si="66"/>
        <v>5.6</v>
      </c>
      <c r="BN279" s="974">
        <f t="shared" si="67"/>
        <v>5.5</v>
      </c>
      <c r="BO279" s="974">
        <f t="shared" si="68"/>
        <v>9.1000000000000085</v>
      </c>
      <c r="BP279" s="974">
        <f t="shared" si="69"/>
        <v>100</v>
      </c>
      <c r="BQ279" s="971" t="s">
        <v>2467</v>
      </c>
      <c r="BR279" s="975"/>
      <c r="BS279" s="975"/>
      <c r="BT279" s="975"/>
      <c r="BU279" s="975"/>
      <c r="BV279" s="975"/>
      <c r="BW279" s="975"/>
      <c r="BX279" s="971"/>
      <c r="DH279" s="977" t="str">
        <f t="shared" si="70"/>
        <v>Zanzibar (Tanzania)</v>
      </c>
      <c r="DI279" s="977" t="str">
        <f t="shared" si="70"/>
        <v>Africa</v>
      </c>
      <c r="DJ279" s="977" t="str">
        <f t="shared" si="70"/>
        <v>Eastern Africa</v>
      </c>
      <c r="DL279" s="977" t="s">
        <v>35</v>
      </c>
    </row>
    <row r="280" spans="49:116">
      <c r="AW280" s="969" t="s">
        <v>3285</v>
      </c>
      <c r="AX280" s="969" t="s">
        <v>2520</v>
      </c>
      <c r="AY280" s="970" t="str">
        <f>+BZ7</f>
        <v>Eastern Africa</v>
      </c>
      <c r="AZ280" s="969">
        <v>883</v>
      </c>
      <c r="BA280" s="971" t="s">
        <v>2465</v>
      </c>
      <c r="BB280" s="972">
        <v>16.437263115898666</v>
      </c>
      <c r="BC280" s="971" t="s">
        <v>2494</v>
      </c>
      <c r="BD280" s="973"/>
      <c r="BE280" s="973"/>
      <c r="BF280" s="971"/>
      <c r="BG280" s="973"/>
      <c r="BH280" s="974">
        <f t="shared" si="61"/>
        <v>7.7</v>
      </c>
      <c r="BI280" s="974">
        <f t="shared" si="62"/>
        <v>1.7</v>
      </c>
      <c r="BJ280" s="974">
        <f t="shared" si="63"/>
        <v>53.9</v>
      </c>
      <c r="BK280" s="974">
        <f t="shared" si="64"/>
        <v>7</v>
      </c>
      <c r="BL280" s="974">
        <f t="shared" si="65"/>
        <v>9.5</v>
      </c>
      <c r="BM280" s="974">
        <f t="shared" si="66"/>
        <v>5.6</v>
      </c>
      <c r="BN280" s="974">
        <f t="shared" si="67"/>
        <v>5.5</v>
      </c>
      <c r="BO280" s="974">
        <f t="shared" si="68"/>
        <v>9.1000000000000085</v>
      </c>
      <c r="BP280" s="974">
        <f t="shared" si="69"/>
        <v>100</v>
      </c>
      <c r="BQ280" s="971" t="s">
        <v>2467</v>
      </c>
      <c r="BR280" s="975"/>
      <c r="BS280" s="975"/>
      <c r="BT280" s="975"/>
      <c r="BU280" s="975"/>
      <c r="BV280" s="975"/>
      <c r="BW280" s="975"/>
      <c r="BX280" s="971"/>
      <c r="DH280" s="977" t="str">
        <f t="shared" si="70"/>
        <v>Zimbabwe</v>
      </c>
      <c r="DI280" s="977" t="str">
        <f t="shared" si="70"/>
        <v>Africa</v>
      </c>
      <c r="DJ280" s="977" t="str">
        <f t="shared" si="70"/>
        <v>Eastern Africa</v>
      </c>
      <c r="DL280" s="977" t="s">
        <v>35</v>
      </c>
    </row>
  </sheetData>
  <sheetProtection selectLockedCells="1"/>
  <autoFilter ref="BB2:BB280" xr:uid="{00000000-0009-0000-0000-000004000000}"/>
  <mergeCells count="58">
    <mergeCell ref="G1:G2"/>
    <mergeCell ref="A1:A2"/>
    <mergeCell ref="C1:C2"/>
    <mergeCell ref="D1:D2"/>
    <mergeCell ref="E1:E2"/>
    <mergeCell ref="F1:F2"/>
    <mergeCell ref="T1:T2"/>
    <mergeCell ref="H1:H2"/>
    <mergeCell ref="I1:I2"/>
    <mergeCell ref="J1:J2"/>
    <mergeCell ref="L1:L2"/>
    <mergeCell ref="M1:M2"/>
    <mergeCell ref="N1:N2"/>
    <mergeCell ref="O1:O2"/>
    <mergeCell ref="P1:P2"/>
    <mergeCell ref="Q1:Q2"/>
    <mergeCell ref="R1:R2"/>
    <mergeCell ref="S1:S2"/>
    <mergeCell ref="AJ1:AJ2"/>
    <mergeCell ref="U1:U2"/>
    <mergeCell ref="V1:V2"/>
    <mergeCell ref="X1:X2"/>
    <mergeCell ref="Y1:Y2"/>
    <mergeCell ref="Z1:Z2"/>
    <mergeCell ref="AA1:AA2"/>
    <mergeCell ref="AB1:AB2"/>
    <mergeCell ref="AC1:AC2"/>
    <mergeCell ref="AE1:AE2"/>
    <mergeCell ref="AF1:AF2"/>
    <mergeCell ref="AH1:AH2"/>
    <mergeCell ref="BZ1:BZ2"/>
    <mergeCell ref="AL1:AL2"/>
    <mergeCell ref="AN1:AN2"/>
    <mergeCell ref="AP1:AP2"/>
    <mergeCell ref="AR1:AR2"/>
    <mergeCell ref="AS1:AS2"/>
    <mergeCell ref="AU1:AU2"/>
    <mergeCell ref="AZ1:BA1"/>
    <mergeCell ref="BB1:BC1"/>
    <mergeCell ref="BD1:BG1"/>
    <mergeCell ref="BH1:BQ1"/>
    <mergeCell ref="BR1:BX1"/>
    <mergeCell ref="DF1:DF2"/>
    <mergeCell ref="DK1:DL1"/>
    <mergeCell ref="DT1:DT2"/>
    <mergeCell ref="X18:AC18"/>
    <mergeCell ref="CU1:CU2"/>
    <mergeCell ref="CV1:CV2"/>
    <mergeCell ref="CW1:CW2"/>
    <mergeCell ref="CX1:CX2"/>
    <mergeCell ref="CZ1:CZ2"/>
    <mergeCell ref="DB1:DD1"/>
    <mergeCell ref="CA1:CI1"/>
    <mergeCell ref="CK1:CK2"/>
    <mergeCell ref="CM1:CM2"/>
    <mergeCell ref="CO1:CP1"/>
    <mergeCell ref="CQ1:CR1"/>
    <mergeCell ref="CS1:CS2"/>
  </mergeCells>
  <dataValidations count="1">
    <dataValidation type="list" allowBlank="1" showInputMessage="1" showErrorMessage="1" sqref="AL3:AL7" xr:uid="{2C068B20-42A8-442B-B5CA-15903054EFF9}">
      <formula1>#REF!</formula1>
    </dataValidation>
  </dataValidations>
  <pageMargins left="0.7" right="0.7" top="0.79166666666666663" bottom="0.75" header="0.3" footer="0.3"/>
  <pageSetup paperSize="9" orientation="landscape" horizontalDpi="1200" verticalDpi="1200" r:id="rId1"/>
  <headerFooter>
    <oddHeader xml:space="preserve">&amp;L&amp;G&amp;R&amp;8
&amp;"-,Negrita"Herramienta para el cálculo de la huella de carbono en hospitales&amp;"-,Normal"
</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306A5-9ACC-45E9-9FE8-B19ADCEC3CFF}">
  <sheetPr>
    <tabColor rgb="FF94E494"/>
  </sheetPr>
  <dimension ref="A1:DQ305"/>
  <sheetViews>
    <sheetView zoomScale="80" zoomScaleNormal="80" zoomScaleSheetLayoutView="80" zoomScalePageLayoutView="40" workbookViewId="0">
      <selection activeCell="E22" sqref="E22"/>
    </sheetView>
  </sheetViews>
  <sheetFormatPr defaultColWidth="10.5" defaultRowHeight="14"/>
  <cols>
    <col min="1" max="1" width="8.08203125" style="1007" customWidth="1"/>
    <col min="2" max="2" width="70.58203125" style="6" customWidth="1"/>
    <col min="3" max="3" width="2.9140625" style="6" customWidth="1"/>
    <col min="4" max="4" width="15.08203125" style="6" customWidth="1"/>
    <col min="5" max="5" width="19.5" style="6" customWidth="1"/>
    <col min="6" max="6" width="12" style="6" customWidth="1"/>
    <col min="7" max="7" width="12.08203125" style="1008" bestFit="1" customWidth="1"/>
    <col min="8" max="8" width="10.5" style="1008" customWidth="1"/>
    <col min="9" max="11" width="10.5" style="1008"/>
    <col min="12" max="12" width="24.58203125" style="1008" bestFit="1" customWidth="1"/>
    <col min="13" max="13" width="58.58203125" style="1008" customWidth="1"/>
    <col min="14" max="15" width="10.5" style="1008"/>
    <col min="16" max="16" width="37.4140625" style="1008" bestFit="1" customWidth="1"/>
    <col min="17" max="16384" width="10.5" style="1008"/>
  </cols>
  <sheetData>
    <row r="1" spans="1:121" ht="102.9" customHeight="1">
      <c r="B1" s="706"/>
      <c r="C1" s="1294"/>
      <c r="D1" s="1294"/>
      <c r="E1" s="1294"/>
      <c r="F1" s="1294"/>
    </row>
    <row r="2" spans="1:121" s="724" customFormat="1" ht="24" customHeight="1">
      <c r="A2" s="1009"/>
      <c r="B2" s="723" t="str">
        <f>+Instructions!B2</f>
        <v>Health Care Emissions Impact Calculator-Facility</v>
      </c>
      <c r="C2" s="722"/>
      <c r="D2" s="723"/>
      <c r="E2" s="723"/>
      <c r="F2" s="723"/>
    </row>
    <row r="3" spans="1:121" s="1013" customFormat="1" ht="24" customHeight="1">
      <c r="A3" s="1010"/>
      <c r="B3" s="1011" t="str">
        <f>+'Facility or System Data'!$C$3&amp;" - Year " &amp; Instructions!$C$6&amp;" - Results in MTCO2e"</f>
        <v xml:space="preserve">  - Year  - Results in MTCO2e</v>
      </c>
      <c r="C3" s="1011"/>
      <c r="D3" s="1012"/>
      <c r="E3" s="1012"/>
      <c r="F3" s="1012"/>
      <c r="G3" s="1008"/>
      <c r="H3" s="1008"/>
      <c r="I3" s="1008"/>
      <c r="J3" s="1008"/>
      <c r="K3" s="1008"/>
      <c r="L3" s="1008"/>
      <c r="M3" s="1008"/>
      <c r="N3" s="1008"/>
      <c r="O3" s="1008"/>
      <c r="P3" s="1008"/>
      <c r="Q3" s="1008"/>
      <c r="R3" s="1008"/>
      <c r="S3" s="1008"/>
      <c r="T3" s="1008"/>
      <c r="U3" s="1008"/>
      <c r="V3" s="1008"/>
      <c r="W3" s="1008"/>
      <c r="X3" s="1008"/>
      <c r="Y3" s="1008"/>
      <c r="Z3" s="1008"/>
      <c r="AA3" s="1008"/>
      <c r="AB3" s="1008"/>
      <c r="AC3" s="1008"/>
      <c r="AD3" s="1008"/>
      <c r="AE3" s="1008"/>
      <c r="AF3" s="1008"/>
      <c r="AG3" s="1008"/>
      <c r="AH3" s="1008"/>
      <c r="AI3" s="1008"/>
      <c r="AJ3" s="1008"/>
      <c r="AK3" s="1008"/>
      <c r="AL3" s="1008"/>
      <c r="AM3" s="1008"/>
      <c r="AN3" s="1008"/>
      <c r="AO3" s="1008"/>
      <c r="AP3" s="1008"/>
      <c r="AQ3" s="1008"/>
      <c r="AR3" s="1008"/>
      <c r="AS3" s="1008"/>
      <c r="AT3" s="1008"/>
      <c r="AU3" s="1008"/>
      <c r="AV3" s="1008"/>
      <c r="AW3" s="1008"/>
      <c r="AX3" s="1008"/>
      <c r="AY3" s="1008"/>
      <c r="AZ3" s="1008"/>
      <c r="BA3" s="1008"/>
      <c r="BB3" s="1008"/>
      <c r="BC3" s="1008"/>
      <c r="BD3" s="1008"/>
      <c r="BE3" s="1008"/>
      <c r="BF3" s="1008"/>
      <c r="BG3" s="1008"/>
      <c r="BH3" s="1008"/>
      <c r="BI3" s="1008"/>
      <c r="BJ3" s="1008"/>
      <c r="BK3" s="1008"/>
      <c r="BL3" s="1008"/>
      <c r="BM3" s="1008"/>
      <c r="BN3" s="1008"/>
      <c r="BO3" s="1008"/>
      <c r="BP3" s="1008"/>
      <c r="BQ3" s="1008"/>
      <c r="BR3" s="1008"/>
      <c r="BS3" s="1008"/>
      <c r="BT3" s="1008"/>
      <c r="BU3" s="1008"/>
      <c r="BV3" s="1008"/>
      <c r="BW3" s="1008"/>
      <c r="BX3" s="1008"/>
      <c r="BY3" s="1008"/>
      <c r="BZ3" s="1008"/>
      <c r="CA3" s="1008"/>
      <c r="CB3" s="1008"/>
      <c r="CC3" s="1008"/>
      <c r="CD3" s="1008"/>
      <c r="CE3" s="1008"/>
      <c r="CF3" s="1008"/>
      <c r="CG3" s="1008"/>
      <c r="CH3" s="1008"/>
      <c r="CI3" s="1008"/>
      <c r="CJ3" s="1008"/>
      <c r="CK3" s="1008"/>
      <c r="CL3" s="1008"/>
      <c r="CM3" s="1008"/>
      <c r="CN3" s="1008"/>
      <c r="CO3" s="1008"/>
      <c r="CP3" s="1008"/>
      <c r="CQ3" s="1008"/>
      <c r="CR3" s="1008"/>
      <c r="CS3" s="1008"/>
      <c r="CT3" s="1008"/>
      <c r="CU3" s="1008"/>
      <c r="CV3" s="1008"/>
      <c r="CW3" s="1008"/>
      <c r="CX3" s="1008"/>
      <c r="CY3" s="1008"/>
      <c r="CZ3" s="1008"/>
      <c r="DA3" s="1008"/>
      <c r="DB3" s="1008"/>
      <c r="DC3" s="1008"/>
      <c r="DD3" s="1008"/>
      <c r="DE3" s="1008"/>
      <c r="DF3" s="1008"/>
      <c r="DG3" s="1008"/>
      <c r="DH3" s="1008"/>
      <c r="DI3" s="1008"/>
      <c r="DJ3" s="1008"/>
      <c r="DK3" s="1008"/>
      <c r="DL3" s="1008"/>
      <c r="DM3" s="1008"/>
      <c r="DN3" s="1008"/>
      <c r="DO3" s="1008"/>
      <c r="DP3" s="1008"/>
      <c r="DQ3" s="1008"/>
    </row>
    <row r="4" spans="1:121" s="1013" customFormat="1" ht="12" customHeight="1">
      <c r="A4" s="1007"/>
      <c r="B4" s="6"/>
      <c r="C4" s="6"/>
      <c r="D4" s="6"/>
      <c r="E4" s="6"/>
      <c r="F4" s="6"/>
      <c r="G4" s="1008"/>
      <c r="H4" s="1008"/>
      <c r="I4" s="1008"/>
      <c r="J4" s="1008"/>
      <c r="K4" s="1008"/>
      <c r="L4" s="1008"/>
      <c r="M4" s="1008"/>
      <c r="N4" s="1008"/>
      <c r="O4" s="1008"/>
      <c r="P4" s="1008"/>
      <c r="Q4" s="1008"/>
      <c r="R4" s="1008"/>
      <c r="S4" s="1008"/>
      <c r="T4" s="1008"/>
      <c r="U4" s="1008"/>
      <c r="V4" s="1008"/>
      <c r="W4" s="1008"/>
      <c r="X4" s="1008"/>
      <c r="Y4" s="1008"/>
      <c r="Z4" s="1008"/>
      <c r="AA4" s="1008"/>
      <c r="AB4" s="1008"/>
      <c r="AC4" s="1008"/>
      <c r="AD4" s="1008"/>
      <c r="AE4" s="1008"/>
      <c r="AF4" s="1008"/>
      <c r="AG4" s="1008"/>
      <c r="AH4" s="1008"/>
      <c r="AI4" s="1008"/>
      <c r="AJ4" s="1008"/>
      <c r="AK4" s="1008"/>
      <c r="AL4" s="1008"/>
      <c r="AM4" s="1008"/>
      <c r="AN4" s="1008"/>
      <c r="AO4" s="1008"/>
      <c r="AP4" s="1008"/>
      <c r="AQ4" s="1008"/>
      <c r="AR4" s="1008"/>
      <c r="AS4" s="1008"/>
      <c r="AT4" s="1008"/>
      <c r="AU4" s="1008"/>
      <c r="AV4" s="1008"/>
      <c r="AW4" s="1008"/>
      <c r="AX4" s="1008"/>
      <c r="AY4" s="1008"/>
      <c r="AZ4" s="1008"/>
      <c r="BA4" s="1008"/>
      <c r="BB4" s="1008"/>
      <c r="BC4" s="1008"/>
      <c r="BD4" s="1008"/>
      <c r="BE4" s="1008"/>
      <c r="BF4" s="1008"/>
      <c r="BG4" s="1008"/>
      <c r="BH4" s="1008"/>
      <c r="BI4" s="1008"/>
    </row>
    <row r="5" spans="1:121" s="1013" customFormat="1" ht="11.25" customHeight="1">
      <c r="A5" s="1007"/>
      <c r="B5" s="6"/>
      <c r="C5" s="6"/>
      <c r="D5" s="6"/>
      <c r="E5" s="6"/>
      <c r="F5" s="6"/>
      <c r="G5" s="1008"/>
      <c r="H5" s="1008"/>
      <c r="I5" s="1008"/>
      <c r="J5" s="1008"/>
      <c r="K5" s="1008"/>
      <c r="L5" s="1008"/>
      <c r="M5" s="1008"/>
      <c r="N5" s="1008"/>
      <c r="O5" s="1008"/>
      <c r="P5" s="1008"/>
      <c r="Q5" s="1008"/>
      <c r="R5" s="1008"/>
      <c r="S5" s="1008"/>
      <c r="T5" s="1008"/>
      <c r="U5" s="1008"/>
      <c r="V5" s="1008"/>
      <c r="W5" s="1008"/>
      <c r="X5" s="1008"/>
      <c r="Y5" s="1008"/>
      <c r="Z5" s="1008"/>
      <c r="AA5" s="1008"/>
      <c r="AB5" s="1008"/>
      <c r="AC5" s="1008"/>
      <c r="AD5" s="1008"/>
      <c r="AE5" s="1008"/>
      <c r="AF5" s="1008"/>
      <c r="AG5" s="1008"/>
      <c r="AH5" s="1008"/>
      <c r="AI5" s="1008"/>
      <c r="AJ5" s="1008"/>
      <c r="AK5" s="1008"/>
      <c r="AL5" s="1008"/>
      <c r="AM5" s="1008"/>
      <c r="AN5" s="1008"/>
      <c r="AO5" s="1008"/>
      <c r="AP5" s="1008"/>
      <c r="AQ5" s="1008"/>
      <c r="AR5" s="1008"/>
      <c r="AS5" s="1008"/>
      <c r="AT5" s="1008"/>
      <c r="AU5" s="1008"/>
      <c r="AV5" s="1008"/>
      <c r="AW5" s="1008"/>
      <c r="AX5" s="1008"/>
      <c r="AY5" s="1008"/>
      <c r="AZ5" s="1008"/>
      <c r="BA5" s="1008"/>
      <c r="BB5" s="1008"/>
      <c r="BC5" s="1008"/>
      <c r="BD5" s="1008"/>
      <c r="BE5" s="1008"/>
      <c r="BF5" s="1008"/>
      <c r="BG5" s="1008"/>
      <c r="BH5" s="1008"/>
      <c r="BI5" s="1008"/>
    </row>
    <row r="6" spans="1:121" s="1015" customFormat="1" ht="18" customHeight="1">
      <c r="A6" s="1014"/>
      <c r="C6" s="1016"/>
      <c r="D6" s="1017" t="s">
        <v>3286</v>
      </c>
      <c r="E6" s="1018">
        <f>(+E7+E20+E23)</f>
        <v>0</v>
      </c>
      <c r="F6" s="1019">
        <f>+F7+F20+F23</f>
        <v>0</v>
      </c>
      <c r="G6" s="1020"/>
      <c r="H6" s="1020"/>
      <c r="I6" s="1020"/>
      <c r="J6" s="1020"/>
      <c r="K6" s="1020"/>
      <c r="L6" s="1020"/>
      <c r="M6" s="1020"/>
      <c r="N6" s="1020"/>
      <c r="O6" s="1020"/>
      <c r="P6" s="1020"/>
      <c r="Q6" s="1020"/>
      <c r="R6" s="1020"/>
      <c r="S6" s="1020"/>
      <c r="T6" s="1020"/>
      <c r="U6" s="1020"/>
      <c r="V6" s="1020"/>
      <c r="W6" s="1020"/>
      <c r="X6" s="1020"/>
      <c r="Y6" s="1020"/>
      <c r="Z6" s="1020"/>
      <c r="AA6" s="1020"/>
      <c r="AB6" s="1020"/>
      <c r="AC6" s="1020"/>
      <c r="AD6" s="1020"/>
      <c r="AE6" s="1020"/>
      <c r="AF6" s="1020"/>
      <c r="AG6" s="1020"/>
      <c r="AH6" s="1020"/>
      <c r="AI6" s="1020"/>
      <c r="AJ6" s="1020"/>
      <c r="AK6" s="1020"/>
      <c r="AL6" s="1020"/>
      <c r="AM6" s="1020"/>
      <c r="AN6" s="1020"/>
      <c r="AO6" s="1020"/>
      <c r="AP6" s="1020"/>
      <c r="AQ6" s="1020"/>
      <c r="AR6" s="1020"/>
      <c r="AS6" s="1020"/>
      <c r="AT6" s="1020"/>
      <c r="AU6" s="1020"/>
      <c r="AV6" s="1020"/>
      <c r="AW6" s="1020"/>
      <c r="AX6" s="1020"/>
      <c r="AY6" s="1020"/>
      <c r="AZ6" s="1020"/>
      <c r="BA6" s="1020"/>
      <c r="BB6" s="1020"/>
      <c r="BC6" s="1020"/>
      <c r="BD6" s="1020"/>
      <c r="BE6" s="1020"/>
      <c r="BF6" s="1020"/>
      <c r="BG6" s="1020"/>
      <c r="BH6" s="1020"/>
      <c r="BI6" s="1020"/>
      <c r="BJ6" s="1020"/>
      <c r="BK6" s="1020"/>
      <c r="BL6" s="1020"/>
      <c r="BM6" s="1020"/>
      <c r="BN6" s="1020"/>
      <c r="BO6" s="1020"/>
      <c r="BP6" s="1020"/>
      <c r="BQ6" s="1020"/>
      <c r="BR6" s="1020"/>
      <c r="BS6" s="1020"/>
      <c r="BT6" s="1020"/>
      <c r="BU6" s="1020"/>
      <c r="BV6" s="1020"/>
      <c r="BW6" s="1020"/>
      <c r="BX6" s="1020"/>
      <c r="BY6" s="1020"/>
      <c r="BZ6" s="1020"/>
      <c r="CA6" s="1020"/>
      <c r="CB6" s="1020"/>
      <c r="CC6" s="1020"/>
      <c r="CD6" s="1020"/>
      <c r="CE6" s="1020"/>
      <c r="CF6" s="1020"/>
      <c r="CG6" s="1020"/>
      <c r="CH6" s="1020"/>
      <c r="CI6" s="1020"/>
      <c r="CJ6" s="1020"/>
      <c r="CK6" s="1020"/>
      <c r="CL6" s="1020"/>
      <c r="CM6" s="1020"/>
      <c r="CN6" s="1020"/>
      <c r="CO6" s="1020"/>
      <c r="CP6" s="1020"/>
      <c r="CQ6" s="1020"/>
      <c r="CR6" s="1020"/>
      <c r="CS6" s="1020"/>
      <c r="CT6" s="1020"/>
      <c r="CU6" s="1020"/>
      <c r="CV6" s="1020"/>
      <c r="CW6" s="1020"/>
      <c r="CX6" s="1020"/>
      <c r="CY6" s="1020"/>
      <c r="CZ6" s="1020"/>
      <c r="DA6" s="1020"/>
      <c r="DB6" s="1020"/>
      <c r="DC6" s="1020"/>
      <c r="DD6" s="1020"/>
      <c r="DE6" s="1020"/>
      <c r="DF6" s="1020"/>
      <c r="DG6" s="1020"/>
      <c r="DH6" s="1020"/>
      <c r="DI6" s="1020"/>
      <c r="DJ6" s="1020"/>
      <c r="DK6" s="1020"/>
      <c r="DL6" s="1020"/>
      <c r="DM6" s="1020"/>
      <c r="DN6" s="1020"/>
      <c r="DO6" s="1020"/>
    </row>
    <row r="7" spans="1:121" s="1013" customFormat="1" ht="24.9" customHeight="1">
      <c r="A7" s="1021"/>
      <c r="B7" s="1022" t="str">
        <f>+'Scope 1 and 2 Data'!$A$12</f>
        <v>Scope 1</v>
      </c>
      <c r="C7" s="1023"/>
      <c r="D7" s="1023"/>
      <c r="E7" s="1024">
        <f>+(SUM(H8:H9,H11:H12,H14:H15,H17:H19))</f>
        <v>0</v>
      </c>
      <c r="F7" s="1025">
        <f>+IF($E$6&lt;&gt;0,E7/$E$6,0)</f>
        <v>0</v>
      </c>
      <c r="G7" s="1026" t="s">
        <v>3287</v>
      </c>
      <c r="H7" s="1026" t="s">
        <v>3288</v>
      </c>
      <c r="I7" s="1026"/>
      <c r="J7" s="1008"/>
      <c r="K7" s="1008"/>
      <c r="L7" s="1008" t="s">
        <v>3289</v>
      </c>
      <c r="M7" s="1008"/>
      <c r="N7" s="1008"/>
      <c r="O7" s="1008"/>
      <c r="P7" s="1008" t="s">
        <v>3290</v>
      </c>
      <c r="Q7" s="1008"/>
      <c r="R7" s="1008"/>
      <c r="S7" s="1008"/>
      <c r="T7" s="1008"/>
      <c r="U7" s="1008"/>
      <c r="V7" s="1008"/>
      <c r="W7" s="1008"/>
      <c r="X7" s="1008"/>
      <c r="Y7" s="1008"/>
      <c r="Z7" s="1008"/>
      <c r="AA7" s="1008"/>
      <c r="AB7" s="1008"/>
      <c r="AC7" s="1008"/>
      <c r="AD7" s="1008"/>
      <c r="AE7" s="1008"/>
      <c r="AF7" s="1008"/>
      <c r="AG7" s="1008"/>
      <c r="AH7" s="1008"/>
      <c r="AI7" s="1008"/>
      <c r="AJ7" s="1008"/>
      <c r="AK7" s="1008"/>
      <c r="AL7" s="1008"/>
      <c r="AM7" s="1008"/>
      <c r="AN7" s="1008"/>
      <c r="AO7" s="1008"/>
      <c r="AP7" s="1008"/>
      <c r="AQ7" s="1008"/>
      <c r="AR7" s="1008"/>
      <c r="AS7" s="1008"/>
      <c r="AT7" s="1008"/>
      <c r="AU7" s="1008"/>
      <c r="AV7" s="1008"/>
      <c r="AW7" s="1008"/>
      <c r="AX7" s="1008"/>
      <c r="AY7" s="1008"/>
      <c r="AZ7" s="1008"/>
      <c r="BA7" s="1008"/>
      <c r="BB7" s="1008"/>
      <c r="BC7" s="1008"/>
      <c r="BD7" s="1008"/>
      <c r="BE7" s="1008"/>
      <c r="BF7" s="1008"/>
      <c r="BG7" s="1008"/>
    </row>
    <row r="8" spans="1:121" s="1013" customFormat="1" ht="20.25" customHeight="1">
      <c r="A8" s="1027" t="str">
        <f>+'Scope 1 and 2 Data'!A15</f>
        <v>1.1</v>
      </c>
      <c r="B8" s="1028" t="str">
        <f>+'Scope 1 and 2 Data'!B15</f>
        <v>Stationary Combustion</v>
      </c>
      <c r="C8" s="1029"/>
      <c r="D8" s="1029"/>
      <c r="E8" s="1030">
        <f>+IF('Scope 1 and 2 Data'!C21&lt;&gt;'Scope 1 and 2 Data'!$B$6,'Scope 1 and 2 Data'!C21,'Scope 1 and 2 Data'!G29/1000)</f>
        <v>0</v>
      </c>
      <c r="F8" s="1031">
        <f>+IF($E$6&lt;&gt;0,H8/$E$6,0)</f>
        <v>0</v>
      </c>
      <c r="G8" s="1026" t="b">
        <f>+ISNUMBER(E8)</f>
        <v>1</v>
      </c>
      <c r="H8" s="1026">
        <f>+IF(G8=TRUE,E8,0)</f>
        <v>0</v>
      </c>
      <c r="I8" s="1026"/>
      <c r="J8" s="1008"/>
      <c r="K8" s="1008"/>
      <c r="L8" s="1008" t="s">
        <v>6</v>
      </c>
      <c r="M8" s="1032" t="str">
        <f>+B8</f>
        <v>Stationary Combustion</v>
      </c>
      <c r="N8" s="1008">
        <f>+H8</f>
        <v>0</v>
      </c>
      <c r="O8" s="1008"/>
      <c r="P8" s="1008" t="str">
        <f>+B8</f>
        <v>Stationary Combustion</v>
      </c>
      <c r="Q8" s="1008">
        <f>+H8</f>
        <v>0</v>
      </c>
      <c r="R8" s="1008"/>
      <c r="S8" s="1008"/>
      <c r="T8" s="1008"/>
      <c r="U8" s="1008"/>
      <c r="V8" s="1008"/>
      <c r="W8" s="1008"/>
      <c r="X8" s="1008"/>
      <c r="Y8" s="1008"/>
      <c r="Z8" s="1008"/>
      <c r="AA8" s="1008"/>
      <c r="AB8" s="1008"/>
      <c r="AC8" s="1008"/>
      <c r="AD8" s="1008"/>
      <c r="AE8" s="1008"/>
      <c r="AF8" s="1008"/>
      <c r="AG8" s="1008"/>
      <c r="AH8" s="1008"/>
      <c r="AI8" s="1008"/>
      <c r="AJ8" s="1008"/>
      <c r="AK8" s="1008"/>
      <c r="AL8" s="1008"/>
      <c r="AM8" s="1008"/>
      <c r="AN8" s="1008"/>
      <c r="AO8" s="1008"/>
      <c r="AP8" s="1008"/>
      <c r="AQ8" s="1008"/>
      <c r="AR8" s="1008"/>
      <c r="AS8" s="1008"/>
      <c r="AT8" s="1008"/>
      <c r="AU8" s="1008"/>
      <c r="AV8" s="1008"/>
      <c r="AW8" s="1008"/>
      <c r="AX8" s="1008"/>
      <c r="AY8" s="1008"/>
      <c r="AZ8" s="1008"/>
      <c r="BA8" s="1008"/>
    </row>
    <row r="9" spans="1:121" s="1013" customFormat="1" ht="20.25" customHeight="1">
      <c r="A9" s="1027" t="str">
        <f>+'Scope 1 and 2 Data'!A40</f>
        <v>1.2</v>
      </c>
      <c r="B9" s="1028" t="str">
        <f>+'Scope 1 and 2 Data'!B40</f>
        <v>Mobile Combustion</v>
      </c>
      <c r="C9" s="1029"/>
      <c r="D9" s="1029"/>
      <c r="E9" s="1030">
        <f>+IF('Scope 1 and 2 Data'!C45&lt;&gt;'Scope 1 and 2 Data'!$B$6,'Scope 1 and 2 Data'!C45,'Scope 1 and 2 Data'!H60/1000)</f>
        <v>0</v>
      </c>
      <c r="F9" s="1031">
        <f>+IF($E$6&lt;&gt;0,H9/$E$6,0)</f>
        <v>0</v>
      </c>
      <c r="G9" s="1026" t="b">
        <f>+ISNUMBER(E9)</f>
        <v>1</v>
      </c>
      <c r="H9" s="1026">
        <f>+IF(G9=TRUE,E9,0)</f>
        <v>0</v>
      </c>
      <c r="I9" s="1026"/>
      <c r="J9" s="1008"/>
      <c r="K9" s="1008"/>
      <c r="L9" s="1008" t="s">
        <v>6</v>
      </c>
      <c r="M9" s="1032" t="str">
        <f>+B9</f>
        <v>Mobile Combustion</v>
      </c>
      <c r="N9" s="1008">
        <f>+H9</f>
        <v>0</v>
      </c>
      <c r="O9" s="1008"/>
      <c r="P9" s="1008" t="str">
        <f>+B9</f>
        <v>Mobile Combustion</v>
      </c>
      <c r="Q9" s="1008">
        <f>+H9</f>
        <v>0</v>
      </c>
      <c r="R9" s="1008"/>
      <c r="S9" s="1008"/>
      <c r="T9" s="1008"/>
      <c r="U9" s="1008"/>
      <c r="V9" s="1008"/>
      <c r="W9" s="1008"/>
      <c r="X9" s="1008"/>
      <c r="Y9" s="1008"/>
      <c r="Z9" s="1008"/>
      <c r="AA9" s="1008"/>
      <c r="AB9" s="1008"/>
      <c r="AC9" s="1008"/>
      <c r="AD9" s="1008"/>
      <c r="AE9" s="1008"/>
      <c r="AF9" s="1008"/>
      <c r="AG9" s="1008"/>
      <c r="AH9" s="1008"/>
      <c r="AI9" s="1008"/>
      <c r="AJ9" s="1008"/>
      <c r="AK9" s="1008"/>
      <c r="AL9" s="1008"/>
      <c r="AM9" s="1008"/>
      <c r="AN9" s="1008"/>
      <c r="AO9" s="1008"/>
      <c r="AP9" s="1008"/>
      <c r="AQ9" s="1008"/>
      <c r="AR9" s="1008"/>
      <c r="AS9" s="1008"/>
      <c r="AT9" s="1008"/>
      <c r="AU9" s="1008"/>
      <c r="AV9" s="1008"/>
      <c r="AW9" s="1008"/>
      <c r="AX9" s="1008"/>
      <c r="AY9" s="1008"/>
      <c r="AZ9" s="1008"/>
      <c r="BA9" s="1008"/>
    </row>
    <row r="10" spans="1:121" s="1013" customFormat="1" ht="20.25" customHeight="1">
      <c r="A10" s="1033" t="str">
        <f>+'Scope 1 and 2 Data'!A67</f>
        <v>1.3</v>
      </c>
      <c r="B10" s="1028" t="str">
        <f>+'Scope 1 and 2 Data'!B67</f>
        <v xml:space="preserve">Fugitive Emissions </v>
      </c>
      <c r="C10" s="1029"/>
      <c r="D10" s="1029"/>
      <c r="E10" s="1030">
        <f>+SUM(H11:H12)</f>
        <v>0</v>
      </c>
      <c r="F10" s="1031">
        <f>+IF($E$6&lt;&gt;0,E10/$E$6,0)</f>
        <v>0</v>
      </c>
      <c r="G10" s="1026" t="b">
        <f>+ISNUMBER(E10)</f>
        <v>1</v>
      </c>
      <c r="H10" s="1026">
        <f>+SUM(H11:H12)</f>
        <v>0</v>
      </c>
      <c r="I10" s="1026"/>
      <c r="J10" s="1008"/>
      <c r="K10" s="1008"/>
      <c r="L10" s="1008" t="s">
        <v>6</v>
      </c>
      <c r="M10" s="1032" t="str">
        <f>+B11</f>
        <v>Refrigerants and Fire Suppression</v>
      </c>
      <c r="N10" s="1008">
        <f>+H11</f>
        <v>0</v>
      </c>
      <c r="O10" s="1008"/>
      <c r="P10" s="1032" t="str">
        <f>+B11</f>
        <v>Refrigerants and Fire Suppression</v>
      </c>
      <c r="Q10" s="1032">
        <f>+H11</f>
        <v>0</v>
      </c>
      <c r="R10" s="1032"/>
      <c r="S10" s="1032"/>
      <c r="T10" s="1032"/>
      <c r="U10" s="1032"/>
      <c r="V10" s="1008"/>
      <c r="W10" s="1008"/>
      <c r="X10" s="1008"/>
      <c r="Y10" s="1008"/>
      <c r="Z10" s="1008"/>
      <c r="AA10" s="1008"/>
      <c r="AB10" s="1008"/>
      <c r="AC10" s="1008"/>
      <c r="AD10" s="1008"/>
      <c r="AE10" s="1008"/>
      <c r="AF10" s="1008"/>
      <c r="AG10" s="1008"/>
      <c r="AH10" s="1008"/>
      <c r="AI10" s="1008"/>
      <c r="AJ10" s="1008"/>
      <c r="AK10" s="1008"/>
      <c r="AL10" s="1008"/>
      <c r="AM10" s="1008"/>
      <c r="AN10" s="1008"/>
      <c r="AO10" s="1008"/>
      <c r="AP10" s="1008"/>
      <c r="AQ10" s="1008"/>
      <c r="AR10" s="1008"/>
      <c r="AS10" s="1008"/>
      <c r="AT10" s="1008"/>
      <c r="AU10" s="1008"/>
      <c r="AV10" s="1008"/>
      <c r="AW10" s="1008"/>
      <c r="AX10" s="1008"/>
      <c r="AY10" s="1008"/>
      <c r="AZ10" s="1008"/>
      <c r="BA10" s="1008"/>
    </row>
    <row r="11" spans="1:121" s="1013" customFormat="1" ht="30.75" customHeight="1">
      <c r="A11" s="1034" t="str">
        <f>+'Scope 1 and 2 Data'!A68</f>
        <v>1.3.1</v>
      </c>
      <c r="B11" s="1035" t="str">
        <f>+'Scope 1 and 2 Data'!B68</f>
        <v>Refrigerants and Fire Suppression</v>
      </c>
      <c r="C11" s="1036"/>
      <c r="D11" s="1036"/>
      <c r="E11" s="1037">
        <f>+IF('Scope 1 and 2 Data'!C72&lt;&gt;'Scope 1 and 2 Data'!$B$6,'Scope 1 and 2 Data'!C72,'Scope 1 and 2 Data'!E78/1000)</f>
        <v>0</v>
      </c>
      <c r="F11" s="1038">
        <f>+IF($E$6&lt;&gt;0,H11/$E$6,0)</f>
        <v>0</v>
      </c>
      <c r="G11" s="1026" t="b">
        <f>+ISNUMBER(E11)</f>
        <v>1</v>
      </c>
      <c r="H11" s="1026">
        <f>+IF(G11=TRUE,E11,0)</f>
        <v>0</v>
      </c>
      <c r="I11" s="1026"/>
      <c r="J11" s="1008"/>
      <c r="K11" s="1008"/>
      <c r="L11" s="1008" t="s">
        <v>6</v>
      </c>
      <c r="M11" s="1032" t="str">
        <f>+B12</f>
        <v>Inhaled Anesthetic Gases</v>
      </c>
      <c r="N11" s="1008">
        <f>+H12</f>
        <v>0</v>
      </c>
      <c r="O11" s="1008"/>
      <c r="P11" s="1032" t="str">
        <f>+B12</f>
        <v>Inhaled Anesthetic Gases</v>
      </c>
      <c r="Q11" s="1032">
        <f>+H12</f>
        <v>0</v>
      </c>
      <c r="R11" s="1032"/>
      <c r="S11" s="1032"/>
      <c r="T11" s="1032"/>
      <c r="U11" s="1032"/>
      <c r="V11" s="1008"/>
      <c r="W11" s="1008"/>
      <c r="X11" s="1008"/>
      <c r="Y11" s="1008"/>
      <c r="Z11" s="1008"/>
      <c r="AA11" s="1008"/>
      <c r="AB11" s="1008"/>
      <c r="AC11" s="1008"/>
      <c r="AD11" s="1008"/>
      <c r="AE11" s="1008"/>
      <c r="AF11" s="1008"/>
      <c r="AG11" s="1008"/>
      <c r="AH11" s="1008"/>
      <c r="AI11" s="1008"/>
      <c r="AJ11" s="1008"/>
      <c r="AK11" s="1008"/>
      <c r="AL11" s="1008"/>
      <c r="AM11" s="1008"/>
      <c r="AN11" s="1008"/>
      <c r="AO11" s="1008"/>
      <c r="AP11" s="1008"/>
      <c r="AQ11" s="1008"/>
      <c r="AR11" s="1008"/>
      <c r="AS11" s="1008"/>
      <c r="AT11" s="1008"/>
      <c r="AU11" s="1008"/>
      <c r="AV11" s="1008"/>
      <c r="AW11" s="1008"/>
      <c r="AX11" s="1008"/>
      <c r="AY11" s="1008"/>
      <c r="AZ11" s="1008"/>
      <c r="BA11" s="1008"/>
      <c r="BB11" s="1008"/>
      <c r="BC11" s="1008"/>
      <c r="BD11" s="1008"/>
      <c r="BE11" s="1008"/>
      <c r="BF11" s="1008"/>
      <c r="BG11" s="1008"/>
      <c r="BH11" s="1008"/>
      <c r="BI11" s="1008"/>
      <c r="BJ11" s="1008"/>
      <c r="BK11" s="1008"/>
      <c r="BL11" s="1008"/>
      <c r="BM11" s="1008"/>
      <c r="BN11" s="1008"/>
      <c r="BO11" s="1008"/>
      <c r="BP11" s="1008"/>
      <c r="BQ11" s="1008"/>
      <c r="BR11" s="1008"/>
      <c r="BS11" s="1008"/>
      <c r="BT11" s="1008"/>
      <c r="BU11" s="1008"/>
      <c r="BV11" s="1008"/>
      <c r="BW11" s="1008"/>
      <c r="BX11" s="1008"/>
      <c r="BY11" s="1008"/>
      <c r="BZ11" s="1008"/>
      <c r="CA11" s="1008"/>
      <c r="CB11" s="1008"/>
      <c r="CC11" s="1008"/>
      <c r="CD11" s="1008"/>
      <c r="CE11" s="1008"/>
      <c r="CF11" s="1008"/>
      <c r="CG11" s="1008"/>
      <c r="CH11" s="1008"/>
      <c r="CI11" s="1008"/>
      <c r="CJ11" s="1008"/>
      <c r="CK11" s="1008"/>
      <c r="CL11" s="1008"/>
      <c r="CM11" s="1008"/>
      <c r="CN11" s="1008"/>
      <c r="CO11" s="1008"/>
      <c r="CP11" s="1008"/>
      <c r="CQ11" s="1008"/>
      <c r="CR11" s="1008"/>
      <c r="CS11" s="1008"/>
      <c r="CT11" s="1008"/>
      <c r="CU11" s="1008"/>
      <c r="CV11" s="1008"/>
      <c r="CW11" s="1008"/>
      <c r="CX11" s="1008"/>
      <c r="CY11" s="1008"/>
      <c r="CZ11" s="1008"/>
      <c r="DA11" s="1008"/>
      <c r="DB11" s="1008"/>
      <c r="DC11" s="1008"/>
      <c r="DD11" s="1008"/>
      <c r="DE11" s="1008"/>
      <c r="DF11" s="1008"/>
      <c r="DG11" s="1008"/>
      <c r="DH11" s="1008"/>
      <c r="DI11" s="1008"/>
    </row>
    <row r="12" spans="1:121" s="1013" customFormat="1" ht="20.25" customHeight="1">
      <c r="A12" s="1034" t="str">
        <f>+'Scope 1 and 2 Data'!A197</f>
        <v>1.3.2</v>
      </c>
      <c r="B12" s="1035" t="str">
        <f>+'Scope 1 and 2 Data'!B197</f>
        <v>Inhaled Anesthetic Gases</v>
      </c>
      <c r="C12" s="1036"/>
      <c r="D12" s="1036"/>
      <c r="E12" s="1037">
        <f>+IF('Scope 1 and 2 Data'!C201&lt;&gt;'Scope 1 and 2 Data'!$B$6,'Scope 1 and 2 Data'!C201,'Scope 1 and 2 Data'!D209/1000)</f>
        <v>0</v>
      </c>
      <c r="F12" s="1038">
        <f>+IF($E$6&lt;&gt;0,H12/$E$6,0)</f>
        <v>0</v>
      </c>
      <c r="G12" s="1026" t="b">
        <f>+ISNUMBER(E12)</f>
        <v>1</v>
      </c>
      <c r="H12" s="1026">
        <f>+IF(G12=TRUE,E12,0)</f>
        <v>0</v>
      </c>
      <c r="I12" s="1026"/>
      <c r="J12" s="1008"/>
      <c r="K12" s="1008"/>
      <c r="L12" s="1008" t="s">
        <v>6</v>
      </c>
      <c r="M12" s="1032"/>
      <c r="N12" s="1008"/>
      <c r="O12" s="1008"/>
      <c r="P12" s="1008" t="str">
        <f>+B21</f>
        <v>Purchased Electricity</v>
      </c>
      <c r="Q12" s="1008">
        <f>+H21</f>
        <v>0</v>
      </c>
      <c r="R12" s="1008"/>
      <c r="S12" s="1008"/>
      <c r="T12" s="1008"/>
      <c r="U12" s="1008"/>
      <c r="V12" s="1008"/>
      <c r="W12" s="1008"/>
      <c r="X12" s="1008"/>
      <c r="Y12" s="1008"/>
      <c r="Z12" s="1008"/>
      <c r="AA12" s="1008"/>
      <c r="AB12" s="1008"/>
      <c r="AC12" s="1008"/>
      <c r="AD12" s="1008"/>
      <c r="AE12" s="1008"/>
      <c r="AF12" s="1008"/>
      <c r="AG12" s="1008"/>
      <c r="AH12" s="1008"/>
      <c r="AI12" s="1008"/>
      <c r="AJ12" s="1008"/>
      <c r="AK12" s="1008"/>
      <c r="AL12" s="1008"/>
      <c r="AM12" s="1008"/>
      <c r="AN12" s="1008"/>
      <c r="AO12" s="1008"/>
      <c r="AP12" s="1008"/>
      <c r="AQ12" s="1008"/>
      <c r="AR12" s="1008"/>
      <c r="AS12" s="1008"/>
      <c r="AT12" s="1008"/>
      <c r="AU12" s="1008"/>
      <c r="AV12" s="1008"/>
      <c r="AW12" s="1008"/>
      <c r="AX12" s="1008"/>
      <c r="AY12" s="1008"/>
      <c r="AZ12" s="1008"/>
      <c r="BA12" s="1008"/>
      <c r="BB12" s="1008"/>
      <c r="BC12" s="1008"/>
      <c r="BD12" s="1008"/>
      <c r="BE12" s="1008"/>
      <c r="BF12" s="1008"/>
      <c r="BG12" s="1008"/>
      <c r="BH12" s="1008"/>
      <c r="BI12" s="1008"/>
      <c r="BJ12" s="1008"/>
      <c r="BK12" s="1008"/>
      <c r="BL12" s="1008"/>
      <c r="BM12" s="1008"/>
      <c r="BN12" s="1008"/>
      <c r="BO12" s="1008"/>
      <c r="BP12" s="1008"/>
      <c r="BQ12" s="1008"/>
      <c r="BR12" s="1008"/>
      <c r="BS12" s="1008"/>
      <c r="BT12" s="1008"/>
      <c r="BU12" s="1008"/>
      <c r="BV12" s="1008"/>
      <c r="BW12" s="1008"/>
      <c r="BX12" s="1008"/>
      <c r="BY12" s="1008"/>
      <c r="BZ12" s="1008"/>
      <c r="CA12" s="1008"/>
      <c r="CB12" s="1008"/>
      <c r="CC12" s="1008"/>
      <c r="CD12" s="1008"/>
      <c r="CE12" s="1008"/>
      <c r="CF12" s="1008"/>
      <c r="CG12" s="1008"/>
      <c r="CH12" s="1008"/>
      <c r="CI12" s="1008"/>
      <c r="CJ12" s="1008"/>
      <c r="CK12" s="1008"/>
      <c r="CL12" s="1008"/>
      <c r="CM12" s="1008"/>
      <c r="CN12" s="1008"/>
      <c r="CO12" s="1008"/>
      <c r="CP12" s="1008"/>
      <c r="CQ12" s="1008"/>
      <c r="CR12" s="1008"/>
      <c r="CS12" s="1008"/>
      <c r="CT12" s="1008"/>
      <c r="CU12" s="1008"/>
      <c r="CV12" s="1008"/>
      <c r="CW12" s="1008"/>
      <c r="CX12" s="1008"/>
      <c r="CY12" s="1008"/>
      <c r="CZ12" s="1008"/>
      <c r="DA12" s="1008"/>
      <c r="DB12" s="1008"/>
      <c r="DC12" s="1008"/>
      <c r="DD12" s="1008"/>
      <c r="DE12" s="1008"/>
      <c r="DF12" s="1008"/>
      <c r="DG12" s="1008"/>
      <c r="DH12" s="1008"/>
      <c r="DI12" s="1008"/>
    </row>
    <row r="13" spans="1:121" s="1013" customFormat="1" ht="20.25" customHeight="1">
      <c r="A13" s="1034"/>
      <c r="B13" s="1028"/>
      <c r="C13" s="1029"/>
      <c r="D13" s="1029"/>
      <c r="E13" s="1030"/>
      <c r="F13" s="1031"/>
      <c r="G13" s="1026"/>
      <c r="H13" s="1026"/>
      <c r="I13" s="1026"/>
      <c r="J13" s="1008"/>
      <c r="K13" s="1008"/>
      <c r="L13" s="1008" t="s">
        <v>6</v>
      </c>
      <c r="M13" s="1032"/>
      <c r="N13" s="1008"/>
      <c r="O13" s="1008"/>
      <c r="P13" s="1008" t="str">
        <f>+B22</f>
        <v>Purchased Steam, Hot and Chilled Water</v>
      </c>
      <c r="Q13" s="1008">
        <f>+H22</f>
        <v>0</v>
      </c>
      <c r="R13" s="1008"/>
      <c r="S13" s="1008"/>
      <c r="T13" s="1008"/>
      <c r="U13" s="1008"/>
      <c r="V13" s="1008"/>
      <c r="W13" s="1008"/>
      <c r="X13" s="1008"/>
      <c r="Y13" s="1008"/>
      <c r="Z13" s="1008"/>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008"/>
    </row>
    <row r="14" spans="1:121" s="1013" customFormat="1" ht="20.25" customHeight="1">
      <c r="A14" s="1034"/>
      <c r="B14" s="1039"/>
      <c r="C14" s="1029"/>
      <c r="D14" s="1029"/>
      <c r="E14" s="1040"/>
      <c r="F14" s="1038"/>
      <c r="G14" s="1026"/>
      <c r="H14" s="1026"/>
      <c r="I14" s="1026"/>
      <c r="J14" s="1008"/>
      <c r="K14" s="1008"/>
      <c r="L14" s="1008" t="s">
        <v>6</v>
      </c>
      <c r="M14" s="1032"/>
      <c r="N14" s="1008"/>
      <c r="O14" s="1008"/>
      <c r="P14" s="1008"/>
      <c r="Q14" s="1008"/>
      <c r="R14" s="1008"/>
      <c r="S14" s="1008"/>
      <c r="T14" s="1008"/>
      <c r="U14" s="1008"/>
      <c r="V14" s="1008"/>
      <c r="W14" s="1008"/>
      <c r="X14" s="1008"/>
      <c r="Y14" s="1008"/>
      <c r="Z14" s="1008"/>
      <c r="AA14" s="1008"/>
      <c r="AB14" s="1008"/>
      <c r="AC14" s="1008"/>
      <c r="AD14" s="1008"/>
      <c r="AE14" s="1008"/>
      <c r="AF14" s="1008"/>
      <c r="AG14" s="1008"/>
      <c r="AH14" s="1008"/>
      <c r="AI14" s="1008"/>
      <c r="AJ14" s="1008"/>
      <c r="AK14" s="1008"/>
      <c r="AL14" s="1008"/>
      <c r="AM14" s="1008"/>
      <c r="AN14" s="1008"/>
      <c r="AO14" s="1008"/>
      <c r="AP14" s="1008"/>
      <c r="AQ14" s="1008"/>
      <c r="AR14" s="1008"/>
      <c r="AS14" s="1008"/>
      <c r="AT14" s="1008"/>
      <c r="AU14" s="1008"/>
      <c r="AV14" s="1008"/>
      <c r="AW14" s="1008"/>
      <c r="AX14" s="1008"/>
      <c r="AY14" s="1008"/>
      <c r="AZ14" s="1008"/>
      <c r="BA14" s="1008"/>
    </row>
    <row r="15" spans="1:121" s="1013" customFormat="1" ht="20.25" customHeight="1">
      <c r="A15" s="1034"/>
      <c r="B15" s="1041"/>
      <c r="C15" s="1029"/>
      <c r="D15" s="1029"/>
      <c r="E15" s="1037"/>
      <c r="F15" s="1038"/>
      <c r="G15" s="1026"/>
      <c r="H15" s="1026"/>
      <c r="I15" s="1026"/>
      <c r="J15" s="1008"/>
      <c r="K15" s="1008"/>
      <c r="L15" s="1008" t="s">
        <v>7</v>
      </c>
      <c r="M15" s="1032" t="str">
        <f>+B21</f>
        <v>Purchased Electricity</v>
      </c>
      <c r="N15" s="1008">
        <f>+H21</f>
        <v>0</v>
      </c>
      <c r="O15" s="1008"/>
      <c r="P15" s="1008"/>
      <c r="Q15" s="1008"/>
      <c r="R15" s="1008"/>
      <c r="S15" s="1008"/>
      <c r="T15" s="1008"/>
      <c r="U15" s="1008"/>
      <c r="V15" s="1008"/>
      <c r="W15" s="1008"/>
      <c r="X15" s="1008"/>
      <c r="Y15" s="1008"/>
      <c r="Z15" s="1008"/>
      <c r="AA15" s="1008"/>
      <c r="AB15" s="1008"/>
      <c r="AC15" s="1008"/>
      <c r="AD15" s="1008"/>
      <c r="AE15" s="1008"/>
      <c r="AF15" s="1008"/>
      <c r="AG15" s="1008"/>
      <c r="AH15" s="1008"/>
      <c r="AI15" s="1008"/>
      <c r="AJ15" s="1008"/>
      <c r="AK15" s="1008"/>
      <c r="AL15" s="1008"/>
      <c r="AM15" s="1008"/>
      <c r="AN15" s="1008"/>
      <c r="AO15" s="1008"/>
      <c r="AP15" s="1008"/>
      <c r="AQ15" s="1008"/>
      <c r="AR15" s="1008"/>
      <c r="AS15" s="1008"/>
      <c r="AT15" s="1008"/>
      <c r="AU15" s="1008"/>
      <c r="AV15" s="1008"/>
      <c r="AW15" s="1008"/>
      <c r="AX15" s="1008"/>
      <c r="AY15" s="1008"/>
      <c r="AZ15" s="1008"/>
      <c r="BA15" s="1008"/>
    </row>
    <row r="16" spans="1:121" s="1013" customFormat="1" ht="20.25" customHeight="1">
      <c r="A16" s="1034"/>
      <c r="B16" s="1039"/>
      <c r="C16" s="1029"/>
      <c r="D16" s="1029"/>
      <c r="E16" s="1040"/>
      <c r="F16" s="1038"/>
      <c r="G16" s="1026"/>
      <c r="H16" s="1026"/>
      <c r="I16" s="1026"/>
      <c r="J16" s="1008"/>
      <c r="K16" s="1008"/>
      <c r="L16" s="1008" t="s">
        <v>7</v>
      </c>
      <c r="M16" s="1032" t="str">
        <f>+B22</f>
        <v>Purchased Steam, Hot and Chilled Water</v>
      </c>
      <c r="N16" s="1008">
        <f>+H22</f>
        <v>0</v>
      </c>
      <c r="O16" s="1008"/>
      <c r="P16" s="1008"/>
      <c r="Q16" s="1008"/>
      <c r="R16" s="1008"/>
      <c r="S16" s="1008"/>
      <c r="T16" s="1008"/>
      <c r="U16" s="1008"/>
      <c r="V16" s="1008"/>
      <c r="W16" s="1008"/>
      <c r="X16" s="1008"/>
      <c r="Y16" s="1008"/>
      <c r="Z16" s="1008"/>
      <c r="AA16" s="1008"/>
      <c r="AB16" s="1008"/>
      <c r="AC16" s="1008"/>
      <c r="AD16" s="1008"/>
      <c r="AE16" s="1008"/>
      <c r="AF16" s="1008"/>
      <c r="AG16" s="1008"/>
      <c r="AH16" s="1008"/>
      <c r="AI16" s="1008"/>
      <c r="AJ16" s="1008"/>
      <c r="AK16" s="1008"/>
      <c r="AL16" s="1008"/>
      <c r="AM16" s="1008"/>
      <c r="AN16" s="1008"/>
      <c r="AO16" s="1008"/>
      <c r="AP16" s="1008"/>
      <c r="AQ16" s="1008"/>
      <c r="AR16" s="1008"/>
      <c r="AS16" s="1008"/>
      <c r="AT16" s="1008"/>
      <c r="AU16" s="1008"/>
      <c r="AV16" s="1008"/>
      <c r="AW16" s="1008"/>
      <c r="AX16" s="1008"/>
      <c r="AY16" s="1008"/>
      <c r="AZ16" s="1008"/>
      <c r="BA16" s="1008"/>
    </row>
    <row r="17" spans="1:62" s="1013" customFormat="1" ht="15.5">
      <c r="A17" s="1034"/>
      <c r="B17" s="1042"/>
      <c r="C17" s="1029"/>
      <c r="D17" s="1029"/>
      <c r="E17" s="1043"/>
      <c r="F17" s="1044"/>
      <c r="G17" s="1026"/>
      <c r="H17" s="1026"/>
      <c r="I17" s="1026"/>
      <c r="J17" s="1008"/>
      <c r="K17" s="1008"/>
      <c r="L17" s="1008"/>
      <c r="M17" s="1032"/>
      <c r="N17" s="1008"/>
      <c r="O17" s="1008"/>
      <c r="P17" s="1008"/>
      <c r="Q17" s="1008"/>
      <c r="R17" s="1008"/>
      <c r="S17" s="1008"/>
      <c r="T17" s="1008"/>
      <c r="U17" s="1008"/>
      <c r="V17" s="1008"/>
      <c r="W17" s="1008"/>
      <c r="X17" s="1008"/>
      <c r="Y17" s="1008"/>
      <c r="Z17" s="1008"/>
      <c r="AA17" s="1008"/>
      <c r="AB17" s="1008"/>
      <c r="AC17" s="1008"/>
      <c r="AD17" s="1008"/>
      <c r="AE17" s="1008"/>
      <c r="AF17" s="1008"/>
      <c r="AG17" s="1008"/>
      <c r="AH17" s="1008"/>
      <c r="AI17" s="1008"/>
      <c r="AJ17" s="1008"/>
      <c r="AK17" s="1008"/>
      <c r="AL17" s="1008"/>
      <c r="AM17" s="1008"/>
      <c r="AN17" s="1008"/>
      <c r="AO17" s="1008"/>
      <c r="AP17" s="1008"/>
      <c r="AQ17" s="1008"/>
      <c r="AR17" s="1008"/>
      <c r="AS17" s="1008"/>
      <c r="AT17" s="1008"/>
      <c r="AU17" s="1008"/>
      <c r="AV17" s="1008"/>
      <c r="AW17" s="1008"/>
      <c r="AX17" s="1008"/>
      <c r="AY17" s="1008"/>
      <c r="AZ17" s="1008"/>
      <c r="BA17" s="1008"/>
    </row>
    <row r="18" spans="1:62" s="1013" customFormat="1" ht="15.5">
      <c r="A18" s="1034"/>
      <c r="B18" s="1045"/>
      <c r="C18" s="1046"/>
      <c r="D18" s="1029"/>
      <c r="E18" s="1043"/>
      <c r="F18" s="1044"/>
      <c r="G18" s="1026"/>
      <c r="H18" s="1026"/>
      <c r="I18" s="1026"/>
      <c r="J18" s="1008"/>
      <c r="K18" s="1008"/>
      <c r="L18" s="1008"/>
      <c r="M18" s="1032"/>
      <c r="N18" s="1008"/>
      <c r="O18" s="1008"/>
      <c r="P18" s="1008"/>
      <c r="Q18" s="1008"/>
      <c r="R18" s="1008"/>
      <c r="S18" s="1008"/>
      <c r="T18" s="1008"/>
      <c r="U18" s="1008"/>
      <c r="V18" s="1008"/>
      <c r="W18" s="1008"/>
      <c r="X18" s="1008"/>
      <c r="Y18" s="1008"/>
      <c r="Z18" s="1008"/>
      <c r="AA18" s="1008"/>
      <c r="AB18" s="1008"/>
      <c r="AC18" s="1008"/>
      <c r="AD18" s="1008"/>
      <c r="AE18" s="1008"/>
      <c r="AF18" s="1008"/>
      <c r="AG18" s="1008"/>
      <c r="AH18" s="1008"/>
      <c r="AI18" s="1008"/>
      <c r="AJ18" s="1008"/>
      <c r="AK18" s="1008"/>
      <c r="AL18" s="1008"/>
      <c r="AM18" s="1008"/>
      <c r="AN18" s="1008"/>
      <c r="AO18" s="1008"/>
      <c r="AP18" s="1008"/>
      <c r="AQ18" s="1008"/>
      <c r="AR18" s="1008"/>
      <c r="AS18" s="1008"/>
      <c r="AT18" s="1008"/>
      <c r="AU18" s="1008"/>
      <c r="AV18" s="1008"/>
      <c r="AW18" s="1008"/>
      <c r="AX18" s="1008"/>
      <c r="AY18" s="1008"/>
      <c r="AZ18" s="1008"/>
      <c r="BA18" s="1008"/>
    </row>
    <row r="19" spans="1:62" s="1013" customFormat="1" ht="15.5">
      <c r="A19" s="1034"/>
      <c r="B19" s="1045"/>
      <c r="C19" s="1029"/>
      <c r="D19" s="1046"/>
      <c r="E19" s="1047"/>
      <c r="F19" s="1044"/>
      <c r="G19" s="1026"/>
      <c r="H19" s="1026"/>
      <c r="I19" s="1026"/>
      <c r="J19" s="1008"/>
      <c r="K19" s="1008"/>
      <c r="L19" s="1008"/>
      <c r="M19" s="1032"/>
      <c r="N19" s="1008"/>
      <c r="O19" s="1008"/>
      <c r="P19" s="1008"/>
      <c r="Q19" s="1008"/>
      <c r="R19" s="1008"/>
      <c r="S19" s="1008"/>
      <c r="T19" s="1008"/>
      <c r="U19" s="1008"/>
      <c r="V19" s="1008"/>
      <c r="W19" s="1008"/>
      <c r="X19" s="1008"/>
      <c r="Y19" s="1008"/>
      <c r="Z19" s="1008"/>
      <c r="AA19" s="1008"/>
      <c r="AB19" s="1008"/>
      <c r="AC19" s="1008"/>
      <c r="AD19" s="1008"/>
      <c r="AE19" s="1008"/>
      <c r="AF19" s="1008"/>
      <c r="AG19" s="1008"/>
      <c r="AH19" s="1008"/>
      <c r="AI19" s="1008"/>
      <c r="AJ19" s="1008"/>
      <c r="AK19" s="1008"/>
      <c r="AL19" s="1008"/>
      <c r="AM19" s="1008"/>
      <c r="AN19" s="1008"/>
      <c r="AO19" s="1008"/>
      <c r="AP19" s="1008"/>
      <c r="AQ19" s="1008"/>
      <c r="AR19" s="1008"/>
      <c r="AS19" s="1008"/>
      <c r="AT19" s="1008"/>
      <c r="AU19" s="1008"/>
      <c r="AV19" s="1008"/>
      <c r="AW19" s="1008"/>
      <c r="AX19" s="1008"/>
      <c r="AY19" s="1008"/>
      <c r="AZ19" s="1008"/>
      <c r="BA19" s="1008"/>
    </row>
    <row r="20" spans="1:62" s="1013" customFormat="1" ht="24.9" customHeight="1">
      <c r="A20" s="1048"/>
      <c r="B20" s="1049" t="str">
        <f>+'Scope 1 and 2 Data'!A217</f>
        <v>Scope 2</v>
      </c>
      <c r="C20" s="1050"/>
      <c r="D20" s="1050"/>
      <c r="E20" s="1051">
        <f>+SUM(H21:H22)</f>
        <v>0</v>
      </c>
      <c r="F20" s="1052">
        <f>+IF($E$6&lt;&gt;0,E20/$E$6,0)</f>
        <v>0</v>
      </c>
      <c r="G20" s="1026"/>
      <c r="H20" s="1026"/>
      <c r="I20" s="1026"/>
      <c r="J20" s="1008"/>
      <c r="K20" s="1008"/>
      <c r="L20" s="1008"/>
      <c r="M20" s="1032"/>
      <c r="N20" s="1008"/>
      <c r="O20" s="1008"/>
      <c r="P20" s="1008"/>
      <c r="Q20" s="1008"/>
      <c r="R20" s="1008"/>
      <c r="S20" s="1008"/>
      <c r="T20" s="1008"/>
      <c r="U20" s="1008"/>
      <c r="V20" s="1008"/>
      <c r="W20" s="1008"/>
      <c r="X20" s="1008"/>
      <c r="Y20" s="1008"/>
      <c r="Z20" s="1008"/>
      <c r="AA20" s="1008"/>
      <c r="AB20" s="1008"/>
      <c r="AC20" s="1008"/>
      <c r="AD20" s="1008"/>
      <c r="AE20" s="1008"/>
      <c r="AF20" s="1008"/>
      <c r="AG20" s="1008"/>
      <c r="AH20" s="1008"/>
      <c r="AI20" s="1008"/>
      <c r="AJ20" s="1008"/>
      <c r="AK20" s="1008"/>
      <c r="AL20" s="1008"/>
      <c r="AM20" s="1008"/>
      <c r="AN20" s="1008"/>
      <c r="AO20" s="1008"/>
      <c r="AP20" s="1008"/>
      <c r="AQ20" s="1008"/>
      <c r="AR20" s="1008"/>
      <c r="AS20" s="1008"/>
      <c r="AT20" s="1008"/>
      <c r="AU20" s="1008"/>
      <c r="AV20" s="1008"/>
      <c r="AW20" s="1008"/>
      <c r="AX20" s="1008"/>
      <c r="AY20" s="1008"/>
      <c r="AZ20" s="1008"/>
      <c r="BA20" s="1008"/>
    </row>
    <row r="21" spans="1:62" s="1013" customFormat="1" ht="20.25" customHeight="1">
      <c r="A21" s="1053" t="str">
        <f>+'Scope 1 and 2 Data'!A220</f>
        <v>2.1</v>
      </c>
      <c r="B21" s="1054" t="str">
        <f>+'Scope 1 and 2 Data'!B220</f>
        <v>Purchased Electricity</v>
      </c>
      <c r="C21" s="1055"/>
      <c r="D21" s="1055"/>
      <c r="E21" s="1056">
        <f>+IF('Scope 1 and 2 Data'!C224&lt;&gt;'Scope 1 and 2 Data'!$B$6,'Scope 1 and 2 Data'!C224,SUM('Scope 1 and 2 Data'!E230/1000,'Scope 1 and 2 Data'!E231/1000))</f>
        <v>0</v>
      </c>
      <c r="F21" s="1057">
        <f>+IF($E$6&lt;&gt;0,H21/$E$6,0)</f>
        <v>0</v>
      </c>
      <c r="G21" s="1026" t="b">
        <f>+ISNUMBER(E21)</f>
        <v>1</v>
      </c>
      <c r="H21" s="1026">
        <f>+IF(G21=TRUE,E21,0)</f>
        <v>0</v>
      </c>
      <c r="I21" s="1026"/>
      <c r="J21" s="1008"/>
      <c r="K21" s="1008"/>
      <c r="L21" s="1008"/>
      <c r="M21" s="1032"/>
      <c r="N21" s="1008"/>
      <c r="O21" s="1008"/>
      <c r="P21" s="1008"/>
      <c r="Q21" s="1008"/>
      <c r="R21" s="1008"/>
      <c r="S21" s="1008"/>
      <c r="T21" s="1008"/>
      <c r="U21" s="1008"/>
      <c r="V21" s="1008"/>
      <c r="W21" s="1008"/>
      <c r="X21" s="1008"/>
      <c r="Y21" s="1008"/>
      <c r="Z21" s="1008"/>
      <c r="AA21" s="1008"/>
      <c r="AB21" s="1008"/>
      <c r="AC21" s="1008"/>
      <c r="AD21" s="1008"/>
      <c r="AE21" s="1008"/>
      <c r="AF21" s="1008"/>
      <c r="AG21" s="1008"/>
      <c r="AH21" s="1008"/>
      <c r="AI21" s="1008"/>
      <c r="AJ21" s="1008"/>
      <c r="AK21" s="1008"/>
      <c r="AL21" s="1008"/>
      <c r="AM21" s="1008"/>
      <c r="AN21" s="1008"/>
      <c r="AO21" s="1008"/>
      <c r="AP21" s="1008"/>
      <c r="AQ21" s="1008"/>
      <c r="AR21" s="1008"/>
      <c r="AS21" s="1008"/>
      <c r="AT21" s="1008"/>
      <c r="AU21" s="1008"/>
      <c r="AV21" s="1008"/>
      <c r="AW21" s="1008"/>
      <c r="AX21" s="1008"/>
      <c r="AY21" s="1008"/>
      <c r="AZ21" s="1008"/>
      <c r="BA21" s="1008"/>
    </row>
    <row r="22" spans="1:62" s="1013" customFormat="1" ht="20.25" customHeight="1">
      <c r="A22" s="1053" t="str">
        <f>+'Scope 1 and 2 Data'!A233</f>
        <v>2.2</v>
      </c>
      <c r="B22" s="1054" t="str">
        <f>+'Scope 1 and 2 Data'!B233</f>
        <v>Purchased Steam, Hot and Chilled Water</v>
      </c>
      <c r="C22" s="1055"/>
      <c r="D22" s="1055"/>
      <c r="E22" s="1056">
        <f>+IF('Scope 1 and 2 Data'!C237&lt;&gt;'Scope 1 and 2 Data'!$B$6,'Scope 1 and 2 Data'!C237,'Scope 1 and 2 Data'!E245/1000)</f>
        <v>0</v>
      </c>
      <c r="F22" s="1057">
        <f>+IF($E$6&lt;&gt;0,H22/$E$6,0)</f>
        <v>0</v>
      </c>
      <c r="G22" s="1026" t="b">
        <f>+ISNUMBER(E22)</f>
        <v>1</v>
      </c>
      <c r="H22" s="1026">
        <f>+IF(G22=TRUE,E22,0)</f>
        <v>0</v>
      </c>
      <c r="I22" s="1008"/>
      <c r="J22" s="1008"/>
      <c r="K22" s="1008"/>
      <c r="L22" s="1008"/>
      <c r="M22" s="1032"/>
      <c r="N22" s="1008"/>
      <c r="O22" s="1008"/>
      <c r="P22" s="1008"/>
      <c r="Q22" s="1008"/>
      <c r="R22" s="1008"/>
      <c r="S22" s="1008"/>
      <c r="T22" s="1008"/>
      <c r="U22" s="1008"/>
      <c r="V22" s="1008"/>
      <c r="W22" s="1008"/>
      <c r="X22" s="1008"/>
      <c r="Y22" s="1008"/>
      <c r="Z22" s="1008"/>
      <c r="AA22" s="1008"/>
      <c r="AB22" s="1008"/>
      <c r="AC22" s="1008"/>
      <c r="AD22" s="1008"/>
      <c r="AE22" s="1008"/>
      <c r="AF22" s="1008"/>
      <c r="AG22" s="1008"/>
      <c r="AH22" s="1008"/>
      <c r="AI22" s="1008"/>
      <c r="AJ22" s="1008"/>
      <c r="AK22" s="1008"/>
      <c r="AL22" s="1008"/>
      <c r="AM22" s="1008"/>
      <c r="AN22" s="1008"/>
      <c r="AO22" s="1008"/>
      <c r="AP22" s="1008"/>
      <c r="AQ22" s="1008"/>
      <c r="AR22" s="1008"/>
      <c r="AS22" s="1008"/>
      <c r="AT22" s="1008"/>
      <c r="AU22" s="1008"/>
      <c r="AV22" s="1008"/>
      <c r="AW22" s="1008"/>
      <c r="AX22" s="1008"/>
      <c r="AY22" s="1008"/>
      <c r="AZ22" s="1008"/>
      <c r="BA22" s="1008"/>
    </row>
    <row r="23" spans="1:62" s="1013" customFormat="1" ht="24.9" customHeight="1">
      <c r="A23" s="1058"/>
      <c r="B23" s="1059" t="s">
        <v>3291</v>
      </c>
      <c r="C23" s="1060"/>
      <c r="D23" s="1060"/>
      <c r="E23" s="1061">
        <f>SUM(E24:E38)</f>
        <v>0</v>
      </c>
      <c r="F23" s="1062">
        <f>+IF($E$6&lt;&gt;0,E23/$E$6,0)</f>
        <v>0</v>
      </c>
      <c r="G23" s="1026"/>
      <c r="H23" s="1026"/>
      <c r="I23" s="1026"/>
      <c r="J23" s="1008"/>
      <c r="K23" s="1008"/>
      <c r="L23" s="1008"/>
      <c r="M23" s="1032"/>
      <c r="N23" s="1008"/>
      <c r="O23" s="1008"/>
      <c r="P23" s="1008"/>
      <c r="Q23" s="1008"/>
      <c r="R23" s="1008"/>
      <c r="S23" s="1008"/>
      <c r="T23" s="1008"/>
      <c r="U23" s="1008"/>
      <c r="V23" s="1008"/>
      <c r="W23" s="1008"/>
      <c r="X23" s="1008"/>
      <c r="Y23" s="1008"/>
      <c r="Z23" s="1008"/>
      <c r="AA23" s="1008"/>
      <c r="AB23" s="1008"/>
      <c r="AC23" s="1008"/>
      <c r="AD23" s="1008"/>
      <c r="AE23" s="1008"/>
      <c r="AF23" s="1008"/>
      <c r="AG23" s="1008"/>
      <c r="AH23" s="1008"/>
      <c r="AI23" s="1008"/>
      <c r="AJ23" s="1008"/>
      <c r="AK23" s="1008"/>
      <c r="AL23" s="1008"/>
      <c r="AM23" s="1008"/>
      <c r="AN23" s="1008"/>
      <c r="AO23" s="1008"/>
      <c r="AP23" s="1008"/>
      <c r="AQ23" s="1008"/>
      <c r="AR23" s="1008"/>
      <c r="AS23" s="1008"/>
      <c r="AT23" s="1008"/>
      <c r="AU23" s="1008"/>
      <c r="AV23" s="1008"/>
      <c r="AW23" s="1008"/>
      <c r="AX23" s="1008"/>
      <c r="AY23" s="1008"/>
      <c r="AZ23" s="1008"/>
      <c r="BA23" s="1008"/>
      <c r="BB23" s="1008"/>
      <c r="BC23" s="1008"/>
      <c r="BD23" s="1008"/>
    </row>
    <row r="24" spans="1:62" s="1013" customFormat="1" ht="15.5">
      <c r="A24" s="1063"/>
      <c r="B24" s="1064" t="str">
        <f>'Scope 3 Summary'!D20</f>
        <v>Purchased goods &amp; services</v>
      </c>
      <c r="C24" s="1065"/>
      <c r="D24" s="1065"/>
      <c r="E24" s="1207">
        <f>'Scope 3 Summary'!E20</f>
        <v>0</v>
      </c>
      <c r="F24" s="1066"/>
      <c r="G24" s="1026"/>
      <c r="H24" s="1026"/>
      <c r="I24" s="1026"/>
      <c r="J24" s="1008"/>
      <c r="K24" s="1008"/>
      <c r="L24" s="1008"/>
      <c r="M24" s="1032"/>
      <c r="N24" s="1008"/>
      <c r="O24" s="1008"/>
      <c r="P24" s="1008"/>
      <c r="Q24" s="1008"/>
      <c r="R24" s="1008"/>
      <c r="S24" s="1008"/>
      <c r="T24" s="1008"/>
      <c r="U24" s="1008"/>
      <c r="V24" s="1008"/>
      <c r="W24" s="1008"/>
      <c r="X24" s="1008"/>
      <c r="Y24" s="1008"/>
      <c r="Z24" s="1008"/>
      <c r="AA24" s="1008"/>
      <c r="AB24" s="1008"/>
      <c r="AC24" s="1008"/>
      <c r="AD24" s="1008"/>
      <c r="AE24" s="1008"/>
      <c r="AF24" s="1008"/>
      <c r="AG24" s="1008"/>
      <c r="AH24" s="1008"/>
      <c r="AI24" s="1008"/>
      <c r="AJ24" s="1008"/>
      <c r="AK24" s="1008"/>
      <c r="AL24" s="1008"/>
      <c r="AM24" s="1008"/>
      <c r="AN24" s="1008"/>
      <c r="AO24" s="1008"/>
      <c r="AP24" s="1008"/>
      <c r="AQ24" s="1008"/>
      <c r="AR24" s="1008"/>
      <c r="AS24" s="1008"/>
      <c r="AT24" s="1008"/>
      <c r="AU24" s="1008"/>
      <c r="AV24" s="1008"/>
      <c r="AW24" s="1008"/>
      <c r="AX24" s="1008"/>
      <c r="AY24" s="1008"/>
      <c r="AZ24" s="1008"/>
      <c r="BA24" s="1008"/>
      <c r="BB24" s="1008"/>
      <c r="BC24" s="1008"/>
      <c r="BD24" s="1008"/>
    </row>
    <row r="25" spans="1:62" s="1013" customFormat="1" ht="15.5">
      <c r="A25" s="1063"/>
      <c r="B25" s="1064" t="str">
        <f>'Scope 3 Summary'!D21</f>
        <v>Capital goods</v>
      </c>
      <c r="C25" s="1065"/>
      <c r="D25" s="1065"/>
      <c r="E25" s="1207">
        <f>'Scope 3 Summary'!E21</f>
        <v>0</v>
      </c>
      <c r="F25" s="1066"/>
      <c r="G25" s="1026"/>
      <c r="H25" s="1026"/>
      <c r="I25" s="1026"/>
      <c r="J25" s="1008"/>
      <c r="K25" s="1008"/>
      <c r="L25" s="1008"/>
      <c r="M25" s="1032"/>
      <c r="N25" s="1008"/>
      <c r="O25" s="1008"/>
      <c r="P25" s="1008"/>
      <c r="Q25" s="1008"/>
      <c r="R25" s="1008"/>
      <c r="S25" s="1008"/>
      <c r="T25" s="1008"/>
      <c r="U25" s="1008"/>
      <c r="V25" s="1008"/>
      <c r="W25" s="1008"/>
      <c r="X25" s="1008"/>
      <c r="Y25" s="1008"/>
      <c r="Z25" s="1008"/>
      <c r="AA25" s="1008"/>
      <c r="AB25" s="1008"/>
      <c r="AC25" s="1008"/>
      <c r="AD25" s="1008"/>
      <c r="AE25" s="1008"/>
      <c r="AF25" s="1008"/>
      <c r="AG25" s="1008"/>
      <c r="AH25" s="1008"/>
      <c r="AI25" s="1008"/>
      <c r="AJ25" s="1008"/>
      <c r="AK25" s="1008"/>
      <c r="AL25" s="1008"/>
      <c r="AM25" s="1008"/>
      <c r="AN25" s="1008"/>
      <c r="AO25" s="1008"/>
      <c r="AP25" s="1008"/>
      <c r="AQ25" s="1008"/>
      <c r="AR25" s="1008"/>
      <c r="AS25" s="1008"/>
      <c r="AT25" s="1008"/>
      <c r="AU25" s="1008"/>
      <c r="AV25" s="1008"/>
      <c r="AW25" s="1008"/>
      <c r="AX25" s="1008"/>
      <c r="AY25" s="1008"/>
      <c r="AZ25" s="1008"/>
      <c r="BA25" s="1008"/>
      <c r="BB25" s="1008"/>
      <c r="BC25" s="1008"/>
      <c r="BD25" s="1008"/>
      <c r="BE25" s="1008"/>
      <c r="BF25" s="1008"/>
      <c r="BG25" s="1008"/>
      <c r="BH25" s="1008"/>
      <c r="BI25" s="1008"/>
      <c r="BJ25" s="1008"/>
    </row>
    <row r="26" spans="1:62" s="1013" customFormat="1" ht="15.5">
      <c r="A26" s="1063"/>
      <c r="B26" s="1064" t="str">
        <f>'Scope 3 Summary'!D22</f>
        <v>Fuel- &amp; energy-related emissions</v>
      </c>
      <c r="C26" s="1065"/>
      <c r="D26" s="1065"/>
      <c r="E26" s="1207">
        <f>'Scope 3 Summary'!E22</f>
        <v>0</v>
      </c>
      <c r="F26" s="1066"/>
      <c r="G26" s="1026"/>
      <c r="H26" s="1026"/>
      <c r="I26" s="1026"/>
      <c r="J26" s="1008"/>
      <c r="K26" s="1008"/>
      <c r="L26" s="1008"/>
      <c r="M26" s="1008"/>
      <c r="N26" s="1008"/>
      <c r="O26" s="1008"/>
      <c r="P26" s="1008"/>
      <c r="Q26" s="1008"/>
      <c r="R26" s="1008"/>
      <c r="S26" s="1008"/>
      <c r="T26" s="1008"/>
      <c r="U26" s="1008"/>
      <c r="V26" s="1008"/>
      <c r="W26" s="1008"/>
      <c r="X26" s="1008"/>
      <c r="Y26" s="1008"/>
      <c r="Z26" s="1008"/>
      <c r="AA26" s="1008"/>
      <c r="AB26" s="1008"/>
      <c r="AC26" s="1008"/>
      <c r="AD26" s="1008"/>
      <c r="AE26" s="1008"/>
      <c r="AF26" s="1008"/>
      <c r="AG26" s="1008"/>
      <c r="AH26" s="1008"/>
      <c r="AI26" s="1008"/>
      <c r="AJ26" s="1008"/>
      <c r="AK26" s="1008"/>
      <c r="AL26" s="1008"/>
      <c r="AM26" s="1008"/>
      <c r="AN26" s="1008"/>
      <c r="AO26" s="1008"/>
      <c r="AP26" s="1008"/>
      <c r="AQ26" s="1008"/>
      <c r="AR26" s="1008"/>
      <c r="AS26" s="1008"/>
      <c r="AT26" s="1008"/>
      <c r="AU26" s="1008"/>
      <c r="AV26" s="1008"/>
      <c r="AW26" s="1008"/>
      <c r="AX26" s="1008"/>
      <c r="AY26" s="1008"/>
      <c r="AZ26" s="1008"/>
      <c r="BA26" s="1008"/>
      <c r="BB26" s="1008"/>
      <c r="BC26" s="1008"/>
      <c r="BD26" s="1008"/>
      <c r="BE26" s="1008"/>
      <c r="BF26" s="1008"/>
      <c r="BG26" s="1008"/>
      <c r="BH26" s="1008"/>
      <c r="BI26" s="1008"/>
      <c r="BJ26" s="1008"/>
    </row>
    <row r="27" spans="1:62" s="1013" customFormat="1" ht="15.5">
      <c r="A27" s="1067"/>
      <c r="B27" s="1064" t="str">
        <f>'Scope 3 Summary'!D23</f>
        <v>Upstream transportation &amp; distribution</v>
      </c>
      <c r="C27" s="1068"/>
      <c r="D27" s="1065"/>
      <c r="E27" s="1207">
        <f>'Scope 3 Summary'!E23</f>
        <v>0</v>
      </c>
      <c r="F27" s="1066"/>
      <c r="G27" s="1026"/>
      <c r="H27" s="1026"/>
      <c r="I27" s="1026"/>
      <c r="J27" s="1008"/>
      <c r="K27" s="1008"/>
      <c r="L27" s="1008"/>
      <c r="M27" s="1008"/>
      <c r="N27" s="1008"/>
      <c r="O27" s="1008"/>
      <c r="P27" s="1008"/>
      <c r="Q27" s="1008"/>
      <c r="R27" s="1008"/>
      <c r="S27" s="1008"/>
      <c r="T27" s="1008"/>
      <c r="U27" s="1008"/>
      <c r="V27" s="1008"/>
      <c r="W27" s="1008"/>
      <c r="X27" s="1008"/>
      <c r="Y27" s="1008"/>
      <c r="Z27" s="1008"/>
      <c r="AA27" s="1008"/>
      <c r="AB27" s="1008"/>
      <c r="AC27" s="1008"/>
      <c r="AD27" s="1008"/>
      <c r="AE27" s="1008"/>
      <c r="AF27" s="1008"/>
      <c r="AG27" s="1008"/>
      <c r="AH27" s="1008"/>
      <c r="AI27" s="1008"/>
      <c r="AJ27" s="1008"/>
      <c r="AK27" s="1008"/>
      <c r="AL27" s="1008"/>
      <c r="AM27" s="1008"/>
      <c r="AN27" s="1008"/>
      <c r="AO27" s="1008"/>
      <c r="AP27" s="1008"/>
      <c r="AQ27" s="1008"/>
      <c r="AR27" s="1008"/>
      <c r="AS27" s="1008"/>
      <c r="AT27" s="1008"/>
      <c r="AU27" s="1008"/>
      <c r="AV27" s="1008"/>
      <c r="AW27" s="1008"/>
      <c r="AX27" s="1008"/>
      <c r="AY27" s="1008"/>
      <c r="AZ27" s="1008"/>
      <c r="BA27" s="1008"/>
      <c r="BB27" s="1008"/>
      <c r="BC27" s="1008"/>
      <c r="BD27" s="1008"/>
      <c r="BE27" s="1008"/>
      <c r="BF27" s="1008"/>
      <c r="BG27" s="1008"/>
      <c r="BH27" s="1008"/>
      <c r="BI27" s="1008"/>
      <c r="BJ27" s="1008"/>
    </row>
    <row r="28" spans="1:62" s="1013" customFormat="1" ht="15.5">
      <c r="A28" s="1063"/>
      <c r="B28" s="1064" t="str">
        <f>'Scope 3 Summary'!D24</f>
        <v>Waste generated in operations</v>
      </c>
      <c r="C28" s="1065"/>
      <c r="D28" s="1064"/>
      <c r="E28" s="1207">
        <f>'Scope 3 Summary'!E24</f>
        <v>0</v>
      </c>
      <c r="F28" s="1066"/>
      <c r="G28" s="1026"/>
      <c r="H28" s="1026"/>
      <c r="I28" s="1026"/>
      <c r="J28" s="1008"/>
      <c r="K28" s="1008"/>
      <c r="L28" s="1008"/>
      <c r="M28" s="1008"/>
      <c r="N28" s="1008"/>
      <c r="O28" s="1008"/>
      <c r="P28" s="1008"/>
      <c r="Q28" s="1008"/>
      <c r="R28" s="1008"/>
      <c r="S28" s="1008"/>
      <c r="T28" s="1008"/>
      <c r="U28" s="1008"/>
      <c r="V28" s="1008"/>
      <c r="W28" s="1008"/>
      <c r="X28" s="1008"/>
      <c r="Y28" s="1008"/>
      <c r="Z28" s="1008"/>
      <c r="AA28" s="1008"/>
      <c r="AB28" s="1008"/>
      <c r="AC28" s="1008"/>
      <c r="AD28" s="1008"/>
      <c r="AE28" s="1008"/>
      <c r="AF28" s="1008"/>
      <c r="AG28" s="1008"/>
      <c r="AH28" s="1008"/>
      <c r="AI28" s="1008"/>
      <c r="AJ28" s="1008"/>
      <c r="AK28" s="1008"/>
      <c r="AL28" s="1008"/>
      <c r="AM28" s="1008"/>
      <c r="AN28" s="1008"/>
      <c r="AO28" s="1008"/>
      <c r="AP28" s="1008"/>
      <c r="AQ28" s="1008"/>
      <c r="AR28" s="1008"/>
      <c r="AS28" s="1008"/>
      <c r="AT28" s="1008"/>
      <c r="AU28" s="1008"/>
      <c r="AV28" s="1008"/>
      <c r="AW28" s="1008"/>
      <c r="AX28" s="1008"/>
      <c r="AY28" s="1008"/>
      <c r="AZ28" s="1008"/>
      <c r="BA28" s="1008"/>
      <c r="BB28" s="1008"/>
      <c r="BC28" s="1008"/>
      <c r="BD28" s="1008"/>
      <c r="BE28" s="1008"/>
      <c r="BF28" s="1008"/>
      <c r="BG28" s="1008"/>
      <c r="BH28" s="1008"/>
      <c r="BI28" s="1008"/>
      <c r="BJ28" s="1008"/>
    </row>
    <row r="29" spans="1:62" s="1013" customFormat="1" ht="15.5">
      <c r="A29" s="1069"/>
      <c r="B29" s="1064" t="str">
        <f>'Scope 3 Summary'!D25</f>
        <v>Business travel</v>
      </c>
      <c r="C29" s="1068"/>
      <c r="D29" s="1070"/>
      <c r="E29" s="1207">
        <f>'Scope 3 Summary'!E25</f>
        <v>0</v>
      </c>
      <c r="F29" s="1071"/>
      <c r="G29" s="1026"/>
      <c r="H29" s="1026"/>
      <c r="I29" s="1026"/>
      <c r="J29" s="1008"/>
      <c r="K29" s="1008"/>
      <c r="L29" s="1008"/>
      <c r="M29" s="1008"/>
      <c r="N29" s="1008"/>
      <c r="O29" s="1008"/>
      <c r="P29" s="1008"/>
      <c r="Q29" s="1008"/>
      <c r="R29" s="1008"/>
      <c r="S29" s="1008"/>
      <c r="T29" s="1008"/>
      <c r="U29" s="1008"/>
      <c r="V29" s="1008"/>
      <c r="W29" s="1008"/>
      <c r="X29" s="1008"/>
      <c r="Y29" s="1008"/>
      <c r="Z29" s="1008"/>
      <c r="AA29" s="1008"/>
      <c r="AB29" s="1008"/>
      <c r="AC29" s="1008"/>
      <c r="AD29" s="1008"/>
      <c r="AE29" s="1008"/>
      <c r="AF29" s="1008"/>
      <c r="AG29" s="1008"/>
      <c r="AH29" s="1008"/>
      <c r="AI29" s="1008"/>
      <c r="AJ29" s="1008"/>
      <c r="AK29" s="1008"/>
      <c r="AL29" s="1008"/>
      <c r="AM29" s="1008"/>
      <c r="AN29" s="1008"/>
      <c r="AO29" s="1008"/>
      <c r="AP29" s="1008"/>
      <c r="AQ29" s="1008"/>
      <c r="AR29" s="1008"/>
      <c r="AS29" s="1008"/>
      <c r="AT29" s="1008"/>
      <c r="AU29" s="1008"/>
      <c r="AV29" s="1008"/>
      <c r="AW29" s="1008"/>
      <c r="AX29" s="1008"/>
      <c r="AY29" s="1008"/>
      <c r="AZ29" s="1008"/>
      <c r="BA29" s="1008"/>
      <c r="BB29" s="1008"/>
      <c r="BC29" s="1008"/>
      <c r="BD29" s="1008"/>
      <c r="BE29" s="1008"/>
      <c r="BF29" s="1008"/>
      <c r="BG29" s="1008"/>
      <c r="BH29" s="1008"/>
      <c r="BI29" s="1008"/>
      <c r="BJ29" s="1008"/>
    </row>
    <row r="30" spans="1:62" s="1013" customFormat="1" ht="15.5">
      <c r="A30" s="1069"/>
      <c r="B30" s="1064" t="str">
        <f>'Scope 3 Summary'!D26</f>
        <v>Employee commuting</v>
      </c>
      <c r="C30" s="1065"/>
      <c r="D30" s="1064"/>
      <c r="E30" s="1207">
        <f>'Scope 3 Summary'!E26</f>
        <v>0</v>
      </c>
      <c r="F30" s="1071"/>
      <c r="G30" s="1026"/>
      <c r="H30" s="1026"/>
      <c r="I30" s="1026"/>
      <c r="J30" s="1008"/>
      <c r="K30" s="1008"/>
      <c r="L30" s="1008"/>
      <c r="M30" s="1008"/>
      <c r="N30" s="1008"/>
      <c r="O30" s="1008"/>
      <c r="P30" s="1008"/>
      <c r="Q30" s="1008"/>
      <c r="R30" s="1008"/>
      <c r="S30" s="1008"/>
      <c r="T30" s="1008"/>
      <c r="U30" s="1008"/>
      <c r="V30" s="1008"/>
      <c r="W30" s="1008"/>
      <c r="X30" s="1008"/>
      <c r="Y30" s="1008"/>
      <c r="Z30" s="1008"/>
      <c r="AA30" s="1008"/>
      <c r="AB30" s="1008"/>
      <c r="AC30" s="1008"/>
      <c r="AD30" s="1008"/>
      <c r="AE30" s="1008"/>
      <c r="AF30" s="1008"/>
      <c r="AG30" s="1008"/>
      <c r="AH30" s="1008"/>
      <c r="AI30" s="1008"/>
      <c r="AJ30" s="1008"/>
      <c r="AK30" s="1008"/>
      <c r="AL30" s="1008"/>
      <c r="AM30" s="1008"/>
      <c r="AN30" s="1008"/>
      <c r="AO30" s="1008"/>
      <c r="AP30" s="1008"/>
      <c r="AQ30" s="1008"/>
      <c r="AR30" s="1008"/>
      <c r="AS30" s="1008"/>
      <c r="AT30" s="1008"/>
      <c r="AU30" s="1008"/>
      <c r="AV30" s="1008"/>
      <c r="AW30" s="1008"/>
      <c r="AX30" s="1008"/>
      <c r="AY30" s="1008"/>
      <c r="AZ30" s="1008"/>
      <c r="BA30" s="1008"/>
      <c r="BB30" s="1008"/>
      <c r="BC30" s="1008"/>
      <c r="BD30" s="1008"/>
      <c r="BE30" s="1008"/>
      <c r="BF30" s="1008"/>
      <c r="BG30" s="1008"/>
      <c r="BH30" s="1008"/>
      <c r="BI30" s="1008"/>
      <c r="BJ30" s="1008"/>
    </row>
    <row r="31" spans="1:62" s="1013" customFormat="1" ht="15.5">
      <c r="A31" s="1063"/>
      <c r="B31" s="1064" t="str">
        <f>'Scope 3 Summary'!D27</f>
        <v>Upstream leased assets</v>
      </c>
      <c r="C31" s="1068"/>
      <c r="D31" s="1068"/>
      <c r="E31" s="1207">
        <f>'Scope 3 Summary'!E27</f>
        <v>0</v>
      </c>
      <c r="F31" s="1066"/>
      <c r="G31" s="1026"/>
      <c r="H31" s="1026"/>
      <c r="I31" s="1026"/>
      <c r="J31" s="1008"/>
      <c r="K31" s="1008"/>
      <c r="L31" s="1008"/>
      <c r="M31" s="1008"/>
      <c r="N31" s="1008"/>
      <c r="O31" s="1008"/>
      <c r="P31" s="1008"/>
      <c r="Q31" s="1008"/>
      <c r="R31" s="1008"/>
      <c r="S31" s="1008"/>
      <c r="T31" s="1008"/>
      <c r="U31" s="1008"/>
      <c r="V31" s="1008"/>
      <c r="W31" s="1008"/>
      <c r="X31" s="1008"/>
      <c r="Y31" s="1008"/>
      <c r="Z31" s="1008"/>
      <c r="AA31" s="1008"/>
      <c r="AB31" s="1008"/>
      <c r="AC31" s="1008"/>
      <c r="AD31" s="1008"/>
      <c r="AE31" s="1008"/>
      <c r="AF31" s="1008"/>
      <c r="AG31" s="1008"/>
      <c r="AH31" s="1008"/>
      <c r="AI31" s="1008"/>
      <c r="AJ31" s="1008"/>
      <c r="AK31" s="1008"/>
      <c r="AL31" s="1008"/>
      <c r="AM31" s="1008"/>
      <c r="AN31" s="1008"/>
      <c r="AO31" s="1008"/>
      <c r="AP31" s="1008"/>
      <c r="AQ31" s="1008"/>
      <c r="AR31" s="1008"/>
      <c r="AS31" s="1008"/>
      <c r="AT31" s="1008"/>
      <c r="AU31" s="1008"/>
      <c r="AV31" s="1008"/>
      <c r="AW31" s="1008"/>
      <c r="AX31" s="1008"/>
      <c r="AY31" s="1008"/>
      <c r="AZ31" s="1008"/>
      <c r="BA31" s="1008"/>
      <c r="BB31" s="1008"/>
      <c r="BC31" s="1008"/>
      <c r="BD31" s="1008"/>
      <c r="BE31" s="1008"/>
      <c r="BF31" s="1008"/>
      <c r="BG31" s="1008"/>
      <c r="BH31" s="1008"/>
      <c r="BI31" s="1008"/>
      <c r="BJ31" s="1008"/>
    </row>
    <row r="32" spans="1:62" s="1013" customFormat="1" ht="31">
      <c r="A32" s="1067"/>
      <c r="B32" s="1064" t="str">
        <f>'Scope 3 Summary'!D28</f>
        <v>Downstream transportation &amp; distribution
[Patient Visits &amp; Telehealth]</v>
      </c>
      <c r="C32" s="1065"/>
      <c r="D32" s="1065"/>
      <c r="E32" s="1207">
        <f>'Scope 3 Summary'!E28</f>
        <v>0</v>
      </c>
      <c r="F32" s="1066"/>
      <c r="G32" s="1026"/>
      <c r="H32" s="1026"/>
      <c r="I32" s="1026"/>
      <c r="J32" s="1008"/>
      <c r="K32" s="1008"/>
      <c r="L32" s="1008"/>
      <c r="M32" s="1008"/>
      <c r="N32" s="1008"/>
      <c r="O32" s="1008"/>
      <c r="P32" s="1008"/>
      <c r="Q32" s="1008"/>
      <c r="R32" s="1008"/>
      <c r="S32" s="1008"/>
      <c r="T32" s="1008"/>
      <c r="U32" s="1008"/>
      <c r="V32" s="1008"/>
      <c r="W32" s="1008"/>
      <c r="X32" s="1008"/>
      <c r="Y32" s="1008"/>
      <c r="Z32" s="1008"/>
      <c r="AA32" s="1008"/>
      <c r="AB32" s="1008"/>
      <c r="AC32" s="1008"/>
      <c r="AD32" s="1008"/>
      <c r="AE32" s="1008"/>
      <c r="AF32" s="1008"/>
      <c r="AG32" s="1008"/>
      <c r="AH32" s="1008"/>
      <c r="AI32" s="1008"/>
      <c r="AJ32" s="1008"/>
      <c r="AK32" s="1008"/>
      <c r="AL32" s="1008"/>
      <c r="AM32" s="1008"/>
      <c r="AN32" s="1008"/>
      <c r="AO32" s="1008"/>
      <c r="AP32" s="1008"/>
      <c r="AQ32" s="1008"/>
      <c r="AR32" s="1008"/>
      <c r="AS32" s="1008"/>
      <c r="AT32" s="1008"/>
      <c r="AU32" s="1008"/>
      <c r="AV32" s="1008"/>
      <c r="AW32" s="1008"/>
      <c r="AX32" s="1008"/>
      <c r="AY32" s="1008"/>
      <c r="AZ32" s="1008"/>
      <c r="BA32" s="1008"/>
      <c r="BB32" s="1008"/>
      <c r="BC32" s="1008"/>
      <c r="BD32" s="1008"/>
      <c r="BE32" s="1008"/>
      <c r="BF32" s="1008"/>
      <c r="BG32" s="1008"/>
      <c r="BH32" s="1008"/>
      <c r="BI32" s="1008"/>
      <c r="BJ32" s="1008"/>
    </row>
    <row r="33" spans="1:62" s="1013" customFormat="1" ht="15.5">
      <c r="A33" s="1069"/>
      <c r="B33" s="1064" t="str">
        <f>'Scope 3 Summary'!D29</f>
        <v>Processing of sold products</v>
      </c>
      <c r="C33" s="1065"/>
      <c r="D33" s="1065"/>
      <c r="E33" s="1207" t="str">
        <f>'Scope 3 Summary'!E29</f>
        <v>not relevant</v>
      </c>
      <c r="F33" s="1071"/>
      <c r="G33" s="1026"/>
      <c r="H33" s="1026"/>
      <c r="I33" s="1026"/>
      <c r="J33" s="1008"/>
      <c r="K33" s="1008"/>
      <c r="L33" s="1008" t="s">
        <v>3292</v>
      </c>
      <c r="M33" s="1008"/>
      <c r="N33" s="1008"/>
      <c r="O33" s="1008"/>
      <c r="P33" s="1008"/>
      <c r="Q33" s="1008"/>
      <c r="R33" s="1008"/>
      <c r="S33" s="1008"/>
      <c r="T33" s="1008"/>
      <c r="U33" s="1008"/>
      <c r="V33" s="1008"/>
      <c r="W33" s="1008"/>
      <c r="X33" s="1008"/>
      <c r="Y33" s="1008"/>
      <c r="Z33" s="1008"/>
      <c r="AA33" s="1008"/>
      <c r="AB33" s="1008"/>
      <c r="AC33" s="1008"/>
      <c r="AD33" s="1008"/>
      <c r="AE33" s="1008"/>
      <c r="AF33" s="1008"/>
      <c r="AG33" s="1008"/>
      <c r="AH33" s="1008"/>
      <c r="AI33" s="1008"/>
      <c r="AJ33" s="1008"/>
      <c r="AK33" s="1008"/>
      <c r="AL33" s="1008"/>
      <c r="AM33" s="1008"/>
      <c r="AN33" s="1008"/>
      <c r="AO33" s="1008"/>
      <c r="AP33" s="1008"/>
      <c r="AQ33" s="1008"/>
      <c r="AR33" s="1008"/>
      <c r="AS33" s="1008"/>
      <c r="AT33" s="1008"/>
      <c r="AU33" s="1008"/>
      <c r="AV33" s="1008"/>
      <c r="AW33" s="1008"/>
      <c r="AX33" s="1008"/>
      <c r="AY33" s="1008"/>
      <c r="AZ33" s="1008"/>
      <c r="BA33" s="1008"/>
      <c r="BB33" s="1008"/>
      <c r="BC33" s="1008"/>
      <c r="BD33" s="1008"/>
      <c r="BE33" s="1008"/>
      <c r="BF33" s="1008"/>
      <c r="BG33" s="1008"/>
      <c r="BH33" s="1008"/>
      <c r="BI33" s="1008"/>
      <c r="BJ33" s="1008"/>
    </row>
    <row r="34" spans="1:62" s="1013" customFormat="1" ht="15.5">
      <c r="A34" s="1069"/>
      <c r="B34" s="1064" t="str">
        <f>'Scope 3 Summary'!D30</f>
        <v>Use of sold products</v>
      </c>
      <c r="C34" s="1065"/>
      <c r="D34" s="1065"/>
      <c r="E34" s="1207">
        <f>'Scope 3 Summary'!E30</f>
        <v>0</v>
      </c>
      <c r="F34" s="1071"/>
      <c r="G34" s="1026"/>
      <c r="H34" s="1026"/>
      <c r="I34" s="1026"/>
      <c r="J34" s="1008"/>
      <c r="K34" s="1008"/>
      <c r="L34" s="1008" t="str">
        <f>+B7</f>
        <v>Scope 1</v>
      </c>
      <c r="M34" s="1072">
        <f>+E7</f>
        <v>0</v>
      </c>
      <c r="N34" s="1008"/>
      <c r="O34" s="1008"/>
      <c r="P34" s="1008"/>
      <c r="Q34" s="1008"/>
      <c r="R34" s="1008"/>
      <c r="S34" s="1008"/>
      <c r="T34" s="1008"/>
      <c r="U34" s="1008"/>
      <c r="V34" s="1008"/>
      <c r="W34" s="1008"/>
      <c r="X34" s="1008"/>
      <c r="Y34" s="1008"/>
      <c r="Z34" s="1008"/>
      <c r="AA34" s="1008"/>
      <c r="AB34" s="1008"/>
      <c r="AC34" s="1008"/>
      <c r="AD34" s="1008"/>
      <c r="AE34" s="1008"/>
      <c r="AF34" s="1008"/>
      <c r="AG34" s="1008"/>
      <c r="AH34" s="1008"/>
      <c r="AI34" s="1008"/>
      <c r="AJ34" s="1008"/>
      <c r="AK34" s="1008"/>
      <c r="AL34" s="1008"/>
      <c r="AM34" s="1008"/>
      <c r="AN34" s="1008"/>
      <c r="AO34" s="1008"/>
      <c r="AP34" s="1008"/>
      <c r="AQ34" s="1008"/>
      <c r="AR34" s="1008"/>
      <c r="AS34" s="1008"/>
      <c r="AT34" s="1008"/>
      <c r="AU34" s="1008"/>
      <c r="AV34" s="1008"/>
      <c r="AW34" s="1008"/>
      <c r="AX34" s="1008"/>
      <c r="AY34" s="1008"/>
      <c r="AZ34" s="1008"/>
      <c r="BA34" s="1008"/>
      <c r="BB34" s="1008"/>
      <c r="BC34" s="1008"/>
      <c r="BD34" s="1008"/>
      <c r="BE34" s="1008"/>
      <c r="BF34" s="1008"/>
      <c r="BG34" s="1008"/>
      <c r="BH34" s="1008"/>
      <c r="BI34" s="1008"/>
      <c r="BJ34" s="1008"/>
    </row>
    <row r="35" spans="1:62" s="1013" customFormat="1" ht="15.5">
      <c r="A35" s="1069"/>
      <c r="B35" s="1064" t="str">
        <f>'Scope 3 Summary'!D31</f>
        <v>End-of-life treatment of sold products</v>
      </c>
      <c r="C35" s="1065"/>
      <c r="D35" s="1065"/>
      <c r="E35" s="1207" t="str">
        <f>'Scope 3 Summary'!E31</f>
        <v>not relevant</v>
      </c>
      <c r="F35" s="1071"/>
      <c r="G35" s="1026"/>
      <c r="H35" s="1026"/>
      <c r="I35" s="1026"/>
      <c r="J35" s="1008"/>
      <c r="K35" s="1008"/>
      <c r="L35" s="1008" t="str">
        <f>+B20</f>
        <v>Scope 2</v>
      </c>
      <c r="M35" s="1072">
        <f>+E20</f>
        <v>0</v>
      </c>
      <c r="N35" s="1008"/>
      <c r="O35" s="1008"/>
      <c r="P35" s="1008"/>
      <c r="Q35" s="1008"/>
      <c r="R35" s="1008"/>
      <c r="S35" s="1008"/>
      <c r="T35" s="1008"/>
      <c r="U35" s="1008"/>
      <c r="V35" s="1008"/>
      <c r="W35" s="1008"/>
      <c r="X35" s="1008"/>
      <c r="Y35" s="1008"/>
      <c r="Z35" s="1008"/>
      <c r="AA35" s="1008"/>
      <c r="AB35" s="1008"/>
      <c r="AC35" s="1008"/>
      <c r="AD35" s="1008"/>
      <c r="AE35" s="1008"/>
      <c r="AF35" s="1008"/>
      <c r="AG35" s="1008"/>
      <c r="AH35" s="1008"/>
      <c r="AI35" s="1008"/>
      <c r="AJ35" s="1008"/>
      <c r="AK35" s="1008"/>
      <c r="AL35" s="1008"/>
      <c r="AM35" s="1008"/>
      <c r="AN35" s="1008"/>
      <c r="AO35" s="1008"/>
      <c r="AP35" s="1008"/>
      <c r="AQ35" s="1008"/>
      <c r="AR35" s="1008"/>
      <c r="AS35" s="1008"/>
      <c r="AT35" s="1008"/>
      <c r="AU35" s="1008"/>
      <c r="AV35" s="1008"/>
      <c r="AW35" s="1008"/>
      <c r="AX35" s="1008"/>
      <c r="AY35" s="1008"/>
      <c r="AZ35" s="1008"/>
      <c r="BA35" s="1008"/>
      <c r="BB35" s="1008"/>
      <c r="BC35" s="1008"/>
      <c r="BD35" s="1008"/>
      <c r="BE35" s="1008"/>
      <c r="BF35" s="1008"/>
      <c r="BG35" s="1008"/>
      <c r="BH35" s="1008"/>
      <c r="BI35" s="1008"/>
      <c r="BJ35" s="1008"/>
    </row>
    <row r="36" spans="1:62" s="1013" customFormat="1" ht="15.5">
      <c r="A36" s="1069"/>
      <c r="B36" s="1064" t="str">
        <f>'Scope 3 Summary'!D32</f>
        <v>Downstream leased assets</v>
      </c>
      <c r="C36" s="1065"/>
      <c r="D36" s="1065"/>
      <c r="E36" s="1207">
        <f>'Scope 3 Summary'!E32</f>
        <v>0</v>
      </c>
      <c r="F36" s="1073"/>
      <c r="G36" s="1026"/>
      <c r="H36" s="1026"/>
      <c r="I36" s="1026"/>
      <c r="J36" s="1008"/>
      <c r="K36" s="1008"/>
      <c r="L36" s="1008" t="s">
        <v>3293</v>
      </c>
      <c r="M36" s="1072">
        <f>+E23-H24</f>
        <v>0</v>
      </c>
      <c r="N36" s="1008"/>
      <c r="O36" s="1008"/>
      <c r="P36" s="1008"/>
      <c r="Q36" s="1008"/>
      <c r="R36" s="1008"/>
      <c r="S36" s="1008"/>
      <c r="T36" s="1008"/>
      <c r="U36" s="1008"/>
      <c r="V36" s="1008"/>
      <c r="W36" s="1008"/>
      <c r="X36" s="1008"/>
      <c r="Y36" s="1008"/>
      <c r="Z36" s="1008"/>
      <c r="AA36" s="1008"/>
      <c r="AB36" s="1008"/>
      <c r="AC36" s="1008"/>
      <c r="AD36" s="1008"/>
      <c r="AE36" s="1008"/>
      <c r="AF36" s="1008"/>
      <c r="AG36" s="1008"/>
      <c r="AH36" s="1008"/>
      <c r="AI36" s="1008"/>
      <c r="AJ36" s="1008"/>
      <c r="AK36" s="1008"/>
      <c r="AL36" s="1008"/>
      <c r="AM36" s="1008"/>
      <c r="AN36" s="1008"/>
      <c r="AO36" s="1008"/>
      <c r="AP36" s="1008"/>
      <c r="AQ36" s="1008"/>
      <c r="AR36" s="1008"/>
      <c r="AS36" s="1008"/>
      <c r="AT36" s="1008"/>
      <c r="AU36" s="1008"/>
      <c r="AV36" s="1008"/>
      <c r="AW36" s="1008"/>
      <c r="AX36" s="1008"/>
      <c r="AY36" s="1008"/>
      <c r="AZ36" s="1008"/>
      <c r="BA36" s="1008"/>
      <c r="BB36" s="1008"/>
      <c r="BC36" s="1008"/>
      <c r="BD36" s="1008"/>
      <c r="BE36" s="1008"/>
      <c r="BF36" s="1008"/>
      <c r="BG36" s="1008"/>
      <c r="BH36" s="1008"/>
      <c r="BI36" s="1008"/>
      <c r="BJ36" s="1008"/>
    </row>
    <row r="37" spans="1:62" s="1013" customFormat="1" ht="15.5">
      <c r="A37" s="1069"/>
      <c r="B37" s="1064" t="str">
        <f>'Scope 3 Summary'!D33</f>
        <v>Franchises</v>
      </c>
      <c r="C37" s="1068"/>
      <c r="D37" s="1068"/>
      <c r="E37" s="1207" t="str">
        <f>'Scope 3 Summary'!E33</f>
        <v>not relevant</v>
      </c>
      <c r="F37" s="1073"/>
      <c r="G37" s="1026"/>
      <c r="H37" s="1026"/>
      <c r="I37" s="1026"/>
      <c r="J37" s="1008"/>
      <c r="K37" s="1008"/>
      <c r="L37" s="1008" t="s">
        <v>3294</v>
      </c>
      <c r="M37" s="1072">
        <f>+H24</f>
        <v>0</v>
      </c>
      <c r="N37" s="1008"/>
      <c r="O37" s="1008"/>
      <c r="P37" s="1008"/>
      <c r="Q37" s="1008"/>
      <c r="R37" s="1008"/>
      <c r="S37" s="1008"/>
      <c r="T37" s="1008"/>
      <c r="U37" s="1008"/>
      <c r="V37" s="1008"/>
      <c r="W37" s="1008"/>
      <c r="X37" s="1008"/>
      <c r="Y37" s="1008"/>
      <c r="Z37" s="1008"/>
      <c r="AA37" s="1008"/>
      <c r="AB37" s="1008"/>
      <c r="AC37" s="1008"/>
      <c r="AD37" s="1008"/>
      <c r="AE37" s="1008"/>
      <c r="AF37" s="1008"/>
      <c r="AG37" s="1008"/>
      <c r="AH37" s="1008"/>
      <c r="AI37" s="1008"/>
      <c r="AJ37" s="1008"/>
      <c r="AK37" s="1008"/>
      <c r="AL37" s="1008"/>
      <c r="AM37" s="1008"/>
      <c r="AN37" s="1008"/>
      <c r="AO37" s="1008"/>
      <c r="AP37" s="1008"/>
      <c r="AQ37" s="1008"/>
      <c r="AR37" s="1008"/>
      <c r="AS37" s="1008"/>
      <c r="AT37" s="1008"/>
      <c r="AU37" s="1008"/>
      <c r="AV37" s="1008"/>
      <c r="AW37" s="1008"/>
      <c r="AX37" s="1008"/>
      <c r="AY37" s="1008"/>
      <c r="AZ37" s="1008"/>
      <c r="BA37" s="1008"/>
      <c r="BB37" s="1008"/>
      <c r="BC37" s="1008"/>
      <c r="BD37" s="1008"/>
      <c r="BE37" s="1008"/>
      <c r="BF37" s="1008"/>
      <c r="BG37" s="1008"/>
      <c r="BH37" s="1008"/>
      <c r="BI37" s="1008"/>
      <c r="BJ37" s="1008"/>
    </row>
    <row r="38" spans="1:62" ht="15.5">
      <c r="A38" s="1069"/>
      <c r="B38" s="1064" t="str">
        <f>'Scope 3 Summary'!D34</f>
        <v>Investments</v>
      </c>
      <c r="C38" s="1074"/>
      <c r="D38" s="1074"/>
      <c r="E38" s="1207">
        <f>'Scope 3 Summary'!E34</f>
        <v>0</v>
      </c>
      <c r="F38" s="1073"/>
      <c r="G38" s="1026"/>
      <c r="H38" s="1026"/>
      <c r="I38" s="1026"/>
    </row>
    <row r="39" spans="1:62" ht="15.65" customHeight="1">
      <c r="B39" s="1075"/>
      <c r="C39" s="1076"/>
      <c r="D39" s="1077" t="s">
        <v>3295</v>
      </c>
      <c r="E39" s="1078">
        <f>E23+E20+E7</f>
        <v>0</v>
      </c>
      <c r="F39" s="1079"/>
      <c r="G39" s="1026"/>
      <c r="H39" s="1026"/>
    </row>
    <row r="40" spans="1:62" ht="33.9" customHeight="1">
      <c r="A40" s="1295" t="s">
        <v>3296</v>
      </c>
      <c r="B40" s="1295"/>
      <c r="C40" s="1295"/>
      <c r="D40" s="1295"/>
      <c r="E40" s="1295"/>
      <c r="F40" s="1295"/>
    </row>
    <row r="41" spans="1:62" ht="15.65" customHeight="1">
      <c r="A41" s="1080"/>
      <c r="B41" s="1080"/>
      <c r="C41" s="1080"/>
      <c r="D41" s="1080"/>
      <c r="E41" s="1080"/>
      <c r="F41" s="1080"/>
    </row>
    <row r="42" spans="1:62" ht="15.65" customHeight="1">
      <c r="A42" s="1080"/>
      <c r="B42" s="1080"/>
      <c r="C42" s="1080"/>
      <c r="D42" s="1080"/>
      <c r="E42" s="1080"/>
      <c r="F42" s="1080"/>
    </row>
    <row r="43" spans="1:62" ht="15.65" customHeight="1">
      <c r="A43" s="1080"/>
      <c r="B43" s="1080"/>
      <c r="C43" s="1080"/>
      <c r="D43" s="1080"/>
      <c r="E43" s="1080"/>
      <c r="F43" s="1080"/>
    </row>
    <row r="44" spans="1:62" ht="15.5">
      <c r="B44" s="1075"/>
      <c r="C44" s="1076"/>
      <c r="D44" s="1076"/>
      <c r="E44" s="1081"/>
      <c r="F44" s="1079"/>
    </row>
    <row r="45" spans="1:62" ht="15.5">
      <c r="B45" s="1075"/>
      <c r="C45" s="1076"/>
      <c r="D45" s="1076"/>
      <c r="E45" s="1081"/>
      <c r="F45" s="1079"/>
    </row>
    <row r="46" spans="1:62" ht="15.5">
      <c r="B46" s="1075"/>
      <c r="C46" s="1076"/>
      <c r="D46" s="1076"/>
      <c r="E46" s="1081"/>
      <c r="F46" s="1079"/>
    </row>
    <row r="47" spans="1:62" ht="15.5">
      <c r="B47" s="1075"/>
      <c r="C47" s="1076"/>
      <c r="D47" s="1076"/>
      <c r="E47" s="1081"/>
      <c r="F47" s="1079"/>
    </row>
    <row r="49" spans="1:10" ht="20.399999999999999" customHeight="1">
      <c r="A49" s="1010"/>
      <c r="B49" s="1296" t="s">
        <v>3297</v>
      </c>
      <c r="C49" s="1296"/>
      <c r="D49" s="1296"/>
      <c r="E49" s="1296"/>
      <c r="F49" s="1083"/>
    </row>
    <row r="50" spans="1:10" ht="20.399999999999999" customHeight="1">
      <c r="A50" s="1010"/>
      <c r="B50" s="1297" t="str">
        <f>+'Facility or System Data'!$C$3&amp;" - Year " &amp; Instructions!$C$6</f>
        <v xml:space="preserve">  - Year </v>
      </c>
      <c r="C50" s="1297"/>
      <c r="D50" s="1297"/>
      <c r="E50" s="1297"/>
      <c r="F50" s="1011"/>
    </row>
    <row r="51" spans="1:10" ht="20.399999999999999" customHeight="1">
      <c r="A51" s="1010"/>
      <c r="B51" s="1297" t="s">
        <v>3298</v>
      </c>
      <c r="C51" s="1297"/>
      <c r="D51" s="1297"/>
      <c r="E51" s="1297"/>
      <c r="F51" s="1083"/>
    </row>
    <row r="53" spans="1:10" ht="25">
      <c r="E53" s="1298" t="s">
        <v>3299</v>
      </c>
      <c r="F53" s="1298"/>
    </row>
    <row r="54" spans="1:10" ht="22.5">
      <c r="D54" s="1085"/>
      <c r="E54" s="1085"/>
      <c r="F54" s="1085"/>
    </row>
    <row r="55" spans="1:10" ht="69.900000000000006" customHeight="1">
      <c r="E55" s="1290" t="str">
        <f>IF('Facility or System Data'!$C$11&lt;&gt;0,ROUND($E$6*1000/'Facility or System Data'!$C$11,0)&amp;" kg CO2e/FTE","Fill in the quantity of employees in the Step2. General data sheet")</f>
        <v>Fill in the quantity of employees in the Step2. General data sheet</v>
      </c>
      <c r="F55" s="1290"/>
    </row>
    <row r="56" spans="1:10" ht="17.149999999999999" customHeight="1">
      <c r="D56" s="1085"/>
      <c r="E56" s="1085"/>
      <c r="F56" s="1085"/>
      <c r="J56" s="1008" t="s">
        <v>2215</v>
      </c>
    </row>
    <row r="57" spans="1:10" ht="17.149999999999999" customHeight="1">
      <c r="E57" s="706"/>
    </row>
    <row r="58" spans="1:10" ht="72" customHeight="1">
      <c r="E58" s="1291" t="str">
        <f>IF('Facility or System Data'!$C$12&lt;&gt;0,(ROUND($E$6*1000/'Facility or System Data'!$C$12,0)&amp;" kg CO2e/patient day"),"Fill in the quantity of patients in the Step2. General data sheet")</f>
        <v>Fill in the quantity of patients in the Step2. General data sheet</v>
      </c>
      <c r="F58" s="1291"/>
    </row>
    <row r="59" spans="1:10" ht="33.75" customHeight="1">
      <c r="E59" s="1086"/>
      <c r="F59" s="1086"/>
    </row>
    <row r="60" spans="1:10" ht="42.75" customHeight="1">
      <c r="E60" s="1292" t="str">
        <f>IF('Facility or System Data'!$C$13&lt;&gt;0,(ROUND($E$6*1000/'Facility or System Data'!$C$13,0)&amp;" kg CO2e/adjusted patient day"),"Fill in the quantity of patients in the Step2. General data sheet")</f>
        <v>Fill in the quantity of patients in the Step2. General data sheet</v>
      </c>
      <c r="F60" s="1292"/>
    </row>
    <row r="62" spans="1:10" ht="20.25" customHeight="1"/>
    <row r="63" spans="1:10" ht="41.25" customHeight="1">
      <c r="E63" s="1293" t="str">
        <f>IF('Facility or System Data'!$C$16&lt;&gt;0,ROUND($E$6*1000/'Facility or System Data'!$C$16,0)&amp;" kg CO2e/operating room","Fill in the quantity of beds in the Step2. General data sheet")</f>
        <v>Fill in the quantity of beds in the Step2. General data sheet</v>
      </c>
      <c r="F63" s="1293"/>
    </row>
    <row r="66" spans="1:6" ht="21" customHeight="1">
      <c r="A66" s="1010"/>
      <c r="B66" s="1082" t="s">
        <v>3297</v>
      </c>
      <c r="C66" s="1082"/>
      <c r="D66" s="1082"/>
      <c r="E66" s="1082"/>
      <c r="F66" s="1083"/>
    </row>
    <row r="67" spans="1:6" ht="21" customHeight="1">
      <c r="A67" s="1010"/>
      <c r="B67" s="1084" t="str">
        <f>+'Facility or System Data'!$C$3&amp;" - Year " &amp; Instructions!$C$6</f>
        <v xml:space="preserve">  - Year </v>
      </c>
      <c r="C67" s="1084"/>
      <c r="D67" s="1084"/>
      <c r="E67" s="1084"/>
      <c r="F67" s="1011"/>
    </row>
    <row r="68" spans="1:6" ht="21" customHeight="1">
      <c r="A68" s="1010"/>
      <c r="B68" s="1084" t="s">
        <v>3298</v>
      </c>
      <c r="C68" s="1084"/>
      <c r="D68" s="1084"/>
      <c r="E68" s="1084"/>
      <c r="F68" s="1083"/>
    </row>
    <row r="98" spans="1:6" ht="20.399999999999999" customHeight="1">
      <c r="A98" s="1010"/>
      <c r="B98" s="1082" t="s">
        <v>3297</v>
      </c>
      <c r="C98" s="1082"/>
      <c r="D98" s="1082"/>
      <c r="E98" s="1082"/>
      <c r="F98" s="1083"/>
    </row>
    <row r="99" spans="1:6" ht="20.399999999999999" customHeight="1">
      <c r="A99" s="1010"/>
      <c r="B99" s="1084" t="str">
        <f>+'Facility or System Data'!$C$3&amp;" - Year " &amp; Instructions!$C$6</f>
        <v xml:space="preserve">  - Year </v>
      </c>
      <c r="C99" s="1084"/>
      <c r="D99" s="1084"/>
      <c r="E99" s="1084"/>
      <c r="F99" s="1011"/>
    </row>
    <row r="100" spans="1:6" ht="20.399999999999999" customHeight="1">
      <c r="A100" s="1010"/>
      <c r="B100" s="1084" t="s">
        <v>3298</v>
      </c>
      <c r="C100" s="1084"/>
      <c r="D100" s="1084"/>
      <c r="E100" s="1084"/>
      <c r="F100" s="1083"/>
    </row>
    <row r="129" spans="1:6" s="1013" customFormat="1" ht="20.399999999999999" customHeight="1">
      <c r="A129" s="1087"/>
      <c r="B129" s="1087"/>
      <c r="C129" s="1087"/>
      <c r="D129" s="1087"/>
      <c r="E129" s="1087"/>
      <c r="F129" s="1087"/>
    </row>
    <row r="130" spans="1:6" s="1013" customFormat="1" ht="20.399999999999999" customHeight="1">
      <c r="A130" s="1088"/>
      <c r="B130" s="1088"/>
      <c r="C130" s="1088"/>
      <c r="D130" s="1088"/>
      <c r="E130" s="1088"/>
      <c r="F130" s="1088"/>
    </row>
    <row r="131" spans="1:6" s="1013" customFormat="1" ht="20.399999999999999" customHeight="1">
      <c r="A131" s="1089"/>
      <c r="B131" s="1089"/>
      <c r="C131" s="1089"/>
      <c r="D131" s="1089"/>
      <c r="E131" s="1089"/>
      <c r="F131" s="1089"/>
    </row>
    <row r="158" spans="1:6" ht="30" customHeight="1">
      <c r="A158" s="1080"/>
      <c r="B158" s="1080"/>
      <c r="C158" s="1080"/>
      <c r="D158" s="1080"/>
      <c r="E158" s="1080"/>
      <c r="F158" s="1080"/>
    </row>
    <row r="159" spans="1:6" ht="6.9" customHeight="1"/>
    <row r="160" spans="1:6" ht="6.65" customHeight="1"/>
    <row r="161" spans="1:6" s="1013" customFormat="1" ht="20.399999999999999" customHeight="1">
      <c r="A161" s="1087"/>
      <c r="B161" s="1087"/>
      <c r="C161" s="1087"/>
      <c r="D161" s="1087"/>
      <c r="E161" s="1087"/>
      <c r="F161" s="1087"/>
    </row>
    <row r="162" spans="1:6" s="1013" customFormat="1" ht="20.399999999999999" customHeight="1">
      <c r="A162" s="1088"/>
      <c r="B162" s="1088"/>
      <c r="C162" s="1088"/>
      <c r="D162" s="1088"/>
      <c r="E162" s="1088"/>
      <c r="F162" s="1088"/>
    </row>
    <row r="163" spans="1:6" s="1013" customFormat="1" ht="20.399999999999999" customHeight="1">
      <c r="A163" s="1089"/>
      <c r="B163" s="1089"/>
      <c r="C163" s="1089"/>
      <c r="D163" s="1089"/>
      <c r="E163" s="1089"/>
      <c r="F163" s="1089"/>
    </row>
    <row r="193" spans="1:6" s="1013" customFormat="1" ht="21" customHeight="1">
      <c r="A193" s="1090"/>
      <c r="B193" s="1087"/>
      <c r="C193" s="1087"/>
      <c r="D193" s="1087"/>
      <c r="E193" s="1087"/>
      <c r="F193" s="1087"/>
    </row>
    <row r="194" spans="1:6" s="1013" customFormat="1" ht="21" customHeight="1">
      <c r="A194" s="1090"/>
      <c r="B194" s="1088"/>
      <c r="C194" s="1088"/>
      <c r="D194" s="1088"/>
      <c r="E194" s="1088"/>
      <c r="F194" s="1088"/>
    </row>
    <row r="195" spans="1:6" s="1013" customFormat="1" ht="21" customHeight="1">
      <c r="A195" s="1090"/>
      <c r="B195" s="1089"/>
      <c r="C195" s="1089"/>
      <c r="D195" s="1089"/>
      <c r="E195" s="1089"/>
      <c r="F195" s="1089"/>
    </row>
    <row r="219" spans="1:6" ht="27" customHeight="1"/>
    <row r="224" spans="1:6" s="1013" customFormat="1" ht="25">
      <c r="A224" s="1087"/>
      <c r="B224" s="1087"/>
      <c r="C224" s="1087"/>
      <c r="D224" s="1087"/>
      <c r="E224" s="1087"/>
      <c r="F224" s="1087"/>
    </row>
    <row r="225" spans="1:6" s="1013" customFormat="1" ht="25">
      <c r="A225" s="1088"/>
      <c r="B225" s="1088"/>
      <c r="C225" s="1088"/>
      <c r="D225" s="1088"/>
      <c r="E225" s="1088"/>
      <c r="F225" s="1088"/>
    </row>
    <row r="226" spans="1:6" s="1013" customFormat="1" ht="25">
      <c r="A226" s="1091"/>
      <c r="B226" s="1091"/>
      <c r="C226" s="1091"/>
      <c r="D226" s="1091"/>
      <c r="E226" s="1091"/>
      <c r="F226" s="1091"/>
    </row>
    <row r="252" spans="1:13">
      <c r="L252" s="1092"/>
      <c r="M252" s="1093"/>
    </row>
    <row r="253" spans="1:13">
      <c r="L253" s="1092"/>
      <c r="M253" s="1093"/>
    </row>
    <row r="254" spans="1:13">
      <c r="L254" s="1092"/>
      <c r="M254" s="1093"/>
    </row>
    <row r="255" spans="1:13" s="1013" customFormat="1" ht="20.399999999999999" customHeight="1">
      <c r="A255" s="1087"/>
      <c r="B255" s="1087"/>
      <c r="C255" s="1087"/>
      <c r="D255" s="1087"/>
      <c r="E255" s="1087"/>
      <c r="F255" s="1087"/>
      <c r="L255" s="1094"/>
      <c r="M255" s="1095"/>
    </row>
    <row r="256" spans="1:13" s="1013" customFormat="1" ht="20.399999999999999" customHeight="1">
      <c r="A256" s="1088"/>
      <c r="B256" s="1088"/>
      <c r="C256" s="1088"/>
      <c r="D256" s="1088"/>
      <c r="E256" s="1088"/>
      <c r="F256" s="1088"/>
      <c r="L256" s="1094"/>
      <c r="M256" s="1095"/>
    </row>
    <row r="257" spans="1:13" s="1013" customFormat="1" ht="20.399999999999999" customHeight="1">
      <c r="A257" s="1089"/>
      <c r="B257" s="1089"/>
      <c r="C257" s="1089"/>
      <c r="D257" s="1089"/>
      <c r="E257" s="1089"/>
      <c r="F257" s="1089"/>
      <c r="L257" s="1094"/>
      <c r="M257" s="1095"/>
    </row>
    <row r="258" spans="1:13">
      <c r="A258" s="4"/>
      <c r="B258" s="4"/>
      <c r="C258" s="4"/>
      <c r="D258" s="4"/>
      <c r="E258" s="4"/>
      <c r="F258" s="4"/>
      <c r="L258" s="1092"/>
      <c r="M258" s="1093"/>
    </row>
    <row r="259" spans="1:13" ht="18">
      <c r="A259" s="1096"/>
      <c r="B259" s="1097"/>
      <c r="C259" s="1098"/>
      <c r="D259" s="1099"/>
      <c r="E259" s="1100"/>
      <c r="F259" s="1099"/>
      <c r="K259" s="1101"/>
      <c r="L259" s="1102"/>
      <c r="M259" s="1102"/>
    </row>
    <row r="260" spans="1:13">
      <c r="A260" s="4"/>
      <c r="B260" s="4"/>
      <c r="C260" s="4"/>
      <c r="D260" s="1103"/>
      <c r="E260" s="1104"/>
      <c r="F260" s="1103"/>
      <c r="L260" s="1092"/>
      <c r="M260" s="1093"/>
    </row>
    <row r="261" spans="1:13">
      <c r="A261" s="4"/>
      <c r="B261" s="4"/>
      <c r="C261" s="4"/>
      <c r="D261" s="1103"/>
      <c r="E261" s="1104"/>
      <c r="F261" s="1103"/>
      <c r="L261" s="1092"/>
      <c r="M261" s="1093"/>
    </row>
    <row r="262" spans="1:13">
      <c r="A262" s="4"/>
      <c r="B262" s="4"/>
      <c r="C262" s="4"/>
      <c r="D262" s="1103"/>
      <c r="E262" s="1104"/>
      <c r="F262" s="1103"/>
      <c r="L262" s="1092"/>
      <c r="M262" s="1093"/>
    </row>
    <row r="263" spans="1:13">
      <c r="A263" s="4"/>
      <c r="B263" s="4"/>
      <c r="C263" s="4"/>
      <c r="D263" s="1103"/>
      <c r="E263" s="1104"/>
      <c r="F263" s="1103"/>
      <c r="L263" s="1092"/>
      <c r="M263" s="1093"/>
    </row>
    <row r="264" spans="1:13">
      <c r="A264" s="4"/>
      <c r="B264" s="4"/>
      <c r="C264" s="4"/>
      <c r="D264" s="1103"/>
      <c r="E264" s="1104"/>
      <c r="F264" s="1103"/>
      <c r="L264" s="1092"/>
      <c r="M264" s="1093"/>
    </row>
    <row r="265" spans="1:13">
      <c r="A265" s="4"/>
      <c r="B265" s="4"/>
      <c r="C265" s="4"/>
      <c r="D265" s="1103"/>
      <c r="E265" s="1104"/>
      <c r="F265" s="1103"/>
      <c r="L265" s="1092"/>
      <c r="M265" s="1093"/>
    </row>
    <row r="266" spans="1:13">
      <c r="A266" s="4"/>
      <c r="B266" s="4"/>
      <c r="C266" s="4"/>
      <c r="D266" s="1103"/>
      <c r="E266" s="1104"/>
      <c r="F266" s="1103"/>
      <c r="L266" s="1092"/>
      <c r="M266" s="1093"/>
    </row>
    <row r="267" spans="1:13">
      <c r="A267" s="4"/>
      <c r="B267" s="4"/>
      <c r="C267" s="4"/>
      <c r="D267" s="1103"/>
      <c r="E267" s="1104"/>
      <c r="F267" s="1103"/>
      <c r="L267" s="1092"/>
      <c r="M267" s="1093"/>
    </row>
    <row r="268" spans="1:13">
      <c r="A268" s="4"/>
      <c r="B268" s="4"/>
      <c r="C268" s="4"/>
      <c r="D268" s="1103"/>
      <c r="E268" s="1104"/>
      <c r="F268" s="1103"/>
      <c r="L268" s="1092"/>
      <c r="M268" s="1093"/>
    </row>
    <row r="269" spans="1:13">
      <c r="A269" s="4"/>
      <c r="B269" s="4"/>
      <c r="C269" s="4"/>
      <c r="D269" s="1103"/>
      <c r="E269" s="1104"/>
      <c r="F269" s="1103"/>
      <c r="L269" s="1092"/>
      <c r="M269" s="1093"/>
    </row>
    <row r="270" spans="1:13">
      <c r="A270" s="4"/>
      <c r="B270" s="4"/>
      <c r="C270" s="4"/>
      <c r="D270" s="1103"/>
      <c r="E270" s="1104"/>
      <c r="F270" s="1103"/>
      <c r="L270" s="1092"/>
      <c r="M270" s="1093"/>
    </row>
    <row r="271" spans="1:13">
      <c r="A271" s="4"/>
      <c r="B271" s="4"/>
      <c r="C271" s="4"/>
      <c r="D271" s="1103"/>
      <c r="E271" s="1104"/>
      <c r="F271" s="1103"/>
      <c r="L271" s="1092"/>
      <c r="M271" s="1093"/>
    </row>
    <row r="272" spans="1:13">
      <c r="A272" s="4"/>
      <c r="B272" s="4"/>
      <c r="C272" s="4"/>
      <c r="D272" s="1103"/>
      <c r="E272" s="1104"/>
      <c r="F272" s="1103"/>
    </row>
    <row r="273" spans="1:6">
      <c r="A273" s="4"/>
      <c r="B273" s="4"/>
      <c r="C273" s="4"/>
      <c r="D273" s="4"/>
      <c r="E273" s="4"/>
      <c r="F273" s="4"/>
    </row>
    <row r="274" spans="1:6">
      <c r="A274" s="4"/>
      <c r="B274" s="4"/>
      <c r="C274" s="4"/>
      <c r="D274" s="4"/>
      <c r="E274" s="4"/>
      <c r="F274" s="4"/>
    </row>
    <row r="275" spans="1:6" ht="14.15" customHeight="1">
      <c r="A275" s="4"/>
      <c r="B275" s="4"/>
      <c r="C275" s="4"/>
      <c r="D275" s="4"/>
      <c r="E275" s="1105"/>
      <c r="F275" s="1105"/>
    </row>
    <row r="276" spans="1:6" ht="14.15" customHeight="1">
      <c r="A276" s="4"/>
      <c r="B276" s="4"/>
      <c r="C276" s="4"/>
      <c r="D276" s="4"/>
      <c r="E276" s="1105"/>
      <c r="F276" s="1105"/>
    </row>
    <row r="277" spans="1:6" ht="14.15" customHeight="1">
      <c r="A277" s="4"/>
      <c r="B277" s="4"/>
      <c r="C277" s="4"/>
      <c r="D277" s="4"/>
      <c r="E277" s="1105"/>
      <c r="F277" s="1105"/>
    </row>
    <row r="278" spans="1:6" ht="14.15" customHeight="1">
      <c r="A278" s="4"/>
      <c r="B278" s="4"/>
      <c r="C278" s="4"/>
      <c r="D278" s="4"/>
      <c r="E278" s="1105"/>
      <c r="F278" s="1105"/>
    </row>
    <row r="279" spans="1:6" ht="14.15" customHeight="1">
      <c r="A279" s="4"/>
      <c r="B279" s="4"/>
      <c r="C279" s="4"/>
      <c r="D279" s="4"/>
      <c r="E279" s="1105"/>
      <c r="F279" s="1105"/>
    </row>
    <row r="280" spans="1:6" ht="14.15" customHeight="1">
      <c r="A280" s="4"/>
      <c r="B280" s="4"/>
      <c r="C280" s="4"/>
      <c r="D280" s="4"/>
      <c r="E280" s="1105"/>
      <c r="F280" s="1105"/>
    </row>
    <row r="281" spans="1:6">
      <c r="A281" s="4"/>
      <c r="B281" s="4"/>
      <c r="C281" s="4"/>
      <c r="D281" s="4"/>
      <c r="E281" s="4"/>
      <c r="F281" s="4"/>
    </row>
    <row r="282" spans="1:6">
      <c r="A282" s="4"/>
      <c r="B282" s="4"/>
      <c r="C282" s="4"/>
      <c r="D282" s="4"/>
      <c r="E282" s="4"/>
      <c r="F282" s="4"/>
    </row>
    <row r="283" spans="1:6">
      <c r="A283" s="4"/>
      <c r="B283" s="4"/>
      <c r="C283" s="4"/>
      <c r="D283" s="4"/>
      <c r="E283" s="4"/>
      <c r="F283" s="4"/>
    </row>
    <row r="284" spans="1:6">
      <c r="A284" s="4"/>
      <c r="B284" s="4"/>
      <c r="C284" s="4"/>
      <c r="D284" s="4"/>
      <c r="E284" s="4"/>
      <c r="F284" s="4"/>
    </row>
    <row r="285" spans="1:6">
      <c r="A285" s="4"/>
      <c r="B285" s="4"/>
      <c r="C285" s="4"/>
      <c r="D285" s="4"/>
      <c r="E285" s="4"/>
      <c r="F285" s="4"/>
    </row>
    <row r="286" spans="1:6" s="1013" customFormat="1" ht="28">
      <c r="A286" s="1106"/>
      <c r="B286" s="1106"/>
      <c r="C286" s="1106"/>
      <c r="D286" s="1106"/>
      <c r="E286" s="1106"/>
      <c r="F286" s="1106"/>
    </row>
    <row r="287" spans="1:6" s="1013" customFormat="1" ht="20">
      <c r="A287" s="1107"/>
      <c r="B287" s="1107"/>
      <c r="C287" s="1107"/>
      <c r="D287" s="1107"/>
      <c r="E287" s="1107"/>
      <c r="F287" s="1107"/>
    </row>
    <row r="288" spans="1:6" s="1013" customFormat="1" ht="25">
      <c r="A288" s="1089"/>
      <c r="B288" s="1089"/>
      <c r="C288" s="1089"/>
      <c r="D288" s="1089"/>
      <c r="E288" s="1089"/>
      <c r="F288" s="1089"/>
    </row>
    <row r="289" spans="1:6">
      <c r="A289" s="4"/>
      <c r="B289" s="4"/>
      <c r="C289" s="4"/>
      <c r="D289" s="4"/>
      <c r="E289" s="4"/>
      <c r="F289" s="4"/>
    </row>
    <row r="290" spans="1:6">
      <c r="A290" s="4"/>
      <c r="B290" s="4"/>
      <c r="C290" s="4"/>
      <c r="D290" s="4"/>
      <c r="E290" s="4"/>
      <c r="F290" s="4"/>
    </row>
    <row r="291" spans="1:6">
      <c r="A291" s="4"/>
      <c r="B291" s="4"/>
      <c r="C291" s="4"/>
      <c r="D291" s="4"/>
      <c r="E291" s="4"/>
      <c r="F291" s="4"/>
    </row>
    <row r="292" spans="1:6">
      <c r="A292" s="4"/>
      <c r="B292" s="4"/>
      <c r="C292" s="4"/>
      <c r="D292" s="4"/>
      <c r="E292" s="4"/>
      <c r="F292" s="4"/>
    </row>
    <row r="293" spans="1:6" ht="21" customHeight="1">
      <c r="A293" s="4"/>
      <c r="B293" s="4"/>
      <c r="C293" s="4"/>
      <c r="D293" s="4"/>
      <c r="E293" s="4"/>
      <c r="F293" s="4"/>
    </row>
    <row r="294" spans="1:6" ht="14.4" customHeight="1">
      <c r="A294" s="4"/>
      <c r="B294" s="4"/>
      <c r="C294" s="4"/>
      <c r="D294" s="4"/>
      <c r="E294" s="4"/>
      <c r="F294" s="4"/>
    </row>
    <row r="295" spans="1:6" ht="14.4" customHeight="1">
      <c r="A295" s="4"/>
      <c r="B295" s="4"/>
      <c r="C295" s="4"/>
      <c r="D295" s="4"/>
      <c r="E295" s="4"/>
      <c r="F295" s="4"/>
    </row>
    <row r="296" spans="1:6" ht="14.4" customHeight="1"/>
    <row r="297" spans="1:6" ht="14.4" customHeight="1"/>
    <row r="300" spans="1:6">
      <c r="E300" s="4"/>
      <c r="F300" s="4"/>
    </row>
    <row r="301" spans="1:6">
      <c r="E301" s="4"/>
      <c r="F301" s="4"/>
    </row>
    <row r="302" spans="1:6">
      <c r="E302" s="4"/>
      <c r="F302" s="4"/>
    </row>
    <row r="303" spans="1:6">
      <c r="E303" s="4"/>
      <c r="F303" s="4"/>
    </row>
    <row r="304" spans="1:6">
      <c r="E304" s="4"/>
      <c r="F304" s="4"/>
    </row>
    <row r="305" spans="5:6">
      <c r="E305" s="4"/>
      <c r="F305" s="4"/>
    </row>
  </sheetData>
  <sheetProtection algorithmName="SHA-512" hashValue="qDqPV9bAhJqtxoC/FfnONxDd/ChubRsDTtg5P0Cv740f1A1CjEuDFhifSRKcRaeiCI9vXzPq9l/Le6EsbzEF/w==" saltValue="DYvi3EI+ht0G/TBKXHE6pQ==" spinCount="100000" sheet="1" selectLockedCells="1"/>
  <mergeCells count="10">
    <mergeCell ref="E55:F55"/>
    <mergeCell ref="E58:F58"/>
    <mergeCell ref="E60:F60"/>
    <mergeCell ref="E63:F63"/>
    <mergeCell ref="C1:F1"/>
    <mergeCell ref="A40:F40"/>
    <mergeCell ref="B49:E49"/>
    <mergeCell ref="B50:E50"/>
    <mergeCell ref="B51:E51"/>
    <mergeCell ref="E53:F53"/>
  </mergeCells>
  <pageMargins left="0.25" right="0.25" top="0.75" bottom="0.75" header="0.3" footer="0.3"/>
  <pageSetup paperSize="9" scale="54" orientation="landscape" horizontalDpi="360" verticalDpi="360" r:id="rId1"/>
  <rowBreaks count="6" manualBreakCount="6">
    <brk id="48" max="16383" man="1"/>
    <brk id="65" max="16383" man="1"/>
    <brk id="97" max="16383" man="1"/>
    <brk id="128" max="16383" man="1"/>
    <brk id="160" max="16383" man="1"/>
    <brk id="25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4CDB3-9E69-45B2-8759-52FC3B5B268E}">
  <sheetPr>
    <tabColor rgb="FF94E494"/>
  </sheetPr>
  <dimension ref="A1:AA654"/>
  <sheetViews>
    <sheetView showGridLines="0" topLeftCell="E1" zoomScale="80" zoomScaleNormal="80" workbookViewId="0">
      <pane ySplit="9" topLeftCell="A10" activePane="bottomLeft" state="frozen"/>
      <selection activeCell="C8" sqref="C8"/>
      <selection pane="bottomLeft" activeCell="K1" sqref="K1"/>
    </sheetView>
  </sheetViews>
  <sheetFormatPr defaultColWidth="10.5" defaultRowHeight="15.5"/>
  <cols>
    <col min="1" max="1" width="14.58203125" style="1108" customWidth="1"/>
    <col min="2" max="2" width="21.08203125" style="1108" customWidth="1"/>
    <col min="3" max="3" width="18.58203125" style="1109" customWidth="1"/>
    <col min="4" max="4" width="20" style="1110" customWidth="1"/>
    <col min="5" max="6" width="14.08203125" style="1110" customWidth="1"/>
    <col min="7" max="8" width="27.58203125" style="1110" customWidth="1"/>
    <col min="9" max="11" width="14.5" style="1110" customWidth="1"/>
    <col min="12" max="12" width="16.58203125" style="1110" customWidth="1"/>
    <col min="13" max="13" width="24.08203125" style="1110" customWidth="1"/>
    <col min="14" max="14" width="15.4140625" style="1110" customWidth="1"/>
    <col min="15" max="15" width="17.9140625" style="1110" customWidth="1"/>
    <col min="16" max="16" width="28.08203125" style="1113" customWidth="1"/>
    <col min="17" max="17" width="13" style="1110" customWidth="1"/>
    <col min="18" max="19" width="18.58203125" style="1110" customWidth="1"/>
    <col min="20" max="21" width="10.5" style="1108"/>
    <col min="22" max="22" width="17.4140625" style="1108" customWidth="1"/>
    <col min="23" max="16384" width="10.5" style="1108"/>
  </cols>
  <sheetData>
    <row r="1" spans="1:27" ht="105" customHeight="1" thickTop="1" thickBot="1">
      <c r="F1" s="1108"/>
      <c r="G1" s="1111" t="str">
        <f>+Instructions!B2</f>
        <v>Health Care Emissions Impact Calculator-Facility</v>
      </c>
      <c r="H1" s="1112"/>
      <c r="K1" s="1208" t="s">
        <v>3300</v>
      </c>
    </row>
    <row r="2" spans="1:27" s="1118" customFormat="1" ht="18" thickTop="1">
      <c r="A2" s="1114" t="str">
        <f>+'Scope 1 and 2 Data'!A68</f>
        <v>1.3.1</v>
      </c>
      <c r="B2" s="1115" t="str">
        <f>+'Scope 1 and 2 Data'!B68</f>
        <v>Refrigerants and Fire Suppression</v>
      </c>
      <c r="C2" s="1116"/>
      <c r="D2" s="1115"/>
      <c r="E2" s="1115"/>
      <c r="F2" s="1115"/>
      <c r="G2" s="1115"/>
      <c r="H2" s="1115"/>
      <c r="I2" s="1115"/>
      <c r="J2" s="1115"/>
      <c r="K2" s="1115"/>
      <c r="L2" s="1115"/>
      <c r="M2" s="1115"/>
      <c r="N2" s="1115"/>
      <c r="O2" s="1115"/>
      <c r="P2" s="1117"/>
      <c r="Q2" s="1115"/>
      <c r="R2" s="1115"/>
      <c r="S2" s="1115"/>
      <c r="T2" s="1115"/>
      <c r="U2" s="1115"/>
      <c r="V2" s="1115"/>
      <c r="W2" s="1115"/>
      <c r="X2" s="1115"/>
      <c r="Y2" s="1115"/>
      <c r="Z2" s="1115"/>
      <c r="AA2" s="1115"/>
    </row>
    <row r="3" spans="1:27" ht="3.65" customHeight="1"/>
    <row r="4" spans="1:27">
      <c r="A4" s="3" t="s">
        <v>3301</v>
      </c>
    </row>
    <row r="5" spans="1:27" ht="33" customHeight="1">
      <c r="A5" s="1300" t="s">
        <v>3302</v>
      </c>
      <c r="B5" s="1300"/>
      <c r="C5" s="1300"/>
      <c r="D5" s="1300"/>
      <c r="E5" s="1300"/>
      <c r="F5" s="1300"/>
      <c r="G5" s="1300"/>
      <c r="H5" s="782"/>
    </row>
    <row r="6" spans="1:27" ht="29.25" customHeight="1">
      <c r="A6" s="1300" t="s">
        <v>3303</v>
      </c>
      <c r="B6" s="1300"/>
      <c r="C6" s="1300"/>
      <c r="D6" s="1300"/>
      <c r="E6" s="1300"/>
      <c r="F6" s="1300"/>
      <c r="G6" s="1300"/>
      <c r="H6" s="782"/>
    </row>
    <row r="8" spans="1:27" s="1120" customFormat="1" ht="67.5" customHeight="1">
      <c r="A8" s="1299" t="s">
        <v>3304</v>
      </c>
      <c r="B8" s="1299" t="s">
        <v>3305</v>
      </c>
      <c r="C8" s="1301" t="s">
        <v>3306</v>
      </c>
      <c r="D8" s="1303" t="s">
        <v>3307</v>
      </c>
      <c r="E8" s="1303"/>
      <c r="F8" s="1299" t="s">
        <v>3308</v>
      </c>
      <c r="G8" s="1304" t="s">
        <v>3309</v>
      </c>
      <c r="H8" s="1299" t="s">
        <v>3310</v>
      </c>
      <c r="I8" s="1299" t="s">
        <v>3311</v>
      </c>
      <c r="J8" s="1299" t="s">
        <v>3312</v>
      </c>
      <c r="K8" s="1299" t="s">
        <v>3313</v>
      </c>
      <c r="L8" s="1299"/>
      <c r="M8" s="1299" t="s">
        <v>3314</v>
      </c>
      <c r="N8" s="1299" t="s">
        <v>3315</v>
      </c>
      <c r="P8" s="1121"/>
      <c r="Q8" s="2"/>
      <c r="R8"/>
    </row>
    <row r="9" spans="1:27" s="1120" customFormat="1" ht="39.75" customHeight="1">
      <c r="A9" s="1299"/>
      <c r="B9" s="1299"/>
      <c r="C9" s="1302"/>
      <c r="D9" s="1122" t="s">
        <v>3316</v>
      </c>
      <c r="E9" s="1122" t="s">
        <v>0</v>
      </c>
      <c r="F9" s="1299"/>
      <c r="G9" s="1304"/>
      <c r="H9" s="1299"/>
      <c r="I9" s="1299"/>
      <c r="J9" s="1299"/>
      <c r="K9" s="1119" t="s">
        <v>3317</v>
      </c>
      <c r="L9" s="1119" t="s">
        <v>3318</v>
      </c>
      <c r="M9" s="1299"/>
      <c r="N9" s="1299"/>
      <c r="P9" s="1123" t="s">
        <v>3319</v>
      </c>
      <c r="Q9" s="1119" t="s">
        <v>0</v>
      </c>
    </row>
    <row r="10" spans="1:27" s="1129" customFormat="1" ht="23.25" customHeight="1">
      <c r="A10" s="1124"/>
      <c r="B10" s="1124"/>
      <c r="C10" s="1125"/>
      <c r="D10" s="1124"/>
      <c r="E10" s="1124"/>
      <c r="F10" s="1126"/>
      <c r="G10" s="1125"/>
      <c r="H10" s="1124"/>
      <c r="I10" s="1124"/>
      <c r="J10" s="1124"/>
      <c r="K10" s="1124"/>
      <c r="L10" s="1127"/>
      <c r="M10" s="1128" t="str">
        <f>+IFERROR(VLOOKUP(G10,'S1&amp;2 Lists'!$C$8:$G$112,3,FALSE),"-")</f>
        <v>-</v>
      </c>
      <c r="N10" s="1128" t="str">
        <f>+IFERROR(P10*M10,"-")</f>
        <v>-</v>
      </c>
      <c r="P10" s="1130">
        <f>ROUND(IF(L10='S1&amp;2 Lists'!$CV$3,K10,IF(L10='S1&amp;2 Lists'!$CV$4,K10/'S1&amp;2 Lists'!$CQ$6,0)),3)</f>
        <v>0</v>
      </c>
      <c r="Q10" s="795" t="s">
        <v>12</v>
      </c>
    </row>
    <row r="11" spans="1:27" s="1129" customFormat="1" ht="23.25" customHeight="1">
      <c r="A11" s="819"/>
      <c r="B11" s="819"/>
      <c r="C11" s="1131"/>
      <c r="D11" s="819"/>
      <c r="E11" s="1132"/>
      <c r="F11" s="1133"/>
      <c r="G11" s="1134"/>
      <c r="H11" s="819"/>
      <c r="I11" s="1132"/>
      <c r="J11" s="1132"/>
      <c r="K11" s="1132"/>
      <c r="L11" s="1132"/>
      <c r="M11" s="1128" t="str">
        <f>+IFERROR(VLOOKUP(G11,'S1&amp;2 Lists'!$C$8:$G$112,3,FALSE),"-")</f>
        <v>-</v>
      </c>
      <c r="N11" s="1128" t="str">
        <f t="shared" ref="N11:N74" si="0">+IFERROR(P11*M11,"-")</f>
        <v>-</v>
      </c>
      <c r="P11" s="1130">
        <f>ROUND(IF(L11='S1&amp;2 Lists'!$CV$3,K11,IF(L11='S1&amp;2 Lists'!$CV$4,K11/'S1&amp;2 Lists'!$CQ$6,0)),3)</f>
        <v>0</v>
      </c>
      <c r="Q11" s="11" t="s">
        <v>12</v>
      </c>
    </row>
    <row r="12" spans="1:27" s="1129" customFormat="1" ht="23.25" customHeight="1">
      <c r="A12" s="819"/>
      <c r="B12" s="819"/>
      <c r="C12" s="1131"/>
      <c r="D12" s="819"/>
      <c r="E12" s="1132"/>
      <c r="F12" s="1133"/>
      <c r="G12" s="1134"/>
      <c r="H12" s="819"/>
      <c r="I12" s="1132"/>
      <c r="J12" s="1132"/>
      <c r="K12" s="1132"/>
      <c r="L12" s="1132"/>
      <c r="M12" s="1128" t="str">
        <f>+IFERROR(VLOOKUP(G12,'S1&amp;2 Lists'!$C$8:$G$112,3,FALSE),"-")</f>
        <v>-</v>
      </c>
      <c r="N12" s="1128" t="str">
        <f t="shared" si="0"/>
        <v>-</v>
      </c>
      <c r="P12" s="1130">
        <f>ROUND(IF(L12='S1&amp;2 Lists'!$CV$3,K12,IF(L12='S1&amp;2 Lists'!$CV$4,K12/'S1&amp;2 Lists'!$CQ$6,0)),3)</f>
        <v>0</v>
      </c>
      <c r="Q12" s="11" t="s">
        <v>12</v>
      </c>
    </row>
    <row r="13" spans="1:27" s="1129" customFormat="1" ht="23.25" customHeight="1">
      <c r="A13" s="819"/>
      <c r="B13" s="819"/>
      <c r="C13" s="1131"/>
      <c r="D13" s="819"/>
      <c r="E13" s="1132"/>
      <c r="F13" s="819"/>
      <c r="G13" s="1134"/>
      <c r="H13" s="819"/>
      <c r="I13" s="1132"/>
      <c r="J13" s="1132"/>
      <c r="K13" s="1132"/>
      <c r="L13" s="1132"/>
      <c r="M13" s="1128" t="str">
        <f>+IFERROR(VLOOKUP(G13,'S1&amp;2 Lists'!$C$8:$G$112,3,FALSE),"-")</f>
        <v>-</v>
      </c>
      <c r="N13" s="1128" t="str">
        <f t="shared" si="0"/>
        <v>-</v>
      </c>
      <c r="P13" s="1130">
        <f>ROUND(IF(L13='S1&amp;2 Lists'!$CV$3,K13,IF(L13='S1&amp;2 Lists'!$CV$4,K13/'S1&amp;2 Lists'!$CQ$6,0)),3)</f>
        <v>0</v>
      </c>
      <c r="Q13" s="11" t="s">
        <v>12</v>
      </c>
    </row>
    <row r="14" spans="1:27" s="1129" customFormat="1" ht="23.25" customHeight="1">
      <c r="A14" s="819"/>
      <c r="B14" s="819"/>
      <c r="C14" s="1131"/>
      <c r="D14" s="819"/>
      <c r="E14" s="1132"/>
      <c r="F14" s="819"/>
      <c r="G14" s="1134"/>
      <c r="H14" s="819"/>
      <c r="I14" s="1132"/>
      <c r="J14" s="1132"/>
      <c r="K14" s="1132"/>
      <c r="L14" s="1132"/>
      <c r="M14" s="1128" t="str">
        <f>+IFERROR(VLOOKUP(G14,'S1&amp;2 Lists'!$C$8:$G$112,3,FALSE),"-")</f>
        <v>-</v>
      </c>
      <c r="N14" s="1128" t="str">
        <f t="shared" si="0"/>
        <v>-</v>
      </c>
      <c r="P14" s="1130">
        <f>ROUND(IF(L14='S1&amp;2 Lists'!$CV$3,K14,IF(L14='S1&amp;2 Lists'!$CV$4,K14/'S1&amp;2 Lists'!$CQ$6,0)),3)</f>
        <v>0</v>
      </c>
      <c r="Q14" s="11" t="s">
        <v>12</v>
      </c>
    </row>
    <row r="15" spans="1:27" s="1129" customFormat="1" ht="23.25" customHeight="1">
      <c r="A15" s="819"/>
      <c r="B15" s="819"/>
      <c r="C15" s="1131"/>
      <c r="D15" s="819"/>
      <c r="E15" s="1132"/>
      <c r="F15" s="819"/>
      <c r="G15" s="1134"/>
      <c r="H15" s="819"/>
      <c r="I15" s="1132"/>
      <c r="J15" s="1132"/>
      <c r="K15" s="1132"/>
      <c r="L15" s="1132"/>
      <c r="M15" s="1128" t="str">
        <f>+IFERROR(VLOOKUP(G15,'S1&amp;2 Lists'!$C$8:$G$112,3,FALSE),"-")</f>
        <v>-</v>
      </c>
      <c r="N15" s="1128" t="str">
        <f t="shared" si="0"/>
        <v>-</v>
      </c>
      <c r="P15" s="1130">
        <f>ROUND(IF(L15='S1&amp;2 Lists'!$CV$3,K15,IF(L15='S1&amp;2 Lists'!$CV$4,K15/'S1&amp;2 Lists'!$CQ$6,0)),3)</f>
        <v>0</v>
      </c>
      <c r="Q15" s="11" t="s">
        <v>12</v>
      </c>
    </row>
    <row r="16" spans="1:27" s="1129" customFormat="1" ht="23.25" customHeight="1">
      <c r="A16" s="819"/>
      <c r="B16" s="819"/>
      <c r="C16" s="1131"/>
      <c r="D16" s="819"/>
      <c r="E16" s="1132"/>
      <c r="F16" s="819"/>
      <c r="G16" s="1134"/>
      <c r="H16" s="819"/>
      <c r="I16" s="1132"/>
      <c r="J16" s="1132"/>
      <c r="K16" s="1132"/>
      <c r="L16" s="1132"/>
      <c r="M16" s="1128" t="str">
        <f>+IFERROR(VLOOKUP(G16,'S1&amp;2 Lists'!$C$8:$G$112,3,FALSE),"-")</f>
        <v>-</v>
      </c>
      <c r="N16" s="1128" t="str">
        <f t="shared" si="0"/>
        <v>-</v>
      </c>
      <c r="P16" s="1130">
        <f>ROUND(IF(L16='S1&amp;2 Lists'!$CV$3,K16,IF(L16='S1&amp;2 Lists'!$CV$4,K16/'S1&amp;2 Lists'!$CQ$6,0)),3)</f>
        <v>0</v>
      </c>
      <c r="Q16" s="11" t="s">
        <v>12</v>
      </c>
    </row>
    <row r="17" spans="1:17" s="1129" customFormat="1" ht="23.25" customHeight="1">
      <c r="A17" s="819"/>
      <c r="B17" s="819"/>
      <c r="C17" s="1131"/>
      <c r="D17" s="819"/>
      <c r="E17" s="1132"/>
      <c r="F17" s="819"/>
      <c r="G17" s="1134"/>
      <c r="H17" s="819"/>
      <c r="I17" s="1132"/>
      <c r="J17" s="1132"/>
      <c r="K17" s="1132"/>
      <c r="L17" s="1132"/>
      <c r="M17" s="1128" t="str">
        <f>+IFERROR(VLOOKUP(G17,'S1&amp;2 Lists'!$C$8:$G$112,3,FALSE),"-")</f>
        <v>-</v>
      </c>
      <c r="N17" s="1128" t="str">
        <f t="shared" si="0"/>
        <v>-</v>
      </c>
      <c r="P17" s="1130">
        <f>ROUND(IF(L17='S1&amp;2 Lists'!$CV$3,K17,IF(L17='S1&amp;2 Lists'!$CV$4,K17/'S1&amp;2 Lists'!$CQ$6,0)),3)</f>
        <v>0</v>
      </c>
      <c r="Q17" s="11" t="s">
        <v>12</v>
      </c>
    </row>
    <row r="18" spans="1:17" s="1129" customFormat="1" ht="23.25" customHeight="1">
      <c r="A18" s="819"/>
      <c r="B18" s="819"/>
      <c r="C18" s="1131"/>
      <c r="D18" s="819"/>
      <c r="E18" s="1132"/>
      <c r="F18" s="819"/>
      <c r="G18" s="1134"/>
      <c r="H18" s="819"/>
      <c r="I18" s="1132"/>
      <c r="J18" s="1132"/>
      <c r="K18" s="1132"/>
      <c r="L18" s="1132"/>
      <c r="M18" s="1128" t="str">
        <f>+IFERROR(VLOOKUP(G18,'S1&amp;2 Lists'!$C$8:$G$112,3,FALSE),"-")</f>
        <v>-</v>
      </c>
      <c r="N18" s="1128" t="str">
        <f t="shared" si="0"/>
        <v>-</v>
      </c>
      <c r="P18" s="1130">
        <f>ROUND(IF(L18='S1&amp;2 Lists'!$CV$3,K18,IF(L18='S1&amp;2 Lists'!$CV$4,K18/'S1&amp;2 Lists'!$CQ$6,0)),3)</f>
        <v>0</v>
      </c>
      <c r="Q18" s="11" t="s">
        <v>12</v>
      </c>
    </row>
    <row r="19" spans="1:17" s="1129" customFormat="1" ht="23.25" customHeight="1">
      <c r="A19" s="819"/>
      <c r="B19" s="819"/>
      <c r="C19" s="1131"/>
      <c r="D19" s="819"/>
      <c r="E19" s="1132"/>
      <c r="F19" s="819"/>
      <c r="G19" s="1134"/>
      <c r="H19" s="819"/>
      <c r="I19" s="1132"/>
      <c r="J19" s="1132"/>
      <c r="K19" s="819"/>
      <c r="L19" s="819"/>
      <c r="M19" s="1128" t="str">
        <f>+IFERROR(VLOOKUP(G19,'S1&amp;2 Lists'!$C$8:$G$112,3,FALSE),"-")</f>
        <v>-</v>
      </c>
      <c r="N19" s="1128" t="str">
        <f t="shared" si="0"/>
        <v>-</v>
      </c>
      <c r="P19" s="1130">
        <f>ROUND(IF(L19='S1&amp;2 Lists'!$CV$3,K19,IF(L19='S1&amp;2 Lists'!$CV$4,K19/'S1&amp;2 Lists'!$CQ$6,0)),3)</f>
        <v>0</v>
      </c>
      <c r="Q19" s="11" t="s">
        <v>12</v>
      </c>
    </row>
    <row r="20" spans="1:17" s="1129" customFormat="1" ht="23.25" customHeight="1">
      <c r="A20" s="819"/>
      <c r="B20" s="819"/>
      <c r="C20" s="1131"/>
      <c r="D20" s="819"/>
      <c r="E20" s="1132"/>
      <c r="F20" s="819"/>
      <c r="G20" s="1134"/>
      <c r="H20" s="819"/>
      <c r="I20" s="1132"/>
      <c r="J20" s="1132"/>
      <c r="K20" s="819"/>
      <c r="L20" s="819"/>
      <c r="M20" s="1128" t="str">
        <f>+IFERROR(VLOOKUP(G20,'S1&amp;2 Lists'!$C$8:$G$112,3,FALSE),"-")</f>
        <v>-</v>
      </c>
      <c r="N20" s="1128" t="str">
        <f t="shared" si="0"/>
        <v>-</v>
      </c>
      <c r="P20" s="1130">
        <f>ROUND(IF(L20='S1&amp;2 Lists'!$CV$3,K20,IF(L20='S1&amp;2 Lists'!$CV$4,K20/'S1&amp;2 Lists'!$CQ$6,0)),3)</f>
        <v>0</v>
      </c>
      <c r="Q20" s="11" t="s">
        <v>12</v>
      </c>
    </row>
    <row r="21" spans="1:17" s="1129" customFormat="1" ht="23.25" customHeight="1">
      <c r="A21" s="819"/>
      <c r="B21" s="819"/>
      <c r="C21" s="1131"/>
      <c r="D21" s="819"/>
      <c r="E21" s="1132"/>
      <c r="F21" s="819"/>
      <c r="G21" s="1134"/>
      <c r="H21" s="819"/>
      <c r="I21" s="1132"/>
      <c r="J21" s="1132"/>
      <c r="K21" s="819"/>
      <c r="L21" s="819"/>
      <c r="M21" s="1128" t="str">
        <f>+IFERROR(VLOOKUP(G21,'S1&amp;2 Lists'!$C$8:$G$112,3,FALSE),"-")</f>
        <v>-</v>
      </c>
      <c r="N21" s="1128" t="str">
        <f t="shared" si="0"/>
        <v>-</v>
      </c>
      <c r="P21" s="1130">
        <f>ROUND(IF(L21='S1&amp;2 Lists'!$CV$3,K21,IF(L21='S1&amp;2 Lists'!$CV$4,K21/'S1&amp;2 Lists'!$CQ$6,0)),3)</f>
        <v>0</v>
      </c>
      <c r="Q21" s="11" t="s">
        <v>12</v>
      </c>
    </row>
    <row r="22" spans="1:17" s="1129" customFormat="1" ht="23.25" customHeight="1">
      <c r="A22" s="819"/>
      <c r="B22" s="819"/>
      <c r="C22" s="1131"/>
      <c r="D22" s="819"/>
      <c r="E22" s="1132"/>
      <c r="F22" s="819"/>
      <c r="G22" s="1134"/>
      <c r="H22" s="819"/>
      <c r="I22" s="1132"/>
      <c r="J22" s="1132"/>
      <c r="K22" s="819"/>
      <c r="L22" s="819"/>
      <c r="M22" s="1128" t="str">
        <f>+IFERROR(VLOOKUP(G22,'S1&amp;2 Lists'!$C$8:$G$112,3,FALSE),"-")</f>
        <v>-</v>
      </c>
      <c r="N22" s="1128" t="str">
        <f t="shared" si="0"/>
        <v>-</v>
      </c>
      <c r="P22" s="1130">
        <f>ROUND(IF(L22='S1&amp;2 Lists'!$CV$3,K22,IF(L22='S1&amp;2 Lists'!$CV$4,K22/'S1&amp;2 Lists'!$CQ$6,0)),3)</f>
        <v>0</v>
      </c>
      <c r="Q22" s="11" t="s">
        <v>12</v>
      </c>
    </row>
    <row r="23" spans="1:17" s="1129" customFormat="1" ht="23.25" customHeight="1">
      <c r="A23" s="819"/>
      <c r="B23" s="819"/>
      <c r="C23" s="1131"/>
      <c r="D23" s="819"/>
      <c r="E23" s="1132"/>
      <c r="F23" s="819"/>
      <c r="G23" s="1134"/>
      <c r="H23" s="819"/>
      <c r="I23" s="1132"/>
      <c r="J23" s="1132"/>
      <c r="K23" s="819"/>
      <c r="L23" s="819"/>
      <c r="M23" s="1128" t="str">
        <f>+IFERROR(VLOOKUP(G23,'S1&amp;2 Lists'!$C$8:$G$112,3,FALSE),"-")</f>
        <v>-</v>
      </c>
      <c r="N23" s="1128" t="str">
        <f t="shared" si="0"/>
        <v>-</v>
      </c>
      <c r="P23" s="1130">
        <f>ROUND(IF(L23='S1&amp;2 Lists'!$CV$3,K23,IF(L23='S1&amp;2 Lists'!$CV$4,K23/'S1&amp;2 Lists'!$CQ$6,0)),3)</f>
        <v>0</v>
      </c>
      <c r="Q23" s="11" t="s">
        <v>12</v>
      </c>
    </row>
    <row r="24" spans="1:17" s="1129" customFormat="1" ht="23.25" customHeight="1">
      <c r="A24" s="819"/>
      <c r="B24" s="819"/>
      <c r="C24" s="1131"/>
      <c r="D24" s="819"/>
      <c r="E24" s="1132"/>
      <c r="F24" s="819"/>
      <c r="G24" s="1134"/>
      <c r="H24" s="819"/>
      <c r="I24" s="1132"/>
      <c r="J24" s="1132"/>
      <c r="K24" s="819"/>
      <c r="L24" s="819"/>
      <c r="M24" s="1128" t="str">
        <f>+IFERROR(VLOOKUP(G24,'S1&amp;2 Lists'!$C$8:$G$112,3,FALSE),"-")</f>
        <v>-</v>
      </c>
      <c r="N24" s="1128" t="str">
        <f t="shared" si="0"/>
        <v>-</v>
      </c>
      <c r="P24" s="1130">
        <f>ROUND(IF(L24='S1&amp;2 Lists'!$CV$3,K24,IF(L24='S1&amp;2 Lists'!$CV$4,K24/'S1&amp;2 Lists'!$CQ$6,0)),3)</f>
        <v>0</v>
      </c>
      <c r="Q24" s="11" t="s">
        <v>12</v>
      </c>
    </row>
    <row r="25" spans="1:17" s="1129" customFormat="1" ht="23.25" customHeight="1">
      <c r="A25" s="819"/>
      <c r="B25" s="819"/>
      <c r="C25" s="1131"/>
      <c r="D25" s="819"/>
      <c r="E25" s="1132"/>
      <c r="F25" s="819"/>
      <c r="G25" s="1134"/>
      <c r="H25" s="819"/>
      <c r="I25" s="1132"/>
      <c r="J25" s="1132"/>
      <c r="K25" s="819"/>
      <c r="L25" s="819"/>
      <c r="M25" s="1128" t="str">
        <f>+IFERROR(VLOOKUP(G25,'S1&amp;2 Lists'!$C$8:$G$112,3,FALSE),"-")</f>
        <v>-</v>
      </c>
      <c r="N25" s="1128" t="str">
        <f t="shared" si="0"/>
        <v>-</v>
      </c>
      <c r="P25" s="1130">
        <f>ROUND(IF(L25='S1&amp;2 Lists'!$CV$3,K25,IF(L25='S1&amp;2 Lists'!$CV$4,K25/'S1&amp;2 Lists'!$CQ$6,0)),3)</f>
        <v>0</v>
      </c>
      <c r="Q25" s="11" t="s">
        <v>12</v>
      </c>
    </row>
    <row r="26" spans="1:17" s="1129" customFormat="1" ht="23.25" customHeight="1">
      <c r="A26" s="819"/>
      <c r="B26" s="819"/>
      <c r="C26" s="1131"/>
      <c r="D26" s="819"/>
      <c r="E26" s="1132"/>
      <c r="F26" s="819"/>
      <c r="G26" s="1134"/>
      <c r="H26" s="819"/>
      <c r="I26" s="1132"/>
      <c r="J26" s="1132"/>
      <c r="K26" s="819"/>
      <c r="L26" s="819"/>
      <c r="M26" s="1128" t="str">
        <f>+IFERROR(VLOOKUP(G26,'S1&amp;2 Lists'!$C$8:$G$112,3,FALSE),"-")</f>
        <v>-</v>
      </c>
      <c r="N26" s="1128" t="str">
        <f t="shared" si="0"/>
        <v>-</v>
      </c>
      <c r="P26" s="1130">
        <f>ROUND(IF(L26='S1&amp;2 Lists'!$CV$3,K26,IF(L26='S1&amp;2 Lists'!$CV$4,K26/'S1&amp;2 Lists'!$CQ$6,0)),3)</f>
        <v>0</v>
      </c>
      <c r="Q26" s="11" t="s">
        <v>12</v>
      </c>
    </row>
    <row r="27" spans="1:17" s="1129" customFormat="1" ht="23.25" customHeight="1">
      <c r="A27" s="819"/>
      <c r="B27" s="819"/>
      <c r="C27" s="1131"/>
      <c r="D27" s="819"/>
      <c r="E27" s="1132"/>
      <c r="F27" s="819"/>
      <c r="G27" s="1134"/>
      <c r="H27" s="819"/>
      <c r="I27" s="1132"/>
      <c r="J27" s="1132"/>
      <c r="K27" s="819"/>
      <c r="L27" s="819"/>
      <c r="M27" s="1128" t="str">
        <f>+IFERROR(VLOOKUP(G27,'S1&amp;2 Lists'!$C$8:$G$112,3,FALSE),"-")</f>
        <v>-</v>
      </c>
      <c r="N27" s="1128" t="str">
        <f t="shared" si="0"/>
        <v>-</v>
      </c>
      <c r="P27" s="1130">
        <f>ROUND(IF(L27='S1&amp;2 Lists'!$CV$3,K27,IF(L27='S1&amp;2 Lists'!$CV$4,K27/'S1&amp;2 Lists'!$CQ$6,0)),3)</f>
        <v>0</v>
      </c>
      <c r="Q27" s="11" t="s">
        <v>12</v>
      </c>
    </row>
    <row r="28" spans="1:17" s="1129" customFormat="1" ht="23.25" customHeight="1">
      <c r="A28" s="819"/>
      <c r="B28" s="819"/>
      <c r="C28" s="1131"/>
      <c r="D28" s="819"/>
      <c r="E28" s="1132"/>
      <c r="F28" s="819"/>
      <c r="G28" s="1134"/>
      <c r="H28" s="819"/>
      <c r="I28" s="1132"/>
      <c r="J28" s="1132"/>
      <c r="K28" s="819"/>
      <c r="L28" s="819"/>
      <c r="M28" s="1128" t="str">
        <f>+IFERROR(VLOOKUP(G28,'S1&amp;2 Lists'!$C$8:$G$112,3,FALSE),"-")</f>
        <v>-</v>
      </c>
      <c r="N28" s="1128" t="str">
        <f t="shared" si="0"/>
        <v>-</v>
      </c>
      <c r="P28" s="1130">
        <f>ROUND(IF(L28='S1&amp;2 Lists'!$CV$3,K28,IF(L28='S1&amp;2 Lists'!$CV$4,K28/'S1&amp;2 Lists'!$CQ$6,0)),3)</f>
        <v>0</v>
      </c>
      <c r="Q28" s="11" t="s">
        <v>12</v>
      </c>
    </row>
    <row r="29" spans="1:17" s="1129" customFormat="1" ht="23.25" customHeight="1">
      <c r="A29" s="819"/>
      <c r="B29" s="819"/>
      <c r="C29" s="1131"/>
      <c r="D29" s="819"/>
      <c r="E29" s="1132"/>
      <c r="F29" s="819"/>
      <c r="G29" s="1134"/>
      <c r="H29" s="819"/>
      <c r="I29" s="1132"/>
      <c r="J29" s="1132"/>
      <c r="K29" s="819"/>
      <c r="L29" s="819"/>
      <c r="M29" s="1128" t="str">
        <f>+IFERROR(VLOOKUP(G29,'S1&amp;2 Lists'!$C$8:$G$112,3,FALSE),"-")</f>
        <v>-</v>
      </c>
      <c r="N29" s="1128" t="str">
        <f t="shared" si="0"/>
        <v>-</v>
      </c>
      <c r="P29" s="1130">
        <f>ROUND(IF(L29='S1&amp;2 Lists'!$CV$3,K29,IF(L29='S1&amp;2 Lists'!$CV$4,K29/'S1&amp;2 Lists'!$CQ$6,0)),3)</f>
        <v>0</v>
      </c>
      <c r="Q29" s="11" t="s">
        <v>12</v>
      </c>
    </row>
    <row r="30" spans="1:17" s="1129" customFormat="1" ht="23.25" customHeight="1">
      <c r="A30" s="819"/>
      <c r="B30" s="819"/>
      <c r="C30" s="1131"/>
      <c r="D30" s="819"/>
      <c r="E30" s="1132"/>
      <c r="F30" s="819"/>
      <c r="G30" s="1134"/>
      <c r="H30" s="819"/>
      <c r="I30" s="1132"/>
      <c r="J30" s="1132"/>
      <c r="K30" s="819"/>
      <c r="L30" s="819"/>
      <c r="M30" s="1128" t="str">
        <f>+IFERROR(VLOOKUP(G30,'S1&amp;2 Lists'!$C$8:$G$112,3,FALSE),"-")</f>
        <v>-</v>
      </c>
      <c r="N30" s="1128" t="str">
        <f t="shared" si="0"/>
        <v>-</v>
      </c>
      <c r="P30" s="1130">
        <f>ROUND(IF(L30='S1&amp;2 Lists'!$CV$3,K30,IF(L30='S1&amp;2 Lists'!$CV$4,K30/'S1&amp;2 Lists'!$CQ$6,0)),3)</f>
        <v>0</v>
      </c>
      <c r="Q30" s="11" t="s">
        <v>12</v>
      </c>
    </row>
    <row r="31" spans="1:17" s="1129" customFormat="1" ht="23.25" customHeight="1">
      <c r="A31" s="819"/>
      <c r="B31" s="819"/>
      <c r="C31" s="1131"/>
      <c r="D31" s="819"/>
      <c r="E31" s="1132"/>
      <c r="F31" s="819"/>
      <c r="G31" s="1134"/>
      <c r="H31" s="819"/>
      <c r="I31" s="1132"/>
      <c r="J31" s="1132"/>
      <c r="K31" s="819"/>
      <c r="L31" s="819"/>
      <c r="M31" s="1128" t="str">
        <f>+IFERROR(VLOOKUP(G31,'S1&amp;2 Lists'!$C$8:$G$112,3,FALSE),"-")</f>
        <v>-</v>
      </c>
      <c r="N31" s="1128" t="str">
        <f t="shared" si="0"/>
        <v>-</v>
      </c>
      <c r="P31" s="1130">
        <f>ROUND(IF(L31='S1&amp;2 Lists'!$CV$3,K31,IF(L31='S1&amp;2 Lists'!$CV$4,K31/'S1&amp;2 Lists'!$CQ$6,0)),3)</f>
        <v>0</v>
      </c>
      <c r="Q31" s="11" t="s">
        <v>12</v>
      </c>
    </row>
    <row r="32" spans="1:17" s="1129" customFormat="1" ht="23.25" customHeight="1">
      <c r="A32" s="819"/>
      <c r="B32" s="819"/>
      <c r="C32" s="1131"/>
      <c r="D32" s="819"/>
      <c r="E32" s="1132"/>
      <c r="F32" s="819"/>
      <c r="G32" s="1134"/>
      <c r="H32" s="819"/>
      <c r="I32" s="1132"/>
      <c r="J32" s="1132"/>
      <c r="K32" s="819"/>
      <c r="L32" s="819"/>
      <c r="M32" s="1128" t="str">
        <f>+IFERROR(VLOOKUP(G32,'S1&amp;2 Lists'!$C$8:$G$112,3,FALSE),"-")</f>
        <v>-</v>
      </c>
      <c r="N32" s="1128" t="str">
        <f t="shared" si="0"/>
        <v>-</v>
      </c>
      <c r="P32" s="1130">
        <f>ROUND(IF(L32='S1&amp;2 Lists'!$CV$3,K32,IF(L32='S1&amp;2 Lists'!$CV$4,K32/'S1&amp;2 Lists'!$CQ$6,0)),3)</f>
        <v>0</v>
      </c>
      <c r="Q32" s="11" t="s">
        <v>12</v>
      </c>
    </row>
    <row r="33" spans="1:17" s="1129" customFormat="1" ht="23.25" customHeight="1">
      <c r="A33" s="819"/>
      <c r="B33" s="819"/>
      <c r="C33" s="1131"/>
      <c r="D33" s="819"/>
      <c r="E33" s="1132"/>
      <c r="F33" s="819"/>
      <c r="G33" s="1134"/>
      <c r="H33" s="819"/>
      <c r="I33" s="1132"/>
      <c r="J33" s="1132"/>
      <c r="K33" s="819"/>
      <c r="L33" s="819"/>
      <c r="M33" s="1128" t="str">
        <f>+IFERROR(VLOOKUP(G33,'S1&amp;2 Lists'!$C$8:$G$112,3,FALSE),"-")</f>
        <v>-</v>
      </c>
      <c r="N33" s="1128" t="str">
        <f t="shared" si="0"/>
        <v>-</v>
      </c>
      <c r="P33" s="1130">
        <f>ROUND(IF(L33='S1&amp;2 Lists'!$CV$3,K33,IF(L33='S1&amp;2 Lists'!$CV$4,K33/'S1&amp;2 Lists'!$CQ$6,0)),3)</f>
        <v>0</v>
      </c>
      <c r="Q33" s="11" t="s">
        <v>12</v>
      </c>
    </row>
    <row r="34" spans="1:17" s="1129" customFormat="1" ht="23.25" customHeight="1">
      <c r="A34" s="819"/>
      <c r="B34" s="819"/>
      <c r="C34" s="1131"/>
      <c r="D34" s="819"/>
      <c r="E34" s="1132"/>
      <c r="F34" s="819"/>
      <c r="G34" s="1134"/>
      <c r="H34" s="819"/>
      <c r="I34" s="1132"/>
      <c r="J34" s="1132"/>
      <c r="K34" s="819"/>
      <c r="L34" s="819"/>
      <c r="M34" s="1128" t="str">
        <f>+IFERROR(VLOOKUP(G34,'S1&amp;2 Lists'!$C$8:$G$112,3,FALSE),"-")</f>
        <v>-</v>
      </c>
      <c r="N34" s="1128" t="str">
        <f t="shared" si="0"/>
        <v>-</v>
      </c>
      <c r="P34" s="1130">
        <f>ROUND(IF(L34='S1&amp;2 Lists'!$CV$3,K34,IF(L34='S1&amp;2 Lists'!$CV$4,K34/'S1&amp;2 Lists'!$CQ$6,0)),3)</f>
        <v>0</v>
      </c>
      <c r="Q34" s="11" t="s">
        <v>12</v>
      </c>
    </row>
    <row r="35" spans="1:17" s="1129" customFormat="1" ht="23.25" customHeight="1">
      <c r="A35" s="819"/>
      <c r="B35" s="819"/>
      <c r="C35" s="1131"/>
      <c r="D35" s="819"/>
      <c r="E35" s="1132"/>
      <c r="F35" s="819"/>
      <c r="G35" s="1134"/>
      <c r="H35" s="819"/>
      <c r="I35" s="1132"/>
      <c r="J35" s="1132"/>
      <c r="K35" s="819"/>
      <c r="L35" s="819"/>
      <c r="M35" s="1128" t="str">
        <f>+IFERROR(VLOOKUP(G35,'S1&amp;2 Lists'!$C$8:$G$112,3,FALSE),"-")</f>
        <v>-</v>
      </c>
      <c r="N35" s="1128" t="str">
        <f t="shared" si="0"/>
        <v>-</v>
      </c>
      <c r="P35" s="1130">
        <f>ROUND(IF(L35='S1&amp;2 Lists'!$CV$3,K35,IF(L35='S1&amp;2 Lists'!$CV$4,K35/'S1&amp;2 Lists'!$CQ$6,0)),3)</f>
        <v>0</v>
      </c>
      <c r="Q35" s="11" t="s">
        <v>12</v>
      </c>
    </row>
    <row r="36" spans="1:17" s="1129" customFormat="1" ht="23.25" customHeight="1">
      <c r="A36" s="819"/>
      <c r="B36" s="819"/>
      <c r="C36" s="1131"/>
      <c r="D36" s="819"/>
      <c r="E36" s="1132"/>
      <c r="F36" s="819"/>
      <c r="G36" s="1134"/>
      <c r="H36" s="819"/>
      <c r="I36" s="1132"/>
      <c r="J36" s="1132"/>
      <c r="K36" s="819"/>
      <c r="L36" s="819"/>
      <c r="M36" s="1128" t="str">
        <f>+IFERROR(VLOOKUP(G36,'S1&amp;2 Lists'!$C$8:$G$112,3,FALSE),"-")</f>
        <v>-</v>
      </c>
      <c r="N36" s="1128" t="str">
        <f t="shared" si="0"/>
        <v>-</v>
      </c>
      <c r="P36" s="1130">
        <f>ROUND(IF(L36='S1&amp;2 Lists'!$CV$3,K36,IF(L36='S1&amp;2 Lists'!$CV$4,K36/'S1&amp;2 Lists'!$CQ$6,0)),3)</f>
        <v>0</v>
      </c>
      <c r="Q36" s="11" t="s">
        <v>12</v>
      </c>
    </row>
    <row r="37" spans="1:17" s="1129" customFormat="1" ht="23.25" customHeight="1">
      <c r="A37" s="819"/>
      <c r="B37" s="819"/>
      <c r="C37" s="1131"/>
      <c r="D37" s="819"/>
      <c r="E37" s="1132"/>
      <c r="F37" s="819"/>
      <c r="G37" s="1134"/>
      <c r="H37" s="819"/>
      <c r="I37" s="1132"/>
      <c r="J37" s="1132"/>
      <c r="K37" s="819"/>
      <c r="L37" s="819"/>
      <c r="M37" s="1128" t="str">
        <f>+IFERROR(VLOOKUP(G37,'S1&amp;2 Lists'!$C$8:$G$112,3,FALSE),"-")</f>
        <v>-</v>
      </c>
      <c r="N37" s="1128" t="str">
        <f t="shared" si="0"/>
        <v>-</v>
      </c>
      <c r="P37" s="1130">
        <f>ROUND(IF(L37='S1&amp;2 Lists'!$CV$3,K37,IF(L37='S1&amp;2 Lists'!$CV$4,K37/'S1&amp;2 Lists'!$CQ$6,0)),3)</f>
        <v>0</v>
      </c>
      <c r="Q37" s="11" t="s">
        <v>12</v>
      </c>
    </row>
    <row r="38" spans="1:17" s="1129" customFormat="1" ht="23.25" customHeight="1">
      <c r="A38" s="819"/>
      <c r="B38" s="819"/>
      <c r="C38" s="1131"/>
      <c r="D38" s="819"/>
      <c r="E38" s="1132"/>
      <c r="F38" s="819"/>
      <c r="G38" s="1134"/>
      <c r="H38" s="819"/>
      <c r="I38" s="1132"/>
      <c r="J38" s="1132"/>
      <c r="K38" s="819"/>
      <c r="L38" s="819"/>
      <c r="M38" s="1128" t="str">
        <f>+IFERROR(VLOOKUP(G38,'S1&amp;2 Lists'!$C$8:$G$112,3,FALSE),"-")</f>
        <v>-</v>
      </c>
      <c r="N38" s="1128" t="str">
        <f t="shared" si="0"/>
        <v>-</v>
      </c>
      <c r="P38" s="1130">
        <f>ROUND(IF(L38='S1&amp;2 Lists'!$CV$3,K38,IF(L38='S1&amp;2 Lists'!$CV$4,K38/'S1&amp;2 Lists'!$CQ$6,0)),3)</f>
        <v>0</v>
      </c>
      <c r="Q38" s="11" t="s">
        <v>12</v>
      </c>
    </row>
    <row r="39" spans="1:17" s="1129" customFormat="1" ht="23.25" customHeight="1">
      <c r="A39" s="819"/>
      <c r="B39" s="819"/>
      <c r="C39" s="1131"/>
      <c r="D39" s="819"/>
      <c r="E39" s="1132"/>
      <c r="F39" s="819"/>
      <c r="G39" s="1134"/>
      <c r="H39" s="819"/>
      <c r="I39" s="1132"/>
      <c r="J39" s="1132"/>
      <c r="K39" s="819"/>
      <c r="L39" s="819"/>
      <c r="M39" s="1128" t="str">
        <f>+IFERROR(VLOOKUP(G39,'S1&amp;2 Lists'!$C$8:$G$112,3,FALSE),"-")</f>
        <v>-</v>
      </c>
      <c r="N39" s="1128" t="str">
        <f t="shared" si="0"/>
        <v>-</v>
      </c>
      <c r="P39" s="1130">
        <f>ROUND(IF(L39='S1&amp;2 Lists'!$CV$3,K39,IF(L39='S1&amp;2 Lists'!$CV$4,K39/'S1&amp;2 Lists'!$CQ$6,0)),3)</f>
        <v>0</v>
      </c>
      <c r="Q39" s="11" t="s">
        <v>12</v>
      </c>
    </row>
    <row r="40" spans="1:17" s="1129" customFormat="1" ht="24" customHeight="1">
      <c r="A40" s="819"/>
      <c r="B40" s="819"/>
      <c r="C40" s="1131"/>
      <c r="D40" s="819"/>
      <c r="E40" s="1132"/>
      <c r="F40" s="819"/>
      <c r="G40" s="1134"/>
      <c r="H40" s="819"/>
      <c r="I40" s="1132"/>
      <c r="J40" s="1132"/>
      <c r="K40" s="819"/>
      <c r="L40" s="819"/>
      <c r="M40" s="1128" t="str">
        <f>+IFERROR(VLOOKUP(G40,'S1&amp;2 Lists'!$C$8:$G$112,3,FALSE),"-")</f>
        <v>-</v>
      </c>
      <c r="N40" s="1128" t="str">
        <f t="shared" si="0"/>
        <v>-</v>
      </c>
      <c r="P40" s="1130">
        <f>ROUND(IF(L40='S1&amp;2 Lists'!$CV$3,K40,IF(L40='S1&amp;2 Lists'!$CV$4,K40/'S1&amp;2 Lists'!$CQ$6,0)),3)</f>
        <v>0</v>
      </c>
      <c r="Q40" s="11" t="s">
        <v>12</v>
      </c>
    </row>
    <row r="41" spans="1:17" s="1129" customFormat="1" ht="24" customHeight="1">
      <c r="A41" s="819"/>
      <c r="B41" s="819"/>
      <c r="C41" s="1131"/>
      <c r="D41" s="819"/>
      <c r="E41" s="1132"/>
      <c r="F41" s="819"/>
      <c r="G41" s="1134"/>
      <c r="H41" s="819"/>
      <c r="I41" s="1132"/>
      <c r="J41" s="1132"/>
      <c r="K41" s="819"/>
      <c r="L41" s="819"/>
      <c r="M41" s="1128" t="str">
        <f>+IFERROR(VLOOKUP(G41,'S1&amp;2 Lists'!$C$8:$G$112,3,FALSE),"-")</f>
        <v>-</v>
      </c>
      <c r="N41" s="1128" t="str">
        <f t="shared" si="0"/>
        <v>-</v>
      </c>
      <c r="P41" s="1130">
        <f>ROUND(IF(L41='S1&amp;2 Lists'!$CV$3,K41,IF(L41='S1&amp;2 Lists'!$CV$4,K41/'S1&amp;2 Lists'!$CQ$6,0)),3)</f>
        <v>0</v>
      </c>
      <c r="Q41" s="11" t="s">
        <v>12</v>
      </c>
    </row>
    <row r="42" spans="1:17" s="1129" customFormat="1" ht="24" customHeight="1">
      <c r="A42" s="819"/>
      <c r="B42" s="819"/>
      <c r="C42" s="1131"/>
      <c r="D42" s="819"/>
      <c r="E42" s="1132"/>
      <c r="F42" s="819"/>
      <c r="G42" s="1134"/>
      <c r="H42" s="819"/>
      <c r="I42" s="1132"/>
      <c r="J42" s="1132"/>
      <c r="K42" s="819"/>
      <c r="L42" s="819"/>
      <c r="M42" s="1128" t="str">
        <f>+IFERROR(VLOOKUP(G42,'S1&amp;2 Lists'!$C$8:$G$112,3,FALSE),"-")</f>
        <v>-</v>
      </c>
      <c r="N42" s="1128" t="str">
        <f t="shared" si="0"/>
        <v>-</v>
      </c>
      <c r="P42" s="1130">
        <f>ROUND(IF(L42='S1&amp;2 Lists'!$CV$3,K42,IF(L42='S1&amp;2 Lists'!$CV$4,K42/'S1&amp;2 Lists'!$CQ$6,0)),3)</f>
        <v>0</v>
      </c>
      <c r="Q42" s="11" t="s">
        <v>12</v>
      </c>
    </row>
    <row r="43" spans="1:17" s="1129" customFormat="1" ht="24" customHeight="1">
      <c r="A43" s="819"/>
      <c r="B43" s="819"/>
      <c r="C43" s="1131"/>
      <c r="D43" s="819"/>
      <c r="E43" s="1132"/>
      <c r="F43" s="819"/>
      <c r="G43" s="1134"/>
      <c r="H43" s="819"/>
      <c r="I43" s="1132"/>
      <c r="J43" s="1132"/>
      <c r="K43" s="819"/>
      <c r="L43" s="819"/>
      <c r="M43" s="1128" t="str">
        <f>+IFERROR(VLOOKUP(G43,'S1&amp;2 Lists'!$C$8:$G$112,3,FALSE),"-")</f>
        <v>-</v>
      </c>
      <c r="N43" s="1128" t="str">
        <f t="shared" si="0"/>
        <v>-</v>
      </c>
      <c r="P43" s="1130">
        <f>ROUND(IF(L43='S1&amp;2 Lists'!$CV$3,K43,IF(L43='S1&amp;2 Lists'!$CV$4,K43/'S1&amp;2 Lists'!$CQ$6,0)),3)</f>
        <v>0</v>
      </c>
      <c r="Q43" s="11" t="s">
        <v>12</v>
      </c>
    </row>
    <row r="44" spans="1:17" s="1129" customFormat="1" ht="24" customHeight="1">
      <c r="A44" s="819"/>
      <c r="B44" s="819"/>
      <c r="C44" s="1131"/>
      <c r="D44" s="819"/>
      <c r="E44" s="1132"/>
      <c r="F44" s="819"/>
      <c r="G44" s="1134"/>
      <c r="H44" s="819"/>
      <c r="I44" s="1132"/>
      <c r="J44" s="1132"/>
      <c r="K44" s="819"/>
      <c r="L44" s="819"/>
      <c r="M44" s="1128" t="str">
        <f>+IFERROR(VLOOKUP(G44,'S1&amp;2 Lists'!$C$8:$G$112,3,FALSE),"-")</f>
        <v>-</v>
      </c>
      <c r="N44" s="1128" t="str">
        <f t="shared" si="0"/>
        <v>-</v>
      </c>
      <c r="P44" s="1130">
        <f>ROUND(IF(L44='S1&amp;2 Lists'!$CV$3,K44,IF(L44='S1&amp;2 Lists'!$CV$4,K44/'S1&amp;2 Lists'!$CQ$6,0)),3)</f>
        <v>0</v>
      </c>
      <c r="Q44" s="11" t="s">
        <v>12</v>
      </c>
    </row>
    <row r="45" spans="1:17" s="1129" customFormat="1" ht="24" customHeight="1">
      <c r="A45" s="819"/>
      <c r="B45" s="819"/>
      <c r="C45" s="1131"/>
      <c r="D45" s="819"/>
      <c r="E45" s="1132"/>
      <c r="F45" s="819"/>
      <c r="G45" s="1134"/>
      <c r="H45" s="819"/>
      <c r="I45" s="1132"/>
      <c r="J45" s="1132"/>
      <c r="K45" s="819"/>
      <c r="L45" s="819"/>
      <c r="M45" s="1128" t="str">
        <f>+IFERROR(VLOOKUP(G45,'S1&amp;2 Lists'!$C$8:$G$112,3,FALSE),"-")</f>
        <v>-</v>
      </c>
      <c r="N45" s="1128" t="str">
        <f t="shared" si="0"/>
        <v>-</v>
      </c>
      <c r="P45" s="1130">
        <f>ROUND(IF(L45='S1&amp;2 Lists'!$CV$3,K45,IF(L45='S1&amp;2 Lists'!$CV$4,K45/'S1&amp;2 Lists'!$CQ$6,0)),3)</f>
        <v>0</v>
      </c>
      <c r="Q45" s="11" t="s">
        <v>12</v>
      </c>
    </row>
    <row r="46" spans="1:17" s="1129" customFormat="1" ht="24" customHeight="1">
      <c r="A46" s="819"/>
      <c r="B46" s="819"/>
      <c r="C46" s="1131"/>
      <c r="D46" s="819"/>
      <c r="E46" s="1132"/>
      <c r="F46" s="819"/>
      <c r="G46" s="1134"/>
      <c r="H46" s="819"/>
      <c r="I46" s="1132"/>
      <c r="J46" s="1132"/>
      <c r="K46" s="819"/>
      <c r="L46" s="819"/>
      <c r="M46" s="1128" t="str">
        <f>+IFERROR(VLOOKUP(G46,'S1&amp;2 Lists'!$C$8:$G$112,3,FALSE),"-")</f>
        <v>-</v>
      </c>
      <c r="N46" s="1128" t="str">
        <f t="shared" si="0"/>
        <v>-</v>
      </c>
      <c r="P46" s="1130">
        <f>ROUND(IF(L46='S1&amp;2 Lists'!$CV$3,K46,IF(L46='S1&amp;2 Lists'!$CV$4,K46/'S1&amp;2 Lists'!$CQ$6,0)),3)</f>
        <v>0</v>
      </c>
      <c r="Q46" s="11" t="s">
        <v>12</v>
      </c>
    </row>
    <row r="47" spans="1:17" s="1129" customFormat="1" ht="24" customHeight="1">
      <c r="A47" s="819"/>
      <c r="B47" s="819"/>
      <c r="C47" s="1131"/>
      <c r="D47" s="819"/>
      <c r="E47" s="1132"/>
      <c r="F47" s="819"/>
      <c r="G47" s="1134"/>
      <c r="H47" s="819"/>
      <c r="I47" s="1132"/>
      <c r="J47" s="819"/>
      <c r="K47" s="819"/>
      <c r="L47" s="819"/>
      <c r="M47" s="1128" t="str">
        <f>+IFERROR(VLOOKUP(G47,'S1&amp;2 Lists'!$C$8:$G$112,3,FALSE),"-")</f>
        <v>-</v>
      </c>
      <c r="N47" s="1128" t="str">
        <f t="shared" si="0"/>
        <v>-</v>
      </c>
      <c r="P47" s="1130">
        <f>ROUND(IF(L47='S1&amp;2 Lists'!$CV$3,K47,IF(L47='S1&amp;2 Lists'!$CV$4,K47/'S1&amp;2 Lists'!$CQ$6,0)),3)</f>
        <v>0</v>
      </c>
      <c r="Q47" s="11" t="s">
        <v>12</v>
      </c>
    </row>
    <row r="48" spans="1:17" s="1129" customFormat="1" ht="24" customHeight="1">
      <c r="A48" s="819"/>
      <c r="B48" s="819"/>
      <c r="C48" s="1131"/>
      <c r="D48" s="819"/>
      <c r="E48" s="1132"/>
      <c r="F48" s="819"/>
      <c r="G48" s="1134"/>
      <c r="H48" s="819"/>
      <c r="I48" s="1132"/>
      <c r="J48" s="819"/>
      <c r="K48" s="819"/>
      <c r="L48" s="819"/>
      <c r="M48" s="1128" t="str">
        <f>+IFERROR(VLOOKUP(G48,'S1&amp;2 Lists'!$C$8:$G$112,3,FALSE),"-")</f>
        <v>-</v>
      </c>
      <c r="N48" s="1128" t="str">
        <f t="shared" si="0"/>
        <v>-</v>
      </c>
      <c r="P48" s="1130">
        <f>ROUND(IF(L48='S1&amp;2 Lists'!$CV$3,K48,IF(L48='S1&amp;2 Lists'!$CV$4,K48/'S1&amp;2 Lists'!$CQ$6,0)),3)</f>
        <v>0</v>
      </c>
      <c r="Q48" s="11" t="s">
        <v>12</v>
      </c>
    </row>
    <row r="49" spans="1:17" s="1129" customFormat="1" ht="24" customHeight="1">
      <c r="A49" s="819"/>
      <c r="B49" s="819"/>
      <c r="C49" s="1131"/>
      <c r="D49" s="819"/>
      <c r="E49" s="1132"/>
      <c r="F49" s="819"/>
      <c r="G49" s="1134"/>
      <c r="H49" s="819"/>
      <c r="I49" s="1132"/>
      <c r="J49" s="819"/>
      <c r="K49" s="819"/>
      <c r="L49" s="819"/>
      <c r="M49" s="1128" t="str">
        <f>+IFERROR(VLOOKUP(G49,'S1&amp;2 Lists'!$C$8:$G$112,3,FALSE),"-")</f>
        <v>-</v>
      </c>
      <c r="N49" s="1128" t="str">
        <f t="shared" si="0"/>
        <v>-</v>
      </c>
      <c r="P49" s="1130">
        <f>ROUND(IF(L49='S1&amp;2 Lists'!$CV$3,K49,IF(L49='S1&amp;2 Lists'!$CV$4,K49/'S1&amp;2 Lists'!$CQ$6,0)),3)</f>
        <v>0</v>
      </c>
      <c r="Q49" s="11" t="s">
        <v>12</v>
      </c>
    </row>
    <row r="50" spans="1:17" s="1129" customFormat="1" ht="24" customHeight="1">
      <c r="A50" s="819"/>
      <c r="B50" s="819"/>
      <c r="C50" s="1131"/>
      <c r="D50" s="819"/>
      <c r="E50" s="1132"/>
      <c r="F50" s="819"/>
      <c r="G50" s="1134"/>
      <c r="H50" s="819"/>
      <c r="I50" s="1132"/>
      <c r="J50" s="819"/>
      <c r="K50" s="819"/>
      <c r="L50" s="819"/>
      <c r="M50" s="1128" t="str">
        <f>+IFERROR(VLOOKUP(G50,'S1&amp;2 Lists'!$C$8:$G$112,3,FALSE),"-")</f>
        <v>-</v>
      </c>
      <c r="N50" s="1128" t="str">
        <f t="shared" si="0"/>
        <v>-</v>
      </c>
      <c r="P50" s="1130">
        <f>ROUND(IF(L50='S1&amp;2 Lists'!$CV$3,K50,IF(L50='S1&amp;2 Lists'!$CV$4,K50/'S1&amp;2 Lists'!$CQ$6,0)),3)</f>
        <v>0</v>
      </c>
      <c r="Q50" s="11" t="s">
        <v>12</v>
      </c>
    </row>
    <row r="51" spans="1:17" s="1129" customFormat="1" ht="24" customHeight="1">
      <c r="A51" s="819"/>
      <c r="B51" s="819"/>
      <c r="C51" s="1131"/>
      <c r="D51" s="819"/>
      <c r="E51" s="1132"/>
      <c r="F51" s="819"/>
      <c r="G51" s="1134"/>
      <c r="H51" s="819"/>
      <c r="I51" s="1132"/>
      <c r="J51" s="819"/>
      <c r="K51" s="819"/>
      <c r="L51" s="819"/>
      <c r="M51" s="1128" t="str">
        <f>+IFERROR(VLOOKUP(G51,'S1&amp;2 Lists'!$C$8:$G$112,3,FALSE),"-")</f>
        <v>-</v>
      </c>
      <c r="N51" s="1128" t="str">
        <f t="shared" si="0"/>
        <v>-</v>
      </c>
      <c r="P51" s="1130">
        <f>ROUND(IF(L51='S1&amp;2 Lists'!$CV$3,K51,IF(L51='S1&amp;2 Lists'!$CV$4,K51/'S1&amp;2 Lists'!$CQ$6,0)),3)</f>
        <v>0</v>
      </c>
      <c r="Q51" s="11" t="s">
        <v>12</v>
      </c>
    </row>
    <row r="52" spans="1:17" s="1129" customFormat="1" ht="24" customHeight="1">
      <c r="A52" s="819"/>
      <c r="B52" s="819"/>
      <c r="C52" s="1131"/>
      <c r="D52" s="819"/>
      <c r="E52" s="1132"/>
      <c r="F52" s="819"/>
      <c r="G52" s="1134"/>
      <c r="H52" s="819"/>
      <c r="I52" s="1132"/>
      <c r="J52" s="819"/>
      <c r="K52" s="819"/>
      <c r="L52" s="819"/>
      <c r="M52" s="1128" t="str">
        <f>+IFERROR(VLOOKUP(G52,'S1&amp;2 Lists'!$C$8:$G$112,3,FALSE),"-")</f>
        <v>-</v>
      </c>
      <c r="N52" s="1128" t="str">
        <f t="shared" si="0"/>
        <v>-</v>
      </c>
      <c r="P52" s="1130">
        <f>ROUND(IF(L52='S1&amp;2 Lists'!$CV$3,K52,IF(L52='S1&amp;2 Lists'!$CV$4,K52/'S1&amp;2 Lists'!$CQ$6,0)),3)</f>
        <v>0</v>
      </c>
      <c r="Q52" s="11" t="s">
        <v>12</v>
      </c>
    </row>
    <row r="53" spans="1:17" s="1129" customFormat="1" ht="24" customHeight="1">
      <c r="A53" s="819"/>
      <c r="B53" s="819"/>
      <c r="C53" s="1131"/>
      <c r="D53" s="819"/>
      <c r="E53" s="1132"/>
      <c r="F53" s="819"/>
      <c r="G53" s="1134"/>
      <c r="H53" s="819"/>
      <c r="I53" s="1132"/>
      <c r="J53" s="819"/>
      <c r="K53" s="819"/>
      <c r="L53" s="819"/>
      <c r="M53" s="1128" t="str">
        <f>+IFERROR(VLOOKUP(G53,'S1&amp;2 Lists'!$C$8:$G$112,3,FALSE),"-")</f>
        <v>-</v>
      </c>
      <c r="N53" s="1128" t="str">
        <f t="shared" si="0"/>
        <v>-</v>
      </c>
      <c r="P53" s="1130">
        <f>ROUND(IF(L53='S1&amp;2 Lists'!$CV$3,K53,IF(L53='S1&amp;2 Lists'!$CV$4,K53/'S1&amp;2 Lists'!$CQ$6,0)),3)</f>
        <v>0</v>
      </c>
      <c r="Q53" s="11" t="s">
        <v>12</v>
      </c>
    </row>
    <row r="54" spans="1:17" s="1129" customFormat="1" ht="24" customHeight="1">
      <c r="A54" s="819"/>
      <c r="B54" s="819"/>
      <c r="C54" s="1131"/>
      <c r="D54" s="819"/>
      <c r="E54" s="1132"/>
      <c r="F54" s="819"/>
      <c r="G54" s="1134"/>
      <c r="H54" s="819"/>
      <c r="I54" s="1132"/>
      <c r="J54" s="819"/>
      <c r="K54" s="819"/>
      <c r="L54" s="819"/>
      <c r="M54" s="1128" t="str">
        <f>+IFERROR(VLOOKUP(G54,'S1&amp;2 Lists'!$C$8:$G$112,3,FALSE),"-")</f>
        <v>-</v>
      </c>
      <c r="N54" s="1128" t="str">
        <f t="shared" si="0"/>
        <v>-</v>
      </c>
      <c r="P54" s="1130">
        <f>ROUND(IF(L54='S1&amp;2 Lists'!$CV$3,K54,IF(L54='S1&amp;2 Lists'!$CV$4,K54/'S1&amp;2 Lists'!$CQ$6,0)),3)</f>
        <v>0</v>
      </c>
      <c r="Q54" s="11" t="s">
        <v>12</v>
      </c>
    </row>
    <row r="55" spans="1:17" s="1129" customFormat="1" ht="24" customHeight="1">
      <c r="A55" s="819"/>
      <c r="B55" s="819"/>
      <c r="C55" s="1131"/>
      <c r="D55" s="819"/>
      <c r="E55" s="1132"/>
      <c r="F55" s="819"/>
      <c r="G55" s="1134"/>
      <c r="H55" s="819"/>
      <c r="I55" s="1132"/>
      <c r="J55" s="819"/>
      <c r="K55" s="819"/>
      <c r="L55" s="819"/>
      <c r="M55" s="1128" t="str">
        <f>+IFERROR(VLOOKUP(G55,'S1&amp;2 Lists'!$C$8:$G$112,3,FALSE),"-")</f>
        <v>-</v>
      </c>
      <c r="N55" s="1128" t="str">
        <f t="shared" si="0"/>
        <v>-</v>
      </c>
      <c r="P55" s="1130">
        <f>ROUND(IF(L55='S1&amp;2 Lists'!$CV$3,K55,IF(L55='S1&amp;2 Lists'!$CV$4,K55/'S1&amp;2 Lists'!$CQ$6,0)),3)</f>
        <v>0</v>
      </c>
      <c r="Q55" s="11" t="s">
        <v>12</v>
      </c>
    </row>
    <row r="56" spans="1:17" s="1129" customFormat="1" ht="24" customHeight="1">
      <c r="A56" s="819"/>
      <c r="B56" s="819"/>
      <c r="C56" s="1131"/>
      <c r="D56" s="819"/>
      <c r="E56" s="1132"/>
      <c r="F56" s="819"/>
      <c r="G56" s="1134"/>
      <c r="H56" s="819"/>
      <c r="I56" s="1132"/>
      <c r="J56" s="819"/>
      <c r="K56" s="819"/>
      <c r="L56" s="819"/>
      <c r="M56" s="1128" t="str">
        <f>+IFERROR(VLOOKUP(G56,'S1&amp;2 Lists'!$C$8:$G$112,3,FALSE),"-")</f>
        <v>-</v>
      </c>
      <c r="N56" s="1128" t="str">
        <f t="shared" si="0"/>
        <v>-</v>
      </c>
      <c r="P56" s="1130">
        <f>ROUND(IF(L56='S1&amp;2 Lists'!$CV$3,K56,IF(L56='S1&amp;2 Lists'!$CV$4,K56/'S1&amp;2 Lists'!$CQ$6,0)),3)</f>
        <v>0</v>
      </c>
      <c r="Q56" s="11" t="s">
        <v>12</v>
      </c>
    </row>
    <row r="57" spans="1:17" s="1129" customFormat="1" ht="24" customHeight="1">
      <c r="A57" s="819"/>
      <c r="B57" s="819"/>
      <c r="C57" s="1131"/>
      <c r="D57" s="819"/>
      <c r="E57" s="1132"/>
      <c r="F57" s="819"/>
      <c r="G57" s="1134"/>
      <c r="H57" s="819"/>
      <c r="I57" s="1132"/>
      <c r="J57" s="819"/>
      <c r="K57" s="819"/>
      <c r="L57" s="819"/>
      <c r="M57" s="1128" t="str">
        <f>+IFERROR(VLOOKUP(G57,'S1&amp;2 Lists'!$C$8:$G$112,3,FALSE),"-")</f>
        <v>-</v>
      </c>
      <c r="N57" s="1128" t="str">
        <f t="shared" si="0"/>
        <v>-</v>
      </c>
      <c r="P57" s="1130">
        <f>ROUND(IF(L57='S1&amp;2 Lists'!$CV$3,K57,IF(L57='S1&amp;2 Lists'!$CV$4,K57/'S1&amp;2 Lists'!$CQ$6,0)),3)</f>
        <v>0</v>
      </c>
      <c r="Q57" s="11" t="s">
        <v>12</v>
      </c>
    </row>
    <row r="58" spans="1:17" s="1129" customFormat="1" ht="24" customHeight="1">
      <c r="A58" s="819"/>
      <c r="B58" s="819"/>
      <c r="C58" s="1131"/>
      <c r="D58" s="819"/>
      <c r="E58" s="1132"/>
      <c r="F58" s="819"/>
      <c r="G58" s="1134"/>
      <c r="H58" s="819"/>
      <c r="I58" s="1132"/>
      <c r="J58" s="819"/>
      <c r="K58" s="819"/>
      <c r="L58" s="819"/>
      <c r="M58" s="1128" t="str">
        <f>+IFERROR(VLOOKUP(G58,'S1&amp;2 Lists'!$C$8:$G$112,3,FALSE),"-")</f>
        <v>-</v>
      </c>
      <c r="N58" s="1128" t="str">
        <f t="shared" si="0"/>
        <v>-</v>
      </c>
      <c r="P58" s="1130">
        <f>ROUND(IF(L58='S1&amp;2 Lists'!$CV$3,K58,IF(L58='S1&amp;2 Lists'!$CV$4,K58/'S1&amp;2 Lists'!$CQ$6,0)),3)</f>
        <v>0</v>
      </c>
      <c r="Q58" s="11" t="s">
        <v>12</v>
      </c>
    </row>
    <row r="59" spans="1:17" s="1129" customFormat="1" ht="24" customHeight="1">
      <c r="A59" s="819"/>
      <c r="B59" s="819"/>
      <c r="C59" s="1131"/>
      <c r="D59" s="819"/>
      <c r="E59" s="1132"/>
      <c r="F59" s="819"/>
      <c r="G59" s="1134"/>
      <c r="H59" s="819"/>
      <c r="I59" s="1132"/>
      <c r="J59" s="819"/>
      <c r="K59" s="819"/>
      <c r="L59" s="819"/>
      <c r="M59" s="1128" t="str">
        <f>+IFERROR(VLOOKUP(G59,'S1&amp;2 Lists'!$C$8:$G$112,3,FALSE),"-")</f>
        <v>-</v>
      </c>
      <c r="N59" s="1128" t="str">
        <f t="shared" si="0"/>
        <v>-</v>
      </c>
      <c r="P59" s="1130">
        <f>ROUND(IF(L59='S1&amp;2 Lists'!$CV$3,K59,IF(L59='S1&amp;2 Lists'!$CV$4,K59/'S1&amp;2 Lists'!$CQ$6,0)),3)</f>
        <v>0</v>
      </c>
      <c r="Q59" s="11" t="s">
        <v>12</v>
      </c>
    </row>
    <row r="60" spans="1:17" s="1129" customFormat="1" ht="24" customHeight="1">
      <c r="A60" s="819"/>
      <c r="B60" s="819"/>
      <c r="C60" s="1131"/>
      <c r="D60" s="819"/>
      <c r="E60" s="1132"/>
      <c r="F60" s="819"/>
      <c r="G60" s="1134"/>
      <c r="H60" s="819"/>
      <c r="I60" s="1132"/>
      <c r="J60" s="819"/>
      <c r="K60" s="819"/>
      <c r="L60" s="819"/>
      <c r="M60" s="1128" t="str">
        <f>+IFERROR(VLOOKUP(G60,'S1&amp;2 Lists'!$C$8:$G$112,3,FALSE),"-")</f>
        <v>-</v>
      </c>
      <c r="N60" s="1128" t="str">
        <f t="shared" si="0"/>
        <v>-</v>
      </c>
      <c r="P60" s="1130">
        <f>ROUND(IF(L60='S1&amp;2 Lists'!$CV$3,K60,IF(L60='S1&amp;2 Lists'!$CV$4,K60/'S1&amp;2 Lists'!$CQ$6,0)),3)</f>
        <v>0</v>
      </c>
      <c r="Q60" s="11" t="s">
        <v>12</v>
      </c>
    </row>
    <row r="61" spans="1:17" s="1129" customFormat="1" ht="24" customHeight="1">
      <c r="A61" s="819"/>
      <c r="B61" s="819"/>
      <c r="C61" s="1131"/>
      <c r="D61" s="819"/>
      <c r="E61" s="1132"/>
      <c r="F61" s="819"/>
      <c r="G61" s="1134"/>
      <c r="H61" s="819"/>
      <c r="I61" s="1132"/>
      <c r="J61" s="819"/>
      <c r="K61" s="819"/>
      <c r="L61" s="819"/>
      <c r="M61" s="1128" t="str">
        <f>+IFERROR(VLOOKUP(G61,'S1&amp;2 Lists'!$C$8:$G$112,3,FALSE),"-")</f>
        <v>-</v>
      </c>
      <c r="N61" s="1128" t="str">
        <f t="shared" si="0"/>
        <v>-</v>
      </c>
      <c r="P61" s="1130">
        <f>ROUND(IF(L61='S1&amp;2 Lists'!$CV$3,K61,IF(L61='S1&amp;2 Lists'!$CV$4,K61/'S1&amp;2 Lists'!$CQ$6,0)),3)</f>
        <v>0</v>
      </c>
      <c r="Q61" s="11" t="s">
        <v>12</v>
      </c>
    </row>
    <row r="62" spans="1:17" s="1129" customFormat="1" ht="24" customHeight="1">
      <c r="A62" s="819"/>
      <c r="B62" s="819"/>
      <c r="C62" s="1131"/>
      <c r="D62" s="819"/>
      <c r="E62" s="1132"/>
      <c r="F62" s="819"/>
      <c r="G62" s="1134"/>
      <c r="H62" s="819"/>
      <c r="I62" s="1132"/>
      <c r="J62" s="819"/>
      <c r="K62" s="819"/>
      <c r="L62" s="819"/>
      <c r="M62" s="1128" t="str">
        <f>+IFERROR(VLOOKUP(G62,'S1&amp;2 Lists'!$C$8:$G$112,3,FALSE),"-")</f>
        <v>-</v>
      </c>
      <c r="N62" s="1128" t="str">
        <f t="shared" si="0"/>
        <v>-</v>
      </c>
      <c r="P62" s="1130">
        <f>ROUND(IF(L62='S1&amp;2 Lists'!$CV$3,K62,IF(L62='S1&amp;2 Lists'!$CV$4,K62/'S1&amp;2 Lists'!$CQ$6,0)),3)</f>
        <v>0</v>
      </c>
      <c r="Q62" s="11" t="s">
        <v>12</v>
      </c>
    </row>
    <row r="63" spans="1:17" s="1129" customFormat="1" ht="24" customHeight="1">
      <c r="A63" s="819"/>
      <c r="B63" s="819"/>
      <c r="C63" s="1131"/>
      <c r="D63" s="819"/>
      <c r="E63" s="1132"/>
      <c r="F63" s="819"/>
      <c r="G63" s="1134"/>
      <c r="H63" s="819"/>
      <c r="I63" s="1132"/>
      <c r="J63" s="819"/>
      <c r="K63" s="819"/>
      <c r="L63" s="819"/>
      <c r="M63" s="1128" t="str">
        <f>+IFERROR(VLOOKUP(G63,'S1&amp;2 Lists'!$C$8:$G$112,3,FALSE),"-")</f>
        <v>-</v>
      </c>
      <c r="N63" s="1128" t="str">
        <f t="shared" si="0"/>
        <v>-</v>
      </c>
      <c r="P63" s="1130">
        <f>ROUND(IF(L63='S1&amp;2 Lists'!$CV$3,K63,IF(L63='S1&amp;2 Lists'!$CV$4,K63/'S1&amp;2 Lists'!$CQ$6,0)),3)</f>
        <v>0</v>
      </c>
      <c r="Q63" s="11" t="s">
        <v>12</v>
      </c>
    </row>
    <row r="64" spans="1:17" s="1129" customFormat="1" ht="24" customHeight="1">
      <c r="A64" s="819"/>
      <c r="B64" s="819"/>
      <c r="C64" s="1131"/>
      <c r="D64" s="819"/>
      <c r="E64" s="1132"/>
      <c r="F64" s="819"/>
      <c r="G64" s="1134"/>
      <c r="H64" s="819"/>
      <c r="I64" s="1132"/>
      <c r="J64" s="819"/>
      <c r="K64" s="819"/>
      <c r="L64" s="819"/>
      <c r="M64" s="1128" t="str">
        <f>+IFERROR(VLOOKUP(G64,'S1&amp;2 Lists'!$C$8:$G$112,3,FALSE),"-")</f>
        <v>-</v>
      </c>
      <c r="N64" s="1128" t="str">
        <f t="shared" si="0"/>
        <v>-</v>
      </c>
      <c r="P64" s="1130">
        <f>ROUND(IF(L64='S1&amp;2 Lists'!$CV$3,K64,IF(L64='S1&amp;2 Lists'!$CV$4,K64/'S1&amp;2 Lists'!$CQ$6,0)),3)</f>
        <v>0</v>
      </c>
      <c r="Q64" s="11" t="s">
        <v>12</v>
      </c>
    </row>
    <row r="65" spans="1:17" s="1129" customFormat="1" ht="24" customHeight="1">
      <c r="A65" s="819"/>
      <c r="B65" s="819"/>
      <c r="C65" s="1131"/>
      <c r="D65" s="819"/>
      <c r="E65" s="1132"/>
      <c r="F65" s="819"/>
      <c r="G65" s="1134"/>
      <c r="H65" s="819"/>
      <c r="I65" s="1132"/>
      <c r="J65" s="819"/>
      <c r="K65" s="819"/>
      <c r="L65" s="819"/>
      <c r="M65" s="1128" t="str">
        <f>+IFERROR(VLOOKUP(G65,'S1&amp;2 Lists'!$C$8:$G$112,3,FALSE),"-")</f>
        <v>-</v>
      </c>
      <c r="N65" s="1128" t="str">
        <f t="shared" si="0"/>
        <v>-</v>
      </c>
      <c r="P65" s="1130">
        <f>ROUND(IF(L65='S1&amp;2 Lists'!$CV$3,K65,IF(L65='S1&amp;2 Lists'!$CV$4,K65/'S1&amp;2 Lists'!$CQ$6,0)),3)</f>
        <v>0</v>
      </c>
      <c r="Q65" s="11" t="s">
        <v>12</v>
      </c>
    </row>
    <row r="66" spans="1:17" s="1129" customFormat="1" ht="24" customHeight="1">
      <c r="A66" s="819"/>
      <c r="B66" s="819"/>
      <c r="C66" s="1131"/>
      <c r="D66" s="819"/>
      <c r="E66" s="1132"/>
      <c r="F66" s="819"/>
      <c r="G66" s="1134"/>
      <c r="H66" s="819"/>
      <c r="I66" s="1132"/>
      <c r="J66" s="819"/>
      <c r="K66" s="819"/>
      <c r="L66" s="819"/>
      <c r="M66" s="1128" t="str">
        <f>+IFERROR(VLOOKUP(G66,'S1&amp;2 Lists'!$C$8:$G$112,3,FALSE),"-")</f>
        <v>-</v>
      </c>
      <c r="N66" s="1128" t="str">
        <f t="shared" si="0"/>
        <v>-</v>
      </c>
      <c r="P66" s="1130">
        <f>ROUND(IF(L66='S1&amp;2 Lists'!$CV$3,K66,IF(L66='S1&amp;2 Lists'!$CV$4,K66/'S1&amp;2 Lists'!$CQ$6,0)),3)</f>
        <v>0</v>
      </c>
      <c r="Q66" s="11" t="s">
        <v>12</v>
      </c>
    </row>
    <row r="67" spans="1:17" s="1129" customFormat="1" ht="24" customHeight="1">
      <c r="A67" s="819"/>
      <c r="B67" s="819"/>
      <c r="C67" s="1131"/>
      <c r="D67" s="819"/>
      <c r="E67" s="1132"/>
      <c r="F67" s="819"/>
      <c r="G67" s="1134"/>
      <c r="H67" s="819"/>
      <c r="I67" s="1132"/>
      <c r="J67" s="819"/>
      <c r="K67" s="819"/>
      <c r="L67" s="819"/>
      <c r="M67" s="1128" t="str">
        <f>+IFERROR(VLOOKUP(G67,'S1&amp;2 Lists'!$C$8:$G$112,3,FALSE),"-")</f>
        <v>-</v>
      </c>
      <c r="N67" s="1128" t="str">
        <f t="shared" si="0"/>
        <v>-</v>
      </c>
      <c r="P67" s="1130">
        <f>ROUND(IF(L67='S1&amp;2 Lists'!$CV$3,K67,IF(L67='S1&amp;2 Lists'!$CV$4,K67/'S1&amp;2 Lists'!$CQ$6,0)),3)</f>
        <v>0</v>
      </c>
      <c r="Q67" s="11" t="s">
        <v>12</v>
      </c>
    </row>
    <row r="68" spans="1:17" s="1129" customFormat="1" ht="24" customHeight="1">
      <c r="A68" s="819"/>
      <c r="B68" s="819"/>
      <c r="C68" s="1131"/>
      <c r="D68" s="819"/>
      <c r="E68" s="1132"/>
      <c r="F68" s="819"/>
      <c r="G68" s="1134"/>
      <c r="H68" s="819"/>
      <c r="I68" s="1132"/>
      <c r="J68" s="819"/>
      <c r="K68" s="819"/>
      <c r="L68" s="819"/>
      <c r="M68" s="1128" t="str">
        <f>+IFERROR(VLOOKUP(G68,'S1&amp;2 Lists'!$C$8:$G$112,3,FALSE),"-")</f>
        <v>-</v>
      </c>
      <c r="N68" s="1128" t="str">
        <f t="shared" si="0"/>
        <v>-</v>
      </c>
      <c r="P68" s="1130">
        <f>ROUND(IF(L68='S1&amp;2 Lists'!$CV$3,K68,IF(L68='S1&amp;2 Lists'!$CV$4,K68/'S1&amp;2 Lists'!$CQ$6,0)),3)</f>
        <v>0</v>
      </c>
      <c r="Q68" s="11" t="s">
        <v>12</v>
      </c>
    </row>
    <row r="69" spans="1:17" s="1129" customFormat="1" ht="24" customHeight="1">
      <c r="A69" s="819"/>
      <c r="B69" s="819"/>
      <c r="C69" s="1131"/>
      <c r="D69" s="819"/>
      <c r="E69" s="1132"/>
      <c r="F69" s="819"/>
      <c r="G69" s="1134"/>
      <c r="H69" s="819"/>
      <c r="I69" s="1132"/>
      <c r="J69" s="819"/>
      <c r="K69" s="819"/>
      <c r="L69" s="819"/>
      <c r="M69" s="1128" t="str">
        <f>+IFERROR(VLOOKUP(G69,'S1&amp;2 Lists'!$C$8:$G$112,3,FALSE),"-")</f>
        <v>-</v>
      </c>
      <c r="N69" s="1128" t="str">
        <f t="shared" si="0"/>
        <v>-</v>
      </c>
      <c r="P69" s="1130">
        <f>ROUND(IF(L69='S1&amp;2 Lists'!$CV$3,K69,IF(L69='S1&amp;2 Lists'!$CV$4,K69/'S1&amp;2 Lists'!$CQ$6,0)),3)</f>
        <v>0</v>
      </c>
      <c r="Q69" s="11" t="s">
        <v>12</v>
      </c>
    </row>
    <row r="70" spans="1:17" s="1129" customFormat="1" ht="24" customHeight="1">
      <c r="A70" s="819"/>
      <c r="B70" s="819"/>
      <c r="C70" s="1131"/>
      <c r="D70" s="819"/>
      <c r="E70" s="1132"/>
      <c r="F70" s="819"/>
      <c r="G70" s="1134"/>
      <c r="H70" s="819"/>
      <c r="I70" s="1132"/>
      <c r="J70" s="819"/>
      <c r="K70" s="819"/>
      <c r="L70" s="819"/>
      <c r="M70" s="1128" t="str">
        <f>+IFERROR(VLOOKUP(G70,'S1&amp;2 Lists'!$C$8:$G$112,3,FALSE),"-")</f>
        <v>-</v>
      </c>
      <c r="N70" s="1128" t="str">
        <f t="shared" si="0"/>
        <v>-</v>
      </c>
      <c r="P70" s="1130">
        <f>ROUND(IF(L70='S1&amp;2 Lists'!$CV$3,K70,IF(L70='S1&amp;2 Lists'!$CV$4,K70/'S1&amp;2 Lists'!$CQ$6,0)),3)</f>
        <v>0</v>
      </c>
      <c r="Q70" s="11" t="s">
        <v>12</v>
      </c>
    </row>
    <row r="71" spans="1:17" s="1129" customFormat="1" ht="24" customHeight="1">
      <c r="A71" s="819"/>
      <c r="B71" s="819"/>
      <c r="C71" s="1131"/>
      <c r="D71" s="819"/>
      <c r="E71" s="1132"/>
      <c r="F71" s="819"/>
      <c r="G71" s="1134"/>
      <c r="H71" s="819"/>
      <c r="I71" s="1132"/>
      <c r="J71" s="819"/>
      <c r="K71" s="819"/>
      <c r="L71" s="819"/>
      <c r="M71" s="1128" t="str">
        <f>+IFERROR(VLOOKUP(G71,'S1&amp;2 Lists'!$C$8:$G$112,3,FALSE),"-")</f>
        <v>-</v>
      </c>
      <c r="N71" s="1128" t="str">
        <f t="shared" si="0"/>
        <v>-</v>
      </c>
      <c r="P71" s="1130">
        <f>ROUND(IF(L71='S1&amp;2 Lists'!$CV$3,K71,IF(L71='S1&amp;2 Lists'!$CV$4,K71/'S1&amp;2 Lists'!$CQ$6,0)),3)</f>
        <v>0</v>
      </c>
      <c r="Q71" s="11" t="s">
        <v>12</v>
      </c>
    </row>
    <row r="72" spans="1:17" s="1129" customFormat="1" ht="24" customHeight="1">
      <c r="A72" s="819"/>
      <c r="B72" s="819"/>
      <c r="C72" s="1131"/>
      <c r="D72" s="819"/>
      <c r="E72" s="1132"/>
      <c r="F72" s="819"/>
      <c r="G72" s="1134"/>
      <c r="H72" s="819"/>
      <c r="I72" s="1132"/>
      <c r="J72" s="819"/>
      <c r="K72" s="819"/>
      <c r="L72" s="819"/>
      <c r="M72" s="1128" t="str">
        <f>+IFERROR(VLOOKUP(G72,'S1&amp;2 Lists'!$C$8:$G$112,3,FALSE),"-")</f>
        <v>-</v>
      </c>
      <c r="N72" s="1128" t="str">
        <f t="shared" si="0"/>
        <v>-</v>
      </c>
      <c r="P72" s="1130">
        <f>ROUND(IF(L72='S1&amp;2 Lists'!$CV$3,K72,IF(L72='S1&amp;2 Lists'!$CV$4,K72/'S1&amp;2 Lists'!$CQ$6,0)),3)</f>
        <v>0</v>
      </c>
      <c r="Q72" s="11" t="s">
        <v>12</v>
      </c>
    </row>
    <row r="73" spans="1:17" s="1129" customFormat="1" ht="24" customHeight="1">
      <c r="A73" s="819"/>
      <c r="B73" s="819"/>
      <c r="C73" s="1131"/>
      <c r="D73" s="819"/>
      <c r="E73" s="1132"/>
      <c r="F73" s="819"/>
      <c r="G73" s="1134"/>
      <c r="H73" s="819"/>
      <c r="I73" s="1132"/>
      <c r="J73" s="819"/>
      <c r="K73" s="819"/>
      <c r="L73" s="819"/>
      <c r="M73" s="1128" t="str">
        <f>+IFERROR(VLOOKUP(G73,'S1&amp;2 Lists'!$C$8:$G$112,3,FALSE),"-")</f>
        <v>-</v>
      </c>
      <c r="N73" s="1128" t="str">
        <f t="shared" si="0"/>
        <v>-</v>
      </c>
      <c r="P73" s="1130">
        <f>ROUND(IF(L73='S1&amp;2 Lists'!$CV$3,K73,IF(L73='S1&amp;2 Lists'!$CV$4,K73/'S1&amp;2 Lists'!$CQ$6,0)),3)</f>
        <v>0</v>
      </c>
      <c r="Q73" s="11" t="s">
        <v>12</v>
      </c>
    </row>
    <row r="74" spans="1:17" s="1129" customFormat="1" ht="24" customHeight="1">
      <c r="A74" s="819"/>
      <c r="B74" s="819"/>
      <c r="C74" s="1131"/>
      <c r="D74" s="819"/>
      <c r="E74" s="1132"/>
      <c r="F74" s="819"/>
      <c r="G74" s="1134"/>
      <c r="H74" s="819"/>
      <c r="I74" s="1132"/>
      <c r="J74" s="819"/>
      <c r="K74" s="819"/>
      <c r="L74" s="819"/>
      <c r="M74" s="1128" t="str">
        <f>+IFERROR(VLOOKUP(G74,'S1&amp;2 Lists'!$C$8:$G$112,3,FALSE),"-")</f>
        <v>-</v>
      </c>
      <c r="N74" s="1128" t="str">
        <f t="shared" si="0"/>
        <v>-</v>
      </c>
      <c r="P74" s="1130">
        <f>ROUND(IF(L74='S1&amp;2 Lists'!$CV$3,K74,IF(L74='S1&amp;2 Lists'!$CV$4,K74/'S1&amp;2 Lists'!$CQ$6,0)),3)</f>
        <v>0</v>
      </c>
      <c r="Q74" s="11" t="s">
        <v>12</v>
      </c>
    </row>
    <row r="75" spans="1:17" s="1129" customFormat="1" ht="24" customHeight="1">
      <c r="A75" s="819"/>
      <c r="B75" s="819"/>
      <c r="C75" s="1131"/>
      <c r="D75" s="819"/>
      <c r="E75" s="1132"/>
      <c r="F75" s="819"/>
      <c r="G75" s="1134"/>
      <c r="H75" s="819"/>
      <c r="I75" s="1132"/>
      <c r="J75" s="819"/>
      <c r="K75" s="819"/>
      <c r="L75" s="819"/>
      <c r="M75" s="1128" t="str">
        <f>+IFERROR(VLOOKUP(G75,'S1&amp;2 Lists'!$C$8:$G$112,3,FALSE),"-")</f>
        <v>-</v>
      </c>
      <c r="N75" s="1128" t="str">
        <f t="shared" ref="N75:N138" si="1">+IFERROR(P75*M75,"-")</f>
        <v>-</v>
      </c>
      <c r="P75" s="1130">
        <f>ROUND(IF(L75='S1&amp;2 Lists'!$CV$3,K75,IF(L75='S1&amp;2 Lists'!$CV$4,K75/'S1&amp;2 Lists'!$CQ$6,0)),3)</f>
        <v>0</v>
      </c>
      <c r="Q75" s="11" t="s">
        <v>12</v>
      </c>
    </row>
    <row r="76" spans="1:17" s="1129" customFormat="1" ht="24" customHeight="1">
      <c r="A76" s="819"/>
      <c r="B76" s="819"/>
      <c r="C76" s="1131"/>
      <c r="D76" s="819"/>
      <c r="E76" s="1132"/>
      <c r="F76" s="819"/>
      <c r="G76" s="1134"/>
      <c r="H76" s="819"/>
      <c r="I76" s="1132"/>
      <c r="J76" s="819"/>
      <c r="K76" s="819"/>
      <c r="L76" s="819"/>
      <c r="M76" s="1128" t="str">
        <f>+IFERROR(VLOOKUP(G76,'S1&amp;2 Lists'!$C$8:$G$112,3,FALSE),"-")</f>
        <v>-</v>
      </c>
      <c r="N76" s="1128" t="str">
        <f t="shared" si="1"/>
        <v>-</v>
      </c>
      <c r="P76" s="1130">
        <f>ROUND(IF(L76='S1&amp;2 Lists'!$CV$3,K76,IF(L76='S1&amp;2 Lists'!$CV$4,K76/'S1&amp;2 Lists'!$CQ$6,0)),3)</f>
        <v>0</v>
      </c>
      <c r="Q76" s="11" t="s">
        <v>12</v>
      </c>
    </row>
    <row r="77" spans="1:17" s="1129" customFormat="1" ht="24" customHeight="1">
      <c r="A77" s="819"/>
      <c r="B77" s="819"/>
      <c r="C77" s="1131"/>
      <c r="D77" s="819"/>
      <c r="E77" s="1132"/>
      <c r="F77" s="819"/>
      <c r="G77" s="1134"/>
      <c r="H77" s="819"/>
      <c r="I77" s="1132"/>
      <c r="J77" s="819"/>
      <c r="K77" s="819"/>
      <c r="L77" s="819"/>
      <c r="M77" s="1128" t="str">
        <f>+IFERROR(VLOOKUP(G77,'S1&amp;2 Lists'!$C$8:$G$112,3,FALSE),"-")</f>
        <v>-</v>
      </c>
      <c r="N77" s="1128" t="str">
        <f t="shared" si="1"/>
        <v>-</v>
      </c>
      <c r="P77" s="1130">
        <f>ROUND(IF(L77='S1&amp;2 Lists'!$CV$3,K77,IF(L77='S1&amp;2 Lists'!$CV$4,K77/'S1&amp;2 Lists'!$CQ$6,0)),3)</f>
        <v>0</v>
      </c>
      <c r="Q77" s="11" t="s">
        <v>12</v>
      </c>
    </row>
    <row r="78" spans="1:17" s="1129" customFormat="1" ht="24" customHeight="1">
      <c r="A78" s="819"/>
      <c r="B78" s="819"/>
      <c r="C78" s="1131"/>
      <c r="D78" s="819"/>
      <c r="E78" s="1132"/>
      <c r="F78" s="819"/>
      <c r="G78" s="1134"/>
      <c r="H78" s="819"/>
      <c r="I78" s="1132"/>
      <c r="J78" s="819"/>
      <c r="K78" s="819"/>
      <c r="L78" s="819"/>
      <c r="M78" s="1128" t="str">
        <f>+IFERROR(VLOOKUP(G78,'S1&amp;2 Lists'!$C$8:$G$112,3,FALSE),"-")</f>
        <v>-</v>
      </c>
      <c r="N78" s="1128" t="str">
        <f t="shared" si="1"/>
        <v>-</v>
      </c>
      <c r="P78" s="1130">
        <f>ROUND(IF(L78='S1&amp;2 Lists'!$CV$3,K78,IF(L78='S1&amp;2 Lists'!$CV$4,K78/'S1&amp;2 Lists'!$CQ$6,0)),3)</f>
        <v>0</v>
      </c>
      <c r="Q78" s="11" t="s">
        <v>12</v>
      </c>
    </row>
    <row r="79" spans="1:17" s="1129" customFormat="1" ht="24" customHeight="1">
      <c r="A79" s="819"/>
      <c r="B79" s="819"/>
      <c r="C79" s="1131"/>
      <c r="D79" s="819"/>
      <c r="E79" s="1132"/>
      <c r="F79" s="819"/>
      <c r="G79" s="1134"/>
      <c r="H79" s="819"/>
      <c r="I79" s="1132"/>
      <c r="J79" s="819"/>
      <c r="K79" s="819"/>
      <c r="L79" s="819"/>
      <c r="M79" s="1128" t="str">
        <f>+IFERROR(VLOOKUP(G79,'S1&amp;2 Lists'!$C$8:$G$112,3,FALSE),"-")</f>
        <v>-</v>
      </c>
      <c r="N79" s="1128" t="str">
        <f t="shared" si="1"/>
        <v>-</v>
      </c>
      <c r="P79" s="1130">
        <f>ROUND(IF(L79='S1&amp;2 Lists'!$CV$3,K79,IF(L79='S1&amp;2 Lists'!$CV$4,K79/'S1&amp;2 Lists'!$CQ$6,0)),3)</f>
        <v>0</v>
      </c>
      <c r="Q79" s="11" t="s">
        <v>12</v>
      </c>
    </row>
    <row r="80" spans="1:17" s="1129" customFormat="1" ht="24" customHeight="1">
      <c r="A80" s="819"/>
      <c r="B80" s="819"/>
      <c r="C80" s="1131"/>
      <c r="D80" s="819"/>
      <c r="E80" s="1132"/>
      <c r="F80" s="819"/>
      <c r="G80" s="1134"/>
      <c r="H80" s="819"/>
      <c r="I80" s="1132"/>
      <c r="J80" s="819"/>
      <c r="K80" s="819"/>
      <c r="L80" s="819"/>
      <c r="M80" s="1128" t="str">
        <f>+IFERROR(VLOOKUP(G80,'S1&amp;2 Lists'!$C$8:$G$112,3,FALSE),"-")</f>
        <v>-</v>
      </c>
      <c r="N80" s="1128" t="str">
        <f t="shared" si="1"/>
        <v>-</v>
      </c>
      <c r="P80" s="1130">
        <f>ROUND(IF(L80='S1&amp;2 Lists'!$CV$3,K80,IF(L80='S1&amp;2 Lists'!$CV$4,K80/'S1&amp;2 Lists'!$CQ$6,0)),3)</f>
        <v>0</v>
      </c>
      <c r="Q80" s="11" t="s">
        <v>12</v>
      </c>
    </row>
    <row r="81" spans="1:17" s="1129" customFormat="1" ht="24" customHeight="1">
      <c r="A81" s="819"/>
      <c r="B81" s="819"/>
      <c r="C81" s="1131"/>
      <c r="D81" s="819"/>
      <c r="E81" s="1132"/>
      <c r="F81" s="819"/>
      <c r="G81" s="1134"/>
      <c r="H81" s="819"/>
      <c r="I81" s="1132"/>
      <c r="J81" s="819"/>
      <c r="K81" s="819"/>
      <c r="L81" s="819"/>
      <c r="M81" s="1128" t="str">
        <f>+IFERROR(VLOOKUP(G81,'S1&amp;2 Lists'!$C$8:$G$112,3,FALSE),"-")</f>
        <v>-</v>
      </c>
      <c r="N81" s="1128" t="str">
        <f t="shared" si="1"/>
        <v>-</v>
      </c>
      <c r="P81" s="1130">
        <f>ROUND(IF(L81='S1&amp;2 Lists'!$CV$3,K81,IF(L81='S1&amp;2 Lists'!$CV$4,K81/'S1&amp;2 Lists'!$CQ$6,0)),3)</f>
        <v>0</v>
      </c>
      <c r="Q81" s="11" t="s">
        <v>12</v>
      </c>
    </row>
    <row r="82" spans="1:17" s="1129" customFormat="1" ht="24" customHeight="1">
      <c r="A82" s="819"/>
      <c r="B82" s="819"/>
      <c r="C82" s="1131"/>
      <c r="D82" s="819"/>
      <c r="E82" s="1132"/>
      <c r="F82" s="819"/>
      <c r="G82" s="1134"/>
      <c r="H82" s="819"/>
      <c r="I82" s="1132"/>
      <c r="J82" s="819"/>
      <c r="K82" s="819"/>
      <c r="L82" s="819"/>
      <c r="M82" s="1128" t="str">
        <f>+IFERROR(VLOOKUP(G82,'S1&amp;2 Lists'!$C$8:$G$112,3,FALSE),"-")</f>
        <v>-</v>
      </c>
      <c r="N82" s="1128" t="str">
        <f t="shared" si="1"/>
        <v>-</v>
      </c>
      <c r="P82" s="1130">
        <f>ROUND(IF(L82='S1&amp;2 Lists'!$CV$3,K82,IF(L82='S1&amp;2 Lists'!$CV$4,K82/'S1&amp;2 Lists'!$CQ$6,0)),3)</f>
        <v>0</v>
      </c>
      <c r="Q82" s="11" t="s">
        <v>12</v>
      </c>
    </row>
    <row r="83" spans="1:17" s="1129" customFormat="1" ht="24" customHeight="1">
      <c r="A83" s="819"/>
      <c r="B83" s="819"/>
      <c r="C83" s="1131"/>
      <c r="D83" s="819"/>
      <c r="E83" s="1132"/>
      <c r="F83" s="819"/>
      <c r="G83" s="1134"/>
      <c r="H83" s="819"/>
      <c r="I83" s="1132"/>
      <c r="J83" s="819"/>
      <c r="K83" s="819"/>
      <c r="L83" s="819"/>
      <c r="M83" s="1128" t="str">
        <f>+IFERROR(VLOOKUP(G83,'S1&amp;2 Lists'!$C$8:$G$112,3,FALSE),"-")</f>
        <v>-</v>
      </c>
      <c r="N83" s="1128" t="str">
        <f t="shared" si="1"/>
        <v>-</v>
      </c>
      <c r="P83" s="1130">
        <f>ROUND(IF(L83='S1&amp;2 Lists'!$CV$3,K83,IF(L83='S1&amp;2 Lists'!$CV$4,K83/'S1&amp;2 Lists'!$CQ$6,0)),3)</f>
        <v>0</v>
      </c>
      <c r="Q83" s="11" t="s">
        <v>12</v>
      </c>
    </row>
    <row r="84" spans="1:17" s="1129" customFormat="1" ht="24" customHeight="1">
      <c r="A84" s="819"/>
      <c r="B84" s="819"/>
      <c r="C84" s="1131"/>
      <c r="D84" s="819"/>
      <c r="E84" s="1132"/>
      <c r="F84" s="819"/>
      <c r="G84" s="1134"/>
      <c r="H84" s="819"/>
      <c r="I84" s="1132"/>
      <c r="J84" s="819"/>
      <c r="K84" s="819"/>
      <c r="L84" s="819"/>
      <c r="M84" s="1128" t="str">
        <f>+IFERROR(VLOOKUP(G84,'S1&amp;2 Lists'!$C$8:$G$112,3,FALSE),"-")</f>
        <v>-</v>
      </c>
      <c r="N84" s="1128" t="str">
        <f t="shared" si="1"/>
        <v>-</v>
      </c>
      <c r="P84" s="1130">
        <f>ROUND(IF(L84='S1&amp;2 Lists'!$CV$3,K84,IF(L84='S1&amp;2 Lists'!$CV$4,K84/'S1&amp;2 Lists'!$CQ$6,0)),3)</f>
        <v>0</v>
      </c>
      <c r="Q84" s="11" t="s">
        <v>12</v>
      </c>
    </row>
    <row r="85" spans="1:17" s="1129" customFormat="1" ht="24" customHeight="1">
      <c r="A85" s="819"/>
      <c r="B85" s="819"/>
      <c r="C85" s="1131"/>
      <c r="D85" s="819"/>
      <c r="E85" s="1132"/>
      <c r="F85" s="819"/>
      <c r="G85" s="1134"/>
      <c r="H85" s="819"/>
      <c r="I85" s="1132"/>
      <c r="J85" s="819"/>
      <c r="K85" s="819"/>
      <c r="L85" s="819"/>
      <c r="M85" s="1128" t="str">
        <f>+IFERROR(VLOOKUP(G85,'S1&amp;2 Lists'!$C$8:$G$112,3,FALSE),"-")</f>
        <v>-</v>
      </c>
      <c r="N85" s="1128" t="str">
        <f t="shared" si="1"/>
        <v>-</v>
      </c>
      <c r="P85" s="1130">
        <f>ROUND(IF(L85='S1&amp;2 Lists'!$CV$3,K85,IF(L85='S1&amp;2 Lists'!$CV$4,K85/'S1&amp;2 Lists'!$CQ$6,0)),3)</f>
        <v>0</v>
      </c>
      <c r="Q85" s="11" t="s">
        <v>12</v>
      </c>
    </row>
    <row r="86" spans="1:17" s="1129" customFormat="1" ht="24" customHeight="1">
      <c r="A86" s="819"/>
      <c r="B86" s="819"/>
      <c r="C86" s="1131"/>
      <c r="D86" s="819"/>
      <c r="E86" s="1132"/>
      <c r="F86" s="819"/>
      <c r="G86" s="1134"/>
      <c r="H86" s="819"/>
      <c r="I86" s="1132"/>
      <c r="J86" s="819"/>
      <c r="K86" s="819"/>
      <c r="L86" s="819"/>
      <c r="M86" s="1128" t="str">
        <f>+IFERROR(VLOOKUP(G86,'S1&amp;2 Lists'!$C$8:$G$112,3,FALSE),"-")</f>
        <v>-</v>
      </c>
      <c r="N86" s="1128" t="str">
        <f t="shared" si="1"/>
        <v>-</v>
      </c>
      <c r="P86" s="1130">
        <f>ROUND(IF(L86='S1&amp;2 Lists'!$CV$3,K86,IF(L86='S1&amp;2 Lists'!$CV$4,K86/'S1&amp;2 Lists'!$CQ$6,0)),3)</f>
        <v>0</v>
      </c>
      <c r="Q86" s="11" t="s">
        <v>12</v>
      </c>
    </row>
    <row r="87" spans="1:17" s="1129" customFormat="1" ht="24" customHeight="1">
      <c r="A87" s="819"/>
      <c r="B87" s="819"/>
      <c r="C87" s="1131"/>
      <c r="D87" s="819"/>
      <c r="E87" s="1132"/>
      <c r="F87" s="819"/>
      <c r="G87" s="1134"/>
      <c r="H87" s="819"/>
      <c r="I87" s="1132"/>
      <c r="J87" s="819"/>
      <c r="K87" s="819"/>
      <c r="L87" s="819"/>
      <c r="M87" s="1128" t="str">
        <f>+IFERROR(VLOOKUP(G87,'S1&amp;2 Lists'!$C$8:$G$112,3,FALSE),"-")</f>
        <v>-</v>
      </c>
      <c r="N87" s="1128" t="str">
        <f t="shared" si="1"/>
        <v>-</v>
      </c>
      <c r="P87" s="1130">
        <f>ROUND(IF(L87='S1&amp;2 Lists'!$CV$3,K87,IF(L87='S1&amp;2 Lists'!$CV$4,K87/'S1&amp;2 Lists'!$CQ$6,0)),3)</f>
        <v>0</v>
      </c>
      <c r="Q87" s="11" t="s">
        <v>12</v>
      </c>
    </row>
    <row r="88" spans="1:17" s="1129" customFormat="1" ht="24" customHeight="1">
      <c r="A88" s="819"/>
      <c r="B88" s="819"/>
      <c r="C88" s="1131"/>
      <c r="D88" s="819"/>
      <c r="E88" s="1132"/>
      <c r="F88" s="819"/>
      <c r="G88" s="1134"/>
      <c r="H88" s="819"/>
      <c r="I88" s="1132"/>
      <c r="J88" s="819"/>
      <c r="K88" s="819"/>
      <c r="L88" s="819"/>
      <c r="M88" s="1128" t="str">
        <f>+IFERROR(VLOOKUP(G88,'S1&amp;2 Lists'!$C$8:$G$112,3,FALSE),"-")</f>
        <v>-</v>
      </c>
      <c r="N88" s="1128" t="str">
        <f t="shared" si="1"/>
        <v>-</v>
      </c>
      <c r="P88" s="1130">
        <f>ROUND(IF(L88='S1&amp;2 Lists'!$CV$3,K88,IF(L88='S1&amp;2 Lists'!$CV$4,K88/'S1&amp;2 Lists'!$CQ$6,0)),3)</f>
        <v>0</v>
      </c>
      <c r="Q88" s="11" t="s">
        <v>12</v>
      </c>
    </row>
    <row r="89" spans="1:17" s="1129" customFormat="1" ht="24" customHeight="1">
      <c r="A89" s="819"/>
      <c r="B89" s="819"/>
      <c r="C89" s="1131"/>
      <c r="D89" s="819"/>
      <c r="E89" s="1132"/>
      <c r="F89" s="819"/>
      <c r="G89" s="1134"/>
      <c r="H89" s="819"/>
      <c r="I89" s="1132"/>
      <c r="J89" s="819"/>
      <c r="K89" s="819"/>
      <c r="L89" s="819"/>
      <c r="M89" s="1128" t="str">
        <f>+IFERROR(VLOOKUP(G89,'S1&amp;2 Lists'!$C$8:$G$112,3,FALSE),"-")</f>
        <v>-</v>
      </c>
      <c r="N89" s="1128" t="str">
        <f t="shared" si="1"/>
        <v>-</v>
      </c>
      <c r="P89" s="1130">
        <f>ROUND(IF(L89='S1&amp;2 Lists'!$CV$3,K89,IF(L89='S1&amp;2 Lists'!$CV$4,K89/'S1&amp;2 Lists'!$CQ$6,0)),3)</f>
        <v>0</v>
      </c>
      <c r="Q89" s="11" t="s">
        <v>12</v>
      </c>
    </row>
    <row r="90" spans="1:17" s="1129" customFormat="1" ht="24" customHeight="1">
      <c r="A90" s="819"/>
      <c r="B90" s="819"/>
      <c r="C90" s="1131"/>
      <c r="D90" s="819"/>
      <c r="E90" s="1132"/>
      <c r="F90" s="819"/>
      <c r="G90" s="1134"/>
      <c r="H90" s="819"/>
      <c r="I90" s="1132"/>
      <c r="J90" s="819"/>
      <c r="K90" s="819"/>
      <c r="L90" s="819"/>
      <c r="M90" s="1128" t="str">
        <f>+IFERROR(VLOOKUP(G90,'S1&amp;2 Lists'!$C$8:$G$112,3,FALSE),"-")</f>
        <v>-</v>
      </c>
      <c r="N90" s="1128" t="str">
        <f t="shared" si="1"/>
        <v>-</v>
      </c>
      <c r="P90" s="1130">
        <f>ROUND(IF(L90='S1&amp;2 Lists'!$CV$3,K90,IF(L90='S1&amp;2 Lists'!$CV$4,K90/'S1&amp;2 Lists'!$CQ$6,0)),3)</f>
        <v>0</v>
      </c>
      <c r="Q90" s="11" t="s">
        <v>12</v>
      </c>
    </row>
    <row r="91" spans="1:17" s="1129" customFormat="1" ht="24" customHeight="1">
      <c r="A91" s="819"/>
      <c r="B91" s="819"/>
      <c r="C91" s="1131"/>
      <c r="D91" s="819"/>
      <c r="E91" s="1132"/>
      <c r="F91" s="819"/>
      <c r="G91" s="1134"/>
      <c r="H91" s="819"/>
      <c r="I91" s="1132"/>
      <c r="J91" s="819"/>
      <c r="K91" s="819"/>
      <c r="L91" s="819"/>
      <c r="M91" s="1128" t="str">
        <f>+IFERROR(VLOOKUP(G91,'S1&amp;2 Lists'!$C$8:$G$112,3,FALSE),"-")</f>
        <v>-</v>
      </c>
      <c r="N91" s="1128" t="str">
        <f t="shared" si="1"/>
        <v>-</v>
      </c>
      <c r="P91" s="1130">
        <f>ROUND(IF(L91='S1&amp;2 Lists'!$CV$3,K91,IF(L91='S1&amp;2 Lists'!$CV$4,K91/'S1&amp;2 Lists'!$CQ$6,0)),3)</f>
        <v>0</v>
      </c>
      <c r="Q91" s="11" t="s">
        <v>12</v>
      </c>
    </row>
    <row r="92" spans="1:17" s="1129" customFormat="1" ht="24" customHeight="1">
      <c r="A92" s="819"/>
      <c r="B92" s="819"/>
      <c r="C92" s="1131"/>
      <c r="D92" s="819"/>
      <c r="E92" s="1132"/>
      <c r="F92" s="819"/>
      <c r="G92" s="1134"/>
      <c r="H92" s="819"/>
      <c r="I92" s="1132"/>
      <c r="J92" s="819"/>
      <c r="K92" s="819"/>
      <c r="L92" s="819"/>
      <c r="M92" s="1128" t="str">
        <f>+IFERROR(VLOOKUP(G92,'S1&amp;2 Lists'!$C$8:$G$112,3,FALSE),"-")</f>
        <v>-</v>
      </c>
      <c r="N92" s="1128" t="str">
        <f t="shared" si="1"/>
        <v>-</v>
      </c>
      <c r="P92" s="1130">
        <f>ROUND(IF(L92='S1&amp;2 Lists'!$CV$3,K92,IF(L92='S1&amp;2 Lists'!$CV$4,K92/'S1&amp;2 Lists'!$CQ$6,0)),3)</f>
        <v>0</v>
      </c>
      <c r="Q92" s="11" t="s">
        <v>12</v>
      </c>
    </row>
    <row r="93" spans="1:17" s="1129" customFormat="1" ht="24" customHeight="1">
      <c r="A93" s="819"/>
      <c r="B93" s="819"/>
      <c r="C93" s="1131"/>
      <c r="D93" s="819"/>
      <c r="E93" s="1132"/>
      <c r="F93" s="819"/>
      <c r="G93" s="1134"/>
      <c r="H93" s="819"/>
      <c r="I93" s="1132"/>
      <c r="J93" s="819"/>
      <c r="K93" s="819"/>
      <c r="L93" s="819"/>
      <c r="M93" s="1128" t="str">
        <f>+IFERROR(VLOOKUP(G93,'S1&amp;2 Lists'!$C$8:$G$112,3,FALSE),"-")</f>
        <v>-</v>
      </c>
      <c r="N93" s="1128" t="str">
        <f t="shared" si="1"/>
        <v>-</v>
      </c>
      <c r="P93" s="1130">
        <f>ROUND(IF(L93='S1&amp;2 Lists'!$CV$3,K93,IF(L93='S1&amp;2 Lists'!$CV$4,K93/'S1&amp;2 Lists'!$CQ$6,0)),3)</f>
        <v>0</v>
      </c>
      <c r="Q93" s="11" t="s">
        <v>12</v>
      </c>
    </row>
    <row r="94" spans="1:17" s="1129" customFormat="1" ht="24" customHeight="1">
      <c r="A94" s="819"/>
      <c r="B94" s="819"/>
      <c r="C94" s="1131"/>
      <c r="D94" s="819"/>
      <c r="E94" s="1132"/>
      <c r="F94" s="819"/>
      <c r="G94" s="1134"/>
      <c r="H94" s="819"/>
      <c r="I94" s="1132"/>
      <c r="J94" s="819"/>
      <c r="K94" s="819"/>
      <c r="L94" s="819"/>
      <c r="M94" s="1128" t="str">
        <f>+IFERROR(VLOOKUP(G94,'S1&amp;2 Lists'!$C$8:$G$112,3,FALSE),"-")</f>
        <v>-</v>
      </c>
      <c r="N94" s="1128" t="str">
        <f t="shared" si="1"/>
        <v>-</v>
      </c>
      <c r="P94" s="1130">
        <f>ROUND(IF(L94='S1&amp;2 Lists'!$CV$3,K94,IF(L94='S1&amp;2 Lists'!$CV$4,K94/'S1&amp;2 Lists'!$CQ$6,0)),3)</f>
        <v>0</v>
      </c>
      <c r="Q94" s="11" t="s">
        <v>12</v>
      </c>
    </row>
    <row r="95" spans="1:17" s="1129" customFormat="1" ht="24" customHeight="1">
      <c r="A95" s="819"/>
      <c r="B95" s="819"/>
      <c r="C95" s="1131"/>
      <c r="D95" s="819"/>
      <c r="E95" s="1132"/>
      <c r="F95" s="819"/>
      <c r="G95" s="1134"/>
      <c r="H95" s="819"/>
      <c r="I95" s="1132"/>
      <c r="J95" s="819"/>
      <c r="K95" s="819"/>
      <c r="L95" s="819"/>
      <c r="M95" s="1128" t="str">
        <f>+IFERROR(VLOOKUP(G95,'S1&amp;2 Lists'!$C$8:$G$112,3,FALSE),"-")</f>
        <v>-</v>
      </c>
      <c r="N95" s="1128" t="str">
        <f t="shared" si="1"/>
        <v>-</v>
      </c>
      <c r="P95" s="1130">
        <f>ROUND(IF(L95='S1&amp;2 Lists'!$CV$3,K95,IF(L95='S1&amp;2 Lists'!$CV$4,K95/'S1&amp;2 Lists'!$CQ$6,0)),3)</f>
        <v>0</v>
      </c>
      <c r="Q95" s="11" t="s">
        <v>12</v>
      </c>
    </row>
    <row r="96" spans="1:17" s="1129" customFormat="1" ht="24" customHeight="1">
      <c r="A96" s="819"/>
      <c r="B96" s="819"/>
      <c r="C96" s="1131"/>
      <c r="D96" s="819"/>
      <c r="E96" s="1132"/>
      <c r="F96" s="819"/>
      <c r="G96" s="1134"/>
      <c r="H96" s="819"/>
      <c r="I96" s="1132"/>
      <c r="J96" s="819"/>
      <c r="K96" s="819"/>
      <c r="L96" s="819"/>
      <c r="M96" s="1128" t="str">
        <f>+IFERROR(VLOOKUP(G96,'S1&amp;2 Lists'!$C$8:$G$112,3,FALSE),"-")</f>
        <v>-</v>
      </c>
      <c r="N96" s="1128" t="str">
        <f t="shared" si="1"/>
        <v>-</v>
      </c>
      <c r="P96" s="1130">
        <f>ROUND(IF(L96='S1&amp;2 Lists'!$CV$3,K96,IF(L96='S1&amp;2 Lists'!$CV$4,K96/'S1&amp;2 Lists'!$CQ$6,0)),3)</f>
        <v>0</v>
      </c>
      <c r="Q96" s="11" t="s">
        <v>12</v>
      </c>
    </row>
    <row r="97" spans="1:17" s="1129" customFormat="1" ht="24" customHeight="1">
      <c r="A97" s="819"/>
      <c r="B97" s="819"/>
      <c r="C97" s="1131"/>
      <c r="D97" s="819"/>
      <c r="E97" s="1132"/>
      <c r="F97" s="819"/>
      <c r="G97" s="1134"/>
      <c r="H97" s="819"/>
      <c r="I97" s="1132"/>
      <c r="J97" s="819"/>
      <c r="K97" s="819"/>
      <c r="L97" s="819"/>
      <c r="M97" s="1128" t="str">
        <f>+IFERROR(VLOOKUP(G97,'S1&amp;2 Lists'!$C$8:$G$112,3,FALSE),"-")</f>
        <v>-</v>
      </c>
      <c r="N97" s="1128" t="str">
        <f t="shared" si="1"/>
        <v>-</v>
      </c>
      <c r="P97" s="1130">
        <f>ROUND(IF(L97='S1&amp;2 Lists'!$CV$3,K97,IF(L97='S1&amp;2 Lists'!$CV$4,K97/'S1&amp;2 Lists'!$CQ$6,0)),3)</f>
        <v>0</v>
      </c>
      <c r="Q97" s="11" t="s">
        <v>12</v>
      </c>
    </row>
    <row r="98" spans="1:17" s="1129" customFormat="1" ht="24" customHeight="1">
      <c r="A98" s="819"/>
      <c r="B98" s="819"/>
      <c r="C98" s="1131"/>
      <c r="D98" s="819"/>
      <c r="E98" s="1132"/>
      <c r="F98" s="819"/>
      <c r="G98" s="1134"/>
      <c r="H98" s="819"/>
      <c r="I98" s="1132"/>
      <c r="J98" s="819"/>
      <c r="K98" s="819"/>
      <c r="L98" s="819"/>
      <c r="M98" s="1128" t="str">
        <f>+IFERROR(VLOOKUP(G98,'S1&amp;2 Lists'!$C$8:$G$112,3,FALSE),"-")</f>
        <v>-</v>
      </c>
      <c r="N98" s="1128" t="str">
        <f t="shared" si="1"/>
        <v>-</v>
      </c>
      <c r="P98" s="1130">
        <f>ROUND(IF(L98='S1&amp;2 Lists'!$CV$3,K98,IF(L98='S1&amp;2 Lists'!$CV$4,K98/'S1&amp;2 Lists'!$CQ$6,0)),3)</f>
        <v>0</v>
      </c>
      <c r="Q98" s="11" t="s">
        <v>12</v>
      </c>
    </row>
    <row r="99" spans="1:17" s="1129" customFormat="1" ht="24" customHeight="1">
      <c r="A99" s="819"/>
      <c r="B99" s="819"/>
      <c r="C99" s="1131"/>
      <c r="D99" s="819"/>
      <c r="E99" s="1132"/>
      <c r="F99" s="819"/>
      <c r="G99" s="1134"/>
      <c r="H99" s="819"/>
      <c r="I99" s="1132"/>
      <c r="J99" s="819"/>
      <c r="K99" s="819"/>
      <c r="L99" s="819"/>
      <c r="M99" s="1128" t="str">
        <f>+IFERROR(VLOOKUP(G99,'S1&amp;2 Lists'!$C$8:$G$112,3,FALSE),"-")</f>
        <v>-</v>
      </c>
      <c r="N99" s="1128" t="str">
        <f t="shared" si="1"/>
        <v>-</v>
      </c>
      <c r="P99" s="1130">
        <f>ROUND(IF(L99='S1&amp;2 Lists'!$CV$3,K99,IF(L99='S1&amp;2 Lists'!$CV$4,K99/'S1&amp;2 Lists'!$CQ$6,0)),3)</f>
        <v>0</v>
      </c>
      <c r="Q99" s="11" t="s">
        <v>12</v>
      </c>
    </row>
    <row r="100" spans="1:17" s="1129" customFormat="1" ht="24" customHeight="1">
      <c r="A100" s="819"/>
      <c r="B100" s="819"/>
      <c r="C100" s="1131"/>
      <c r="D100" s="819"/>
      <c r="E100" s="1132"/>
      <c r="F100" s="819"/>
      <c r="G100" s="1134"/>
      <c r="H100" s="819"/>
      <c r="I100" s="1132"/>
      <c r="J100" s="819"/>
      <c r="K100" s="819"/>
      <c r="L100" s="819"/>
      <c r="M100" s="1128" t="str">
        <f>+IFERROR(VLOOKUP(G100,'S1&amp;2 Lists'!$C$8:$G$112,3,FALSE),"-")</f>
        <v>-</v>
      </c>
      <c r="N100" s="1128" t="str">
        <f t="shared" si="1"/>
        <v>-</v>
      </c>
      <c r="P100" s="1130">
        <f>ROUND(IF(L100='S1&amp;2 Lists'!$CV$3,K100,IF(L100='S1&amp;2 Lists'!$CV$4,K100/'S1&amp;2 Lists'!$CQ$6,0)),3)</f>
        <v>0</v>
      </c>
      <c r="Q100" s="11" t="s">
        <v>12</v>
      </c>
    </row>
    <row r="101" spans="1:17" s="1129" customFormat="1" ht="24" customHeight="1">
      <c r="A101" s="819"/>
      <c r="B101" s="819"/>
      <c r="C101" s="1131"/>
      <c r="D101" s="819"/>
      <c r="E101" s="1132"/>
      <c r="F101" s="819"/>
      <c r="G101" s="1134"/>
      <c r="H101" s="819"/>
      <c r="I101" s="1132"/>
      <c r="J101" s="819"/>
      <c r="K101" s="819"/>
      <c r="L101" s="819"/>
      <c r="M101" s="1128" t="str">
        <f>+IFERROR(VLOOKUP(G101,'S1&amp;2 Lists'!$C$8:$G$112,3,FALSE),"-")</f>
        <v>-</v>
      </c>
      <c r="N101" s="1128" t="str">
        <f t="shared" si="1"/>
        <v>-</v>
      </c>
      <c r="P101" s="1130">
        <f>ROUND(IF(L101='S1&amp;2 Lists'!$CV$3,K101,IF(L101='S1&amp;2 Lists'!$CV$4,K101/'S1&amp;2 Lists'!$CQ$6,0)),3)</f>
        <v>0</v>
      </c>
      <c r="Q101" s="11" t="s">
        <v>12</v>
      </c>
    </row>
    <row r="102" spans="1:17" s="1129" customFormat="1" ht="24" customHeight="1">
      <c r="A102" s="819"/>
      <c r="B102" s="819"/>
      <c r="C102" s="1131"/>
      <c r="D102" s="819"/>
      <c r="E102" s="1132"/>
      <c r="F102" s="819"/>
      <c r="G102" s="1134"/>
      <c r="H102" s="819"/>
      <c r="I102" s="1132"/>
      <c r="J102" s="819"/>
      <c r="K102" s="819"/>
      <c r="L102" s="819"/>
      <c r="M102" s="1128" t="str">
        <f>+IFERROR(VLOOKUP(G102,'S1&amp;2 Lists'!$C$8:$G$112,3,FALSE),"-")</f>
        <v>-</v>
      </c>
      <c r="N102" s="1128" t="str">
        <f t="shared" si="1"/>
        <v>-</v>
      </c>
      <c r="P102" s="1130">
        <f>ROUND(IF(L102='S1&amp;2 Lists'!$CV$3,K102,IF(L102='S1&amp;2 Lists'!$CV$4,K102/'S1&amp;2 Lists'!$CQ$6,0)),3)</f>
        <v>0</v>
      </c>
      <c r="Q102" s="11" t="s">
        <v>12</v>
      </c>
    </row>
    <row r="103" spans="1:17" s="1129" customFormat="1" ht="24" customHeight="1">
      <c r="A103" s="819"/>
      <c r="B103" s="819"/>
      <c r="C103" s="1131"/>
      <c r="D103" s="819"/>
      <c r="E103" s="1132"/>
      <c r="F103" s="819"/>
      <c r="G103" s="1134"/>
      <c r="H103" s="819"/>
      <c r="I103" s="1132"/>
      <c r="J103" s="819"/>
      <c r="K103" s="819"/>
      <c r="L103" s="819"/>
      <c r="M103" s="1128" t="str">
        <f>+IFERROR(VLOOKUP(G103,'S1&amp;2 Lists'!$C$8:$G$112,3,FALSE),"-")</f>
        <v>-</v>
      </c>
      <c r="N103" s="1128" t="str">
        <f t="shared" si="1"/>
        <v>-</v>
      </c>
      <c r="P103" s="1130">
        <f>ROUND(IF(L103='S1&amp;2 Lists'!$CV$3,K103,IF(L103='S1&amp;2 Lists'!$CV$4,K103/'S1&amp;2 Lists'!$CQ$6,0)),3)</f>
        <v>0</v>
      </c>
      <c r="Q103" s="11" t="s">
        <v>12</v>
      </c>
    </row>
    <row r="104" spans="1:17" s="1129" customFormat="1" ht="24" customHeight="1">
      <c r="A104" s="819"/>
      <c r="B104" s="819"/>
      <c r="C104" s="1131"/>
      <c r="D104" s="819"/>
      <c r="E104" s="1132"/>
      <c r="F104" s="819"/>
      <c r="G104" s="1134"/>
      <c r="H104" s="819"/>
      <c r="I104" s="1132"/>
      <c r="J104" s="819"/>
      <c r="K104" s="819"/>
      <c r="L104" s="819"/>
      <c r="M104" s="1128" t="str">
        <f>+IFERROR(VLOOKUP(G104,'S1&amp;2 Lists'!$C$8:$G$112,3,FALSE),"-")</f>
        <v>-</v>
      </c>
      <c r="N104" s="1128" t="str">
        <f t="shared" si="1"/>
        <v>-</v>
      </c>
      <c r="P104" s="1130">
        <f>ROUND(IF(L104='S1&amp;2 Lists'!$CV$3,K104,IF(L104='S1&amp;2 Lists'!$CV$4,K104/'S1&amp;2 Lists'!$CQ$6,0)),3)</f>
        <v>0</v>
      </c>
      <c r="Q104" s="11" t="s">
        <v>12</v>
      </c>
    </row>
    <row r="105" spans="1:17" s="1129" customFormat="1" ht="24" customHeight="1">
      <c r="A105" s="819"/>
      <c r="B105" s="819"/>
      <c r="C105" s="1131"/>
      <c r="D105" s="819"/>
      <c r="E105" s="1132"/>
      <c r="F105" s="819"/>
      <c r="G105" s="1134"/>
      <c r="H105" s="819"/>
      <c r="I105" s="1132"/>
      <c r="J105" s="819"/>
      <c r="K105" s="819"/>
      <c r="L105" s="819"/>
      <c r="M105" s="1128" t="str">
        <f>+IFERROR(VLOOKUP(G105,'S1&amp;2 Lists'!$C$8:$G$112,3,FALSE),"-")</f>
        <v>-</v>
      </c>
      <c r="N105" s="1128" t="str">
        <f t="shared" si="1"/>
        <v>-</v>
      </c>
      <c r="P105" s="1130">
        <f>ROUND(IF(L105='S1&amp;2 Lists'!$CV$3,K105,IF(L105='S1&amp;2 Lists'!$CV$4,K105/'S1&amp;2 Lists'!$CQ$6,0)),3)</f>
        <v>0</v>
      </c>
      <c r="Q105" s="11" t="s">
        <v>12</v>
      </c>
    </row>
    <row r="106" spans="1:17" s="1129" customFormat="1" ht="24" customHeight="1">
      <c r="A106" s="819"/>
      <c r="B106" s="819"/>
      <c r="C106" s="1131"/>
      <c r="D106" s="819"/>
      <c r="E106" s="1132"/>
      <c r="F106" s="819"/>
      <c r="G106" s="1134"/>
      <c r="H106" s="819"/>
      <c r="I106" s="1132"/>
      <c r="J106" s="819"/>
      <c r="K106" s="819"/>
      <c r="L106" s="819"/>
      <c r="M106" s="1128" t="str">
        <f>+IFERROR(VLOOKUP(G106,'S1&amp;2 Lists'!$C$8:$G$112,3,FALSE),"-")</f>
        <v>-</v>
      </c>
      <c r="N106" s="1128" t="str">
        <f t="shared" si="1"/>
        <v>-</v>
      </c>
      <c r="P106" s="1130">
        <f>ROUND(IF(L106='S1&amp;2 Lists'!$CV$3,K106,IF(L106='S1&amp;2 Lists'!$CV$4,K106/'S1&amp;2 Lists'!$CQ$6,0)),3)</f>
        <v>0</v>
      </c>
      <c r="Q106" s="11" t="s">
        <v>12</v>
      </c>
    </row>
    <row r="107" spans="1:17" s="1129" customFormat="1" ht="24" customHeight="1">
      <c r="A107" s="819"/>
      <c r="B107" s="819"/>
      <c r="C107" s="1131"/>
      <c r="D107" s="819"/>
      <c r="E107" s="1132"/>
      <c r="F107" s="819"/>
      <c r="G107" s="1134"/>
      <c r="H107" s="819"/>
      <c r="I107" s="1132"/>
      <c r="J107" s="819"/>
      <c r="K107" s="819"/>
      <c r="L107" s="819"/>
      <c r="M107" s="1128" t="str">
        <f>+IFERROR(VLOOKUP(G107,'S1&amp;2 Lists'!$C$8:$G$112,3,FALSE),"-")</f>
        <v>-</v>
      </c>
      <c r="N107" s="1128" t="str">
        <f t="shared" si="1"/>
        <v>-</v>
      </c>
      <c r="P107" s="1130">
        <f>ROUND(IF(L107='S1&amp;2 Lists'!$CV$3,K107,IF(L107='S1&amp;2 Lists'!$CV$4,K107/'S1&amp;2 Lists'!$CQ$6,0)),3)</f>
        <v>0</v>
      </c>
      <c r="Q107" s="11" t="s">
        <v>12</v>
      </c>
    </row>
    <row r="108" spans="1:17" s="1129" customFormat="1" ht="24" customHeight="1">
      <c r="A108" s="819"/>
      <c r="B108" s="819"/>
      <c r="C108" s="1131"/>
      <c r="D108" s="819"/>
      <c r="E108" s="1132"/>
      <c r="F108" s="819"/>
      <c r="G108" s="1134"/>
      <c r="H108" s="819"/>
      <c r="I108" s="1132"/>
      <c r="J108" s="819"/>
      <c r="K108" s="819"/>
      <c r="L108" s="819"/>
      <c r="M108" s="1128" t="str">
        <f>+IFERROR(VLOOKUP(G108,'S1&amp;2 Lists'!$C$8:$G$112,3,FALSE),"-")</f>
        <v>-</v>
      </c>
      <c r="N108" s="1128" t="str">
        <f t="shared" si="1"/>
        <v>-</v>
      </c>
      <c r="P108" s="1130">
        <f>ROUND(IF(L108='S1&amp;2 Lists'!$CV$3,K108,IF(L108='S1&amp;2 Lists'!$CV$4,K108/'S1&amp;2 Lists'!$CQ$6,0)),3)</f>
        <v>0</v>
      </c>
      <c r="Q108" s="11" t="s">
        <v>12</v>
      </c>
    </row>
    <row r="109" spans="1:17" s="1129" customFormat="1" ht="24" customHeight="1">
      <c r="A109" s="819"/>
      <c r="B109" s="819"/>
      <c r="C109" s="1131"/>
      <c r="D109" s="819"/>
      <c r="E109" s="1132"/>
      <c r="F109" s="819"/>
      <c r="G109" s="1134"/>
      <c r="H109" s="819"/>
      <c r="I109" s="1132"/>
      <c r="J109" s="819"/>
      <c r="K109" s="819"/>
      <c r="L109" s="819"/>
      <c r="M109" s="1128" t="str">
        <f>+IFERROR(VLOOKUP(G109,'S1&amp;2 Lists'!$C$8:$G$112,3,FALSE),"-")</f>
        <v>-</v>
      </c>
      <c r="N109" s="1128" t="str">
        <f t="shared" si="1"/>
        <v>-</v>
      </c>
      <c r="P109" s="1130">
        <f>ROUND(IF(L109='S1&amp;2 Lists'!$CV$3,K109,IF(L109='S1&amp;2 Lists'!$CV$4,K109/'S1&amp;2 Lists'!$CQ$6,0)),3)</f>
        <v>0</v>
      </c>
      <c r="Q109" s="11" t="s">
        <v>12</v>
      </c>
    </row>
    <row r="110" spans="1:17" s="1129" customFormat="1" ht="24" customHeight="1">
      <c r="A110" s="819"/>
      <c r="B110" s="819"/>
      <c r="C110" s="1131"/>
      <c r="D110" s="819"/>
      <c r="E110" s="1132"/>
      <c r="F110" s="819"/>
      <c r="G110" s="1134"/>
      <c r="H110" s="819"/>
      <c r="I110" s="1132"/>
      <c r="J110" s="819"/>
      <c r="K110" s="819"/>
      <c r="L110" s="819"/>
      <c r="M110" s="1128" t="str">
        <f>+IFERROR(VLOOKUP(G110,'S1&amp;2 Lists'!$C$8:$G$112,3,FALSE),"-")</f>
        <v>-</v>
      </c>
      <c r="N110" s="1128" t="str">
        <f t="shared" si="1"/>
        <v>-</v>
      </c>
      <c r="P110" s="1130">
        <f>ROUND(IF(L110='S1&amp;2 Lists'!$CV$3,K110,IF(L110='S1&amp;2 Lists'!$CV$4,K110/'S1&amp;2 Lists'!$CQ$6,0)),3)</f>
        <v>0</v>
      </c>
      <c r="Q110" s="11" t="s">
        <v>12</v>
      </c>
    </row>
    <row r="111" spans="1:17" s="1129" customFormat="1" ht="24" customHeight="1">
      <c r="A111" s="819"/>
      <c r="B111" s="819"/>
      <c r="C111" s="1131"/>
      <c r="D111" s="819"/>
      <c r="E111" s="1132"/>
      <c r="F111" s="819"/>
      <c r="G111" s="1134"/>
      <c r="H111" s="819"/>
      <c r="I111" s="1132"/>
      <c r="J111" s="819"/>
      <c r="K111" s="819"/>
      <c r="L111" s="819"/>
      <c r="M111" s="1128" t="str">
        <f>+IFERROR(VLOOKUP(G111,'S1&amp;2 Lists'!$C$8:$G$112,3,FALSE),"-")</f>
        <v>-</v>
      </c>
      <c r="N111" s="1128" t="str">
        <f t="shared" si="1"/>
        <v>-</v>
      </c>
      <c r="P111" s="1130">
        <f>ROUND(IF(L111='S1&amp;2 Lists'!$CV$3,K111,IF(L111='S1&amp;2 Lists'!$CV$4,K111/'S1&amp;2 Lists'!$CQ$6,0)),3)</f>
        <v>0</v>
      </c>
      <c r="Q111" s="11" t="s">
        <v>12</v>
      </c>
    </row>
    <row r="112" spans="1:17" s="1129" customFormat="1" ht="24" customHeight="1">
      <c r="A112" s="819"/>
      <c r="B112" s="819"/>
      <c r="C112" s="1131"/>
      <c r="D112" s="819"/>
      <c r="E112" s="1132"/>
      <c r="F112" s="819"/>
      <c r="G112" s="1134"/>
      <c r="H112" s="819"/>
      <c r="I112" s="1132"/>
      <c r="J112" s="819"/>
      <c r="K112" s="819"/>
      <c r="L112" s="819"/>
      <c r="M112" s="1128" t="str">
        <f>+IFERROR(VLOOKUP(G112,'S1&amp;2 Lists'!$C$8:$G$112,3,FALSE),"-")</f>
        <v>-</v>
      </c>
      <c r="N112" s="1128" t="str">
        <f t="shared" si="1"/>
        <v>-</v>
      </c>
      <c r="P112" s="1130">
        <f>ROUND(IF(L112='S1&amp;2 Lists'!$CV$3,K112,IF(L112='S1&amp;2 Lists'!$CV$4,K112/'S1&amp;2 Lists'!$CQ$6,0)),3)</f>
        <v>0</v>
      </c>
      <c r="Q112" s="11" t="s">
        <v>12</v>
      </c>
    </row>
    <row r="113" spans="1:17" s="1129" customFormat="1" ht="24" customHeight="1">
      <c r="A113" s="819"/>
      <c r="B113" s="819"/>
      <c r="C113" s="1131"/>
      <c r="D113" s="819"/>
      <c r="E113" s="1132"/>
      <c r="F113" s="819"/>
      <c r="G113" s="1134"/>
      <c r="H113" s="819"/>
      <c r="I113" s="1132"/>
      <c r="J113" s="819"/>
      <c r="K113" s="819"/>
      <c r="L113" s="819"/>
      <c r="M113" s="1128" t="str">
        <f>+IFERROR(VLOOKUP(G113,'S1&amp;2 Lists'!$C$8:$G$112,3,FALSE),"-")</f>
        <v>-</v>
      </c>
      <c r="N113" s="1128" t="str">
        <f t="shared" si="1"/>
        <v>-</v>
      </c>
      <c r="P113" s="1130">
        <f>ROUND(IF(L113='S1&amp;2 Lists'!$CV$3,K113,IF(L113='S1&amp;2 Lists'!$CV$4,K113/'S1&amp;2 Lists'!$CQ$6,0)),3)</f>
        <v>0</v>
      </c>
      <c r="Q113" s="11" t="s">
        <v>12</v>
      </c>
    </row>
    <row r="114" spans="1:17" s="1129" customFormat="1" ht="24" customHeight="1">
      <c r="A114" s="819"/>
      <c r="B114" s="819"/>
      <c r="C114" s="1131"/>
      <c r="D114" s="819"/>
      <c r="E114" s="1132"/>
      <c r="F114" s="819"/>
      <c r="G114" s="1134"/>
      <c r="H114" s="819"/>
      <c r="I114" s="1132"/>
      <c r="J114" s="819"/>
      <c r="K114" s="819"/>
      <c r="L114" s="819"/>
      <c r="M114" s="1128" t="str">
        <f>+IFERROR(VLOOKUP(G114,'S1&amp;2 Lists'!$C$8:$G$112,3,FALSE),"-")</f>
        <v>-</v>
      </c>
      <c r="N114" s="1128" t="str">
        <f t="shared" si="1"/>
        <v>-</v>
      </c>
      <c r="P114" s="1130">
        <f>ROUND(IF(L114='S1&amp;2 Lists'!$CV$3,K114,IF(L114='S1&amp;2 Lists'!$CV$4,K114/'S1&amp;2 Lists'!$CQ$6,0)),3)</f>
        <v>0</v>
      </c>
      <c r="Q114" s="11" t="s">
        <v>12</v>
      </c>
    </row>
    <row r="115" spans="1:17" s="1129" customFormat="1" ht="24" customHeight="1">
      <c r="A115" s="819"/>
      <c r="B115" s="819"/>
      <c r="C115" s="1131"/>
      <c r="D115" s="819"/>
      <c r="E115" s="1132"/>
      <c r="F115" s="819"/>
      <c r="G115" s="1134"/>
      <c r="H115" s="819"/>
      <c r="I115" s="1132"/>
      <c r="J115" s="819"/>
      <c r="K115" s="819"/>
      <c r="L115" s="819"/>
      <c r="M115" s="1128" t="str">
        <f>+IFERROR(VLOOKUP(G115,'S1&amp;2 Lists'!$C$8:$G$112,3,FALSE),"-")</f>
        <v>-</v>
      </c>
      <c r="N115" s="1128" t="str">
        <f t="shared" si="1"/>
        <v>-</v>
      </c>
      <c r="P115" s="1130">
        <f>ROUND(IF(L115='S1&amp;2 Lists'!$CV$3,K115,IF(L115='S1&amp;2 Lists'!$CV$4,K115/'S1&amp;2 Lists'!$CQ$6,0)),3)</f>
        <v>0</v>
      </c>
      <c r="Q115" s="11" t="s">
        <v>12</v>
      </c>
    </row>
    <row r="116" spans="1:17" s="1129" customFormat="1" ht="24" customHeight="1">
      <c r="A116" s="819"/>
      <c r="B116" s="819"/>
      <c r="C116" s="1131"/>
      <c r="D116" s="819"/>
      <c r="E116" s="1132"/>
      <c r="F116" s="819"/>
      <c r="G116" s="1134"/>
      <c r="H116" s="819"/>
      <c r="I116" s="1132"/>
      <c r="J116" s="819"/>
      <c r="K116" s="819"/>
      <c r="L116" s="819"/>
      <c r="M116" s="1128" t="str">
        <f>+IFERROR(VLOOKUP(G116,'S1&amp;2 Lists'!$C$8:$G$112,3,FALSE),"-")</f>
        <v>-</v>
      </c>
      <c r="N116" s="1128" t="str">
        <f t="shared" si="1"/>
        <v>-</v>
      </c>
      <c r="P116" s="1130">
        <f>ROUND(IF(L116='S1&amp;2 Lists'!$CV$3,K116,IF(L116='S1&amp;2 Lists'!$CV$4,K116/'S1&amp;2 Lists'!$CQ$6,0)),3)</f>
        <v>0</v>
      </c>
      <c r="Q116" s="11" t="s">
        <v>12</v>
      </c>
    </row>
    <row r="117" spans="1:17" s="1129" customFormat="1" ht="24" customHeight="1">
      <c r="A117" s="819"/>
      <c r="B117" s="819"/>
      <c r="C117" s="1131"/>
      <c r="D117" s="819"/>
      <c r="E117" s="1132"/>
      <c r="F117" s="819"/>
      <c r="G117" s="1134"/>
      <c r="H117" s="819"/>
      <c r="I117" s="1132"/>
      <c r="J117" s="819"/>
      <c r="K117" s="819"/>
      <c r="L117" s="819"/>
      <c r="M117" s="1128" t="str">
        <f>+IFERROR(VLOOKUP(G117,'S1&amp;2 Lists'!$C$8:$G$112,3,FALSE),"-")</f>
        <v>-</v>
      </c>
      <c r="N117" s="1128" t="str">
        <f t="shared" si="1"/>
        <v>-</v>
      </c>
      <c r="P117" s="1130">
        <f>ROUND(IF(L117='S1&amp;2 Lists'!$CV$3,K117,IF(L117='S1&amp;2 Lists'!$CV$4,K117/'S1&amp;2 Lists'!$CQ$6,0)),3)</f>
        <v>0</v>
      </c>
      <c r="Q117" s="11" t="s">
        <v>12</v>
      </c>
    </row>
    <row r="118" spans="1:17" s="1129" customFormat="1" ht="24" customHeight="1">
      <c r="A118" s="819"/>
      <c r="B118" s="819"/>
      <c r="C118" s="1131"/>
      <c r="D118" s="819"/>
      <c r="E118" s="1132"/>
      <c r="F118" s="819"/>
      <c r="G118" s="1134"/>
      <c r="H118" s="819"/>
      <c r="I118" s="1132"/>
      <c r="J118" s="819"/>
      <c r="K118" s="819"/>
      <c r="L118" s="819"/>
      <c r="M118" s="1128" t="str">
        <f>+IFERROR(VLOOKUP(G118,'S1&amp;2 Lists'!$C$8:$G$112,3,FALSE),"-")</f>
        <v>-</v>
      </c>
      <c r="N118" s="1128" t="str">
        <f t="shared" si="1"/>
        <v>-</v>
      </c>
      <c r="P118" s="1130">
        <f>ROUND(IF(L118='S1&amp;2 Lists'!$CV$3,K118,IF(L118='S1&amp;2 Lists'!$CV$4,K118/'S1&amp;2 Lists'!$CQ$6,0)),3)</f>
        <v>0</v>
      </c>
      <c r="Q118" s="11" t="s">
        <v>12</v>
      </c>
    </row>
    <row r="119" spans="1:17" s="1129" customFormat="1" ht="24" customHeight="1">
      <c r="A119" s="819"/>
      <c r="B119" s="819"/>
      <c r="C119" s="1131"/>
      <c r="D119" s="819"/>
      <c r="E119" s="1132"/>
      <c r="F119" s="819"/>
      <c r="G119" s="1134"/>
      <c r="H119" s="819"/>
      <c r="I119" s="1132"/>
      <c r="J119" s="819"/>
      <c r="K119" s="819"/>
      <c r="L119" s="819"/>
      <c r="M119" s="1128" t="str">
        <f>+IFERROR(VLOOKUP(G119,'S1&amp;2 Lists'!$C$8:$G$112,3,FALSE),"-")</f>
        <v>-</v>
      </c>
      <c r="N119" s="1128" t="str">
        <f t="shared" si="1"/>
        <v>-</v>
      </c>
      <c r="P119" s="1130">
        <f>ROUND(IF(L119='S1&amp;2 Lists'!$CV$3,K119,IF(L119='S1&amp;2 Lists'!$CV$4,K119/'S1&amp;2 Lists'!$CQ$6,0)),3)</f>
        <v>0</v>
      </c>
      <c r="Q119" s="11" t="s">
        <v>12</v>
      </c>
    </row>
    <row r="120" spans="1:17" s="1129" customFormat="1" ht="24" customHeight="1">
      <c r="A120" s="819"/>
      <c r="B120" s="819"/>
      <c r="C120" s="1131"/>
      <c r="D120" s="819"/>
      <c r="E120" s="1132"/>
      <c r="F120" s="819"/>
      <c r="G120" s="1134"/>
      <c r="H120" s="819"/>
      <c r="I120" s="1132"/>
      <c r="J120" s="819"/>
      <c r="K120" s="819"/>
      <c r="L120" s="819"/>
      <c r="M120" s="1128" t="str">
        <f>+IFERROR(VLOOKUP(G120,'S1&amp;2 Lists'!$C$8:$G$112,3,FALSE),"-")</f>
        <v>-</v>
      </c>
      <c r="N120" s="1128" t="str">
        <f t="shared" si="1"/>
        <v>-</v>
      </c>
      <c r="P120" s="1130">
        <f>ROUND(IF(L120='S1&amp;2 Lists'!$CV$3,K120,IF(L120='S1&amp;2 Lists'!$CV$4,K120/'S1&amp;2 Lists'!$CQ$6,0)),3)</f>
        <v>0</v>
      </c>
      <c r="Q120" s="11" t="s">
        <v>12</v>
      </c>
    </row>
    <row r="121" spans="1:17" s="1129" customFormat="1" ht="24" customHeight="1">
      <c r="A121" s="819"/>
      <c r="B121" s="819"/>
      <c r="C121" s="1131"/>
      <c r="D121" s="819"/>
      <c r="E121" s="1132"/>
      <c r="F121" s="819"/>
      <c r="G121" s="1134"/>
      <c r="H121" s="819"/>
      <c r="I121" s="1132"/>
      <c r="J121" s="819"/>
      <c r="K121" s="819"/>
      <c r="L121" s="819"/>
      <c r="M121" s="1128" t="str">
        <f>+IFERROR(VLOOKUP(G121,'S1&amp;2 Lists'!$C$8:$G$112,3,FALSE),"-")</f>
        <v>-</v>
      </c>
      <c r="N121" s="1128" t="str">
        <f t="shared" si="1"/>
        <v>-</v>
      </c>
      <c r="P121" s="1130">
        <f>ROUND(IF(L121='S1&amp;2 Lists'!$CV$3,K121,IF(L121='S1&amp;2 Lists'!$CV$4,K121/'S1&amp;2 Lists'!$CQ$6,0)),3)</f>
        <v>0</v>
      </c>
      <c r="Q121" s="11" t="s">
        <v>12</v>
      </c>
    </row>
    <row r="122" spans="1:17" s="1129" customFormat="1" ht="24" customHeight="1">
      <c r="A122" s="819"/>
      <c r="B122" s="819"/>
      <c r="C122" s="1131"/>
      <c r="D122" s="819"/>
      <c r="E122" s="1132"/>
      <c r="F122" s="819"/>
      <c r="G122" s="1134"/>
      <c r="H122" s="819"/>
      <c r="I122" s="1132"/>
      <c r="J122" s="819"/>
      <c r="K122" s="819"/>
      <c r="L122" s="819"/>
      <c r="M122" s="1128" t="str">
        <f>+IFERROR(VLOOKUP(G122,'S1&amp;2 Lists'!$C$8:$G$112,3,FALSE),"-")</f>
        <v>-</v>
      </c>
      <c r="N122" s="1128" t="str">
        <f t="shared" si="1"/>
        <v>-</v>
      </c>
      <c r="P122" s="1130">
        <f>ROUND(IF(L122='S1&amp;2 Lists'!$CV$3,K122,IF(L122='S1&amp;2 Lists'!$CV$4,K122/'S1&amp;2 Lists'!$CQ$6,0)),3)</f>
        <v>0</v>
      </c>
      <c r="Q122" s="11" t="s">
        <v>12</v>
      </c>
    </row>
    <row r="123" spans="1:17" s="1129" customFormat="1" ht="24" customHeight="1">
      <c r="A123" s="819"/>
      <c r="B123" s="819"/>
      <c r="C123" s="1131"/>
      <c r="D123" s="819"/>
      <c r="E123" s="1132"/>
      <c r="F123" s="819"/>
      <c r="G123" s="1134"/>
      <c r="H123" s="819"/>
      <c r="I123" s="1132"/>
      <c r="J123" s="819"/>
      <c r="K123" s="819"/>
      <c r="L123" s="819"/>
      <c r="M123" s="1128" t="str">
        <f>+IFERROR(VLOOKUP(G123,'S1&amp;2 Lists'!$C$8:$G$112,3,FALSE),"-")</f>
        <v>-</v>
      </c>
      <c r="N123" s="1128" t="str">
        <f t="shared" si="1"/>
        <v>-</v>
      </c>
      <c r="P123" s="1130">
        <f>ROUND(IF(L123='S1&amp;2 Lists'!$CV$3,K123,IF(L123='S1&amp;2 Lists'!$CV$4,K123/'S1&amp;2 Lists'!$CQ$6,0)),3)</f>
        <v>0</v>
      </c>
      <c r="Q123" s="11" t="s">
        <v>12</v>
      </c>
    </row>
    <row r="124" spans="1:17" s="1129" customFormat="1" ht="24" customHeight="1">
      <c r="A124" s="819"/>
      <c r="B124" s="819"/>
      <c r="C124" s="1131"/>
      <c r="D124" s="819"/>
      <c r="E124" s="1132"/>
      <c r="F124" s="819"/>
      <c r="G124" s="1134"/>
      <c r="H124" s="819"/>
      <c r="I124" s="1132"/>
      <c r="J124" s="819"/>
      <c r="K124" s="819"/>
      <c r="L124" s="819"/>
      <c r="M124" s="1128" t="str">
        <f>+IFERROR(VLOOKUP(G124,'S1&amp;2 Lists'!$C$8:$G$112,3,FALSE),"-")</f>
        <v>-</v>
      </c>
      <c r="N124" s="1128" t="str">
        <f t="shared" si="1"/>
        <v>-</v>
      </c>
      <c r="P124" s="1130">
        <f>ROUND(IF(L124='S1&amp;2 Lists'!$CV$3,K124,IF(L124='S1&amp;2 Lists'!$CV$4,K124/'S1&amp;2 Lists'!$CQ$6,0)),3)</f>
        <v>0</v>
      </c>
      <c r="Q124" s="11" t="s">
        <v>12</v>
      </c>
    </row>
    <row r="125" spans="1:17" s="1129" customFormat="1" ht="24" customHeight="1">
      <c r="A125" s="819"/>
      <c r="B125" s="819"/>
      <c r="C125" s="1131"/>
      <c r="D125" s="819"/>
      <c r="E125" s="1132"/>
      <c r="F125" s="819"/>
      <c r="G125" s="1134"/>
      <c r="H125" s="819"/>
      <c r="I125" s="1132"/>
      <c r="J125" s="819"/>
      <c r="K125" s="819"/>
      <c r="L125" s="819"/>
      <c r="M125" s="1128" t="str">
        <f>+IFERROR(VLOOKUP(G125,'S1&amp;2 Lists'!$C$8:$G$112,3,FALSE),"-")</f>
        <v>-</v>
      </c>
      <c r="N125" s="1128" t="str">
        <f t="shared" si="1"/>
        <v>-</v>
      </c>
      <c r="P125" s="1130">
        <f>ROUND(IF(L125='S1&amp;2 Lists'!$CV$3,K125,IF(L125='S1&amp;2 Lists'!$CV$4,K125/'S1&amp;2 Lists'!$CQ$6,0)),3)</f>
        <v>0</v>
      </c>
      <c r="Q125" s="11" t="s">
        <v>12</v>
      </c>
    </row>
    <row r="126" spans="1:17" s="1129" customFormat="1" ht="24" customHeight="1">
      <c r="A126" s="819"/>
      <c r="B126" s="819"/>
      <c r="C126" s="1131"/>
      <c r="D126" s="819"/>
      <c r="E126" s="1132"/>
      <c r="F126" s="819"/>
      <c r="G126" s="1134"/>
      <c r="H126" s="819"/>
      <c r="I126" s="1132"/>
      <c r="J126" s="819"/>
      <c r="K126" s="819"/>
      <c r="L126" s="819"/>
      <c r="M126" s="1128" t="str">
        <f>+IFERROR(VLOOKUP(G126,'S1&amp;2 Lists'!$C$8:$G$112,3,FALSE),"-")</f>
        <v>-</v>
      </c>
      <c r="N126" s="1128" t="str">
        <f t="shared" si="1"/>
        <v>-</v>
      </c>
      <c r="P126" s="1130">
        <f>ROUND(IF(L126='S1&amp;2 Lists'!$CV$3,K126,IF(L126='S1&amp;2 Lists'!$CV$4,K126/'S1&amp;2 Lists'!$CQ$6,0)),3)</f>
        <v>0</v>
      </c>
      <c r="Q126" s="11" t="s">
        <v>12</v>
      </c>
    </row>
    <row r="127" spans="1:17" s="1129" customFormat="1" ht="24" customHeight="1">
      <c r="A127" s="819"/>
      <c r="B127" s="819"/>
      <c r="C127" s="1131"/>
      <c r="D127" s="819"/>
      <c r="E127" s="1132"/>
      <c r="F127" s="819"/>
      <c r="G127" s="1134"/>
      <c r="H127" s="819"/>
      <c r="I127" s="1132"/>
      <c r="J127" s="819"/>
      <c r="K127" s="819"/>
      <c r="L127" s="819"/>
      <c r="M127" s="1128" t="str">
        <f>+IFERROR(VLOOKUP(G127,'S1&amp;2 Lists'!$C$8:$G$112,3,FALSE),"-")</f>
        <v>-</v>
      </c>
      <c r="N127" s="1128" t="str">
        <f t="shared" si="1"/>
        <v>-</v>
      </c>
      <c r="P127" s="1130">
        <f>ROUND(IF(L127='S1&amp;2 Lists'!$CV$3,K127,IF(L127='S1&amp;2 Lists'!$CV$4,K127/'S1&amp;2 Lists'!$CQ$6,0)),3)</f>
        <v>0</v>
      </c>
      <c r="Q127" s="11" t="s">
        <v>12</v>
      </c>
    </row>
    <row r="128" spans="1:17" s="1129" customFormat="1" ht="24" customHeight="1">
      <c r="A128" s="819"/>
      <c r="B128" s="819"/>
      <c r="C128" s="1131"/>
      <c r="D128" s="819"/>
      <c r="E128" s="1132"/>
      <c r="F128" s="819"/>
      <c r="G128" s="1134"/>
      <c r="H128" s="819"/>
      <c r="I128" s="1132"/>
      <c r="J128" s="819"/>
      <c r="K128" s="819"/>
      <c r="L128" s="819"/>
      <c r="M128" s="1128" t="str">
        <f>+IFERROR(VLOOKUP(G128,'S1&amp;2 Lists'!$C$8:$G$112,3,FALSE),"-")</f>
        <v>-</v>
      </c>
      <c r="N128" s="1128" t="str">
        <f t="shared" si="1"/>
        <v>-</v>
      </c>
      <c r="P128" s="1130">
        <f>ROUND(IF(L128='S1&amp;2 Lists'!$CV$3,K128,IF(L128='S1&amp;2 Lists'!$CV$4,K128/'S1&amp;2 Lists'!$CQ$6,0)),3)</f>
        <v>0</v>
      </c>
      <c r="Q128" s="11" t="s">
        <v>12</v>
      </c>
    </row>
    <row r="129" spans="1:17" s="1129" customFormat="1" ht="24" customHeight="1">
      <c r="A129" s="819"/>
      <c r="B129" s="819"/>
      <c r="C129" s="1131"/>
      <c r="D129" s="819"/>
      <c r="E129" s="1132"/>
      <c r="F129" s="819"/>
      <c r="G129" s="1134"/>
      <c r="H129" s="819"/>
      <c r="I129" s="1132"/>
      <c r="J129" s="819"/>
      <c r="K129" s="819"/>
      <c r="L129" s="819"/>
      <c r="M129" s="1128" t="str">
        <f>+IFERROR(VLOOKUP(G129,'S1&amp;2 Lists'!$C$8:$G$112,3,FALSE),"-")</f>
        <v>-</v>
      </c>
      <c r="N129" s="1128" t="str">
        <f t="shared" si="1"/>
        <v>-</v>
      </c>
      <c r="P129" s="1130">
        <f>ROUND(IF(L129='S1&amp;2 Lists'!$CV$3,K129,IF(L129='S1&amp;2 Lists'!$CV$4,K129/'S1&amp;2 Lists'!$CQ$6,0)),3)</f>
        <v>0</v>
      </c>
      <c r="Q129" s="11" t="s">
        <v>12</v>
      </c>
    </row>
    <row r="130" spans="1:17" s="1129" customFormat="1" ht="24" customHeight="1">
      <c r="A130" s="819"/>
      <c r="B130" s="819"/>
      <c r="C130" s="1131"/>
      <c r="D130" s="819"/>
      <c r="E130" s="1132"/>
      <c r="F130" s="819"/>
      <c r="G130" s="1134"/>
      <c r="H130" s="819"/>
      <c r="I130" s="1132"/>
      <c r="J130" s="819"/>
      <c r="K130" s="819"/>
      <c r="L130" s="819"/>
      <c r="M130" s="1128" t="str">
        <f>+IFERROR(VLOOKUP(G130,'S1&amp;2 Lists'!$C$8:$G$112,3,FALSE),"-")</f>
        <v>-</v>
      </c>
      <c r="N130" s="1128" t="str">
        <f t="shared" si="1"/>
        <v>-</v>
      </c>
      <c r="P130" s="1130">
        <f>ROUND(IF(L130='S1&amp;2 Lists'!$CV$3,K130,IF(L130='S1&amp;2 Lists'!$CV$4,K130/'S1&amp;2 Lists'!$CQ$6,0)),3)</f>
        <v>0</v>
      </c>
      <c r="Q130" s="11" t="s">
        <v>12</v>
      </c>
    </row>
    <row r="131" spans="1:17" s="1129" customFormat="1" ht="24" customHeight="1">
      <c r="A131" s="819"/>
      <c r="B131" s="819"/>
      <c r="C131" s="1131"/>
      <c r="D131" s="819"/>
      <c r="E131" s="1132"/>
      <c r="F131" s="819"/>
      <c r="G131" s="1134"/>
      <c r="H131" s="819"/>
      <c r="I131" s="1132"/>
      <c r="J131" s="819"/>
      <c r="K131" s="819"/>
      <c r="L131" s="819"/>
      <c r="M131" s="1128" t="str">
        <f>+IFERROR(VLOOKUP(G131,'S1&amp;2 Lists'!$C$8:$G$112,3,FALSE),"-")</f>
        <v>-</v>
      </c>
      <c r="N131" s="1128" t="str">
        <f t="shared" si="1"/>
        <v>-</v>
      </c>
      <c r="P131" s="1130">
        <f>ROUND(IF(L131='S1&amp;2 Lists'!$CV$3,K131,IF(L131='S1&amp;2 Lists'!$CV$4,K131/'S1&amp;2 Lists'!$CQ$6,0)),3)</f>
        <v>0</v>
      </c>
      <c r="Q131" s="11" t="s">
        <v>12</v>
      </c>
    </row>
    <row r="132" spans="1:17" s="1129" customFormat="1" ht="24" customHeight="1">
      <c r="A132" s="819"/>
      <c r="B132" s="819"/>
      <c r="C132" s="1131"/>
      <c r="D132" s="819"/>
      <c r="E132" s="1132"/>
      <c r="F132" s="819"/>
      <c r="G132" s="1134"/>
      <c r="H132" s="819"/>
      <c r="I132" s="1132"/>
      <c r="J132" s="819"/>
      <c r="K132" s="819"/>
      <c r="L132" s="819"/>
      <c r="M132" s="1128" t="str">
        <f>+IFERROR(VLOOKUP(G132,'S1&amp;2 Lists'!$C$8:$G$112,3,FALSE),"-")</f>
        <v>-</v>
      </c>
      <c r="N132" s="1128" t="str">
        <f t="shared" si="1"/>
        <v>-</v>
      </c>
      <c r="P132" s="1130">
        <f>ROUND(IF(L132='S1&amp;2 Lists'!$CV$3,K132,IF(L132='S1&amp;2 Lists'!$CV$4,K132/'S1&amp;2 Lists'!$CQ$6,0)),3)</f>
        <v>0</v>
      </c>
      <c r="Q132" s="11" t="s">
        <v>12</v>
      </c>
    </row>
    <row r="133" spans="1:17" s="1129" customFormat="1" ht="24" customHeight="1">
      <c r="A133" s="819"/>
      <c r="B133" s="819"/>
      <c r="C133" s="1131"/>
      <c r="D133" s="819"/>
      <c r="E133" s="1132"/>
      <c r="F133" s="819"/>
      <c r="G133" s="1134"/>
      <c r="H133" s="819"/>
      <c r="I133" s="1132"/>
      <c r="J133" s="819"/>
      <c r="K133" s="819"/>
      <c r="L133" s="819"/>
      <c r="M133" s="1128" t="str">
        <f>+IFERROR(VLOOKUP(G133,'S1&amp;2 Lists'!$C$8:$G$112,3,FALSE),"-")</f>
        <v>-</v>
      </c>
      <c r="N133" s="1128" t="str">
        <f t="shared" si="1"/>
        <v>-</v>
      </c>
      <c r="P133" s="1130">
        <f>ROUND(IF(L133='S1&amp;2 Lists'!$CV$3,K133,IF(L133='S1&amp;2 Lists'!$CV$4,K133/'S1&amp;2 Lists'!$CQ$6,0)),3)</f>
        <v>0</v>
      </c>
      <c r="Q133" s="11" t="s">
        <v>12</v>
      </c>
    </row>
    <row r="134" spans="1:17" s="1129" customFormat="1" ht="24" customHeight="1">
      <c r="A134" s="819"/>
      <c r="B134" s="819"/>
      <c r="C134" s="1131"/>
      <c r="D134" s="819"/>
      <c r="E134" s="1132"/>
      <c r="F134" s="819"/>
      <c r="G134" s="1134"/>
      <c r="H134" s="819"/>
      <c r="I134" s="1132"/>
      <c r="J134" s="819"/>
      <c r="K134" s="819"/>
      <c r="L134" s="819"/>
      <c r="M134" s="1128" t="str">
        <f>+IFERROR(VLOOKUP(G134,'S1&amp;2 Lists'!$C$8:$G$112,3,FALSE),"-")</f>
        <v>-</v>
      </c>
      <c r="N134" s="1128" t="str">
        <f t="shared" si="1"/>
        <v>-</v>
      </c>
      <c r="P134" s="1130">
        <f>ROUND(IF(L134='S1&amp;2 Lists'!$CV$3,K134,IF(L134='S1&amp;2 Lists'!$CV$4,K134/'S1&amp;2 Lists'!$CQ$6,0)),3)</f>
        <v>0</v>
      </c>
      <c r="Q134" s="11" t="s">
        <v>12</v>
      </c>
    </row>
    <row r="135" spans="1:17" s="1129" customFormat="1" ht="24" customHeight="1">
      <c r="A135" s="819"/>
      <c r="B135" s="819"/>
      <c r="C135" s="1131"/>
      <c r="D135" s="819"/>
      <c r="E135" s="1132"/>
      <c r="F135" s="819"/>
      <c r="G135" s="1134"/>
      <c r="H135" s="819"/>
      <c r="I135" s="1132"/>
      <c r="J135" s="819"/>
      <c r="K135" s="819"/>
      <c r="L135" s="819"/>
      <c r="M135" s="1128" t="str">
        <f>+IFERROR(VLOOKUP(G135,'S1&amp;2 Lists'!$C$8:$G$112,3,FALSE),"-")</f>
        <v>-</v>
      </c>
      <c r="N135" s="1128" t="str">
        <f t="shared" si="1"/>
        <v>-</v>
      </c>
      <c r="P135" s="1130">
        <f>ROUND(IF(L135='S1&amp;2 Lists'!$CV$3,K135,IF(L135='S1&amp;2 Lists'!$CV$4,K135/'S1&amp;2 Lists'!$CQ$6,0)),3)</f>
        <v>0</v>
      </c>
      <c r="Q135" s="11" t="s">
        <v>12</v>
      </c>
    </row>
    <row r="136" spans="1:17" s="1129" customFormat="1" ht="24" customHeight="1">
      <c r="A136" s="819"/>
      <c r="B136" s="819"/>
      <c r="C136" s="1131"/>
      <c r="D136" s="819"/>
      <c r="E136" s="1132"/>
      <c r="F136" s="819"/>
      <c r="G136" s="1134"/>
      <c r="H136" s="819"/>
      <c r="I136" s="1132"/>
      <c r="J136" s="819"/>
      <c r="K136" s="819"/>
      <c r="L136" s="819"/>
      <c r="M136" s="1128" t="str">
        <f>+IFERROR(VLOOKUP(G136,'S1&amp;2 Lists'!$C$8:$G$112,3,FALSE),"-")</f>
        <v>-</v>
      </c>
      <c r="N136" s="1128" t="str">
        <f t="shared" si="1"/>
        <v>-</v>
      </c>
      <c r="P136" s="1130">
        <f>ROUND(IF(L136='S1&amp;2 Lists'!$CV$3,K136,IF(L136='S1&amp;2 Lists'!$CV$4,K136/'S1&amp;2 Lists'!$CQ$6,0)),3)</f>
        <v>0</v>
      </c>
      <c r="Q136" s="11" t="s">
        <v>12</v>
      </c>
    </row>
    <row r="137" spans="1:17" s="1129" customFormat="1" ht="24" customHeight="1">
      <c r="A137" s="819"/>
      <c r="B137" s="819"/>
      <c r="C137" s="1131"/>
      <c r="D137" s="819"/>
      <c r="E137" s="1132"/>
      <c r="F137" s="819"/>
      <c r="G137" s="1134"/>
      <c r="H137" s="819"/>
      <c r="I137" s="1132"/>
      <c r="J137" s="819"/>
      <c r="K137" s="819"/>
      <c r="L137" s="819"/>
      <c r="M137" s="1128" t="str">
        <f>+IFERROR(VLOOKUP(G137,'S1&amp;2 Lists'!$C$8:$G$112,3,FALSE),"-")</f>
        <v>-</v>
      </c>
      <c r="N137" s="1128" t="str">
        <f t="shared" si="1"/>
        <v>-</v>
      </c>
      <c r="P137" s="1130">
        <f>ROUND(IF(L137='S1&amp;2 Lists'!$CV$3,K137,IF(L137='S1&amp;2 Lists'!$CV$4,K137/'S1&amp;2 Lists'!$CQ$6,0)),3)</f>
        <v>0</v>
      </c>
      <c r="Q137" s="11" t="s">
        <v>12</v>
      </c>
    </row>
    <row r="138" spans="1:17" s="1129" customFormat="1" ht="24" customHeight="1">
      <c r="A138" s="819"/>
      <c r="B138" s="819"/>
      <c r="C138" s="1131"/>
      <c r="D138" s="819"/>
      <c r="E138" s="1132"/>
      <c r="F138" s="819"/>
      <c r="G138" s="1134"/>
      <c r="H138" s="819"/>
      <c r="I138" s="1132"/>
      <c r="J138" s="819"/>
      <c r="K138" s="819"/>
      <c r="L138" s="819"/>
      <c r="M138" s="1128" t="str">
        <f>+IFERROR(VLOOKUP(G138,'S1&amp;2 Lists'!$C$8:$G$112,3,FALSE),"-")</f>
        <v>-</v>
      </c>
      <c r="N138" s="1128" t="str">
        <f t="shared" si="1"/>
        <v>-</v>
      </c>
      <c r="P138" s="1130">
        <f>ROUND(IF(L138='S1&amp;2 Lists'!$CV$3,K138,IF(L138='S1&amp;2 Lists'!$CV$4,K138/'S1&amp;2 Lists'!$CQ$6,0)),3)</f>
        <v>0</v>
      </c>
      <c r="Q138" s="11" t="s">
        <v>12</v>
      </c>
    </row>
    <row r="139" spans="1:17" s="1129" customFormat="1" ht="24" customHeight="1">
      <c r="A139" s="819"/>
      <c r="B139" s="819"/>
      <c r="C139" s="1131"/>
      <c r="D139" s="819"/>
      <c r="E139" s="1132"/>
      <c r="F139" s="819"/>
      <c r="G139" s="1134"/>
      <c r="H139" s="819"/>
      <c r="I139" s="1132"/>
      <c r="J139" s="819"/>
      <c r="K139" s="819"/>
      <c r="L139" s="819"/>
      <c r="M139" s="1128" t="str">
        <f>+IFERROR(VLOOKUP(G139,'S1&amp;2 Lists'!$C$8:$G$112,3,FALSE),"-")</f>
        <v>-</v>
      </c>
      <c r="N139" s="1128" t="str">
        <f t="shared" ref="N139:N202" si="2">+IFERROR(P139*M139,"-")</f>
        <v>-</v>
      </c>
      <c r="P139" s="1130">
        <f>ROUND(IF(L139='S1&amp;2 Lists'!$CV$3,K139,IF(L139='S1&amp;2 Lists'!$CV$4,K139/'S1&amp;2 Lists'!$CQ$6,0)),3)</f>
        <v>0</v>
      </c>
      <c r="Q139" s="11" t="s">
        <v>12</v>
      </c>
    </row>
    <row r="140" spans="1:17" s="1129" customFormat="1" ht="24" customHeight="1">
      <c r="A140" s="819"/>
      <c r="B140" s="819"/>
      <c r="C140" s="1131"/>
      <c r="D140" s="819"/>
      <c r="E140" s="1132"/>
      <c r="F140" s="819"/>
      <c r="G140" s="1134"/>
      <c r="H140" s="819"/>
      <c r="I140" s="1132"/>
      <c r="J140" s="819"/>
      <c r="K140" s="819"/>
      <c r="L140" s="819"/>
      <c r="M140" s="1128" t="str">
        <f>+IFERROR(VLOOKUP(G140,'S1&amp;2 Lists'!$C$8:$G$112,3,FALSE),"-")</f>
        <v>-</v>
      </c>
      <c r="N140" s="1128" t="str">
        <f t="shared" si="2"/>
        <v>-</v>
      </c>
      <c r="P140" s="1130">
        <f>ROUND(IF(L140='S1&amp;2 Lists'!$CV$3,K140,IF(L140='S1&amp;2 Lists'!$CV$4,K140/'S1&amp;2 Lists'!$CQ$6,0)),3)</f>
        <v>0</v>
      </c>
      <c r="Q140" s="11" t="s">
        <v>12</v>
      </c>
    </row>
    <row r="141" spans="1:17" s="1129" customFormat="1" ht="24" customHeight="1">
      <c r="A141" s="819"/>
      <c r="B141" s="819"/>
      <c r="C141" s="1131"/>
      <c r="D141" s="819"/>
      <c r="E141" s="1132"/>
      <c r="F141" s="819"/>
      <c r="G141" s="1134"/>
      <c r="H141" s="819"/>
      <c r="I141" s="1132"/>
      <c r="J141" s="819"/>
      <c r="K141" s="819"/>
      <c r="L141" s="819"/>
      <c r="M141" s="1128" t="str">
        <f>+IFERROR(VLOOKUP(G141,'S1&amp;2 Lists'!$C$8:$G$112,3,FALSE),"-")</f>
        <v>-</v>
      </c>
      <c r="N141" s="1128" t="str">
        <f t="shared" si="2"/>
        <v>-</v>
      </c>
      <c r="P141" s="1130">
        <f>ROUND(IF(L141='S1&amp;2 Lists'!$CV$3,K141,IF(L141='S1&amp;2 Lists'!$CV$4,K141/'S1&amp;2 Lists'!$CQ$6,0)),3)</f>
        <v>0</v>
      </c>
      <c r="Q141" s="11" t="s">
        <v>12</v>
      </c>
    </row>
    <row r="142" spans="1:17" s="1129" customFormat="1" ht="24" customHeight="1">
      <c r="A142" s="819"/>
      <c r="B142" s="819"/>
      <c r="C142" s="1131"/>
      <c r="D142" s="819"/>
      <c r="E142" s="1132"/>
      <c r="F142" s="819"/>
      <c r="G142" s="1134"/>
      <c r="H142" s="819"/>
      <c r="I142" s="1132"/>
      <c r="J142" s="819"/>
      <c r="K142" s="819"/>
      <c r="L142" s="819"/>
      <c r="M142" s="1128" t="str">
        <f>+IFERROR(VLOOKUP(G142,'S1&amp;2 Lists'!$C$8:$G$112,3,FALSE),"-")</f>
        <v>-</v>
      </c>
      <c r="N142" s="1128" t="str">
        <f t="shared" si="2"/>
        <v>-</v>
      </c>
      <c r="P142" s="1130">
        <f>ROUND(IF(L142='S1&amp;2 Lists'!$CV$3,K142,IF(L142='S1&amp;2 Lists'!$CV$4,K142/'S1&amp;2 Lists'!$CQ$6,0)),3)</f>
        <v>0</v>
      </c>
      <c r="Q142" s="11" t="s">
        <v>12</v>
      </c>
    </row>
    <row r="143" spans="1:17" s="1129" customFormat="1" ht="24" customHeight="1">
      <c r="A143" s="819"/>
      <c r="B143" s="819"/>
      <c r="C143" s="1131"/>
      <c r="D143" s="819"/>
      <c r="E143" s="1132"/>
      <c r="F143" s="819"/>
      <c r="G143" s="1134"/>
      <c r="H143" s="819"/>
      <c r="I143" s="1132"/>
      <c r="J143" s="819"/>
      <c r="K143" s="819"/>
      <c r="L143" s="819"/>
      <c r="M143" s="1128" t="str">
        <f>+IFERROR(VLOOKUP(G143,'S1&amp;2 Lists'!$C$8:$G$112,3,FALSE),"-")</f>
        <v>-</v>
      </c>
      <c r="N143" s="1128" t="str">
        <f t="shared" si="2"/>
        <v>-</v>
      </c>
      <c r="P143" s="1130">
        <f>ROUND(IF(L143='S1&amp;2 Lists'!$CV$3,K143,IF(L143='S1&amp;2 Lists'!$CV$4,K143/'S1&amp;2 Lists'!$CQ$6,0)),3)</f>
        <v>0</v>
      </c>
      <c r="Q143" s="11" t="s">
        <v>12</v>
      </c>
    </row>
    <row r="144" spans="1:17" s="1129" customFormat="1" ht="24" customHeight="1">
      <c r="A144" s="819"/>
      <c r="B144" s="819"/>
      <c r="C144" s="1131"/>
      <c r="D144" s="819"/>
      <c r="E144" s="1132"/>
      <c r="F144" s="819"/>
      <c r="G144" s="1134"/>
      <c r="H144" s="819"/>
      <c r="I144" s="1132"/>
      <c r="J144" s="819"/>
      <c r="K144" s="819"/>
      <c r="L144" s="819"/>
      <c r="M144" s="1128" t="str">
        <f>+IFERROR(VLOOKUP(G144,'S1&amp;2 Lists'!$C$8:$G$112,3,FALSE),"-")</f>
        <v>-</v>
      </c>
      <c r="N144" s="1128" t="str">
        <f t="shared" si="2"/>
        <v>-</v>
      </c>
      <c r="P144" s="1130">
        <f>ROUND(IF(L144='S1&amp;2 Lists'!$CV$3,K144,IF(L144='S1&amp;2 Lists'!$CV$4,K144/'S1&amp;2 Lists'!$CQ$6,0)),3)</f>
        <v>0</v>
      </c>
      <c r="Q144" s="11" t="s">
        <v>12</v>
      </c>
    </row>
    <row r="145" spans="1:17" s="1129" customFormat="1" ht="24" customHeight="1">
      <c r="A145" s="819"/>
      <c r="B145" s="819"/>
      <c r="C145" s="1131"/>
      <c r="D145" s="819"/>
      <c r="E145" s="1132"/>
      <c r="F145" s="819"/>
      <c r="G145" s="1134"/>
      <c r="H145" s="819"/>
      <c r="I145" s="1132"/>
      <c r="J145" s="819"/>
      <c r="K145" s="819"/>
      <c r="L145" s="819"/>
      <c r="M145" s="1128" t="str">
        <f>+IFERROR(VLOOKUP(G145,'S1&amp;2 Lists'!$C$8:$G$112,3,FALSE),"-")</f>
        <v>-</v>
      </c>
      <c r="N145" s="1128" t="str">
        <f t="shared" si="2"/>
        <v>-</v>
      </c>
      <c r="P145" s="1130">
        <f>ROUND(IF(L145='S1&amp;2 Lists'!$CV$3,K145,IF(L145='S1&amp;2 Lists'!$CV$4,K145/'S1&amp;2 Lists'!$CQ$6,0)),3)</f>
        <v>0</v>
      </c>
      <c r="Q145" s="11" t="s">
        <v>12</v>
      </c>
    </row>
    <row r="146" spans="1:17" s="1129" customFormat="1" ht="24" customHeight="1">
      <c r="A146" s="819"/>
      <c r="B146" s="819"/>
      <c r="C146" s="1131"/>
      <c r="D146" s="819"/>
      <c r="E146" s="1132"/>
      <c r="F146" s="819"/>
      <c r="G146" s="1134"/>
      <c r="H146" s="819"/>
      <c r="I146" s="1132"/>
      <c r="J146" s="819"/>
      <c r="K146" s="819"/>
      <c r="L146" s="819"/>
      <c r="M146" s="1128" t="str">
        <f>+IFERROR(VLOOKUP(G146,'S1&amp;2 Lists'!$C$8:$G$112,3,FALSE),"-")</f>
        <v>-</v>
      </c>
      <c r="N146" s="1128" t="str">
        <f t="shared" si="2"/>
        <v>-</v>
      </c>
      <c r="P146" s="1130">
        <f>ROUND(IF(L146='S1&amp;2 Lists'!$CV$3,K146,IF(L146='S1&amp;2 Lists'!$CV$4,K146/'S1&amp;2 Lists'!$CQ$6,0)),3)</f>
        <v>0</v>
      </c>
      <c r="Q146" s="11" t="s">
        <v>12</v>
      </c>
    </row>
    <row r="147" spans="1:17" s="1129" customFormat="1" ht="24" customHeight="1">
      <c r="A147" s="819"/>
      <c r="B147" s="819"/>
      <c r="C147" s="1131"/>
      <c r="D147" s="819"/>
      <c r="E147" s="1132"/>
      <c r="F147" s="819"/>
      <c r="G147" s="1134"/>
      <c r="H147" s="819"/>
      <c r="I147" s="1132"/>
      <c r="J147" s="819"/>
      <c r="K147" s="819"/>
      <c r="L147" s="819"/>
      <c r="M147" s="1128" t="str">
        <f>+IFERROR(VLOOKUP(G147,'S1&amp;2 Lists'!$C$8:$G$112,3,FALSE),"-")</f>
        <v>-</v>
      </c>
      <c r="N147" s="1128" t="str">
        <f t="shared" si="2"/>
        <v>-</v>
      </c>
      <c r="P147" s="1130">
        <f>ROUND(IF(L147='S1&amp;2 Lists'!$CV$3,K147,IF(L147='S1&amp;2 Lists'!$CV$4,K147/'S1&amp;2 Lists'!$CQ$6,0)),3)</f>
        <v>0</v>
      </c>
      <c r="Q147" s="11" t="s">
        <v>12</v>
      </c>
    </row>
    <row r="148" spans="1:17" s="1129" customFormat="1" ht="24" customHeight="1">
      <c r="A148" s="819"/>
      <c r="B148" s="819"/>
      <c r="C148" s="1131"/>
      <c r="D148" s="819"/>
      <c r="E148" s="1132"/>
      <c r="F148" s="819"/>
      <c r="G148" s="1134"/>
      <c r="H148" s="819"/>
      <c r="I148" s="1132"/>
      <c r="J148" s="819"/>
      <c r="K148" s="819"/>
      <c r="L148" s="819"/>
      <c r="M148" s="1128" t="str">
        <f>+IFERROR(VLOOKUP(G148,'S1&amp;2 Lists'!$C$8:$G$112,3,FALSE),"-")</f>
        <v>-</v>
      </c>
      <c r="N148" s="1128" t="str">
        <f t="shared" si="2"/>
        <v>-</v>
      </c>
      <c r="P148" s="1130">
        <f>ROUND(IF(L148='S1&amp;2 Lists'!$CV$3,K148,IF(L148='S1&amp;2 Lists'!$CV$4,K148/'S1&amp;2 Lists'!$CQ$6,0)),3)</f>
        <v>0</v>
      </c>
      <c r="Q148" s="11" t="s">
        <v>12</v>
      </c>
    </row>
    <row r="149" spans="1:17" s="1129" customFormat="1" ht="24" customHeight="1">
      <c r="A149" s="819"/>
      <c r="B149" s="819"/>
      <c r="C149" s="1131"/>
      <c r="D149" s="819"/>
      <c r="E149" s="1132"/>
      <c r="F149" s="819"/>
      <c r="G149" s="1134"/>
      <c r="H149" s="819"/>
      <c r="I149" s="1132"/>
      <c r="J149" s="819"/>
      <c r="K149" s="819"/>
      <c r="L149" s="819"/>
      <c r="M149" s="1128" t="str">
        <f>+IFERROR(VLOOKUP(G149,'S1&amp;2 Lists'!$C$8:$G$112,3,FALSE),"-")</f>
        <v>-</v>
      </c>
      <c r="N149" s="1128" t="str">
        <f t="shared" si="2"/>
        <v>-</v>
      </c>
      <c r="P149" s="1130">
        <f>ROUND(IF(L149='S1&amp;2 Lists'!$CV$3,K149,IF(L149='S1&amp;2 Lists'!$CV$4,K149/'S1&amp;2 Lists'!$CQ$6,0)),3)</f>
        <v>0</v>
      </c>
      <c r="Q149" s="11" t="s">
        <v>12</v>
      </c>
    </row>
    <row r="150" spans="1:17" s="1129" customFormat="1" ht="24" customHeight="1">
      <c r="A150" s="819"/>
      <c r="B150" s="819"/>
      <c r="C150" s="1131"/>
      <c r="D150" s="819"/>
      <c r="E150" s="1132"/>
      <c r="F150" s="819"/>
      <c r="G150" s="1134"/>
      <c r="H150" s="819"/>
      <c r="I150" s="1132"/>
      <c r="J150" s="819"/>
      <c r="K150" s="819"/>
      <c r="L150" s="819"/>
      <c r="M150" s="1128" t="str">
        <f>+IFERROR(VLOOKUP(G150,'S1&amp;2 Lists'!$C$8:$G$112,3,FALSE),"-")</f>
        <v>-</v>
      </c>
      <c r="N150" s="1128" t="str">
        <f t="shared" si="2"/>
        <v>-</v>
      </c>
      <c r="P150" s="1130">
        <f>ROUND(IF(L150='S1&amp;2 Lists'!$CV$3,K150,IF(L150='S1&amp;2 Lists'!$CV$4,K150/'S1&amp;2 Lists'!$CQ$6,0)),3)</f>
        <v>0</v>
      </c>
      <c r="Q150" s="11" t="s">
        <v>12</v>
      </c>
    </row>
    <row r="151" spans="1:17" s="1129" customFormat="1" ht="24" customHeight="1">
      <c r="A151" s="819"/>
      <c r="B151" s="819"/>
      <c r="C151" s="1131"/>
      <c r="D151" s="819"/>
      <c r="E151" s="1132"/>
      <c r="F151" s="819"/>
      <c r="G151" s="1134"/>
      <c r="H151" s="819"/>
      <c r="I151" s="1132"/>
      <c r="J151" s="819"/>
      <c r="K151" s="819"/>
      <c r="L151" s="819"/>
      <c r="M151" s="1128" t="str">
        <f>+IFERROR(VLOOKUP(G151,'S1&amp;2 Lists'!$C$8:$G$112,3,FALSE),"-")</f>
        <v>-</v>
      </c>
      <c r="N151" s="1128" t="str">
        <f t="shared" si="2"/>
        <v>-</v>
      </c>
      <c r="P151" s="1130">
        <f>ROUND(IF(L151='S1&amp;2 Lists'!$CV$3,K151,IF(L151='S1&amp;2 Lists'!$CV$4,K151/'S1&amp;2 Lists'!$CQ$6,0)),3)</f>
        <v>0</v>
      </c>
      <c r="Q151" s="11" t="s">
        <v>12</v>
      </c>
    </row>
    <row r="152" spans="1:17" s="1129" customFormat="1" ht="24" customHeight="1">
      <c r="A152" s="819"/>
      <c r="B152" s="819"/>
      <c r="C152" s="1131"/>
      <c r="D152" s="819"/>
      <c r="E152" s="1132"/>
      <c r="F152" s="819"/>
      <c r="G152" s="1134"/>
      <c r="H152" s="819"/>
      <c r="I152" s="1132"/>
      <c r="J152" s="819"/>
      <c r="K152" s="819"/>
      <c r="L152" s="819"/>
      <c r="M152" s="1128" t="str">
        <f>+IFERROR(VLOOKUP(G152,'S1&amp;2 Lists'!$C$8:$G$112,3,FALSE),"-")</f>
        <v>-</v>
      </c>
      <c r="N152" s="1128" t="str">
        <f t="shared" si="2"/>
        <v>-</v>
      </c>
      <c r="P152" s="1130">
        <f>ROUND(IF(L152='S1&amp;2 Lists'!$CV$3,K152,IF(L152='S1&amp;2 Lists'!$CV$4,K152/'S1&amp;2 Lists'!$CQ$6,0)),3)</f>
        <v>0</v>
      </c>
      <c r="Q152" s="11" t="s">
        <v>12</v>
      </c>
    </row>
    <row r="153" spans="1:17" s="1129" customFormat="1" ht="24" customHeight="1">
      <c r="A153" s="819"/>
      <c r="B153" s="819"/>
      <c r="C153" s="1131"/>
      <c r="D153" s="819"/>
      <c r="E153" s="1132"/>
      <c r="F153" s="819"/>
      <c r="G153" s="1134"/>
      <c r="H153" s="819"/>
      <c r="I153" s="1132"/>
      <c r="J153" s="819"/>
      <c r="K153" s="819"/>
      <c r="L153" s="819"/>
      <c r="M153" s="1128" t="str">
        <f>+IFERROR(VLOOKUP(G153,'S1&amp;2 Lists'!$C$8:$G$112,3,FALSE),"-")</f>
        <v>-</v>
      </c>
      <c r="N153" s="1128" t="str">
        <f t="shared" si="2"/>
        <v>-</v>
      </c>
      <c r="P153" s="1130">
        <f>ROUND(IF(L153='S1&amp;2 Lists'!$CV$3,K153,IF(L153='S1&amp;2 Lists'!$CV$4,K153/'S1&amp;2 Lists'!$CQ$6,0)),3)</f>
        <v>0</v>
      </c>
      <c r="Q153" s="11" t="s">
        <v>12</v>
      </c>
    </row>
    <row r="154" spans="1:17" s="1129" customFormat="1" ht="24" customHeight="1">
      <c r="A154" s="819"/>
      <c r="B154" s="819"/>
      <c r="C154" s="1131"/>
      <c r="D154" s="819"/>
      <c r="E154" s="1132"/>
      <c r="F154" s="819"/>
      <c r="G154" s="1134"/>
      <c r="H154" s="819"/>
      <c r="I154" s="1132"/>
      <c r="J154" s="819"/>
      <c r="K154" s="819"/>
      <c r="L154" s="819"/>
      <c r="M154" s="1128" t="str">
        <f>+IFERROR(VLOOKUP(G154,'S1&amp;2 Lists'!$C$8:$G$112,3,FALSE),"-")</f>
        <v>-</v>
      </c>
      <c r="N154" s="1128" t="str">
        <f t="shared" si="2"/>
        <v>-</v>
      </c>
      <c r="P154" s="1130">
        <f>ROUND(IF(L154='S1&amp;2 Lists'!$CV$3,K154,IF(L154='S1&amp;2 Lists'!$CV$4,K154/'S1&amp;2 Lists'!$CQ$6,0)),3)</f>
        <v>0</v>
      </c>
      <c r="Q154" s="11" t="s">
        <v>12</v>
      </c>
    </row>
    <row r="155" spans="1:17" s="1129" customFormat="1" ht="24" customHeight="1">
      <c r="A155" s="819"/>
      <c r="B155" s="819"/>
      <c r="C155" s="1131"/>
      <c r="D155" s="819"/>
      <c r="E155" s="1132"/>
      <c r="F155" s="819"/>
      <c r="G155" s="1134"/>
      <c r="H155" s="819"/>
      <c r="I155" s="1132"/>
      <c r="J155" s="819"/>
      <c r="K155" s="819"/>
      <c r="L155" s="819"/>
      <c r="M155" s="1128" t="str">
        <f>+IFERROR(VLOOKUP(G155,'S1&amp;2 Lists'!$C$8:$G$112,3,FALSE),"-")</f>
        <v>-</v>
      </c>
      <c r="N155" s="1128" t="str">
        <f t="shared" si="2"/>
        <v>-</v>
      </c>
      <c r="P155" s="1130">
        <f>ROUND(IF(L155='S1&amp;2 Lists'!$CV$3,K155,IF(L155='S1&amp;2 Lists'!$CV$4,K155/'S1&amp;2 Lists'!$CQ$6,0)),3)</f>
        <v>0</v>
      </c>
      <c r="Q155" s="11" t="s">
        <v>12</v>
      </c>
    </row>
    <row r="156" spans="1:17" s="1129" customFormat="1" ht="24" customHeight="1">
      <c r="A156" s="819"/>
      <c r="B156" s="819"/>
      <c r="C156" s="1131"/>
      <c r="D156" s="819"/>
      <c r="E156" s="1132"/>
      <c r="F156" s="819"/>
      <c r="G156" s="1134"/>
      <c r="H156" s="819"/>
      <c r="I156" s="1132"/>
      <c r="J156" s="819"/>
      <c r="K156" s="819"/>
      <c r="L156" s="819"/>
      <c r="M156" s="1128" t="str">
        <f>+IFERROR(VLOOKUP(G156,'S1&amp;2 Lists'!$C$8:$G$112,3,FALSE),"-")</f>
        <v>-</v>
      </c>
      <c r="N156" s="1128" t="str">
        <f t="shared" si="2"/>
        <v>-</v>
      </c>
      <c r="P156" s="1130">
        <f>ROUND(IF(L156='S1&amp;2 Lists'!$CV$3,K156,IF(L156='S1&amp;2 Lists'!$CV$4,K156/'S1&amp;2 Lists'!$CQ$6,0)),3)</f>
        <v>0</v>
      </c>
      <c r="Q156" s="11" t="s">
        <v>12</v>
      </c>
    </row>
    <row r="157" spans="1:17" s="1129" customFormat="1" ht="24" customHeight="1">
      <c r="A157" s="819"/>
      <c r="B157" s="819"/>
      <c r="C157" s="1131"/>
      <c r="D157" s="819"/>
      <c r="E157" s="1132"/>
      <c r="F157" s="819"/>
      <c r="G157" s="1134"/>
      <c r="H157" s="819"/>
      <c r="I157" s="1132"/>
      <c r="J157" s="819"/>
      <c r="K157" s="819"/>
      <c r="L157" s="819"/>
      <c r="M157" s="1128" t="str">
        <f>+IFERROR(VLOOKUP(G157,'S1&amp;2 Lists'!$C$8:$G$112,3,FALSE),"-")</f>
        <v>-</v>
      </c>
      <c r="N157" s="1128" t="str">
        <f t="shared" si="2"/>
        <v>-</v>
      </c>
      <c r="P157" s="1130">
        <f>ROUND(IF(L157='S1&amp;2 Lists'!$CV$3,K157,IF(L157='S1&amp;2 Lists'!$CV$4,K157/'S1&amp;2 Lists'!$CQ$6,0)),3)</f>
        <v>0</v>
      </c>
      <c r="Q157" s="11" t="s">
        <v>12</v>
      </c>
    </row>
    <row r="158" spans="1:17" s="1129" customFormat="1" ht="24" customHeight="1">
      <c r="A158" s="819"/>
      <c r="B158" s="819"/>
      <c r="C158" s="1131"/>
      <c r="D158" s="819"/>
      <c r="E158" s="1132"/>
      <c r="F158" s="819"/>
      <c r="G158" s="1134"/>
      <c r="H158" s="819"/>
      <c r="I158" s="1132"/>
      <c r="J158" s="819"/>
      <c r="K158" s="819"/>
      <c r="L158" s="819"/>
      <c r="M158" s="1128" t="str">
        <f>+IFERROR(VLOOKUP(G158,'S1&amp;2 Lists'!$C$8:$G$112,3,FALSE),"-")</f>
        <v>-</v>
      </c>
      <c r="N158" s="1128" t="str">
        <f t="shared" si="2"/>
        <v>-</v>
      </c>
      <c r="P158" s="1130">
        <f>ROUND(IF(L158='S1&amp;2 Lists'!$CV$3,K158,IF(L158='S1&amp;2 Lists'!$CV$4,K158/'S1&amp;2 Lists'!$CQ$6,0)),3)</f>
        <v>0</v>
      </c>
      <c r="Q158" s="11" t="s">
        <v>12</v>
      </c>
    </row>
    <row r="159" spans="1:17" s="1129" customFormat="1" ht="24" customHeight="1">
      <c r="A159" s="819"/>
      <c r="B159" s="819"/>
      <c r="C159" s="1131"/>
      <c r="D159" s="819"/>
      <c r="E159" s="1132"/>
      <c r="F159" s="819"/>
      <c r="G159" s="1134"/>
      <c r="H159" s="819"/>
      <c r="I159" s="1132"/>
      <c r="J159" s="819"/>
      <c r="K159" s="819"/>
      <c r="L159" s="819"/>
      <c r="M159" s="1128" t="str">
        <f>+IFERROR(VLOOKUP(G159,'S1&amp;2 Lists'!$C$8:$G$112,3,FALSE),"-")</f>
        <v>-</v>
      </c>
      <c r="N159" s="1128" t="str">
        <f t="shared" si="2"/>
        <v>-</v>
      </c>
      <c r="P159" s="1130">
        <f>ROUND(IF(L159='S1&amp;2 Lists'!$CV$3,K159,IF(L159='S1&amp;2 Lists'!$CV$4,K159/'S1&amp;2 Lists'!$CQ$6,0)),3)</f>
        <v>0</v>
      </c>
      <c r="Q159" s="11" t="s">
        <v>12</v>
      </c>
    </row>
    <row r="160" spans="1:17" s="1129" customFormat="1" ht="24" customHeight="1">
      <c r="A160" s="819"/>
      <c r="B160" s="819"/>
      <c r="C160" s="1131"/>
      <c r="D160" s="819"/>
      <c r="E160" s="1132"/>
      <c r="F160" s="819"/>
      <c r="G160" s="1134"/>
      <c r="H160" s="819"/>
      <c r="I160" s="1132"/>
      <c r="J160" s="819"/>
      <c r="K160" s="819"/>
      <c r="L160" s="819"/>
      <c r="M160" s="1128" t="str">
        <f>+IFERROR(VLOOKUP(G160,'S1&amp;2 Lists'!$C$8:$G$112,3,FALSE),"-")</f>
        <v>-</v>
      </c>
      <c r="N160" s="1128" t="str">
        <f t="shared" si="2"/>
        <v>-</v>
      </c>
      <c r="P160" s="1130">
        <f>ROUND(IF(L160='S1&amp;2 Lists'!$CV$3,K160,IF(L160='S1&amp;2 Lists'!$CV$4,K160/'S1&amp;2 Lists'!$CQ$6,0)),3)</f>
        <v>0</v>
      </c>
      <c r="Q160" s="11" t="s">
        <v>12</v>
      </c>
    </row>
    <row r="161" spans="1:17" s="1129" customFormat="1" ht="24" customHeight="1">
      <c r="A161" s="819"/>
      <c r="B161" s="819"/>
      <c r="C161" s="1131"/>
      <c r="D161" s="819"/>
      <c r="E161" s="1132"/>
      <c r="F161" s="819"/>
      <c r="G161" s="1134"/>
      <c r="H161" s="819"/>
      <c r="I161" s="1132"/>
      <c r="J161" s="819"/>
      <c r="K161" s="819"/>
      <c r="L161" s="819"/>
      <c r="M161" s="1128" t="str">
        <f>+IFERROR(VLOOKUP(G161,'S1&amp;2 Lists'!$C$8:$G$112,3,FALSE),"-")</f>
        <v>-</v>
      </c>
      <c r="N161" s="1128" t="str">
        <f t="shared" si="2"/>
        <v>-</v>
      </c>
      <c r="P161" s="1130">
        <f>ROUND(IF(L161='S1&amp;2 Lists'!$CV$3,K161,IF(L161='S1&amp;2 Lists'!$CV$4,K161/'S1&amp;2 Lists'!$CQ$6,0)),3)</f>
        <v>0</v>
      </c>
      <c r="Q161" s="11" t="s">
        <v>12</v>
      </c>
    </row>
    <row r="162" spans="1:17" s="1129" customFormat="1" ht="24" customHeight="1">
      <c r="A162" s="819"/>
      <c r="B162" s="819"/>
      <c r="C162" s="1131"/>
      <c r="D162" s="819"/>
      <c r="E162" s="1132"/>
      <c r="F162" s="819"/>
      <c r="G162" s="1134"/>
      <c r="H162" s="819"/>
      <c r="I162" s="1132"/>
      <c r="J162" s="819"/>
      <c r="K162" s="819"/>
      <c r="L162" s="819"/>
      <c r="M162" s="1128" t="str">
        <f>+IFERROR(VLOOKUP(G162,'S1&amp;2 Lists'!$C$8:$G$112,3,FALSE),"-")</f>
        <v>-</v>
      </c>
      <c r="N162" s="1128" t="str">
        <f t="shared" si="2"/>
        <v>-</v>
      </c>
      <c r="P162" s="1130">
        <f>ROUND(IF(L162='S1&amp;2 Lists'!$CV$3,K162,IF(L162='S1&amp;2 Lists'!$CV$4,K162/'S1&amp;2 Lists'!$CQ$6,0)),3)</f>
        <v>0</v>
      </c>
      <c r="Q162" s="11" t="s">
        <v>12</v>
      </c>
    </row>
    <row r="163" spans="1:17" s="1129" customFormat="1" ht="24" customHeight="1">
      <c r="A163" s="819"/>
      <c r="B163" s="819"/>
      <c r="C163" s="1131"/>
      <c r="D163" s="819"/>
      <c r="E163" s="1132"/>
      <c r="F163" s="819"/>
      <c r="G163" s="1134"/>
      <c r="H163" s="819"/>
      <c r="I163" s="1132"/>
      <c r="J163" s="819"/>
      <c r="K163" s="819"/>
      <c r="L163" s="819"/>
      <c r="M163" s="1128" t="str">
        <f>+IFERROR(VLOOKUP(G163,'S1&amp;2 Lists'!$C$8:$G$112,3,FALSE),"-")</f>
        <v>-</v>
      </c>
      <c r="N163" s="1128" t="str">
        <f t="shared" si="2"/>
        <v>-</v>
      </c>
      <c r="P163" s="1130">
        <f>ROUND(IF(L163='S1&amp;2 Lists'!$CV$3,K163,IF(L163='S1&amp;2 Lists'!$CV$4,K163/'S1&amp;2 Lists'!$CQ$6,0)),3)</f>
        <v>0</v>
      </c>
      <c r="Q163" s="11" t="s">
        <v>12</v>
      </c>
    </row>
    <row r="164" spans="1:17" s="1129" customFormat="1" ht="24" customHeight="1">
      <c r="A164" s="819"/>
      <c r="B164" s="819"/>
      <c r="C164" s="1131"/>
      <c r="D164" s="819"/>
      <c r="E164" s="1132"/>
      <c r="F164" s="819"/>
      <c r="G164" s="1134"/>
      <c r="H164" s="819"/>
      <c r="I164" s="1132"/>
      <c r="J164" s="819"/>
      <c r="K164" s="819"/>
      <c r="L164" s="819"/>
      <c r="M164" s="1128" t="str">
        <f>+IFERROR(VLOOKUP(G164,'S1&amp;2 Lists'!$C$8:$G$112,3,FALSE),"-")</f>
        <v>-</v>
      </c>
      <c r="N164" s="1128" t="str">
        <f t="shared" si="2"/>
        <v>-</v>
      </c>
      <c r="P164" s="1130">
        <f>ROUND(IF(L164='S1&amp;2 Lists'!$CV$3,K164,IF(L164='S1&amp;2 Lists'!$CV$4,K164/'S1&amp;2 Lists'!$CQ$6,0)),3)</f>
        <v>0</v>
      </c>
      <c r="Q164" s="11" t="s">
        <v>12</v>
      </c>
    </row>
    <row r="165" spans="1:17" s="1129" customFormat="1" ht="24" customHeight="1">
      <c r="A165" s="819"/>
      <c r="B165" s="819"/>
      <c r="C165" s="1131"/>
      <c r="D165" s="819"/>
      <c r="E165" s="1132"/>
      <c r="F165" s="819"/>
      <c r="G165" s="1134"/>
      <c r="H165" s="819"/>
      <c r="I165" s="1132"/>
      <c r="J165" s="819"/>
      <c r="K165" s="819"/>
      <c r="L165" s="819"/>
      <c r="M165" s="1128" t="str">
        <f>+IFERROR(VLOOKUP(G165,'S1&amp;2 Lists'!$C$8:$G$112,3,FALSE),"-")</f>
        <v>-</v>
      </c>
      <c r="N165" s="1128" t="str">
        <f t="shared" si="2"/>
        <v>-</v>
      </c>
      <c r="P165" s="1130">
        <f>ROUND(IF(L165='S1&amp;2 Lists'!$CV$3,K165,IF(L165='S1&amp;2 Lists'!$CV$4,K165/'S1&amp;2 Lists'!$CQ$6,0)),3)</f>
        <v>0</v>
      </c>
      <c r="Q165" s="11" t="s">
        <v>12</v>
      </c>
    </row>
    <row r="166" spans="1:17" s="1129" customFormat="1" ht="24" customHeight="1">
      <c r="A166" s="819"/>
      <c r="B166" s="819"/>
      <c r="C166" s="1131"/>
      <c r="D166" s="819"/>
      <c r="E166" s="1132"/>
      <c r="F166" s="819"/>
      <c r="G166" s="1134"/>
      <c r="H166" s="819"/>
      <c r="I166" s="1132"/>
      <c r="J166" s="819"/>
      <c r="K166" s="819"/>
      <c r="L166" s="819"/>
      <c r="M166" s="1128" t="str">
        <f>+IFERROR(VLOOKUP(G166,'S1&amp;2 Lists'!$C$8:$G$112,3,FALSE),"-")</f>
        <v>-</v>
      </c>
      <c r="N166" s="1128" t="str">
        <f t="shared" si="2"/>
        <v>-</v>
      </c>
      <c r="P166" s="1130">
        <f>ROUND(IF(L166='S1&amp;2 Lists'!$CV$3,K166,IF(L166='S1&amp;2 Lists'!$CV$4,K166/'S1&amp;2 Lists'!$CQ$6,0)),3)</f>
        <v>0</v>
      </c>
      <c r="Q166" s="11" t="s">
        <v>12</v>
      </c>
    </row>
    <row r="167" spans="1:17" s="1129" customFormat="1" ht="24" customHeight="1">
      <c r="A167" s="819"/>
      <c r="B167" s="819"/>
      <c r="C167" s="1131"/>
      <c r="D167" s="819"/>
      <c r="E167" s="1132"/>
      <c r="F167" s="819"/>
      <c r="G167" s="1134"/>
      <c r="H167" s="819"/>
      <c r="I167" s="1132"/>
      <c r="J167" s="819"/>
      <c r="K167" s="819"/>
      <c r="L167" s="819"/>
      <c r="M167" s="1128" t="str">
        <f>+IFERROR(VLOOKUP(G167,'S1&amp;2 Lists'!$C$8:$G$112,3,FALSE),"-")</f>
        <v>-</v>
      </c>
      <c r="N167" s="1128" t="str">
        <f t="shared" si="2"/>
        <v>-</v>
      </c>
      <c r="P167" s="1130">
        <f>ROUND(IF(L167='S1&amp;2 Lists'!$CV$3,K167,IF(L167='S1&amp;2 Lists'!$CV$4,K167/'S1&amp;2 Lists'!$CQ$6,0)),3)</f>
        <v>0</v>
      </c>
      <c r="Q167" s="11" t="s">
        <v>12</v>
      </c>
    </row>
    <row r="168" spans="1:17" s="1129" customFormat="1" ht="24" customHeight="1">
      <c r="A168" s="819"/>
      <c r="B168" s="819"/>
      <c r="C168" s="1131"/>
      <c r="D168" s="819"/>
      <c r="E168" s="1132"/>
      <c r="F168" s="819"/>
      <c r="G168" s="1134"/>
      <c r="H168" s="819"/>
      <c r="I168" s="1132"/>
      <c r="J168" s="819"/>
      <c r="K168" s="819"/>
      <c r="L168" s="819"/>
      <c r="M168" s="1128" t="str">
        <f>+IFERROR(VLOOKUP(G168,'S1&amp;2 Lists'!$C$8:$G$112,3,FALSE),"-")</f>
        <v>-</v>
      </c>
      <c r="N168" s="1128" t="str">
        <f t="shared" si="2"/>
        <v>-</v>
      </c>
      <c r="P168" s="1130">
        <f>ROUND(IF(L168='S1&amp;2 Lists'!$CV$3,K168,IF(L168='S1&amp;2 Lists'!$CV$4,K168/'S1&amp;2 Lists'!$CQ$6,0)),3)</f>
        <v>0</v>
      </c>
      <c r="Q168" s="11" t="s">
        <v>12</v>
      </c>
    </row>
    <row r="169" spans="1:17" s="1129" customFormat="1" ht="24" customHeight="1">
      <c r="A169" s="819"/>
      <c r="B169" s="819"/>
      <c r="C169" s="1131"/>
      <c r="D169" s="819"/>
      <c r="E169" s="1132"/>
      <c r="F169" s="819"/>
      <c r="G169" s="1134"/>
      <c r="H169" s="819"/>
      <c r="I169" s="1132"/>
      <c r="J169" s="819"/>
      <c r="K169" s="819"/>
      <c r="L169" s="819"/>
      <c r="M169" s="1128" t="str">
        <f>+IFERROR(VLOOKUP(G169,'S1&amp;2 Lists'!$C$8:$G$112,3,FALSE),"-")</f>
        <v>-</v>
      </c>
      <c r="N169" s="1128" t="str">
        <f t="shared" si="2"/>
        <v>-</v>
      </c>
      <c r="P169" s="1130">
        <f>ROUND(IF(L169='S1&amp;2 Lists'!$CV$3,K169,IF(L169='S1&amp;2 Lists'!$CV$4,K169/'S1&amp;2 Lists'!$CQ$6,0)),3)</f>
        <v>0</v>
      </c>
      <c r="Q169" s="11" t="s">
        <v>12</v>
      </c>
    </row>
    <row r="170" spans="1:17" s="1129" customFormat="1" ht="24" customHeight="1">
      <c r="A170" s="819"/>
      <c r="B170" s="819"/>
      <c r="C170" s="1131"/>
      <c r="D170" s="819"/>
      <c r="E170" s="1132"/>
      <c r="F170" s="819"/>
      <c r="G170" s="1134"/>
      <c r="H170" s="819"/>
      <c r="I170" s="1132"/>
      <c r="J170" s="819"/>
      <c r="K170" s="819"/>
      <c r="L170" s="819"/>
      <c r="M170" s="1128" t="str">
        <f>+IFERROR(VLOOKUP(G170,'S1&amp;2 Lists'!$C$8:$G$112,3,FALSE),"-")</f>
        <v>-</v>
      </c>
      <c r="N170" s="1128" t="str">
        <f t="shared" si="2"/>
        <v>-</v>
      </c>
      <c r="P170" s="1130">
        <f>ROUND(IF(L170='S1&amp;2 Lists'!$CV$3,K170,IF(L170='S1&amp;2 Lists'!$CV$4,K170/'S1&amp;2 Lists'!$CQ$6,0)),3)</f>
        <v>0</v>
      </c>
      <c r="Q170" s="11" t="s">
        <v>12</v>
      </c>
    </row>
    <row r="171" spans="1:17" s="1129" customFormat="1" ht="24" customHeight="1">
      <c r="A171" s="819"/>
      <c r="B171" s="819"/>
      <c r="C171" s="1131"/>
      <c r="D171" s="819"/>
      <c r="E171" s="1132"/>
      <c r="F171" s="819"/>
      <c r="G171" s="1134"/>
      <c r="H171" s="819"/>
      <c r="I171" s="1132"/>
      <c r="J171" s="819"/>
      <c r="K171" s="819"/>
      <c r="L171" s="819"/>
      <c r="M171" s="1128" t="str">
        <f>+IFERROR(VLOOKUP(G171,'S1&amp;2 Lists'!$C$8:$G$112,3,FALSE),"-")</f>
        <v>-</v>
      </c>
      <c r="N171" s="1128" t="str">
        <f t="shared" si="2"/>
        <v>-</v>
      </c>
      <c r="P171" s="1130">
        <f>ROUND(IF(L171='S1&amp;2 Lists'!$CV$3,K171,IF(L171='S1&amp;2 Lists'!$CV$4,K171/'S1&amp;2 Lists'!$CQ$6,0)),3)</f>
        <v>0</v>
      </c>
      <c r="Q171" s="11" t="s">
        <v>12</v>
      </c>
    </row>
    <row r="172" spans="1:17" s="1129" customFormat="1" ht="24" customHeight="1">
      <c r="A172" s="819"/>
      <c r="B172" s="819"/>
      <c r="C172" s="1131"/>
      <c r="D172" s="819"/>
      <c r="E172" s="1132"/>
      <c r="F172" s="819"/>
      <c r="G172" s="1134"/>
      <c r="H172" s="819"/>
      <c r="I172" s="1132"/>
      <c r="J172" s="819"/>
      <c r="K172" s="819"/>
      <c r="L172" s="819"/>
      <c r="M172" s="1128" t="str">
        <f>+IFERROR(VLOOKUP(G172,'S1&amp;2 Lists'!$C$8:$G$112,3,FALSE),"-")</f>
        <v>-</v>
      </c>
      <c r="N172" s="1128" t="str">
        <f t="shared" si="2"/>
        <v>-</v>
      </c>
      <c r="P172" s="1130">
        <f>ROUND(IF(L172='S1&amp;2 Lists'!$CV$3,K172,IF(L172='S1&amp;2 Lists'!$CV$4,K172/'S1&amp;2 Lists'!$CQ$6,0)),3)</f>
        <v>0</v>
      </c>
      <c r="Q172" s="11" t="s">
        <v>12</v>
      </c>
    </row>
    <row r="173" spans="1:17" s="1129" customFormat="1" ht="24" customHeight="1">
      <c r="A173" s="819"/>
      <c r="B173" s="819"/>
      <c r="C173" s="1131"/>
      <c r="D173" s="819"/>
      <c r="E173" s="1132"/>
      <c r="F173" s="819"/>
      <c r="G173" s="1134"/>
      <c r="H173" s="819"/>
      <c r="I173" s="1132"/>
      <c r="J173" s="819"/>
      <c r="K173" s="819"/>
      <c r="L173" s="819"/>
      <c r="M173" s="1128" t="str">
        <f>+IFERROR(VLOOKUP(G173,'S1&amp;2 Lists'!$C$8:$G$112,3,FALSE),"-")</f>
        <v>-</v>
      </c>
      <c r="N173" s="1128" t="str">
        <f t="shared" si="2"/>
        <v>-</v>
      </c>
      <c r="P173" s="1130">
        <f>ROUND(IF(L173='S1&amp;2 Lists'!$CV$3,K173,IF(L173='S1&amp;2 Lists'!$CV$4,K173/'S1&amp;2 Lists'!$CQ$6,0)),3)</f>
        <v>0</v>
      </c>
      <c r="Q173" s="11" t="s">
        <v>12</v>
      </c>
    </row>
    <row r="174" spans="1:17" s="1129" customFormat="1" ht="24" customHeight="1">
      <c r="A174" s="819"/>
      <c r="B174" s="819"/>
      <c r="C174" s="1131"/>
      <c r="D174" s="819"/>
      <c r="E174" s="1132"/>
      <c r="F174" s="819"/>
      <c r="G174" s="1134"/>
      <c r="H174" s="819"/>
      <c r="I174" s="1132"/>
      <c r="J174" s="819"/>
      <c r="K174" s="819"/>
      <c r="L174" s="819"/>
      <c r="M174" s="1128" t="str">
        <f>+IFERROR(VLOOKUP(G174,'S1&amp;2 Lists'!$C$8:$G$112,3,FALSE),"-")</f>
        <v>-</v>
      </c>
      <c r="N174" s="1128" t="str">
        <f t="shared" si="2"/>
        <v>-</v>
      </c>
      <c r="P174" s="1130">
        <f>ROUND(IF(L174='S1&amp;2 Lists'!$CV$3,K174,IF(L174='S1&amp;2 Lists'!$CV$4,K174/'S1&amp;2 Lists'!$CQ$6,0)),3)</f>
        <v>0</v>
      </c>
      <c r="Q174" s="11" t="s">
        <v>12</v>
      </c>
    </row>
    <row r="175" spans="1:17" s="1129" customFormat="1" ht="24" customHeight="1">
      <c r="A175" s="819"/>
      <c r="B175" s="819"/>
      <c r="C175" s="1131"/>
      <c r="D175" s="819"/>
      <c r="E175" s="1132"/>
      <c r="F175" s="819"/>
      <c r="G175" s="1134"/>
      <c r="H175" s="819"/>
      <c r="I175" s="1132"/>
      <c r="J175" s="819"/>
      <c r="K175" s="819"/>
      <c r="L175" s="819"/>
      <c r="M175" s="1128" t="str">
        <f>+IFERROR(VLOOKUP(G175,'S1&amp;2 Lists'!$C$8:$G$112,3,FALSE),"-")</f>
        <v>-</v>
      </c>
      <c r="N175" s="1128" t="str">
        <f t="shared" si="2"/>
        <v>-</v>
      </c>
      <c r="P175" s="1130">
        <f>ROUND(IF(L175='S1&amp;2 Lists'!$CV$3,K175,IF(L175='S1&amp;2 Lists'!$CV$4,K175/'S1&amp;2 Lists'!$CQ$6,0)),3)</f>
        <v>0</v>
      </c>
      <c r="Q175" s="11" t="s">
        <v>12</v>
      </c>
    </row>
    <row r="176" spans="1:17" s="1129" customFormat="1" ht="24" customHeight="1">
      <c r="A176" s="819"/>
      <c r="B176" s="819"/>
      <c r="C176" s="1131"/>
      <c r="D176" s="819"/>
      <c r="E176" s="1132"/>
      <c r="F176" s="819"/>
      <c r="G176" s="1134"/>
      <c r="H176" s="819"/>
      <c r="I176" s="1132"/>
      <c r="J176" s="819"/>
      <c r="K176" s="819"/>
      <c r="L176" s="819"/>
      <c r="M176" s="1128" t="str">
        <f>+IFERROR(VLOOKUP(G176,'S1&amp;2 Lists'!$C$8:$G$112,3,FALSE),"-")</f>
        <v>-</v>
      </c>
      <c r="N176" s="1128" t="str">
        <f t="shared" si="2"/>
        <v>-</v>
      </c>
      <c r="P176" s="1130">
        <f>ROUND(IF(L176='S1&amp;2 Lists'!$CV$3,K176,IF(L176='S1&amp;2 Lists'!$CV$4,K176/'S1&amp;2 Lists'!$CQ$6,0)),3)</f>
        <v>0</v>
      </c>
      <c r="Q176" s="11" t="s">
        <v>12</v>
      </c>
    </row>
    <row r="177" spans="1:17" s="1129" customFormat="1" ht="24" customHeight="1">
      <c r="A177" s="819"/>
      <c r="B177" s="819"/>
      <c r="C177" s="1131"/>
      <c r="D177" s="819"/>
      <c r="E177" s="1132"/>
      <c r="F177" s="819"/>
      <c r="G177" s="1134"/>
      <c r="H177" s="819"/>
      <c r="I177" s="1132"/>
      <c r="J177" s="819"/>
      <c r="K177" s="819"/>
      <c r="L177" s="819"/>
      <c r="M177" s="1128" t="str">
        <f>+IFERROR(VLOOKUP(G177,'S1&amp;2 Lists'!$C$8:$G$112,3,FALSE),"-")</f>
        <v>-</v>
      </c>
      <c r="N177" s="1128" t="str">
        <f t="shared" si="2"/>
        <v>-</v>
      </c>
      <c r="P177" s="1130">
        <f>ROUND(IF(L177='S1&amp;2 Lists'!$CV$3,K177,IF(L177='S1&amp;2 Lists'!$CV$4,K177/'S1&amp;2 Lists'!$CQ$6,0)),3)</f>
        <v>0</v>
      </c>
      <c r="Q177" s="11" t="s">
        <v>12</v>
      </c>
    </row>
    <row r="178" spans="1:17" s="1129" customFormat="1" ht="24" customHeight="1">
      <c r="A178" s="819"/>
      <c r="B178" s="819"/>
      <c r="C178" s="1131"/>
      <c r="D178" s="819"/>
      <c r="E178" s="1132"/>
      <c r="F178" s="819"/>
      <c r="G178" s="1134"/>
      <c r="H178" s="819"/>
      <c r="I178" s="1132"/>
      <c r="J178" s="819"/>
      <c r="K178" s="819"/>
      <c r="L178" s="819"/>
      <c r="M178" s="1128" t="str">
        <f>+IFERROR(VLOOKUP(G178,'S1&amp;2 Lists'!$C$8:$G$112,3,FALSE),"-")</f>
        <v>-</v>
      </c>
      <c r="N178" s="1128" t="str">
        <f t="shared" si="2"/>
        <v>-</v>
      </c>
      <c r="P178" s="1130">
        <f>ROUND(IF(L178='S1&amp;2 Lists'!$CV$3,K178,IF(L178='S1&amp;2 Lists'!$CV$4,K178/'S1&amp;2 Lists'!$CQ$6,0)),3)</f>
        <v>0</v>
      </c>
      <c r="Q178" s="11" t="s">
        <v>12</v>
      </c>
    </row>
    <row r="179" spans="1:17" s="1129" customFormat="1" ht="24" customHeight="1">
      <c r="A179" s="819"/>
      <c r="B179" s="819"/>
      <c r="C179" s="1131"/>
      <c r="D179" s="819"/>
      <c r="E179" s="1132"/>
      <c r="F179" s="819"/>
      <c r="G179" s="1134"/>
      <c r="H179" s="819"/>
      <c r="I179" s="1132"/>
      <c r="J179" s="819"/>
      <c r="K179" s="819"/>
      <c r="L179" s="819"/>
      <c r="M179" s="1128" t="str">
        <f>+IFERROR(VLOOKUP(G179,'S1&amp;2 Lists'!$C$8:$G$112,3,FALSE),"-")</f>
        <v>-</v>
      </c>
      <c r="N179" s="1128" t="str">
        <f t="shared" si="2"/>
        <v>-</v>
      </c>
      <c r="P179" s="1130">
        <f>ROUND(IF(L179='S1&amp;2 Lists'!$CV$3,K179,IF(L179='S1&amp;2 Lists'!$CV$4,K179/'S1&amp;2 Lists'!$CQ$6,0)),3)</f>
        <v>0</v>
      </c>
      <c r="Q179" s="11" t="s">
        <v>12</v>
      </c>
    </row>
    <row r="180" spans="1:17" s="1129" customFormat="1" ht="24" customHeight="1">
      <c r="A180" s="819"/>
      <c r="B180" s="819"/>
      <c r="C180" s="1131"/>
      <c r="D180" s="819"/>
      <c r="E180" s="1132"/>
      <c r="F180" s="819"/>
      <c r="G180" s="1134"/>
      <c r="H180" s="819"/>
      <c r="I180" s="1132"/>
      <c r="J180" s="819"/>
      <c r="K180" s="819"/>
      <c r="L180" s="819"/>
      <c r="M180" s="1128" t="str">
        <f>+IFERROR(VLOOKUP(G180,'S1&amp;2 Lists'!$C$8:$G$112,3,FALSE),"-")</f>
        <v>-</v>
      </c>
      <c r="N180" s="1128" t="str">
        <f t="shared" si="2"/>
        <v>-</v>
      </c>
      <c r="P180" s="1130">
        <f>ROUND(IF(L180='S1&amp;2 Lists'!$CV$3,K180,IF(L180='S1&amp;2 Lists'!$CV$4,K180/'S1&amp;2 Lists'!$CQ$6,0)),3)</f>
        <v>0</v>
      </c>
      <c r="Q180" s="11" t="s">
        <v>12</v>
      </c>
    </row>
    <row r="181" spans="1:17" s="1129" customFormat="1" ht="24" customHeight="1">
      <c r="A181" s="819"/>
      <c r="B181" s="819"/>
      <c r="C181" s="1131"/>
      <c r="D181" s="819"/>
      <c r="E181" s="1132"/>
      <c r="F181" s="819"/>
      <c r="G181" s="1134"/>
      <c r="H181" s="819"/>
      <c r="I181" s="1132"/>
      <c r="J181" s="819"/>
      <c r="K181" s="819"/>
      <c r="L181" s="819"/>
      <c r="M181" s="1128" t="str">
        <f>+IFERROR(VLOOKUP(G181,'S1&amp;2 Lists'!$C$8:$G$112,3,FALSE),"-")</f>
        <v>-</v>
      </c>
      <c r="N181" s="1128" t="str">
        <f t="shared" si="2"/>
        <v>-</v>
      </c>
      <c r="P181" s="1130">
        <f>ROUND(IF(L181='S1&amp;2 Lists'!$CV$3,K181,IF(L181='S1&amp;2 Lists'!$CV$4,K181/'S1&amp;2 Lists'!$CQ$6,0)),3)</f>
        <v>0</v>
      </c>
      <c r="Q181" s="11" t="s">
        <v>12</v>
      </c>
    </row>
    <row r="182" spans="1:17" s="1129" customFormat="1" ht="24" customHeight="1">
      <c r="A182" s="819"/>
      <c r="B182" s="819"/>
      <c r="C182" s="1131"/>
      <c r="D182" s="819"/>
      <c r="E182" s="1132"/>
      <c r="F182" s="819"/>
      <c r="G182" s="1134"/>
      <c r="H182" s="819"/>
      <c r="I182" s="1132"/>
      <c r="J182" s="819"/>
      <c r="K182" s="819"/>
      <c r="L182" s="819"/>
      <c r="M182" s="1128" t="str">
        <f>+IFERROR(VLOOKUP(G182,'S1&amp;2 Lists'!$C$8:$G$112,3,FALSE),"-")</f>
        <v>-</v>
      </c>
      <c r="N182" s="1128" t="str">
        <f t="shared" si="2"/>
        <v>-</v>
      </c>
      <c r="P182" s="1130">
        <f>ROUND(IF(L182='S1&amp;2 Lists'!$CV$3,K182,IF(L182='S1&amp;2 Lists'!$CV$4,K182/'S1&amp;2 Lists'!$CQ$6,0)),3)</f>
        <v>0</v>
      </c>
      <c r="Q182" s="11" t="s">
        <v>12</v>
      </c>
    </row>
    <row r="183" spans="1:17" s="1129" customFormat="1" ht="24" customHeight="1">
      <c r="A183" s="819"/>
      <c r="B183" s="819"/>
      <c r="C183" s="1131"/>
      <c r="D183" s="819"/>
      <c r="E183" s="1132"/>
      <c r="F183" s="819"/>
      <c r="G183" s="1134"/>
      <c r="H183" s="819"/>
      <c r="I183" s="1132"/>
      <c r="J183" s="819"/>
      <c r="K183" s="819"/>
      <c r="L183" s="819"/>
      <c r="M183" s="1128" t="str">
        <f>+IFERROR(VLOOKUP(G183,'S1&amp;2 Lists'!$C$8:$G$112,3,FALSE),"-")</f>
        <v>-</v>
      </c>
      <c r="N183" s="1128" t="str">
        <f t="shared" si="2"/>
        <v>-</v>
      </c>
      <c r="P183" s="1130">
        <f>ROUND(IF(L183='S1&amp;2 Lists'!$CV$3,K183,IF(L183='S1&amp;2 Lists'!$CV$4,K183/'S1&amp;2 Lists'!$CQ$6,0)),3)</f>
        <v>0</v>
      </c>
      <c r="Q183" s="11" t="s">
        <v>12</v>
      </c>
    </row>
    <row r="184" spans="1:17" s="1129" customFormat="1" ht="24" customHeight="1">
      <c r="A184" s="819"/>
      <c r="B184" s="819"/>
      <c r="C184" s="1131"/>
      <c r="D184" s="819"/>
      <c r="E184" s="1132"/>
      <c r="F184" s="819"/>
      <c r="G184" s="1134"/>
      <c r="H184" s="819"/>
      <c r="I184" s="1132"/>
      <c r="J184" s="819"/>
      <c r="K184" s="819"/>
      <c r="L184" s="819"/>
      <c r="M184" s="1128" t="str">
        <f>+IFERROR(VLOOKUP(G184,'S1&amp;2 Lists'!$C$8:$G$112,3,FALSE),"-")</f>
        <v>-</v>
      </c>
      <c r="N184" s="1128" t="str">
        <f t="shared" si="2"/>
        <v>-</v>
      </c>
      <c r="P184" s="1130">
        <f>ROUND(IF(L184='S1&amp;2 Lists'!$CV$3,K184,IF(L184='S1&amp;2 Lists'!$CV$4,K184/'S1&amp;2 Lists'!$CQ$6,0)),3)</f>
        <v>0</v>
      </c>
      <c r="Q184" s="11" t="s">
        <v>12</v>
      </c>
    </row>
    <row r="185" spans="1:17" s="1129" customFormat="1" ht="24" customHeight="1">
      <c r="A185" s="819"/>
      <c r="B185" s="819"/>
      <c r="C185" s="1131"/>
      <c r="D185" s="819"/>
      <c r="E185" s="1132"/>
      <c r="F185" s="819"/>
      <c r="G185" s="1134"/>
      <c r="H185" s="819"/>
      <c r="I185" s="1132"/>
      <c r="J185" s="819"/>
      <c r="K185" s="819"/>
      <c r="L185" s="819"/>
      <c r="M185" s="1128" t="str">
        <f>+IFERROR(VLOOKUP(G185,'S1&amp;2 Lists'!$C$8:$G$112,3,FALSE),"-")</f>
        <v>-</v>
      </c>
      <c r="N185" s="1128" t="str">
        <f t="shared" si="2"/>
        <v>-</v>
      </c>
      <c r="P185" s="1130">
        <f>ROUND(IF(L185='S1&amp;2 Lists'!$CV$3,K185,IF(L185='S1&amp;2 Lists'!$CV$4,K185/'S1&amp;2 Lists'!$CQ$6,0)),3)</f>
        <v>0</v>
      </c>
      <c r="Q185" s="11" t="s">
        <v>12</v>
      </c>
    </row>
    <row r="186" spans="1:17" s="1129" customFormat="1" ht="24" customHeight="1">
      <c r="A186" s="819"/>
      <c r="B186" s="819"/>
      <c r="C186" s="1131"/>
      <c r="D186" s="819"/>
      <c r="E186" s="1132"/>
      <c r="F186" s="819"/>
      <c r="G186" s="1134"/>
      <c r="H186" s="819"/>
      <c r="I186" s="1132"/>
      <c r="J186" s="819"/>
      <c r="K186" s="819"/>
      <c r="L186" s="819"/>
      <c r="M186" s="1128" t="str">
        <f>+IFERROR(VLOOKUP(G186,'S1&amp;2 Lists'!$C$8:$G$112,3,FALSE),"-")</f>
        <v>-</v>
      </c>
      <c r="N186" s="1128" t="str">
        <f t="shared" si="2"/>
        <v>-</v>
      </c>
      <c r="P186" s="1130">
        <f>ROUND(IF(L186='S1&amp;2 Lists'!$CV$3,K186,IF(L186='S1&amp;2 Lists'!$CV$4,K186/'S1&amp;2 Lists'!$CQ$6,0)),3)</f>
        <v>0</v>
      </c>
      <c r="Q186" s="11" t="s">
        <v>12</v>
      </c>
    </row>
    <row r="187" spans="1:17" s="1129" customFormat="1" ht="24" customHeight="1">
      <c r="A187" s="819"/>
      <c r="B187" s="819"/>
      <c r="C187" s="1131"/>
      <c r="D187" s="819"/>
      <c r="E187" s="1132"/>
      <c r="F187" s="819"/>
      <c r="G187" s="1134"/>
      <c r="H187" s="819"/>
      <c r="I187" s="1132"/>
      <c r="J187" s="819"/>
      <c r="K187" s="819"/>
      <c r="L187" s="819"/>
      <c r="M187" s="1128" t="str">
        <f>+IFERROR(VLOOKUP(G187,'S1&amp;2 Lists'!$C$8:$G$112,3,FALSE),"-")</f>
        <v>-</v>
      </c>
      <c r="N187" s="1128" t="str">
        <f t="shared" si="2"/>
        <v>-</v>
      </c>
      <c r="P187" s="1130">
        <f>ROUND(IF(L187='S1&amp;2 Lists'!$CV$3,K187,IF(L187='S1&amp;2 Lists'!$CV$4,K187/'S1&amp;2 Lists'!$CQ$6,0)),3)</f>
        <v>0</v>
      </c>
      <c r="Q187" s="11" t="s">
        <v>12</v>
      </c>
    </row>
    <row r="188" spans="1:17" s="1129" customFormat="1" ht="24" customHeight="1">
      <c r="A188" s="819"/>
      <c r="B188" s="819"/>
      <c r="C188" s="1131"/>
      <c r="D188" s="819"/>
      <c r="E188" s="1132"/>
      <c r="F188" s="819"/>
      <c r="G188" s="1134"/>
      <c r="H188" s="819"/>
      <c r="I188" s="1132"/>
      <c r="J188" s="819"/>
      <c r="K188" s="819"/>
      <c r="L188" s="819"/>
      <c r="M188" s="1128" t="str">
        <f>+IFERROR(VLOOKUP(G188,'S1&amp;2 Lists'!$C$8:$G$112,3,FALSE),"-")</f>
        <v>-</v>
      </c>
      <c r="N188" s="1128" t="str">
        <f t="shared" si="2"/>
        <v>-</v>
      </c>
      <c r="P188" s="1130">
        <f>ROUND(IF(L188='S1&amp;2 Lists'!$CV$3,K188,IF(L188='S1&amp;2 Lists'!$CV$4,K188/'S1&amp;2 Lists'!$CQ$6,0)),3)</f>
        <v>0</v>
      </c>
      <c r="Q188" s="11" t="s">
        <v>12</v>
      </c>
    </row>
    <row r="189" spans="1:17" s="1129" customFormat="1" ht="24" customHeight="1">
      <c r="A189" s="819"/>
      <c r="B189" s="819"/>
      <c r="C189" s="1131"/>
      <c r="D189" s="819"/>
      <c r="E189" s="1132"/>
      <c r="F189" s="819"/>
      <c r="G189" s="1134"/>
      <c r="H189" s="819"/>
      <c r="I189" s="1132"/>
      <c r="J189" s="819"/>
      <c r="K189" s="819"/>
      <c r="L189" s="819"/>
      <c r="M189" s="1128" t="str">
        <f>+IFERROR(VLOOKUP(G189,'S1&amp;2 Lists'!$C$8:$G$112,3,FALSE),"-")</f>
        <v>-</v>
      </c>
      <c r="N189" s="1128" t="str">
        <f t="shared" si="2"/>
        <v>-</v>
      </c>
      <c r="P189" s="1130">
        <f>ROUND(IF(L189='S1&amp;2 Lists'!$CV$3,K189,IF(L189='S1&amp;2 Lists'!$CV$4,K189/'S1&amp;2 Lists'!$CQ$6,0)),3)</f>
        <v>0</v>
      </c>
      <c r="Q189" s="11" t="s">
        <v>12</v>
      </c>
    </row>
    <row r="190" spans="1:17" s="1129" customFormat="1" ht="24" customHeight="1">
      <c r="A190" s="819"/>
      <c r="B190" s="819"/>
      <c r="C190" s="1131"/>
      <c r="D190" s="819"/>
      <c r="E190" s="1132"/>
      <c r="F190" s="819"/>
      <c r="G190" s="1134"/>
      <c r="H190" s="819"/>
      <c r="I190" s="1132"/>
      <c r="J190" s="819"/>
      <c r="K190" s="819"/>
      <c r="L190" s="819"/>
      <c r="M190" s="1128" t="str">
        <f>+IFERROR(VLOOKUP(G190,'S1&amp;2 Lists'!$C$8:$G$112,3,FALSE),"-")</f>
        <v>-</v>
      </c>
      <c r="N190" s="1128" t="str">
        <f t="shared" si="2"/>
        <v>-</v>
      </c>
      <c r="P190" s="1130">
        <f>ROUND(IF(L190='S1&amp;2 Lists'!$CV$3,K190,IF(L190='S1&amp;2 Lists'!$CV$4,K190/'S1&amp;2 Lists'!$CQ$6,0)),3)</f>
        <v>0</v>
      </c>
      <c r="Q190" s="11" t="s">
        <v>12</v>
      </c>
    </row>
    <row r="191" spans="1:17" s="1129" customFormat="1" ht="24" customHeight="1">
      <c r="A191" s="819"/>
      <c r="B191" s="819"/>
      <c r="C191" s="1131"/>
      <c r="D191" s="819"/>
      <c r="E191" s="1132"/>
      <c r="F191" s="819"/>
      <c r="G191" s="1134"/>
      <c r="H191" s="819"/>
      <c r="I191" s="1132"/>
      <c r="J191" s="819"/>
      <c r="K191" s="819"/>
      <c r="L191" s="819"/>
      <c r="M191" s="1128" t="str">
        <f>+IFERROR(VLOOKUP(G191,'S1&amp;2 Lists'!$C$8:$G$112,3,FALSE),"-")</f>
        <v>-</v>
      </c>
      <c r="N191" s="1128" t="str">
        <f t="shared" si="2"/>
        <v>-</v>
      </c>
      <c r="P191" s="1130">
        <f>ROUND(IF(L191='S1&amp;2 Lists'!$CV$3,K191,IF(L191='S1&amp;2 Lists'!$CV$4,K191/'S1&amp;2 Lists'!$CQ$6,0)),3)</f>
        <v>0</v>
      </c>
      <c r="Q191" s="11" t="s">
        <v>12</v>
      </c>
    </row>
    <row r="192" spans="1:17" s="1129" customFormat="1" ht="24" customHeight="1">
      <c r="A192" s="819"/>
      <c r="B192" s="819"/>
      <c r="C192" s="1131"/>
      <c r="D192" s="819"/>
      <c r="E192" s="1132"/>
      <c r="F192" s="819"/>
      <c r="G192" s="1134"/>
      <c r="H192" s="819"/>
      <c r="I192" s="1132"/>
      <c r="J192" s="819"/>
      <c r="K192" s="819"/>
      <c r="L192" s="819"/>
      <c r="M192" s="1128" t="str">
        <f>+IFERROR(VLOOKUP(G192,'S1&amp;2 Lists'!$C$8:$G$112,3,FALSE),"-")</f>
        <v>-</v>
      </c>
      <c r="N192" s="1128" t="str">
        <f t="shared" si="2"/>
        <v>-</v>
      </c>
      <c r="P192" s="1130">
        <f>ROUND(IF(L192='S1&amp;2 Lists'!$CV$3,K192,IF(L192='S1&amp;2 Lists'!$CV$4,K192/'S1&amp;2 Lists'!$CQ$6,0)),3)</f>
        <v>0</v>
      </c>
      <c r="Q192" s="11" t="s">
        <v>12</v>
      </c>
    </row>
    <row r="193" spans="1:17" s="1129" customFormat="1" ht="24" customHeight="1">
      <c r="A193" s="819"/>
      <c r="B193" s="819"/>
      <c r="C193" s="1131"/>
      <c r="D193" s="819"/>
      <c r="E193" s="1132"/>
      <c r="F193" s="819"/>
      <c r="G193" s="1134"/>
      <c r="H193" s="819"/>
      <c r="I193" s="1132"/>
      <c r="J193" s="819"/>
      <c r="K193" s="819"/>
      <c r="L193" s="819"/>
      <c r="M193" s="1128" t="str">
        <f>+IFERROR(VLOOKUP(G193,'S1&amp;2 Lists'!$C$8:$G$112,3,FALSE),"-")</f>
        <v>-</v>
      </c>
      <c r="N193" s="1128" t="str">
        <f t="shared" si="2"/>
        <v>-</v>
      </c>
      <c r="P193" s="1130">
        <f>ROUND(IF(L193='S1&amp;2 Lists'!$CV$3,K193,IF(L193='S1&amp;2 Lists'!$CV$4,K193/'S1&amp;2 Lists'!$CQ$6,0)),3)</f>
        <v>0</v>
      </c>
      <c r="Q193" s="11" t="s">
        <v>12</v>
      </c>
    </row>
    <row r="194" spans="1:17" s="1129" customFormat="1" ht="24" customHeight="1">
      <c r="A194" s="819"/>
      <c r="B194" s="819"/>
      <c r="C194" s="1131"/>
      <c r="D194" s="819"/>
      <c r="E194" s="1132"/>
      <c r="F194" s="819"/>
      <c r="G194" s="1134"/>
      <c r="H194" s="819"/>
      <c r="I194" s="1132"/>
      <c r="J194" s="819"/>
      <c r="K194" s="819"/>
      <c r="L194" s="819"/>
      <c r="M194" s="1128" t="str">
        <f>+IFERROR(VLOOKUP(G194,'S1&amp;2 Lists'!$C$8:$G$112,3,FALSE),"-")</f>
        <v>-</v>
      </c>
      <c r="N194" s="1128" t="str">
        <f t="shared" si="2"/>
        <v>-</v>
      </c>
      <c r="P194" s="1130">
        <f>ROUND(IF(L194='S1&amp;2 Lists'!$CV$3,K194,IF(L194='S1&amp;2 Lists'!$CV$4,K194/'S1&amp;2 Lists'!$CQ$6,0)),3)</f>
        <v>0</v>
      </c>
      <c r="Q194" s="11" t="s">
        <v>12</v>
      </c>
    </row>
    <row r="195" spans="1:17" s="1129" customFormat="1" ht="24" customHeight="1">
      <c r="A195" s="819"/>
      <c r="B195" s="819"/>
      <c r="C195" s="1131"/>
      <c r="D195" s="819"/>
      <c r="E195" s="1132"/>
      <c r="F195" s="819"/>
      <c r="G195" s="1134"/>
      <c r="H195" s="819"/>
      <c r="I195" s="1132"/>
      <c r="J195" s="819"/>
      <c r="K195" s="819"/>
      <c r="L195" s="819"/>
      <c r="M195" s="1128" t="str">
        <f>+IFERROR(VLOOKUP(G195,'S1&amp;2 Lists'!$C$8:$G$112,3,FALSE),"-")</f>
        <v>-</v>
      </c>
      <c r="N195" s="1128" t="str">
        <f t="shared" si="2"/>
        <v>-</v>
      </c>
      <c r="P195" s="1130">
        <f>ROUND(IF(L195='S1&amp;2 Lists'!$CV$3,K195,IF(L195='S1&amp;2 Lists'!$CV$4,K195/'S1&amp;2 Lists'!$CQ$6,0)),3)</f>
        <v>0</v>
      </c>
      <c r="Q195" s="11" t="s">
        <v>12</v>
      </c>
    </row>
    <row r="196" spans="1:17" s="1129" customFormat="1" ht="24" customHeight="1">
      <c r="A196" s="819"/>
      <c r="B196" s="819"/>
      <c r="C196" s="1131"/>
      <c r="D196" s="819"/>
      <c r="E196" s="1132"/>
      <c r="F196" s="819"/>
      <c r="G196" s="1134"/>
      <c r="H196" s="819"/>
      <c r="I196" s="1132"/>
      <c r="J196" s="819"/>
      <c r="K196" s="819"/>
      <c r="L196" s="819"/>
      <c r="M196" s="1128" t="str">
        <f>+IFERROR(VLOOKUP(G196,'S1&amp;2 Lists'!$C$8:$G$112,3,FALSE),"-")</f>
        <v>-</v>
      </c>
      <c r="N196" s="1128" t="str">
        <f t="shared" si="2"/>
        <v>-</v>
      </c>
      <c r="P196" s="1130">
        <f>ROUND(IF(L196='S1&amp;2 Lists'!$CV$3,K196,IF(L196='S1&amp;2 Lists'!$CV$4,K196/'S1&amp;2 Lists'!$CQ$6,0)),3)</f>
        <v>0</v>
      </c>
      <c r="Q196" s="11" t="s">
        <v>12</v>
      </c>
    </row>
    <row r="197" spans="1:17" s="1129" customFormat="1" ht="24" customHeight="1">
      <c r="A197" s="819"/>
      <c r="B197" s="819"/>
      <c r="C197" s="1131"/>
      <c r="D197" s="819"/>
      <c r="E197" s="1132"/>
      <c r="F197" s="819"/>
      <c r="G197" s="1134"/>
      <c r="H197" s="819"/>
      <c r="I197" s="1132"/>
      <c r="J197" s="819"/>
      <c r="K197" s="819"/>
      <c r="L197" s="819"/>
      <c r="M197" s="1128" t="str">
        <f>+IFERROR(VLOOKUP(G197,'S1&amp;2 Lists'!$C$8:$G$112,3,FALSE),"-")</f>
        <v>-</v>
      </c>
      <c r="N197" s="1128" t="str">
        <f t="shared" si="2"/>
        <v>-</v>
      </c>
      <c r="P197" s="1130">
        <f>ROUND(IF(L197='S1&amp;2 Lists'!$CV$3,K197,IF(L197='S1&amp;2 Lists'!$CV$4,K197/'S1&amp;2 Lists'!$CQ$6,0)),3)</f>
        <v>0</v>
      </c>
      <c r="Q197" s="11" t="s">
        <v>12</v>
      </c>
    </row>
    <row r="198" spans="1:17" s="1129" customFormat="1" ht="24" customHeight="1">
      <c r="A198" s="819"/>
      <c r="B198" s="819"/>
      <c r="C198" s="1131"/>
      <c r="D198" s="819"/>
      <c r="E198" s="1132"/>
      <c r="F198" s="819"/>
      <c r="G198" s="1134"/>
      <c r="H198" s="819"/>
      <c r="I198" s="1132"/>
      <c r="J198" s="819"/>
      <c r="K198" s="819"/>
      <c r="L198" s="819"/>
      <c r="M198" s="1128" t="str">
        <f>+IFERROR(VLOOKUP(G198,'S1&amp;2 Lists'!$C$8:$G$112,3,FALSE),"-")</f>
        <v>-</v>
      </c>
      <c r="N198" s="1128" t="str">
        <f t="shared" si="2"/>
        <v>-</v>
      </c>
      <c r="P198" s="1130">
        <f>ROUND(IF(L198='S1&amp;2 Lists'!$CV$3,K198,IF(L198='S1&amp;2 Lists'!$CV$4,K198/'S1&amp;2 Lists'!$CQ$6,0)),3)</f>
        <v>0</v>
      </c>
      <c r="Q198" s="11" t="s">
        <v>12</v>
      </c>
    </row>
    <row r="199" spans="1:17" s="1129" customFormat="1" ht="24" customHeight="1">
      <c r="A199" s="819"/>
      <c r="B199" s="819"/>
      <c r="C199" s="1131"/>
      <c r="D199" s="819"/>
      <c r="E199" s="1132"/>
      <c r="F199" s="819"/>
      <c r="G199" s="1134"/>
      <c r="H199" s="819"/>
      <c r="I199" s="1132"/>
      <c r="J199" s="819"/>
      <c r="K199" s="819"/>
      <c r="L199" s="819"/>
      <c r="M199" s="1128" t="str">
        <f>+IFERROR(VLOOKUP(G199,'S1&amp;2 Lists'!$C$8:$G$112,3,FALSE),"-")</f>
        <v>-</v>
      </c>
      <c r="N199" s="1128" t="str">
        <f t="shared" si="2"/>
        <v>-</v>
      </c>
      <c r="P199" s="1130">
        <f>ROUND(IF(L199='S1&amp;2 Lists'!$CV$3,K199,IF(L199='S1&amp;2 Lists'!$CV$4,K199/'S1&amp;2 Lists'!$CQ$6,0)),3)</f>
        <v>0</v>
      </c>
      <c r="Q199" s="11" t="s">
        <v>12</v>
      </c>
    </row>
    <row r="200" spans="1:17" s="1129" customFormat="1" ht="24" customHeight="1">
      <c r="A200" s="819"/>
      <c r="B200" s="819"/>
      <c r="C200" s="1131"/>
      <c r="D200" s="819"/>
      <c r="E200" s="1132"/>
      <c r="F200" s="819"/>
      <c r="G200" s="1134"/>
      <c r="H200" s="819"/>
      <c r="I200" s="1132"/>
      <c r="J200" s="819"/>
      <c r="K200" s="819"/>
      <c r="L200" s="819"/>
      <c r="M200" s="1128" t="str">
        <f>+IFERROR(VLOOKUP(G200,'S1&amp;2 Lists'!$C$8:$G$112,3,FALSE),"-")</f>
        <v>-</v>
      </c>
      <c r="N200" s="1128" t="str">
        <f t="shared" si="2"/>
        <v>-</v>
      </c>
      <c r="P200" s="1130">
        <f>ROUND(IF(L200='S1&amp;2 Lists'!$CV$3,K200,IF(L200='S1&amp;2 Lists'!$CV$4,K200/'S1&amp;2 Lists'!$CQ$6,0)),3)</f>
        <v>0</v>
      </c>
      <c r="Q200" s="11" t="s">
        <v>12</v>
      </c>
    </row>
    <row r="201" spans="1:17" s="1129" customFormat="1" ht="24" customHeight="1">
      <c r="A201" s="819"/>
      <c r="B201" s="819"/>
      <c r="C201" s="1131"/>
      <c r="D201" s="819"/>
      <c r="E201" s="1132"/>
      <c r="F201" s="819"/>
      <c r="G201" s="1134"/>
      <c r="H201" s="819"/>
      <c r="I201" s="1132"/>
      <c r="J201" s="819"/>
      <c r="K201" s="819"/>
      <c r="L201" s="819"/>
      <c r="M201" s="1128" t="str">
        <f>+IFERROR(VLOOKUP(G201,'S1&amp;2 Lists'!$C$8:$G$112,3,FALSE),"-")</f>
        <v>-</v>
      </c>
      <c r="N201" s="1128" t="str">
        <f t="shared" si="2"/>
        <v>-</v>
      </c>
      <c r="P201" s="1130">
        <f>ROUND(IF(L201='S1&amp;2 Lists'!$CV$3,K201,IF(L201='S1&amp;2 Lists'!$CV$4,K201/'S1&amp;2 Lists'!$CQ$6,0)),3)</f>
        <v>0</v>
      </c>
      <c r="Q201" s="11" t="s">
        <v>12</v>
      </c>
    </row>
    <row r="202" spans="1:17" s="1129" customFormat="1" ht="24" customHeight="1">
      <c r="A202" s="819"/>
      <c r="B202" s="819"/>
      <c r="C202" s="1131"/>
      <c r="D202" s="819"/>
      <c r="E202" s="1132"/>
      <c r="F202" s="819"/>
      <c r="G202" s="1134"/>
      <c r="H202" s="819"/>
      <c r="I202" s="1132"/>
      <c r="J202" s="819"/>
      <c r="K202" s="819"/>
      <c r="L202" s="819"/>
      <c r="M202" s="1128" t="str">
        <f>+IFERROR(VLOOKUP(G202,'S1&amp;2 Lists'!$C$8:$G$112,3,FALSE),"-")</f>
        <v>-</v>
      </c>
      <c r="N202" s="1128" t="str">
        <f t="shared" si="2"/>
        <v>-</v>
      </c>
      <c r="P202" s="1130">
        <f>ROUND(IF(L202='S1&amp;2 Lists'!$CV$3,K202,IF(L202='S1&amp;2 Lists'!$CV$4,K202/'S1&amp;2 Lists'!$CQ$6,0)),3)</f>
        <v>0</v>
      </c>
      <c r="Q202" s="11" t="s">
        <v>12</v>
      </c>
    </row>
    <row r="203" spans="1:17" s="1129" customFormat="1" ht="24" customHeight="1">
      <c r="A203" s="819"/>
      <c r="B203" s="819"/>
      <c r="C203" s="1131"/>
      <c r="D203" s="819"/>
      <c r="E203" s="1132"/>
      <c r="F203" s="819"/>
      <c r="G203" s="1134"/>
      <c r="H203" s="819"/>
      <c r="I203" s="1132"/>
      <c r="J203" s="819"/>
      <c r="K203" s="819"/>
      <c r="L203" s="819"/>
      <c r="M203" s="1128" t="str">
        <f>+IFERROR(VLOOKUP(G203,'S1&amp;2 Lists'!$C$8:$G$112,3,FALSE),"-")</f>
        <v>-</v>
      </c>
      <c r="N203" s="1128" t="str">
        <f t="shared" ref="N203:N266" si="3">+IFERROR(P203*M203,"-")</f>
        <v>-</v>
      </c>
      <c r="P203" s="1130">
        <f>ROUND(IF(L203='S1&amp;2 Lists'!$CV$3,K203,IF(L203='S1&amp;2 Lists'!$CV$4,K203/'S1&amp;2 Lists'!$CQ$6,0)),3)</f>
        <v>0</v>
      </c>
      <c r="Q203" s="11" t="s">
        <v>12</v>
      </c>
    </row>
    <row r="204" spans="1:17" s="1129" customFormat="1" ht="24" customHeight="1">
      <c r="A204" s="819"/>
      <c r="B204" s="819"/>
      <c r="C204" s="1131"/>
      <c r="D204" s="819"/>
      <c r="E204" s="1132"/>
      <c r="F204" s="819"/>
      <c r="G204" s="1134"/>
      <c r="H204" s="819"/>
      <c r="I204" s="1132"/>
      <c r="J204" s="819"/>
      <c r="K204" s="819"/>
      <c r="L204" s="819"/>
      <c r="M204" s="1128" t="str">
        <f>+IFERROR(VLOOKUP(G204,'S1&amp;2 Lists'!$C$8:$G$112,3,FALSE),"-")</f>
        <v>-</v>
      </c>
      <c r="N204" s="1128" t="str">
        <f t="shared" si="3"/>
        <v>-</v>
      </c>
      <c r="P204" s="1130">
        <f>ROUND(IF(L204='S1&amp;2 Lists'!$CV$3,K204,IF(L204='S1&amp;2 Lists'!$CV$4,K204/'S1&amp;2 Lists'!$CQ$6,0)),3)</f>
        <v>0</v>
      </c>
      <c r="Q204" s="11" t="s">
        <v>12</v>
      </c>
    </row>
    <row r="205" spans="1:17" s="1129" customFormat="1" ht="24" customHeight="1">
      <c r="A205" s="819"/>
      <c r="B205" s="819"/>
      <c r="C205" s="1131"/>
      <c r="D205" s="819"/>
      <c r="E205" s="1132"/>
      <c r="F205" s="819"/>
      <c r="G205" s="1134"/>
      <c r="H205" s="819"/>
      <c r="I205" s="1132"/>
      <c r="J205" s="819"/>
      <c r="K205" s="819"/>
      <c r="L205" s="819"/>
      <c r="M205" s="1128" t="str">
        <f>+IFERROR(VLOOKUP(G205,'S1&amp;2 Lists'!$C$8:$G$112,3,FALSE),"-")</f>
        <v>-</v>
      </c>
      <c r="N205" s="1128" t="str">
        <f t="shared" si="3"/>
        <v>-</v>
      </c>
      <c r="P205" s="1130">
        <f>ROUND(IF(L205='S1&amp;2 Lists'!$CV$3,K205,IF(L205='S1&amp;2 Lists'!$CV$4,K205/'S1&amp;2 Lists'!$CQ$6,0)),3)</f>
        <v>0</v>
      </c>
      <c r="Q205" s="11" t="s">
        <v>12</v>
      </c>
    </row>
    <row r="206" spans="1:17" s="1129" customFormat="1" ht="24" customHeight="1">
      <c r="A206" s="819"/>
      <c r="B206" s="819"/>
      <c r="C206" s="1131"/>
      <c r="D206" s="819"/>
      <c r="E206" s="1132"/>
      <c r="F206" s="819"/>
      <c r="G206" s="1134"/>
      <c r="H206" s="819"/>
      <c r="I206" s="1132"/>
      <c r="J206" s="819"/>
      <c r="K206" s="819"/>
      <c r="L206" s="819"/>
      <c r="M206" s="1128" t="str">
        <f>+IFERROR(VLOOKUP(G206,'S1&amp;2 Lists'!$C$8:$G$112,3,FALSE),"-")</f>
        <v>-</v>
      </c>
      <c r="N206" s="1128" t="str">
        <f t="shared" si="3"/>
        <v>-</v>
      </c>
      <c r="P206" s="1130">
        <f>ROUND(IF(L206='S1&amp;2 Lists'!$CV$3,K206,IF(L206='S1&amp;2 Lists'!$CV$4,K206/'S1&amp;2 Lists'!$CQ$6,0)),3)</f>
        <v>0</v>
      </c>
      <c r="Q206" s="11" t="s">
        <v>12</v>
      </c>
    </row>
    <row r="207" spans="1:17" s="1129" customFormat="1" ht="24" customHeight="1">
      <c r="A207" s="819"/>
      <c r="B207" s="819"/>
      <c r="C207" s="1131"/>
      <c r="D207" s="819"/>
      <c r="E207" s="1132"/>
      <c r="F207" s="819"/>
      <c r="G207" s="1134"/>
      <c r="H207" s="819"/>
      <c r="I207" s="1132"/>
      <c r="J207" s="819"/>
      <c r="K207" s="819"/>
      <c r="L207" s="819"/>
      <c r="M207" s="1128" t="str">
        <f>+IFERROR(VLOOKUP(G207,'S1&amp;2 Lists'!$C$8:$G$112,3,FALSE),"-")</f>
        <v>-</v>
      </c>
      <c r="N207" s="1128" t="str">
        <f t="shared" si="3"/>
        <v>-</v>
      </c>
      <c r="P207" s="1130">
        <f>ROUND(IF(L207='S1&amp;2 Lists'!$CV$3,K207,IF(L207='S1&amp;2 Lists'!$CV$4,K207/'S1&amp;2 Lists'!$CQ$6,0)),3)</f>
        <v>0</v>
      </c>
      <c r="Q207" s="11" t="s">
        <v>12</v>
      </c>
    </row>
    <row r="208" spans="1:17" s="1129" customFormat="1" ht="24" customHeight="1">
      <c r="A208" s="819"/>
      <c r="B208" s="819"/>
      <c r="C208" s="1131"/>
      <c r="D208" s="819"/>
      <c r="E208" s="1132"/>
      <c r="F208" s="819"/>
      <c r="G208" s="1134"/>
      <c r="H208" s="819"/>
      <c r="I208" s="1132"/>
      <c r="J208" s="819"/>
      <c r="K208" s="819"/>
      <c r="L208" s="819"/>
      <c r="M208" s="1128" t="str">
        <f>+IFERROR(VLOOKUP(G208,'S1&amp;2 Lists'!$C$8:$G$112,3,FALSE),"-")</f>
        <v>-</v>
      </c>
      <c r="N208" s="1128" t="str">
        <f t="shared" si="3"/>
        <v>-</v>
      </c>
      <c r="P208" s="1130">
        <f>ROUND(IF(L208='S1&amp;2 Lists'!$CV$3,K208,IF(L208='S1&amp;2 Lists'!$CV$4,K208/'S1&amp;2 Lists'!$CQ$6,0)),3)</f>
        <v>0</v>
      </c>
      <c r="Q208" s="11" t="s">
        <v>12</v>
      </c>
    </row>
    <row r="209" spans="1:17" s="1129" customFormat="1" ht="24" customHeight="1">
      <c r="A209" s="819"/>
      <c r="B209" s="819"/>
      <c r="C209" s="1131"/>
      <c r="D209" s="819"/>
      <c r="E209" s="1132"/>
      <c r="F209" s="819"/>
      <c r="G209" s="1134"/>
      <c r="H209" s="819"/>
      <c r="I209" s="1132"/>
      <c r="J209" s="819"/>
      <c r="K209" s="819"/>
      <c r="L209" s="819"/>
      <c r="M209" s="1128" t="str">
        <f>+IFERROR(VLOOKUP(G209,'S1&amp;2 Lists'!$C$8:$G$112,3,FALSE),"-")</f>
        <v>-</v>
      </c>
      <c r="N209" s="1128" t="str">
        <f t="shared" si="3"/>
        <v>-</v>
      </c>
      <c r="P209" s="1130">
        <f>ROUND(IF(L209='S1&amp;2 Lists'!$CV$3,K209,IF(L209='S1&amp;2 Lists'!$CV$4,K209/'S1&amp;2 Lists'!$CQ$6,0)),3)</f>
        <v>0</v>
      </c>
      <c r="Q209" s="11" t="s">
        <v>12</v>
      </c>
    </row>
    <row r="210" spans="1:17" s="1129" customFormat="1" ht="24" customHeight="1">
      <c r="A210" s="819"/>
      <c r="B210" s="819"/>
      <c r="C210" s="1131"/>
      <c r="D210" s="819"/>
      <c r="E210" s="1132"/>
      <c r="F210" s="819"/>
      <c r="G210" s="1134"/>
      <c r="H210" s="819"/>
      <c r="I210" s="1132"/>
      <c r="J210" s="819"/>
      <c r="K210" s="819"/>
      <c r="L210" s="819"/>
      <c r="M210" s="1128" t="str">
        <f>+IFERROR(VLOOKUP(G210,'S1&amp;2 Lists'!$C$8:$G$112,3,FALSE),"-")</f>
        <v>-</v>
      </c>
      <c r="N210" s="1128" t="str">
        <f t="shared" si="3"/>
        <v>-</v>
      </c>
      <c r="P210" s="1130">
        <f>ROUND(IF(L210='S1&amp;2 Lists'!$CV$3,K210,IF(L210='S1&amp;2 Lists'!$CV$4,K210/'S1&amp;2 Lists'!$CQ$6,0)),3)</f>
        <v>0</v>
      </c>
      <c r="Q210" s="11" t="s">
        <v>12</v>
      </c>
    </row>
    <row r="211" spans="1:17" s="1129" customFormat="1" ht="24" customHeight="1">
      <c r="A211" s="819"/>
      <c r="B211" s="819"/>
      <c r="C211" s="1131"/>
      <c r="D211" s="819"/>
      <c r="E211" s="1132"/>
      <c r="F211" s="819"/>
      <c r="G211" s="1134"/>
      <c r="H211" s="819"/>
      <c r="I211" s="1132"/>
      <c r="J211" s="819"/>
      <c r="K211" s="819"/>
      <c r="L211" s="819"/>
      <c r="M211" s="1128" t="str">
        <f>+IFERROR(VLOOKUP(G211,'S1&amp;2 Lists'!$C$8:$G$112,3,FALSE),"-")</f>
        <v>-</v>
      </c>
      <c r="N211" s="1128" t="str">
        <f t="shared" si="3"/>
        <v>-</v>
      </c>
      <c r="P211" s="1130">
        <f>ROUND(IF(L211='S1&amp;2 Lists'!$CV$3,K211,IF(L211='S1&amp;2 Lists'!$CV$4,K211/'S1&amp;2 Lists'!$CQ$6,0)),3)</f>
        <v>0</v>
      </c>
      <c r="Q211" s="11" t="s">
        <v>12</v>
      </c>
    </row>
    <row r="212" spans="1:17" s="1129" customFormat="1" ht="24" customHeight="1">
      <c r="A212" s="819"/>
      <c r="B212" s="819"/>
      <c r="C212" s="1131"/>
      <c r="D212" s="819"/>
      <c r="E212" s="1132"/>
      <c r="F212" s="819"/>
      <c r="G212" s="1134"/>
      <c r="H212" s="819"/>
      <c r="I212" s="1132"/>
      <c r="J212" s="819"/>
      <c r="K212" s="819"/>
      <c r="L212" s="819"/>
      <c r="M212" s="1128" t="str">
        <f>+IFERROR(VLOOKUP(G212,'S1&amp;2 Lists'!$C$8:$G$112,3,FALSE),"-")</f>
        <v>-</v>
      </c>
      <c r="N212" s="1128" t="str">
        <f t="shared" si="3"/>
        <v>-</v>
      </c>
      <c r="P212" s="1130">
        <f>ROUND(IF(L212='S1&amp;2 Lists'!$CV$3,K212,IF(L212='S1&amp;2 Lists'!$CV$4,K212/'S1&amp;2 Lists'!$CQ$6,0)),3)</f>
        <v>0</v>
      </c>
      <c r="Q212" s="11" t="s">
        <v>12</v>
      </c>
    </row>
    <row r="213" spans="1:17" s="1129" customFormat="1" ht="24" customHeight="1">
      <c r="A213" s="819"/>
      <c r="B213" s="819"/>
      <c r="C213" s="1131"/>
      <c r="D213" s="819"/>
      <c r="E213" s="1132"/>
      <c r="F213" s="819"/>
      <c r="G213" s="1134"/>
      <c r="H213" s="819"/>
      <c r="I213" s="1132"/>
      <c r="J213" s="819"/>
      <c r="K213" s="819"/>
      <c r="L213" s="819"/>
      <c r="M213" s="1128" t="str">
        <f>+IFERROR(VLOOKUP(G213,'S1&amp;2 Lists'!$C$8:$G$112,3,FALSE),"-")</f>
        <v>-</v>
      </c>
      <c r="N213" s="1128" t="str">
        <f t="shared" si="3"/>
        <v>-</v>
      </c>
      <c r="P213" s="1130">
        <f>ROUND(IF(L213='S1&amp;2 Lists'!$CV$3,K213,IF(L213='S1&amp;2 Lists'!$CV$4,K213/'S1&amp;2 Lists'!$CQ$6,0)),3)</f>
        <v>0</v>
      </c>
      <c r="Q213" s="11" t="s">
        <v>12</v>
      </c>
    </row>
    <row r="214" spans="1:17" s="1129" customFormat="1" ht="24" customHeight="1">
      <c r="A214" s="819"/>
      <c r="B214" s="819"/>
      <c r="C214" s="1131"/>
      <c r="D214" s="819"/>
      <c r="E214" s="1132"/>
      <c r="F214" s="819"/>
      <c r="G214" s="1134"/>
      <c r="H214" s="819"/>
      <c r="I214" s="1132"/>
      <c r="J214" s="819"/>
      <c r="K214" s="819"/>
      <c r="L214" s="819"/>
      <c r="M214" s="1128" t="str">
        <f>+IFERROR(VLOOKUP(G214,'S1&amp;2 Lists'!$C$8:$G$112,3,FALSE),"-")</f>
        <v>-</v>
      </c>
      <c r="N214" s="1128" t="str">
        <f t="shared" si="3"/>
        <v>-</v>
      </c>
      <c r="P214" s="1130">
        <f>ROUND(IF(L214='S1&amp;2 Lists'!$CV$3,K214,IF(L214='S1&amp;2 Lists'!$CV$4,K214/'S1&amp;2 Lists'!$CQ$6,0)),3)</f>
        <v>0</v>
      </c>
      <c r="Q214" s="11" t="s">
        <v>12</v>
      </c>
    </row>
    <row r="215" spans="1:17" s="1129" customFormat="1" ht="24" customHeight="1">
      <c r="A215" s="819"/>
      <c r="B215" s="819"/>
      <c r="C215" s="1131"/>
      <c r="D215" s="819"/>
      <c r="E215" s="1132"/>
      <c r="F215" s="819"/>
      <c r="G215" s="1134"/>
      <c r="H215" s="819"/>
      <c r="I215" s="1132"/>
      <c r="J215" s="819"/>
      <c r="K215" s="819"/>
      <c r="L215" s="819"/>
      <c r="M215" s="1128" t="str">
        <f>+IFERROR(VLOOKUP(G215,'S1&amp;2 Lists'!$C$8:$G$112,3,FALSE),"-")</f>
        <v>-</v>
      </c>
      <c r="N215" s="1128" t="str">
        <f t="shared" si="3"/>
        <v>-</v>
      </c>
      <c r="P215" s="1130">
        <f>ROUND(IF(L215='S1&amp;2 Lists'!$CV$3,K215,IF(L215='S1&amp;2 Lists'!$CV$4,K215/'S1&amp;2 Lists'!$CQ$6,0)),3)</f>
        <v>0</v>
      </c>
      <c r="Q215" s="11" t="s">
        <v>12</v>
      </c>
    </row>
    <row r="216" spans="1:17" s="1129" customFormat="1" ht="24" customHeight="1">
      <c r="A216" s="819"/>
      <c r="B216" s="819"/>
      <c r="C216" s="1131"/>
      <c r="D216" s="819"/>
      <c r="E216" s="1132"/>
      <c r="F216" s="819"/>
      <c r="G216" s="1134"/>
      <c r="H216" s="819"/>
      <c r="I216" s="1132"/>
      <c r="J216" s="819"/>
      <c r="K216" s="819"/>
      <c r="L216" s="819"/>
      <c r="M216" s="1128" t="str">
        <f>+IFERROR(VLOOKUP(G216,'S1&amp;2 Lists'!$C$8:$G$112,3,FALSE),"-")</f>
        <v>-</v>
      </c>
      <c r="N216" s="1128" t="str">
        <f t="shared" si="3"/>
        <v>-</v>
      </c>
      <c r="P216" s="1130">
        <f>ROUND(IF(L216='S1&amp;2 Lists'!$CV$3,K216,IF(L216='S1&amp;2 Lists'!$CV$4,K216/'S1&amp;2 Lists'!$CQ$6,0)),3)</f>
        <v>0</v>
      </c>
      <c r="Q216" s="11" t="s">
        <v>12</v>
      </c>
    </row>
    <row r="217" spans="1:17" s="1129" customFormat="1" ht="24" customHeight="1">
      <c r="A217" s="819"/>
      <c r="B217" s="819"/>
      <c r="C217" s="1131"/>
      <c r="D217" s="819"/>
      <c r="E217" s="1132"/>
      <c r="F217" s="819"/>
      <c r="G217" s="1134"/>
      <c r="H217" s="819"/>
      <c r="I217" s="1132"/>
      <c r="J217" s="819"/>
      <c r="K217" s="819"/>
      <c r="L217" s="819"/>
      <c r="M217" s="1128" t="str">
        <f>+IFERROR(VLOOKUP(G217,'S1&amp;2 Lists'!$C$8:$G$112,3,FALSE),"-")</f>
        <v>-</v>
      </c>
      <c r="N217" s="1128" t="str">
        <f t="shared" si="3"/>
        <v>-</v>
      </c>
      <c r="P217" s="1130">
        <f>ROUND(IF(L217='S1&amp;2 Lists'!$CV$3,K217,IF(L217='S1&amp;2 Lists'!$CV$4,K217/'S1&amp;2 Lists'!$CQ$6,0)),3)</f>
        <v>0</v>
      </c>
      <c r="Q217" s="11" t="s">
        <v>12</v>
      </c>
    </row>
    <row r="218" spans="1:17" s="1129" customFormat="1" ht="24" customHeight="1">
      <c r="A218" s="819"/>
      <c r="B218" s="819"/>
      <c r="C218" s="1131"/>
      <c r="D218" s="819"/>
      <c r="E218" s="1132"/>
      <c r="F218" s="819"/>
      <c r="G218" s="1134"/>
      <c r="H218" s="819"/>
      <c r="I218" s="1132"/>
      <c r="J218" s="819"/>
      <c r="K218" s="819"/>
      <c r="L218" s="819"/>
      <c r="M218" s="1128" t="str">
        <f>+IFERROR(VLOOKUP(G218,'S1&amp;2 Lists'!$C$8:$G$112,3,FALSE),"-")</f>
        <v>-</v>
      </c>
      <c r="N218" s="1128" t="str">
        <f t="shared" si="3"/>
        <v>-</v>
      </c>
      <c r="P218" s="1130">
        <f>ROUND(IF(L218='S1&amp;2 Lists'!$CV$3,K218,IF(L218='S1&amp;2 Lists'!$CV$4,K218/'S1&amp;2 Lists'!$CQ$6,0)),3)</f>
        <v>0</v>
      </c>
      <c r="Q218" s="11" t="s">
        <v>12</v>
      </c>
    </row>
    <row r="219" spans="1:17" s="1129" customFormat="1" ht="24" customHeight="1">
      <c r="A219" s="819"/>
      <c r="B219" s="819"/>
      <c r="C219" s="1131"/>
      <c r="D219" s="819"/>
      <c r="E219" s="1132"/>
      <c r="F219" s="819"/>
      <c r="G219" s="1134"/>
      <c r="H219" s="819"/>
      <c r="I219" s="1132"/>
      <c r="J219" s="819"/>
      <c r="K219" s="819"/>
      <c r="L219" s="819"/>
      <c r="M219" s="1128" t="str">
        <f>+IFERROR(VLOOKUP(G219,'S1&amp;2 Lists'!$C$8:$G$112,3,FALSE),"-")</f>
        <v>-</v>
      </c>
      <c r="N219" s="1128" t="str">
        <f t="shared" si="3"/>
        <v>-</v>
      </c>
      <c r="P219" s="1130">
        <f>ROUND(IF(L219='S1&amp;2 Lists'!$CV$3,K219,IF(L219='S1&amp;2 Lists'!$CV$4,K219/'S1&amp;2 Lists'!$CQ$6,0)),3)</f>
        <v>0</v>
      </c>
      <c r="Q219" s="11" t="s">
        <v>12</v>
      </c>
    </row>
    <row r="220" spans="1:17" s="1129" customFormat="1" ht="24" customHeight="1">
      <c r="A220" s="819"/>
      <c r="B220" s="819"/>
      <c r="C220" s="1131"/>
      <c r="D220" s="819"/>
      <c r="E220" s="1132"/>
      <c r="F220" s="819"/>
      <c r="G220" s="1134"/>
      <c r="H220" s="819"/>
      <c r="I220" s="1132"/>
      <c r="J220" s="819"/>
      <c r="K220" s="819"/>
      <c r="L220" s="819"/>
      <c r="M220" s="1128" t="str">
        <f>+IFERROR(VLOOKUP(G220,'S1&amp;2 Lists'!$C$8:$G$112,3,FALSE),"-")</f>
        <v>-</v>
      </c>
      <c r="N220" s="1128" t="str">
        <f t="shared" si="3"/>
        <v>-</v>
      </c>
      <c r="P220" s="1130">
        <f>ROUND(IF(L220='S1&amp;2 Lists'!$CV$3,K220,IF(L220='S1&amp;2 Lists'!$CV$4,K220/'S1&amp;2 Lists'!$CQ$6,0)),3)</f>
        <v>0</v>
      </c>
      <c r="Q220" s="11" t="s">
        <v>12</v>
      </c>
    </row>
    <row r="221" spans="1:17" s="1129" customFormat="1" ht="24" customHeight="1">
      <c r="A221" s="819"/>
      <c r="B221" s="819"/>
      <c r="C221" s="1131"/>
      <c r="D221" s="819"/>
      <c r="E221" s="1132"/>
      <c r="F221" s="819"/>
      <c r="G221" s="1134"/>
      <c r="H221" s="819"/>
      <c r="I221" s="1132"/>
      <c r="J221" s="819"/>
      <c r="K221" s="819"/>
      <c r="L221" s="819"/>
      <c r="M221" s="1128" t="str">
        <f>+IFERROR(VLOOKUP(G221,'S1&amp;2 Lists'!$C$8:$G$112,3,FALSE),"-")</f>
        <v>-</v>
      </c>
      <c r="N221" s="1128" t="str">
        <f t="shared" si="3"/>
        <v>-</v>
      </c>
      <c r="P221" s="1130">
        <f>ROUND(IF(L221='S1&amp;2 Lists'!$CV$3,K221,IF(L221='S1&amp;2 Lists'!$CV$4,K221/'S1&amp;2 Lists'!$CQ$6,0)),3)</f>
        <v>0</v>
      </c>
      <c r="Q221" s="11" t="s">
        <v>12</v>
      </c>
    </row>
    <row r="222" spans="1:17" s="1129" customFormat="1" ht="24" customHeight="1">
      <c r="A222" s="819"/>
      <c r="B222" s="819"/>
      <c r="C222" s="1131"/>
      <c r="D222" s="819"/>
      <c r="E222" s="1132"/>
      <c r="F222" s="819"/>
      <c r="G222" s="1134"/>
      <c r="H222" s="819"/>
      <c r="I222" s="1132"/>
      <c r="J222" s="819"/>
      <c r="K222" s="819"/>
      <c r="L222" s="819"/>
      <c r="M222" s="1128" t="str">
        <f>+IFERROR(VLOOKUP(G222,'S1&amp;2 Lists'!$C$8:$G$112,3,FALSE),"-")</f>
        <v>-</v>
      </c>
      <c r="N222" s="1128" t="str">
        <f t="shared" si="3"/>
        <v>-</v>
      </c>
      <c r="P222" s="1130">
        <f>ROUND(IF(L222='S1&amp;2 Lists'!$CV$3,K222,IF(L222='S1&amp;2 Lists'!$CV$4,K222/'S1&amp;2 Lists'!$CQ$6,0)),3)</f>
        <v>0</v>
      </c>
      <c r="Q222" s="11" t="s">
        <v>12</v>
      </c>
    </row>
    <row r="223" spans="1:17" s="1129" customFormat="1" ht="24" customHeight="1">
      <c r="A223" s="819"/>
      <c r="B223" s="819"/>
      <c r="C223" s="1131"/>
      <c r="D223" s="819"/>
      <c r="E223" s="1132"/>
      <c r="F223" s="819"/>
      <c r="G223" s="1134"/>
      <c r="H223" s="819"/>
      <c r="I223" s="1132"/>
      <c r="J223" s="819"/>
      <c r="K223" s="819"/>
      <c r="L223" s="819"/>
      <c r="M223" s="1128" t="str">
        <f>+IFERROR(VLOOKUP(G223,'S1&amp;2 Lists'!$C$8:$G$112,3,FALSE),"-")</f>
        <v>-</v>
      </c>
      <c r="N223" s="1128" t="str">
        <f t="shared" si="3"/>
        <v>-</v>
      </c>
      <c r="P223" s="1130">
        <f>ROUND(IF(L223='S1&amp;2 Lists'!$CV$3,K223,IF(L223='S1&amp;2 Lists'!$CV$4,K223/'S1&amp;2 Lists'!$CQ$6,0)),3)</f>
        <v>0</v>
      </c>
      <c r="Q223" s="11" t="s">
        <v>12</v>
      </c>
    </row>
    <row r="224" spans="1:17" s="1129" customFormat="1" ht="24" customHeight="1">
      <c r="A224" s="819"/>
      <c r="B224" s="819"/>
      <c r="C224" s="1131"/>
      <c r="D224" s="819"/>
      <c r="E224" s="1132"/>
      <c r="F224" s="819"/>
      <c r="G224" s="1134"/>
      <c r="H224" s="819"/>
      <c r="I224" s="1132"/>
      <c r="J224" s="819"/>
      <c r="K224" s="819"/>
      <c r="L224" s="819"/>
      <c r="M224" s="1128" t="str">
        <f>+IFERROR(VLOOKUP(G224,'S1&amp;2 Lists'!$C$8:$G$112,3,FALSE),"-")</f>
        <v>-</v>
      </c>
      <c r="N224" s="1128" t="str">
        <f t="shared" si="3"/>
        <v>-</v>
      </c>
      <c r="P224" s="1130">
        <f>ROUND(IF(L224='S1&amp;2 Lists'!$CV$3,K224,IF(L224='S1&amp;2 Lists'!$CV$4,K224/'S1&amp;2 Lists'!$CQ$6,0)),3)</f>
        <v>0</v>
      </c>
      <c r="Q224" s="11" t="s">
        <v>12</v>
      </c>
    </row>
    <row r="225" spans="1:17" s="1129" customFormat="1" ht="24" customHeight="1">
      <c r="A225" s="819"/>
      <c r="B225" s="819"/>
      <c r="C225" s="1131"/>
      <c r="D225" s="819"/>
      <c r="E225" s="1132"/>
      <c r="F225" s="819"/>
      <c r="G225" s="1134"/>
      <c r="H225" s="819"/>
      <c r="I225" s="1132"/>
      <c r="J225" s="819"/>
      <c r="K225" s="819"/>
      <c r="L225" s="819"/>
      <c r="M225" s="1128" t="str">
        <f>+IFERROR(VLOOKUP(G225,'S1&amp;2 Lists'!$C$8:$G$112,3,FALSE),"-")</f>
        <v>-</v>
      </c>
      <c r="N225" s="1128" t="str">
        <f t="shared" si="3"/>
        <v>-</v>
      </c>
      <c r="P225" s="1130">
        <f>ROUND(IF(L225='S1&amp;2 Lists'!$CV$3,K225,IF(L225='S1&amp;2 Lists'!$CV$4,K225/'S1&amp;2 Lists'!$CQ$6,0)),3)</f>
        <v>0</v>
      </c>
      <c r="Q225" s="11" t="s">
        <v>12</v>
      </c>
    </row>
    <row r="226" spans="1:17" s="1129" customFormat="1" ht="24" customHeight="1">
      <c r="A226" s="819"/>
      <c r="B226" s="819"/>
      <c r="C226" s="1131"/>
      <c r="D226" s="819"/>
      <c r="E226" s="1132"/>
      <c r="F226" s="819"/>
      <c r="G226" s="1134"/>
      <c r="H226" s="819"/>
      <c r="I226" s="1132"/>
      <c r="J226" s="819"/>
      <c r="K226" s="819"/>
      <c r="L226" s="819"/>
      <c r="M226" s="1128" t="str">
        <f>+IFERROR(VLOOKUP(G226,'S1&amp;2 Lists'!$C$8:$G$112,3,FALSE),"-")</f>
        <v>-</v>
      </c>
      <c r="N226" s="1128" t="str">
        <f t="shared" si="3"/>
        <v>-</v>
      </c>
      <c r="P226" s="1130">
        <f>ROUND(IF(L226='S1&amp;2 Lists'!$CV$3,K226,IF(L226='S1&amp;2 Lists'!$CV$4,K226/'S1&amp;2 Lists'!$CQ$6,0)),3)</f>
        <v>0</v>
      </c>
      <c r="Q226" s="11" t="s">
        <v>12</v>
      </c>
    </row>
    <row r="227" spans="1:17" s="1129" customFormat="1" ht="24" customHeight="1">
      <c r="A227" s="819"/>
      <c r="B227" s="819"/>
      <c r="C227" s="1131"/>
      <c r="D227" s="819"/>
      <c r="E227" s="1132"/>
      <c r="F227" s="819"/>
      <c r="G227" s="1134"/>
      <c r="H227" s="819"/>
      <c r="I227" s="1132"/>
      <c r="J227" s="819"/>
      <c r="K227" s="819"/>
      <c r="L227" s="819"/>
      <c r="M227" s="1128" t="str">
        <f>+IFERROR(VLOOKUP(G227,'S1&amp;2 Lists'!$C$8:$G$112,3,FALSE),"-")</f>
        <v>-</v>
      </c>
      <c r="N227" s="1128" t="str">
        <f t="shared" si="3"/>
        <v>-</v>
      </c>
      <c r="P227" s="1130">
        <f>ROUND(IF(L227='S1&amp;2 Lists'!$CV$3,K227,IF(L227='S1&amp;2 Lists'!$CV$4,K227/'S1&amp;2 Lists'!$CQ$6,0)),3)</f>
        <v>0</v>
      </c>
      <c r="Q227" s="11" t="s">
        <v>12</v>
      </c>
    </row>
    <row r="228" spans="1:17" s="1129" customFormat="1" ht="24" customHeight="1">
      <c r="A228" s="819"/>
      <c r="B228" s="819"/>
      <c r="C228" s="1131"/>
      <c r="D228" s="819"/>
      <c r="E228" s="1132"/>
      <c r="F228" s="819"/>
      <c r="G228" s="1134"/>
      <c r="H228" s="819"/>
      <c r="I228" s="1132"/>
      <c r="J228" s="819"/>
      <c r="K228" s="819"/>
      <c r="L228" s="819"/>
      <c r="M228" s="1128" t="str">
        <f>+IFERROR(VLOOKUP(G228,'S1&amp;2 Lists'!$C$8:$G$112,3,FALSE),"-")</f>
        <v>-</v>
      </c>
      <c r="N228" s="1128" t="str">
        <f t="shared" si="3"/>
        <v>-</v>
      </c>
      <c r="P228" s="1130">
        <f>ROUND(IF(L228='S1&amp;2 Lists'!$CV$3,K228,IF(L228='S1&amp;2 Lists'!$CV$4,K228/'S1&amp;2 Lists'!$CQ$6,0)),3)</f>
        <v>0</v>
      </c>
      <c r="Q228" s="11" t="s">
        <v>12</v>
      </c>
    </row>
    <row r="229" spans="1:17" s="1129" customFormat="1" ht="24" customHeight="1">
      <c r="A229" s="819"/>
      <c r="B229" s="819"/>
      <c r="C229" s="1131"/>
      <c r="D229" s="819"/>
      <c r="E229" s="1132"/>
      <c r="F229" s="819"/>
      <c r="G229" s="1134"/>
      <c r="H229" s="819"/>
      <c r="I229" s="1132"/>
      <c r="J229" s="819"/>
      <c r="K229" s="819"/>
      <c r="L229" s="819"/>
      <c r="M229" s="1128" t="str">
        <f>+IFERROR(VLOOKUP(G229,'S1&amp;2 Lists'!$C$8:$G$112,3,FALSE),"-")</f>
        <v>-</v>
      </c>
      <c r="N229" s="1128" t="str">
        <f t="shared" si="3"/>
        <v>-</v>
      </c>
      <c r="P229" s="1130">
        <f>ROUND(IF(L229='S1&amp;2 Lists'!$CV$3,K229,IF(L229='S1&amp;2 Lists'!$CV$4,K229/'S1&amp;2 Lists'!$CQ$6,0)),3)</f>
        <v>0</v>
      </c>
      <c r="Q229" s="11" t="s">
        <v>12</v>
      </c>
    </row>
    <row r="230" spans="1:17" s="1129" customFormat="1" ht="24" customHeight="1">
      <c r="A230" s="819"/>
      <c r="B230" s="819"/>
      <c r="C230" s="1131"/>
      <c r="D230" s="819"/>
      <c r="E230" s="1132"/>
      <c r="F230" s="819"/>
      <c r="G230" s="1134"/>
      <c r="H230" s="819"/>
      <c r="I230" s="1132"/>
      <c r="J230" s="819"/>
      <c r="K230" s="819"/>
      <c r="L230" s="819"/>
      <c r="M230" s="1128" t="str">
        <f>+IFERROR(VLOOKUP(G230,'S1&amp;2 Lists'!$C$8:$G$112,3,FALSE),"-")</f>
        <v>-</v>
      </c>
      <c r="N230" s="1128" t="str">
        <f t="shared" si="3"/>
        <v>-</v>
      </c>
      <c r="P230" s="1130">
        <f>ROUND(IF(L230='S1&amp;2 Lists'!$CV$3,K230,IF(L230='S1&amp;2 Lists'!$CV$4,K230/'S1&amp;2 Lists'!$CQ$6,0)),3)</f>
        <v>0</v>
      </c>
      <c r="Q230" s="11" t="s">
        <v>12</v>
      </c>
    </row>
    <row r="231" spans="1:17" s="1129" customFormat="1" ht="24" customHeight="1">
      <c r="A231" s="819"/>
      <c r="B231" s="819"/>
      <c r="C231" s="1131"/>
      <c r="D231" s="819"/>
      <c r="E231" s="1132"/>
      <c r="F231" s="819"/>
      <c r="G231" s="1134"/>
      <c r="H231" s="819"/>
      <c r="I231" s="1132"/>
      <c r="J231" s="819"/>
      <c r="K231" s="819"/>
      <c r="L231" s="819"/>
      <c r="M231" s="1128" t="str">
        <f>+IFERROR(VLOOKUP(G231,'S1&amp;2 Lists'!$C$8:$G$112,3,FALSE),"-")</f>
        <v>-</v>
      </c>
      <c r="N231" s="1128" t="str">
        <f t="shared" si="3"/>
        <v>-</v>
      </c>
      <c r="P231" s="1130">
        <f>ROUND(IF(L231='S1&amp;2 Lists'!$CV$3,K231,IF(L231='S1&amp;2 Lists'!$CV$4,K231/'S1&amp;2 Lists'!$CQ$6,0)),3)</f>
        <v>0</v>
      </c>
      <c r="Q231" s="11" t="s">
        <v>12</v>
      </c>
    </row>
    <row r="232" spans="1:17" s="1129" customFormat="1" ht="24" customHeight="1">
      <c r="A232" s="819"/>
      <c r="B232" s="819"/>
      <c r="C232" s="1131"/>
      <c r="D232" s="819"/>
      <c r="E232" s="1132"/>
      <c r="F232" s="819"/>
      <c r="G232" s="1134"/>
      <c r="H232" s="819"/>
      <c r="I232" s="1132"/>
      <c r="J232" s="819"/>
      <c r="K232" s="819"/>
      <c r="L232" s="819"/>
      <c r="M232" s="1128" t="str">
        <f>+IFERROR(VLOOKUP(G232,'S1&amp;2 Lists'!$C$8:$G$112,3,FALSE),"-")</f>
        <v>-</v>
      </c>
      <c r="N232" s="1128" t="str">
        <f t="shared" si="3"/>
        <v>-</v>
      </c>
      <c r="P232" s="1130">
        <f>ROUND(IF(L232='S1&amp;2 Lists'!$CV$3,K232,IF(L232='S1&amp;2 Lists'!$CV$4,K232/'S1&amp;2 Lists'!$CQ$6,0)),3)</f>
        <v>0</v>
      </c>
      <c r="Q232" s="11" t="s">
        <v>12</v>
      </c>
    </row>
    <row r="233" spans="1:17" s="1129" customFormat="1" ht="24" customHeight="1">
      <c r="A233" s="819"/>
      <c r="B233" s="819"/>
      <c r="C233" s="1131"/>
      <c r="D233" s="819"/>
      <c r="E233" s="1132"/>
      <c r="F233" s="819"/>
      <c r="G233" s="1134"/>
      <c r="H233" s="819"/>
      <c r="I233" s="1132"/>
      <c r="J233" s="819"/>
      <c r="K233" s="819"/>
      <c r="L233" s="819"/>
      <c r="M233" s="1128" t="str">
        <f>+IFERROR(VLOOKUP(G233,'S1&amp;2 Lists'!$C$8:$G$112,3,FALSE),"-")</f>
        <v>-</v>
      </c>
      <c r="N233" s="1128" t="str">
        <f t="shared" si="3"/>
        <v>-</v>
      </c>
      <c r="P233" s="1130">
        <f>ROUND(IF(L233='S1&amp;2 Lists'!$CV$3,K233,IF(L233='S1&amp;2 Lists'!$CV$4,K233/'S1&amp;2 Lists'!$CQ$6,0)),3)</f>
        <v>0</v>
      </c>
      <c r="Q233" s="11" t="s">
        <v>12</v>
      </c>
    </row>
    <row r="234" spans="1:17" s="1129" customFormat="1" ht="24" customHeight="1">
      <c r="A234" s="819"/>
      <c r="B234" s="819"/>
      <c r="C234" s="1131"/>
      <c r="D234" s="819"/>
      <c r="E234" s="1132"/>
      <c r="F234" s="819"/>
      <c r="G234" s="1134"/>
      <c r="H234" s="819"/>
      <c r="I234" s="1132"/>
      <c r="J234" s="819"/>
      <c r="K234" s="819"/>
      <c r="L234" s="819"/>
      <c r="M234" s="1128" t="str">
        <f>+IFERROR(VLOOKUP(G234,'S1&amp;2 Lists'!$C$8:$G$112,3,FALSE),"-")</f>
        <v>-</v>
      </c>
      <c r="N234" s="1128" t="str">
        <f t="shared" si="3"/>
        <v>-</v>
      </c>
      <c r="P234" s="1130">
        <f>ROUND(IF(L234='S1&amp;2 Lists'!$CV$3,K234,IF(L234='S1&amp;2 Lists'!$CV$4,K234/'S1&amp;2 Lists'!$CQ$6,0)),3)</f>
        <v>0</v>
      </c>
      <c r="Q234" s="11" t="s">
        <v>12</v>
      </c>
    </row>
    <row r="235" spans="1:17" s="1129" customFormat="1" ht="24" customHeight="1">
      <c r="A235" s="819"/>
      <c r="B235" s="819"/>
      <c r="C235" s="1131"/>
      <c r="D235" s="819"/>
      <c r="E235" s="1132"/>
      <c r="F235" s="819"/>
      <c r="G235" s="1134"/>
      <c r="H235" s="819"/>
      <c r="I235" s="1132"/>
      <c r="J235" s="819"/>
      <c r="K235" s="819"/>
      <c r="L235" s="819"/>
      <c r="M235" s="1128" t="str">
        <f>+IFERROR(VLOOKUP(G235,'S1&amp;2 Lists'!$C$8:$G$112,3,FALSE),"-")</f>
        <v>-</v>
      </c>
      <c r="N235" s="1128" t="str">
        <f t="shared" si="3"/>
        <v>-</v>
      </c>
      <c r="P235" s="1130">
        <f>ROUND(IF(L235='S1&amp;2 Lists'!$CV$3,K235,IF(L235='S1&amp;2 Lists'!$CV$4,K235/'S1&amp;2 Lists'!$CQ$6,0)),3)</f>
        <v>0</v>
      </c>
      <c r="Q235" s="11" t="s">
        <v>12</v>
      </c>
    </row>
    <row r="236" spans="1:17" s="1129" customFormat="1" ht="24" customHeight="1">
      <c r="A236" s="819"/>
      <c r="B236" s="819"/>
      <c r="C236" s="1131"/>
      <c r="D236" s="819"/>
      <c r="E236" s="1132"/>
      <c r="F236" s="819"/>
      <c r="G236" s="1134"/>
      <c r="H236" s="819"/>
      <c r="I236" s="1132"/>
      <c r="J236" s="819"/>
      <c r="K236" s="819"/>
      <c r="L236" s="819"/>
      <c r="M236" s="1128" t="str">
        <f>+IFERROR(VLOOKUP(G236,'S1&amp;2 Lists'!$C$8:$G$112,3,FALSE),"-")</f>
        <v>-</v>
      </c>
      <c r="N236" s="1128" t="str">
        <f t="shared" si="3"/>
        <v>-</v>
      </c>
      <c r="P236" s="1130">
        <f>ROUND(IF(L236='S1&amp;2 Lists'!$CV$3,K236,IF(L236='S1&amp;2 Lists'!$CV$4,K236/'S1&amp;2 Lists'!$CQ$6,0)),3)</f>
        <v>0</v>
      </c>
      <c r="Q236" s="11" t="s">
        <v>12</v>
      </c>
    </row>
    <row r="237" spans="1:17" s="1129" customFormat="1" ht="24" customHeight="1">
      <c r="A237" s="819"/>
      <c r="B237" s="819"/>
      <c r="C237" s="1131"/>
      <c r="D237" s="819"/>
      <c r="E237" s="1132"/>
      <c r="F237" s="819"/>
      <c r="G237" s="1134"/>
      <c r="H237" s="819"/>
      <c r="I237" s="1132"/>
      <c r="J237" s="819"/>
      <c r="K237" s="819"/>
      <c r="L237" s="819"/>
      <c r="M237" s="1128" t="str">
        <f>+IFERROR(VLOOKUP(G237,'S1&amp;2 Lists'!$C$8:$G$112,3,FALSE),"-")</f>
        <v>-</v>
      </c>
      <c r="N237" s="1128" t="str">
        <f t="shared" si="3"/>
        <v>-</v>
      </c>
      <c r="P237" s="1130">
        <f>ROUND(IF(L237='S1&amp;2 Lists'!$CV$3,K237,IF(L237='S1&amp;2 Lists'!$CV$4,K237/'S1&amp;2 Lists'!$CQ$6,0)),3)</f>
        <v>0</v>
      </c>
      <c r="Q237" s="11" t="s">
        <v>12</v>
      </c>
    </row>
    <row r="238" spans="1:17" s="1129" customFormat="1" ht="24" customHeight="1">
      <c r="A238" s="819"/>
      <c r="B238" s="819"/>
      <c r="C238" s="1131"/>
      <c r="D238" s="819"/>
      <c r="E238" s="1132"/>
      <c r="F238" s="819"/>
      <c r="G238" s="1134"/>
      <c r="H238" s="819"/>
      <c r="I238" s="1132"/>
      <c r="J238" s="819"/>
      <c r="K238" s="819"/>
      <c r="L238" s="819"/>
      <c r="M238" s="1128" t="str">
        <f>+IFERROR(VLOOKUP(G238,'S1&amp;2 Lists'!$C$8:$G$112,3,FALSE),"-")</f>
        <v>-</v>
      </c>
      <c r="N238" s="1128" t="str">
        <f t="shared" si="3"/>
        <v>-</v>
      </c>
      <c r="P238" s="1130">
        <f>ROUND(IF(L238='S1&amp;2 Lists'!$CV$3,K238,IF(L238='S1&amp;2 Lists'!$CV$4,K238/'S1&amp;2 Lists'!$CQ$6,0)),3)</f>
        <v>0</v>
      </c>
      <c r="Q238" s="11" t="s">
        <v>12</v>
      </c>
    </row>
    <row r="239" spans="1:17" s="1129" customFormat="1" ht="24" customHeight="1">
      <c r="A239" s="819"/>
      <c r="B239" s="819"/>
      <c r="C239" s="1131"/>
      <c r="D239" s="819"/>
      <c r="E239" s="1132"/>
      <c r="F239" s="819"/>
      <c r="G239" s="1134"/>
      <c r="H239" s="819"/>
      <c r="I239" s="1132"/>
      <c r="J239" s="819"/>
      <c r="K239" s="819"/>
      <c r="L239" s="819"/>
      <c r="M239" s="1128" t="str">
        <f>+IFERROR(VLOOKUP(G239,'S1&amp;2 Lists'!$C$8:$G$112,3,FALSE),"-")</f>
        <v>-</v>
      </c>
      <c r="N239" s="1128" t="str">
        <f t="shared" si="3"/>
        <v>-</v>
      </c>
      <c r="P239" s="1130">
        <f>ROUND(IF(L239='S1&amp;2 Lists'!$CV$3,K239,IF(L239='S1&amp;2 Lists'!$CV$4,K239/'S1&amp;2 Lists'!$CQ$6,0)),3)</f>
        <v>0</v>
      </c>
      <c r="Q239" s="11" t="s">
        <v>12</v>
      </c>
    </row>
    <row r="240" spans="1:17" s="1129" customFormat="1" ht="24" customHeight="1">
      <c r="A240" s="819"/>
      <c r="B240" s="819"/>
      <c r="C240" s="1131"/>
      <c r="D240" s="819"/>
      <c r="E240" s="1132"/>
      <c r="F240" s="819"/>
      <c r="G240" s="1134"/>
      <c r="H240" s="819"/>
      <c r="I240" s="1132"/>
      <c r="J240" s="819"/>
      <c r="K240" s="819"/>
      <c r="L240" s="819"/>
      <c r="M240" s="1128" t="str">
        <f>+IFERROR(VLOOKUP(G240,'S1&amp;2 Lists'!$C$8:$G$112,3,FALSE),"-")</f>
        <v>-</v>
      </c>
      <c r="N240" s="1128" t="str">
        <f t="shared" si="3"/>
        <v>-</v>
      </c>
      <c r="P240" s="1130">
        <f>ROUND(IF(L240='S1&amp;2 Lists'!$CV$3,K240,IF(L240='S1&amp;2 Lists'!$CV$4,K240/'S1&amp;2 Lists'!$CQ$6,0)),3)</f>
        <v>0</v>
      </c>
      <c r="Q240" s="11" t="s">
        <v>12</v>
      </c>
    </row>
    <row r="241" spans="1:17" s="1129" customFormat="1" ht="24" customHeight="1">
      <c r="A241" s="819"/>
      <c r="B241" s="819"/>
      <c r="C241" s="1131"/>
      <c r="D241" s="819"/>
      <c r="E241" s="1132"/>
      <c r="F241" s="819"/>
      <c r="G241" s="1134"/>
      <c r="H241" s="819"/>
      <c r="I241" s="1132"/>
      <c r="J241" s="819"/>
      <c r="K241" s="819"/>
      <c r="L241" s="819"/>
      <c r="M241" s="1128" t="str">
        <f>+IFERROR(VLOOKUP(G241,'S1&amp;2 Lists'!$C$8:$G$112,3,FALSE),"-")</f>
        <v>-</v>
      </c>
      <c r="N241" s="1128" t="str">
        <f t="shared" si="3"/>
        <v>-</v>
      </c>
      <c r="P241" s="1130">
        <f>ROUND(IF(L241='S1&amp;2 Lists'!$CV$3,K241,IF(L241='S1&amp;2 Lists'!$CV$4,K241/'S1&amp;2 Lists'!$CQ$6,0)),3)</f>
        <v>0</v>
      </c>
      <c r="Q241" s="11" t="s">
        <v>12</v>
      </c>
    </row>
    <row r="242" spans="1:17" s="1129" customFormat="1" ht="24" customHeight="1">
      <c r="A242" s="819"/>
      <c r="B242" s="819"/>
      <c r="C242" s="1131"/>
      <c r="D242" s="819"/>
      <c r="E242" s="1132"/>
      <c r="F242" s="819"/>
      <c r="G242" s="1134"/>
      <c r="H242" s="819"/>
      <c r="I242" s="1132"/>
      <c r="J242" s="819"/>
      <c r="K242" s="819"/>
      <c r="L242" s="819"/>
      <c r="M242" s="1128" t="str">
        <f>+IFERROR(VLOOKUP(G242,'S1&amp;2 Lists'!$C$8:$G$112,3,FALSE),"-")</f>
        <v>-</v>
      </c>
      <c r="N242" s="1128" t="str">
        <f t="shared" si="3"/>
        <v>-</v>
      </c>
      <c r="P242" s="1130">
        <f>ROUND(IF(L242='S1&amp;2 Lists'!$CV$3,K242,IF(L242='S1&amp;2 Lists'!$CV$4,K242/'S1&amp;2 Lists'!$CQ$6,0)),3)</f>
        <v>0</v>
      </c>
      <c r="Q242" s="11" t="s">
        <v>12</v>
      </c>
    </row>
    <row r="243" spans="1:17" s="1129" customFormat="1" ht="24" customHeight="1">
      <c r="A243" s="819"/>
      <c r="B243" s="819"/>
      <c r="C243" s="1131"/>
      <c r="D243" s="819"/>
      <c r="E243" s="1132"/>
      <c r="F243" s="819"/>
      <c r="G243" s="1134"/>
      <c r="H243" s="819"/>
      <c r="I243" s="1132"/>
      <c r="J243" s="819"/>
      <c r="K243" s="819"/>
      <c r="L243" s="819"/>
      <c r="M243" s="1128" t="str">
        <f>+IFERROR(VLOOKUP(G243,'S1&amp;2 Lists'!$C$8:$G$112,3,FALSE),"-")</f>
        <v>-</v>
      </c>
      <c r="N243" s="1128" t="str">
        <f t="shared" si="3"/>
        <v>-</v>
      </c>
      <c r="P243" s="1130">
        <f>ROUND(IF(L243='S1&amp;2 Lists'!$CV$3,K243,IF(L243='S1&amp;2 Lists'!$CV$4,K243/'S1&amp;2 Lists'!$CQ$6,0)),3)</f>
        <v>0</v>
      </c>
      <c r="Q243" s="11" t="s">
        <v>12</v>
      </c>
    </row>
    <row r="244" spans="1:17" s="1129" customFormat="1" ht="24" customHeight="1">
      <c r="A244" s="819"/>
      <c r="B244" s="819"/>
      <c r="C244" s="1131"/>
      <c r="D244" s="819"/>
      <c r="E244" s="1132"/>
      <c r="F244" s="819"/>
      <c r="G244" s="1134"/>
      <c r="H244" s="819"/>
      <c r="I244" s="1132"/>
      <c r="J244" s="819"/>
      <c r="K244" s="819"/>
      <c r="L244" s="819"/>
      <c r="M244" s="1128" t="str">
        <f>+IFERROR(VLOOKUP(G244,'S1&amp;2 Lists'!$C$8:$G$112,3,FALSE),"-")</f>
        <v>-</v>
      </c>
      <c r="N244" s="1128" t="str">
        <f t="shared" si="3"/>
        <v>-</v>
      </c>
      <c r="P244" s="1130">
        <f>ROUND(IF(L244='S1&amp;2 Lists'!$CV$3,K244,IF(L244='S1&amp;2 Lists'!$CV$4,K244/'S1&amp;2 Lists'!$CQ$6,0)),3)</f>
        <v>0</v>
      </c>
      <c r="Q244" s="11" t="s">
        <v>12</v>
      </c>
    </row>
    <row r="245" spans="1:17" s="1129" customFormat="1" ht="24" customHeight="1">
      <c r="A245" s="819"/>
      <c r="B245" s="819"/>
      <c r="C245" s="1131"/>
      <c r="D245" s="819"/>
      <c r="E245" s="1132"/>
      <c r="F245" s="819"/>
      <c r="G245" s="1134"/>
      <c r="H245" s="819"/>
      <c r="I245" s="1132"/>
      <c r="J245" s="819"/>
      <c r="K245" s="819"/>
      <c r="L245" s="819"/>
      <c r="M245" s="1128" t="str">
        <f>+IFERROR(VLOOKUP(G245,'S1&amp;2 Lists'!$C$8:$G$112,3,FALSE),"-")</f>
        <v>-</v>
      </c>
      <c r="N245" s="1128" t="str">
        <f t="shared" si="3"/>
        <v>-</v>
      </c>
      <c r="P245" s="1130">
        <f>ROUND(IF(L245='S1&amp;2 Lists'!$CV$3,K245,IF(L245='S1&amp;2 Lists'!$CV$4,K245/'S1&amp;2 Lists'!$CQ$6,0)),3)</f>
        <v>0</v>
      </c>
      <c r="Q245" s="11" t="s">
        <v>12</v>
      </c>
    </row>
    <row r="246" spans="1:17" s="1129" customFormat="1" ht="24" customHeight="1">
      <c r="A246" s="819"/>
      <c r="B246" s="819"/>
      <c r="C246" s="1131"/>
      <c r="D246" s="819"/>
      <c r="E246" s="1132"/>
      <c r="F246" s="819"/>
      <c r="G246" s="1134"/>
      <c r="H246" s="819"/>
      <c r="I246" s="1132"/>
      <c r="J246" s="819"/>
      <c r="K246" s="819"/>
      <c r="L246" s="819"/>
      <c r="M246" s="1128" t="str">
        <f>+IFERROR(VLOOKUP(G246,'S1&amp;2 Lists'!$C$8:$G$112,3,FALSE),"-")</f>
        <v>-</v>
      </c>
      <c r="N246" s="1128" t="str">
        <f t="shared" si="3"/>
        <v>-</v>
      </c>
      <c r="P246" s="1130">
        <f>ROUND(IF(L246='S1&amp;2 Lists'!$CV$3,K246,IF(L246='S1&amp;2 Lists'!$CV$4,K246/'S1&amp;2 Lists'!$CQ$6,0)),3)</f>
        <v>0</v>
      </c>
      <c r="Q246" s="11" t="s">
        <v>12</v>
      </c>
    </row>
    <row r="247" spans="1:17" s="1129" customFormat="1" ht="24" customHeight="1">
      <c r="A247" s="819"/>
      <c r="B247" s="819"/>
      <c r="C247" s="1131"/>
      <c r="D247" s="819"/>
      <c r="E247" s="1132"/>
      <c r="F247" s="819"/>
      <c r="G247" s="1134"/>
      <c r="H247" s="819"/>
      <c r="I247" s="1132"/>
      <c r="J247" s="819"/>
      <c r="K247" s="819"/>
      <c r="L247" s="819"/>
      <c r="M247" s="1128" t="str">
        <f>+IFERROR(VLOOKUP(G247,'S1&amp;2 Lists'!$C$8:$G$112,3,FALSE),"-")</f>
        <v>-</v>
      </c>
      <c r="N247" s="1128" t="str">
        <f t="shared" si="3"/>
        <v>-</v>
      </c>
      <c r="P247" s="1130">
        <f>ROUND(IF(L247='S1&amp;2 Lists'!$CV$3,K247,IF(L247='S1&amp;2 Lists'!$CV$4,K247/'S1&amp;2 Lists'!$CQ$6,0)),3)</f>
        <v>0</v>
      </c>
      <c r="Q247" s="11" t="s">
        <v>12</v>
      </c>
    </row>
    <row r="248" spans="1:17" s="1129" customFormat="1" ht="24" customHeight="1">
      <c r="A248" s="819"/>
      <c r="B248" s="819"/>
      <c r="C248" s="1131"/>
      <c r="D248" s="819"/>
      <c r="E248" s="1132"/>
      <c r="F248" s="819"/>
      <c r="G248" s="1134"/>
      <c r="H248" s="819"/>
      <c r="I248" s="1132"/>
      <c r="J248" s="819"/>
      <c r="K248" s="819"/>
      <c r="L248" s="819"/>
      <c r="M248" s="1128" t="str">
        <f>+IFERROR(VLOOKUP(G248,'S1&amp;2 Lists'!$C$8:$G$112,3,FALSE),"-")</f>
        <v>-</v>
      </c>
      <c r="N248" s="1128" t="str">
        <f t="shared" si="3"/>
        <v>-</v>
      </c>
      <c r="P248" s="1130">
        <f>ROUND(IF(L248='S1&amp;2 Lists'!$CV$3,K248,IF(L248='S1&amp;2 Lists'!$CV$4,K248/'S1&amp;2 Lists'!$CQ$6,0)),3)</f>
        <v>0</v>
      </c>
      <c r="Q248" s="11" t="s">
        <v>12</v>
      </c>
    </row>
    <row r="249" spans="1:17" s="1129" customFormat="1" ht="24" customHeight="1">
      <c r="A249" s="819"/>
      <c r="B249" s="819"/>
      <c r="C249" s="1131"/>
      <c r="D249" s="819"/>
      <c r="E249" s="1132"/>
      <c r="F249" s="819"/>
      <c r="G249" s="1134"/>
      <c r="H249" s="819"/>
      <c r="I249" s="1132"/>
      <c r="J249" s="819"/>
      <c r="K249" s="819"/>
      <c r="L249" s="819"/>
      <c r="M249" s="1128" t="str">
        <f>+IFERROR(VLOOKUP(G249,'S1&amp;2 Lists'!$C$8:$G$112,3,FALSE),"-")</f>
        <v>-</v>
      </c>
      <c r="N249" s="1128" t="str">
        <f t="shared" si="3"/>
        <v>-</v>
      </c>
      <c r="P249" s="1130">
        <f>ROUND(IF(L249='S1&amp;2 Lists'!$CV$3,K249,IF(L249='S1&amp;2 Lists'!$CV$4,K249/'S1&amp;2 Lists'!$CQ$6,0)),3)</f>
        <v>0</v>
      </c>
      <c r="Q249" s="11" t="s">
        <v>12</v>
      </c>
    </row>
    <row r="250" spans="1:17" s="1129" customFormat="1" ht="24" customHeight="1">
      <c r="A250" s="819"/>
      <c r="B250" s="819"/>
      <c r="C250" s="1131"/>
      <c r="D250" s="819"/>
      <c r="E250" s="1132"/>
      <c r="F250" s="819"/>
      <c r="G250" s="1134"/>
      <c r="H250" s="819"/>
      <c r="I250" s="1132"/>
      <c r="J250" s="819"/>
      <c r="K250" s="819"/>
      <c r="L250" s="819"/>
      <c r="M250" s="1128" t="str">
        <f>+IFERROR(VLOOKUP(G250,'S1&amp;2 Lists'!$C$8:$G$112,3,FALSE),"-")</f>
        <v>-</v>
      </c>
      <c r="N250" s="1128" t="str">
        <f t="shared" si="3"/>
        <v>-</v>
      </c>
      <c r="P250" s="1130">
        <f>ROUND(IF(L250='S1&amp;2 Lists'!$CV$3,K250,IF(L250='S1&amp;2 Lists'!$CV$4,K250/'S1&amp;2 Lists'!$CQ$6,0)),3)</f>
        <v>0</v>
      </c>
      <c r="Q250" s="11" t="s">
        <v>12</v>
      </c>
    </row>
    <row r="251" spans="1:17" s="1129" customFormat="1" ht="24" customHeight="1">
      <c r="A251" s="819"/>
      <c r="B251" s="819"/>
      <c r="C251" s="1131"/>
      <c r="D251" s="819"/>
      <c r="E251" s="1132"/>
      <c r="F251" s="819"/>
      <c r="G251" s="1134"/>
      <c r="H251" s="819"/>
      <c r="I251" s="1132"/>
      <c r="J251" s="819"/>
      <c r="K251" s="819"/>
      <c r="L251" s="819"/>
      <c r="M251" s="1128" t="str">
        <f>+IFERROR(VLOOKUP(G251,'S1&amp;2 Lists'!$C$8:$G$112,3,FALSE),"-")</f>
        <v>-</v>
      </c>
      <c r="N251" s="1128" t="str">
        <f t="shared" si="3"/>
        <v>-</v>
      </c>
      <c r="P251" s="1130">
        <f>ROUND(IF(L251='S1&amp;2 Lists'!$CV$3,K251,IF(L251='S1&amp;2 Lists'!$CV$4,K251/'S1&amp;2 Lists'!$CQ$6,0)),3)</f>
        <v>0</v>
      </c>
      <c r="Q251" s="11" t="s">
        <v>12</v>
      </c>
    </row>
    <row r="252" spans="1:17" s="1129" customFormat="1" ht="24" customHeight="1">
      <c r="A252" s="819"/>
      <c r="B252" s="819"/>
      <c r="C252" s="1131"/>
      <c r="D252" s="819"/>
      <c r="E252" s="1132"/>
      <c r="F252" s="819"/>
      <c r="G252" s="1134"/>
      <c r="H252" s="819"/>
      <c r="I252" s="1132"/>
      <c r="J252" s="819"/>
      <c r="K252" s="819"/>
      <c r="L252" s="819"/>
      <c r="M252" s="1128" t="str">
        <f>+IFERROR(VLOOKUP(G252,'S1&amp;2 Lists'!$C$8:$G$112,3,FALSE),"-")</f>
        <v>-</v>
      </c>
      <c r="N252" s="1128" t="str">
        <f t="shared" si="3"/>
        <v>-</v>
      </c>
      <c r="P252" s="1130">
        <f>ROUND(IF(L252='S1&amp;2 Lists'!$CV$3,K252,IF(L252='S1&amp;2 Lists'!$CV$4,K252/'S1&amp;2 Lists'!$CQ$6,0)),3)</f>
        <v>0</v>
      </c>
      <c r="Q252" s="11" t="s">
        <v>12</v>
      </c>
    </row>
    <row r="253" spans="1:17" s="1129" customFormat="1" ht="24" customHeight="1">
      <c r="A253" s="819"/>
      <c r="B253" s="819"/>
      <c r="C253" s="1131"/>
      <c r="D253" s="819"/>
      <c r="E253" s="1132"/>
      <c r="F253" s="819"/>
      <c r="G253" s="1134"/>
      <c r="H253" s="819"/>
      <c r="I253" s="1132"/>
      <c r="J253" s="819"/>
      <c r="K253" s="819"/>
      <c r="L253" s="819"/>
      <c r="M253" s="1128" t="str">
        <f>+IFERROR(VLOOKUP(G253,'S1&amp;2 Lists'!$C$8:$G$112,3,FALSE),"-")</f>
        <v>-</v>
      </c>
      <c r="N253" s="1128" t="str">
        <f t="shared" si="3"/>
        <v>-</v>
      </c>
      <c r="P253" s="1130">
        <f>ROUND(IF(L253='S1&amp;2 Lists'!$CV$3,K253,IF(L253='S1&amp;2 Lists'!$CV$4,K253/'S1&amp;2 Lists'!$CQ$6,0)),3)</f>
        <v>0</v>
      </c>
      <c r="Q253" s="11" t="s">
        <v>12</v>
      </c>
    </row>
    <row r="254" spans="1:17" s="1129" customFormat="1" ht="24" customHeight="1">
      <c r="A254" s="819"/>
      <c r="B254" s="819"/>
      <c r="C254" s="1131"/>
      <c r="D254" s="819"/>
      <c r="E254" s="1132"/>
      <c r="F254" s="819"/>
      <c r="G254" s="1134"/>
      <c r="H254" s="819"/>
      <c r="I254" s="1132"/>
      <c r="J254" s="819"/>
      <c r="K254" s="819"/>
      <c r="L254" s="819"/>
      <c r="M254" s="1128" t="str">
        <f>+IFERROR(VLOOKUP(G254,'S1&amp;2 Lists'!$C$8:$G$112,3,FALSE),"-")</f>
        <v>-</v>
      </c>
      <c r="N254" s="1128" t="str">
        <f t="shared" si="3"/>
        <v>-</v>
      </c>
      <c r="P254" s="1130">
        <f>ROUND(IF(L254='S1&amp;2 Lists'!$CV$3,K254,IF(L254='S1&amp;2 Lists'!$CV$4,K254/'S1&amp;2 Lists'!$CQ$6,0)),3)</f>
        <v>0</v>
      </c>
      <c r="Q254" s="11" t="s">
        <v>12</v>
      </c>
    </row>
    <row r="255" spans="1:17" s="1129" customFormat="1" ht="24" customHeight="1">
      <c r="A255" s="819"/>
      <c r="B255" s="819"/>
      <c r="C255" s="1131"/>
      <c r="D255" s="819"/>
      <c r="E255" s="1132"/>
      <c r="F255" s="819"/>
      <c r="G255" s="1134"/>
      <c r="H255" s="819"/>
      <c r="I255" s="1132"/>
      <c r="J255" s="819"/>
      <c r="K255" s="819"/>
      <c r="L255" s="819"/>
      <c r="M255" s="1128" t="str">
        <f>+IFERROR(VLOOKUP(G255,'S1&amp;2 Lists'!$C$8:$G$112,3,FALSE),"-")</f>
        <v>-</v>
      </c>
      <c r="N255" s="1128" t="str">
        <f t="shared" si="3"/>
        <v>-</v>
      </c>
      <c r="P255" s="1130">
        <f>ROUND(IF(L255='S1&amp;2 Lists'!$CV$3,K255,IF(L255='S1&amp;2 Lists'!$CV$4,K255/'S1&amp;2 Lists'!$CQ$6,0)),3)</f>
        <v>0</v>
      </c>
      <c r="Q255" s="11" t="s">
        <v>12</v>
      </c>
    </row>
    <row r="256" spans="1:17" s="1129" customFormat="1" ht="24" customHeight="1">
      <c r="A256" s="819"/>
      <c r="B256" s="819"/>
      <c r="C256" s="1131"/>
      <c r="D256" s="819"/>
      <c r="E256" s="1132"/>
      <c r="F256" s="819"/>
      <c r="G256" s="1134"/>
      <c r="H256" s="819"/>
      <c r="I256" s="1132"/>
      <c r="J256" s="819"/>
      <c r="K256" s="819"/>
      <c r="L256" s="819"/>
      <c r="M256" s="1128" t="str">
        <f>+IFERROR(VLOOKUP(G256,'S1&amp;2 Lists'!$C$8:$G$112,3,FALSE),"-")</f>
        <v>-</v>
      </c>
      <c r="N256" s="1128" t="str">
        <f t="shared" si="3"/>
        <v>-</v>
      </c>
      <c r="P256" s="1130">
        <f>ROUND(IF(L256='S1&amp;2 Lists'!$CV$3,K256,IF(L256='S1&amp;2 Lists'!$CV$4,K256/'S1&amp;2 Lists'!$CQ$6,0)),3)</f>
        <v>0</v>
      </c>
      <c r="Q256" s="11" t="s">
        <v>12</v>
      </c>
    </row>
    <row r="257" spans="1:17" s="1129" customFormat="1" ht="24" customHeight="1">
      <c r="A257" s="819"/>
      <c r="B257" s="819"/>
      <c r="C257" s="1131"/>
      <c r="D257" s="819"/>
      <c r="E257" s="1132"/>
      <c r="F257" s="819"/>
      <c r="G257" s="1134"/>
      <c r="H257" s="819"/>
      <c r="I257" s="1132"/>
      <c r="J257" s="819"/>
      <c r="K257" s="819"/>
      <c r="L257" s="819"/>
      <c r="M257" s="1128" t="str">
        <f>+IFERROR(VLOOKUP(G257,'S1&amp;2 Lists'!$C$8:$G$112,3,FALSE),"-")</f>
        <v>-</v>
      </c>
      <c r="N257" s="1128" t="str">
        <f t="shared" si="3"/>
        <v>-</v>
      </c>
      <c r="P257" s="1130">
        <f>ROUND(IF(L257='S1&amp;2 Lists'!$CV$3,K257,IF(L257='S1&amp;2 Lists'!$CV$4,K257/'S1&amp;2 Lists'!$CQ$6,0)),3)</f>
        <v>0</v>
      </c>
      <c r="Q257" s="11" t="s">
        <v>12</v>
      </c>
    </row>
    <row r="258" spans="1:17" s="1129" customFormat="1" ht="24" customHeight="1">
      <c r="A258" s="819"/>
      <c r="B258" s="819"/>
      <c r="C258" s="1131"/>
      <c r="D258" s="819"/>
      <c r="E258" s="1132"/>
      <c r="F258" s="819"/>
      <c r="G258" s="1134"/>
      <c r="H258" s="819"/>
      <c r="I258" s="1132"/>
      <c r="J258" s="819"/>
      <c r="K258" s="819"/>
      <c r="L258" s="819"/>
      <c r="M258" s="1128" t="str">
        <f>+IFERROR(VLOOKUP(G258,'S1&amp;2 Lists'!$C$8:$G$112,3,FALSE),"-")</f>
        <v>-</v>
      </c>
      <c r="N258" s="1128" t="str">
        <f t="shared" si="3"/>
        <v>-</v>
      </c>
      <c r="P258" s="1130">
        <f>ROUND(IF(L258='S1&amp;2 Lists'!$CV$3,K258,IF(L258='S1&amp;2 Lists'!$CV$4,K258/'S1&amp;2 Lists'!$CQ$6,0)),3)</f>
        <v>0</v>
      </c>
      <c r="Q258" s="11" t="s">
        <v>12</v>
      </c>
    </row>
    <row r="259" spans="1:17" s="1129" customFormat="1" ht="24" customHeight="1">
      <c r="A259" s="819"/>
      <c r="B259" s="819"/>
      <c r="C259" s="1131"/>
      <c r="D259" s="819"/>
      <c r="E259" s="1132"/>
      <c r="F259" s="819"/>
      <c r="G259" s="1134"/>
      <c r="H259" s="819"/>
      <c r="I259" s="1132"/>
      <c r="J259" s="819"/>
      <c r="K259" s="819"/>
      <c r="L259" s="819"/>
      <c r="M259" s="1128" t="str">
        <f>+IFERROR(VLOOKUP(G259,'S1&amp;2 Lists'!$C$8:$G$112,3,FALSE),"-")</f>
        <v>-</v>
      </c>
      <c r="N259" s="1128" t="str">
        <f t="shared" si="3"/>
        <v>-</v>
      </c>
      <c r="P259" s="1130">
        <f>ROUND(IF(L259='S1&amp;2 Lists'!$CV$3,K259,IF(L259='S1&amp;2 Lists'!$CV$4,K259/'S1&amp;2 Lists'!$CQ$6,0)),3)</f>
        <v>0</v>
      </c>
      <c r="Q259" s="11" t="s">
        <v>12</v>
      </c>
    </row>
    <row r="260" spans="1:17" s="1129" customFormat="1" ht="24" customHeight="1">
      <c r="A260" s="819"/>
      <c r="B260" s="819"/>
      <c r="C260" s="1131"/>
      <c r="D260" s="819"/>
      <c r="E260" s="1132"/>
      <c r="F260" s="819"/>
      <c r="G260" s="1134"/>
      <c r="H260" s="819"/>
      <c r="I260" s="1132"/>
      <c r="J260" s="819"/>
      <c r="K260" s="819"/>
      <c r="L260" s="819"/>
      <c r="M260" s="1128" t="str">
        <f>+IFERROR(VLOOKUP(G260,'S1&amp;2 Lists'!$C$8:$G$112,3,FALSE),"-")</f>
        <v>-</v>
      </c>
      <c r="N260" s="1128" t="str">
        <f t="shared" si="3"/>
        <v>-</v>
      </c>
      <c r="P260" s="1130">
        <f>ROUND(IF(L260='S1&amp;2 Lists'!$CV$3,K260,IF(L260='S1&amp;2 Lists'!$CV$4,K260/'S1&amp;2 Lists'!$CQ$6,0)),3)</f>
        <v>0</v>
      </c>
      <c r="Q260" s="11" t="s">
        <v>12</v>
      </c>
    </row>
    <row r="261" spans="1:17" s="1129" customFormat="1" ht="24" customHeight="1">
      <c r="A261" s="819"/>
      <c r="B261" s="819"/>
      <c r="C261" s="1131"/>
      <c r="D261" s="819"/>
      <c r="E261" s="1132"/>
      <c r="F261" s="819"/>
      <c r="G261" s="1134"/>
      <c r="H261" s="819"/>
      <c r="I261" s="1132"/>
      <c r="J261" s="819"/>
      <c r="K261" s="819"/>
      <c r="L261" s="819"/>
      <c r="M261" s="1128" t="str">
        <f>+IFERROR(VLOOKUP(G261,'S1&amp;2 Lists'!$C$8:$G$112,3,FALSE),"-")</f>
        <v>-</v>
      </c>
      <c r="N261" s="1128" t="str">
        <f t="shared" si="3"/>
        <v>-</v>
      </c>
      <c r="P261" s="1130">
        <f>ROUND(IF(L261='S1&amp;2 Lists'!$CV$3,K261,IF(L261='S1&amp;2 Lists'!$CV$4,K261/'S1&amp;2 Lists'!$CQ$6,0)),3)</f>
        <v>0</v>
      </c>
      <c r="Q261" s="11" t="s">
        <v>12</v>
      </c>
    </row>
    <row r="262" spans="1:17" s="1129" customFormat="1" ht="24" customHeight="1">
      <c r="A262" s="819"/>
      <c r="B262" s="819"/>
      <c r="C262" s="1131"/>
      <c r="D262" s="819"/>
      <c r="E262" s="1132"/>
      <c r="F262" s="819"/>
      <c r="G262" s="1134"/>
      <c r="H262" s="819"/>
      <c r="I262" s="1132"/>
      <c r="J262" s="819"/>
      <c r="K262" s="819"/>
      <c r="L262" s="819"/>
      <c r="M262" s="1128" t="str">
        <f>+IFERROR(VLOOKUP(G262,'S1&amp;2 Lists'!$C$8:$G$112,3,FALSE),"-")</f>
        <v>-</v>
      </c>
      <c r="N262" s="1128" t="str">
        <f t="shared" si="3"/>
        <v>-</v>
      </c>
      <c r="P262" s="1130">
        <f>ROUND(IF(L262='S1&amp;2 Lists'!$CV$3,K262,IF(L262='S1&amp;2 Lists'!$CV$4,K262/'S1&amp;2 Lists'!$CQ$6,0)),3)</f>
        <v>0</v>
      </c>
      <c r="Q262" s="11" t="s">
        <v>12</v>
      </c>
    </row>
    <row r="263" spans="1:17" s="1129" customFormat="1" ht="24" customHeight="1">
      <c r="A263" s="819"/>
      <c r="B263" s="819"/>
      <c r="C263" s="1131"/>
      <c r="D263" s="819"/>
      <c r="E263" s="1132"/>
      <c r="F263" s="819"/>
      <c r="G263" s="1134"/>
      <c r="H263" s="819"/>
      <c r="I263" s="1132"/>
      <c r="J263" s="819"/>
      <c r="K263" s="819"/>
      <c r="L263" s="819"/>
      <c r="M263" s="1128" t="str">
        <f>+IFERROR(VLOOKUP(G263,'S1&amp;2 Lists'!$C$8:$G$112,3,FALSE),"-")</f>
        <v>-</v>
      </c>
      <c r="N263" s="1128" t="str">
        <f t="shared" si="3"/>
        <v>-</v>
      </c>
      <c r="P263" s="1130">
        <f>ROUND(IF(L263='S1&amp;2 Lists'!$CV$3,K263,IF(L263='S1&amp;2 Lists'!$CV$4,K263/'S1&amp;2 Lists'!$CQ$6,0)),3)</f>
        <v>0</v>
      </c>
      <c r="Q263" s="11" t="s">
        <v>12</v>
      </c>
    </row>
    <row r="264" spans="1:17" s="1129" customFormat="1" ht="24" customHeight="1">
      <c r="A264" s="819"/>
      <c r="B264" s="819"/>
      <c r="C264" s="1131"/>
      <c r="D264" s="819"/>
      <c r="E264" s="1132"/>
      <c r="F264" s="819"/>
      <c r="G264" s="1134"/>
      <c r="H264" s="819"/>
      <c r="I264" s="1132"/>
      <c r="J264" s="819"/>
      <c r="K264" s="819"/>
      <c r="L264" s="819"/>
      <c r="M264" s="1128" t="str">
        <f>+IFERROR(VLOOKUP(G264,'S1&amp;2 Lists'!$C$8:$G$112,3,FALSE),"-")</f>
        <v>-</v>
      </c>
      <c r="N264" s="1128" t="str">
        <f t="shared" si="3"/>
        <v>-</v>
      </c>
      <c r="P264" s="1130">
        <f>ROUND(IF(L264='S1&amp;2 Lists'!$CV$3,K264,IF(L264='S1&amp;2 Lists'!$CV$4,K264/'S1&amp;2 Lists'!$CQ$6,0)),3)</f>
        <v>0</v>
      </c>
      <c r="Q264" s="11" t="s">
        <v>12</v>
      </c>
    </row>
    <row r="265" spans="1:17" s="1129" customFormat="1" ht="24" customHeight="1">
      <c r="A265" s="819"/>
      <c r="B265" s="819"/>
      <c r="C265" s="1131"/>
      <c r="D265" s="819"/>
      <c r="E265" s="1132"/>
      <c r="F265" s="819"/>
      <c r="G265" s="1134"/>
      <c r="H265" s="819"/>
      <c r="I265" s="1132"/>
      <c r="J265" s="819"/>
      <c r="K265" s="819"/>
      <c r="L265" s="819"/>
      <c r="M265" s="1128" t="str">
        <f>+IFERROR(VLOOKUP(G265,'S1&amp;2 Lists'!$C$8:$G$112,3,FALSE),"-")</f>
        <v>-</v>
      </c>
      <c r="N265" s="1128" t="str">
        <f t="shared" si="3"/>
        <v>-</v>
      </c>
      <c r="P265" s="1130">
        <f>ROUND(IF(L265='S1&amp;2 Lists'!$CV$3,K265,IF(L265='S1&amp;2 Lists'!$CV$4,K265/'S1&amp;2 Lists'!$CQ$6,0)),3)</f>
        <v>0</v>
      </c>
      <c r="Q265" s="11" t="s">
        <v>12</v>
      </c>
    </row>
    <row r="266" spans="1:17" s="1129" customFormat="1" ht="24" customHeight="1">
      <c r="A266" s="819"/>
      <c r="B266" s="819"/>
      <c r="C266" s="1131"/>
      <c r="D266" s="819"/>
      <c r="E266" s="1132"/>
      <c r="F266" s="819"/>
      <c r="G266" s="1134"/>
      <c r="H266" s="819"/>
      <c r="I266" s="1132"/>
      <c r="J266" s="819"/>
      <c r="K266" s="819"/>
      <c r="L266" s="819"/>
      <c r="M266" s="1128" t="str">
        <f>+IFERROR(VLOOKUP(G266,'S1&amp;2 Lists'!$C$8:$G$112,3,FALSE),"-")</f>
        <v>-</v>
      </c>
      <c r="N266" s="1128" t="str">
        <f t="shared" si="3"/>
        <v>-</v>
      </c>
      <c r="P266" s="1130">
        <f>ROUND(IF(L266='S1&amp;2 Lists'!$CV$3,K266,IF(L266='S1&amp;2 Lists'!$CV$4,K266/'S1&amp;2 Lists'!$CQ$6,0)),3)</f>
        <v>0</v>
      </c>
      <c r="Q266" s="11" t="s">
        <v>12</v>
      </c>
    </row>
    <row r="267" spans="1:17" s="1129" customFormat="1" ht="24" customHeight="1">
      <c r="A267" s="819"/>
      <c r="B267" s="819"/>
      <c r="C267" s="1131"/>
      <c r="D267" s="819"/>
      <c r="E267" s="1132"/>
      <c r="F267" s="819"/>
      <c r="G267" s="1134"/>
      <c r="H267" s="819"/>
      <c r="I267" s="1132"/>
      <c r="J267" s="819"/>
      <c r="K267" s="819"/>
      <c r="L267" s="819"/>
      <c r="M267" s="1128" t="str">
        <f>+IFERROR(VLOOKUP(G267,'S1&amp;2 Lists'!$C$8:$G$112,3,FALSE),"-")</f>
        <v>-</v>
      </c>
      <c r="N267" s="1128" t="str">
        <f t="shared" ref="N267:N330" si="4">+IFERROR(P267*M267,"-")</f>
        <v>-</v>
      </c>
      <c r="P267" s="1130">
        <f>ROUND(IF(L267='S1&amp;2 Lists'!$CV$3,K267,IF(L267='S1&amp;2 Lists'!$CV$4,K267/'S1&amp;2 Lists'!$CQ$6,0)),3)</f>
        <v>0</v>
      </c>
      <c r="Q267" s="11" t="s">
        <v>12</v>
      </c>
    </row>
    <row r="268" spans="1:17" s="1129" customFormat="1" ht="24" customHeight="1">
      <c r="A268" s="819"/>
      <c r="B268" s="819"/>
      <c r="C268" s="1131"/>
      <c r="D268" s="819"/>
      <c r="E268" s="1132"/>
      <c r="F268" s="819"/>
      <c r="G268" s="1134"/>
      <c r="H268" s="819"/>
      <c r="I268" s="1132"/>
      <c r="J268" s="819"/>
      <c r="K268" s="819"/>
      <c r="L268" s="819"/>
      <c r="M268" s="1128" t="str">
        <f>+IFERROR(VLOOKUP(G268,'S1&amp;2 Lists'!$C$8:$G$112,3,FALSE),"-")</f>
        <v>-</v>
      </c>
      <c r="N268" s="1128" t="str">
        <f t="shared" si="4"/>
        <v>-</v>
      </c>
      <c r="P268" s="1130">
        <f>ROUND(IF(L268='S1&amp;2 Lists'!$CV$3,K268,IF(L268='S1&amp;2 Lists'!$CV$4,K268/'S1&amp;2 Lists'!$CQ$6,0)),3)</f>
        <v>0</v>
      </c>
      <c r="Q268" s="11" t="s">
        <v>12</v>
      </c>
    </row>
    <row r="269" spans="1:17" s="1129" customFormat="1" ht="24" customHeight="1">
      <c r="A269" s="819"/>
      <c r="B269" s="819"/>
      <c r="C269" s="1131"/>
      <c r="D269" s="819"/>
      <c r="E269" s="1132"/>
      <c r="F269" s="819"/>
      <c r="G269" s="1134"/>
      <c r="H269" s="819"/>
      <c r="I269" s="1132"/>
      <c r="J269" s="819"/>
      <c r="K269" s="819"/>
      <c r="L269" s="819"/>
      <c r="M269" s="1128" t="str">
        <f>+IFERROR(VLOOKUP(G269,'S1&amp;2 Lists'!$C$8:$G$112,3,FALSE),"-")</f>
        <v>-</v>
      </c>
      <c r="N269" s="1128" t="str">
        <f t="shared" si="4"/>
        <v>-</v>
      </c>
      <c r="P269" s="1130">
        <f>ROUND(IF(L269='S1&amp;2 Lists'!$CV$3,K269,IF(L269='S1&amp;2 Lists'!$CV$4,K269/'S1&amp;2 Lists'!$CQ$6,0)),3)</f>
        <v>0</v>
      </c>
      <c r="Q269" s="11" t="s">
        <v>12</v>
      </c>
    </row>
    <row r="270" spans="1:17" s="1129" customFormat="1" ht="24" customHeight="1">
      <c r="A270" s="819"/>
      <c r="B270" s="819"/>
      <c r="C270" s="1131"/>
      <c r="D270" s="819"/>
      <c r="E270" s="1132"/>
      <c r="F270" s="819"/>
      <c r="G270" s="1134"/>
      <c r="H270" s="819"/>
      <c r="I270" s="1132"/>
      <c r="J270" s="819"/>
      <c r="K270" s="819"/>
      <c r="L270" s="819"/>
      <c r="M270" s="1128" t="str">
        <f>+IFERROR(VLOOKUP(G270,'S1&amp;2 Lists'!$C$8:$G$112,3,FALSE),"-")</f>
        <v>-</v>
      </c>
      <c r="N270" s="1128" t="str">
        <f t="shared" si="4"/>
        <v>-</v>
      </c>
      <c r="P270" s="1130">
        <f>ROUND(IF(L270='S1&amp;2 Lists'!$CV$3,K270,IF(L270='S1&amp;2 Lists'!$CV$4,K270/'S1&amp;2 Lists'!$CQ$6,0)),3)</f>
        <v>0</v>
      </c>
      <c r="Q270" s="11" t="s">
        <v>12</v>
      </c>
    </row>
    <row r="271" spans="1:17" s="1129" customFormat="1" ht="24" customHeight="1">
      <c r="A271" s="819"/>
      <c r="B271" s="819"/>
      <c r="C271" s="1131"/>
      <c r="D271" s="819"/>
      <c r="E271" s="1132"/>
      <c r="F271" s="819"/>
      <c r="G271" s="1134"/>
      <c r="H271" s="819"/>
      <c r="I271" s="1132"/>
      <c r="J271" s="819"/>
      <c r="K271" s="819"/>
      <c r="L271" s="819"/>
      <c r="M271" s="1128" t="str">
        <f>+IFERROR(VLOOKUP(G271,'S1&amp;2 Lists'!$C$8:$G$112,3,FALSE),"-")</f>
        <v>-</v>
      </c>
      <c r="N271" s="1128" t="str">
        <f t="shared" si="4"/>
        <v>-</v>
      </c>
      <c r="P271" s="1130">
        <f>ROUND(IF(L271='S1&amp;2 Lists'!$CV$3,K271,IF(L271='S1&amp;2 Lists'!$CV$4,K271/'S1&amp;2 Lists'!$CQ$6,0)),3)</f>
        <v>0</v>
      </c>
      <c r="Q271" s="11" t="s">
        <v>12</v>
      </c>
    </row>
    <row r="272" spans="1:17" s="1129" customFormat="1" ht="24" customHeight="1">
      <c r="A272" s="819"/>
      <c r="B272" s="819"/>
      <c r="C272" s="1131"/>
      <c r="D272" s="819"/>
      <c r="E272" s="1132"/>
      <c r="F272" s="819"/>
      <c r="G272" s="1134"/>
      <c r="H272" s="819"/>
      <c r="I272" s="1132"/>
      <c r="J272" s="819"/>
      <c r="K272" s="819"/>
      <c r="L272" s="819"/>
      <c r="M272" s="1128" t="str">
        <f>+IFERROR(VLOOKUP(G272,'S1&amp;2 Lists'!$C$8:$G$112,3,FALSE),"-")</f>
        <v>-</v>
      </c>
      <c r="N272" s="1128" t="str">
        <f t="shared" si="4"/>
        <v>-</v>
      </c>
      <c r="P272" s="1130">
        <f>ROUND(IF(L272='S1&amp;2 Lists'!$CV$3,K272,IF(L272='S1&amp;2 Lists'!$CV$4,K272/'S1&amp;2 Lists'!$CQ$6,0)),3)</f>
        <v>0</v>
      </c>
      <c r="Q272" s="11" t="s">
        <v>12</v>
      </c>
    </row>
    <row r="273" spans="1:17" s="1129" customFormat="1" ht="24" customHeight="1">
      <c r="A273" s="819"/>
      <c r="B273" s="819"/>
      <c r="C273" s="1131"/>
      <c r="D273" s="819"/>
      <c r="E273" s="1132"/>
      <c r="F273" s="819"/>
      <c r="G273" s="1134"/>
      <c r="H273" s="819"/>
      <c r="I273" s="1132"/>
      <c r="J273" s="819"/>
      <c r="K273" s="819"/>
      <c r="L273" s="819"/>
      <c r="M273" s="1128" t="str">
        <f>+IFERROR(VLOOKUP(G273,'S1&amp;2 Lists'!$C$8:$G$112,3,FALSE),"-")</f>
        <v>-</v>
      </c>
      <c r="N273" s="1128" t="str">
        <f t="shared" si="4"/>
        <v>-</v>
      </c>
      <c r="P273" s="1130">
        <f>ROUND(IF(L273='S1&amp;2 Lists'!$CV$3,K273,IF(L273='S1&amp;2 Lists'!$CV$4,K273/'S1&amp;2 Lists'!$CQ$6,0)),3)</f>
        <v>0</v>
      </c>
      <c r="Q273" s="11" t="s">
        <v>12</v>
      </c>
    </row>
    <row r="274" spans="1:17" s="1129" customFormat="1" ht="24" customHeight="1">
      <c r="A274" s="819"/>
      <c r="B274" s="819"/>
      <c r="C274" s="1131"/>
      <c r="D274" s="819"/>
      <c r="E274" s="1132"/>
      <c r="F274" s="819"/>
      <c r="G274" s="1134"/>
      <c r="H274" s="819"/>
      <c r="I274" s="1132"/>
      <c r="J274" s="819"/>
      <c r="K274" s="819"/>
      <c r="L274" s="819"/>
      <c r="M274" s="1128" t="str">
        <f>+IFERROR(VLOOKUP(G274,'S1&amp;2 Lists'!$C$8:$G$112,3,FALSE),"-")</f>
        <v>-</v>
      </c>
      <c r="N274" s="1128" t="str">
        <f t="shared" si="4"/>
        <v>-</v>
      </c>
      <c r="P274" s="1130">
        <f>ROUND(IF(L274='S1&amp;2 Lists'!$CV$3,K274,IF(L274='S1&amp;2 Lists'!$CV$4,K274/'S1&amp;2 Lists'!$CQ$6,0)),3)</f>
        <v>0</v>
      </c>
      <c r="Q274" s="11" t="s">
        <v>12</v>
      </c>
    </row>
    <row r="275" spans="1:17" s="1129" customFormat="1" ht="24" customHeight="1">
      <c r="A275" s="819"/>
      <c r="B275" s="819"/>
      <c r="C275" s="1131"/>
      <c r="D275" s="819"/>
      <c r="E275" s="1132"/>
      <c r="F275" s="819"/>
      <c r="G275" s="1134"/>
      <c r="H275" s="819"/>
      <c r="I275" s="1132"/>
      <c r="J275" s="819"/>
      <c r="K275" s="819"/>
      <c r="L275" s="819"/>
      <c r="M275" s="1128" t="str">
        <f>+IFERROR(VLOOKUP(G275,'S1&amp;2 Lists'!$C$8:$G$112,3,FALSE),"-")</f>
        <v>-</v>
      </c>
      <c r="N275" s="1128" t="str">
        <f t="shared" si="4"/>
        <v>-</v>
      </c>
      <c r="P275" s="1130">
        <f>ROUND(IF(L275='S1&amp;2 Lists'!$CV$3,K275,IF(L275='S1&amp;2 Lists'!$CV$4,K275/'S1&amp;2 Lists'!$CQ$6,0)),3)</f>
        <v>0</v>
      </c>
      <c r="Q275" s="11" t="s">
        <v>12</v>
      </c>
    </row>
    <row r="276" spans="1:17" s="1129" customFormat="1" ht="24" customHeight="1">
      <c r="A276" s="819"/>
      <c r="B276" s="819"/>
      <c r="C276" s="1131"/>
      <c r="D276" s="819"/>
      <c r="E276" s="1132"/>
      <c r="F276" s="819"/>
      <c r="G276" s="1134"/>
      <c r="H276" s="819"/>
      <c r="I276" s="1132"/>
      <c r="J276" s="819"/>
      <c r="K276" s="819"/>
      <c r="L276" s="819"/>
      <c r="M276" s="1128" t="str">
        <f>+IFERROR(VLOOKUP(G276,'S1&amp;2 Lists'!$C$8:$G$112,3,FALSE),"-")</f>
        <v>-</v>
      </c>
      <c r="N276" s="1128" t="str">
        <f t="shared" si="4"/>
        <v>-</v>
      </c>
      <c r="P276" s="1130">
        <f>ROUND(IF(L276='S1&amp;2 Lists'!$CV$3,K276,IF(L276='S1&amp;2 Lists'!$CV$4,K276/'S1&amp;2 Lists'!$CQ$6,0)),3)</f>
        <v>0</v>
      </c>
      <c r="Q276" s="11" t="s">
        <v>12</v>
      </c>
    </row>
    <row r="277" spans="1:17" s="1129" customFormat="1" ht="24" customHeight="1">
      <c r="A277" s="819"/>
      <c r="B277" s="819"/>
      <c r="C277" s="1131"/>
      <c r="D277" s="819"/>
      <c r="E277" s="1132"/>
      <c r="F277" s="819"/>
      <c r="G277" s="1134"/>
      <c r="H277" s="819"/>
      <c r="I277" s="1132"/>
      <c r="J277" s="819"/>
      <c r="K277" s="819"/>
      <c r="L277" s="819"/>
      <c r="M277" s="1128" t="str">
        <f>+IFERROR(VLOOKUP(G277,'S1&amp;2 Lists'!$C$8:$G$112,3,FALSE),"-")</f>
        <v>-</v>
      </c>
      <c r="N277" s="1128" t="str">
        <f t="shared" si="4"/>
        <v>-</v>
      </c>
      <c r="P277" s="1130">
        <f>ROUND(IF(L277='S1&amp;2 Lists'!$CV$3,K277,IF(L277='S1&amp;2 Lists'!$CV$4,K277/'S1&amp;2 Lists'!$CQ$6,0)),3)</f>
        <v>0</v>
      </c>
      <c r="Q277" s="11" t="s">
        <v>12</v>
      </c>
    </row>
    <row r="278" spans="1:17" s="1129" customFormat="1" ht="24" customHeight="1">
      <c r="A278" s="819"/>
      <c r="B278" s="819"/>
      <c r="C278" s="1131"/>
      <c r="D278" s="819"/>
      <c r="E278" s="1132"/>
      <c r="F278" s="819"/>
      <c r="G278" s="1134"/>
      <c r="H278" s="819"/>
      <c r="I278" s="1132"/>
      <c r="J278" s="819"/>
      <c r="K278" s="819"/>
      <c r="L278" s="819"/>
      <c r="M278" s="1128" t="str">
        <f>+IFERROR(VLOOKUP(G278,'S1&amp;2 Lists'!$C$8:$G$112,3,FALSE),"-")</f>
        <v>-</v>
      </c>
      <c r="N278" s="1128" t="str">
        <f t="shared" si="4"/>
        <v>-</v>
      </c>
      <c r="P278" s="1130">
        <f>ROUND(IF(L278='S1&amp;2 Lists'!$CV$3,K278,IF(L278='S1&amp;2 Lists'!$CV$4,K278/'S1&amp;2 Lists'!$CQ$6,0)),3)</f>
        <v>0</v>
      </c>
      <c r="Q278" s="11" t="s">
        <v>12</v>
      </c>
    </row>
    <row r="279" spans="1:17" s="1129" customFormat="1" ht="24" customHeight="1">
      <c r="A279" s="819"/>
      <c r="B279" s="819"/>
      <c r="C279" s="1131"/>
      <c r="D279" s="819"/>
      <c r="E279" s="1132"/>
      <c r="F279" s="819"/>
      <c r="G279" s="1134"/>
      <c r="H279" s="819"/>
      <c r="I279" s="1132"/>
      <c r="J279" s="819"/>
      <c r="K279" s="819"/>
      <c r="L279" s="819"/>
      <c r="M279" s="1128" t="str">
        <f>+IFERROR(VLOOKUP(G279,'S1&amp;2 Lists'!$C$8:$G$112,3,FALSE),"-")</f>
        <v>-</v>
      </c>
      <c r="N279" s="1128" t="str">
        <f t="shared" si="4"/>
        <v>-</v>
      </c>
      <c r="P279" s="1130">
        <f>ROUND(IF(L279='S1&amp;2 Lists'!$CV$3,K279,IF(L279='S1&amp;2 Lists'!$CV$4,K279/'S1&amp;2 Lists'!$CQ$6,0)),3)</f>
        <v>0</v>
      </c>
      <c r="Q279" s="11" t="s">
        <v>12</v>
      </c>
    </row>
    <row r="280" spans="1:17" s="1129" customFormat="1" ht="24" customHeight="1">
      <c r="A280" s="819"/>
      <c r="B280" s="819"/>
      <c r="C280" s="1131"/>
      <c r="D280" s="819"/>
      <c r="E280" s="1132"/>
      <c r="F280" s="819"/>
      <c r="G280" s="1134"/>
      <c r="H280" s="819"/>
      <c r="I280" s="1132"/>
      <c r="J280" s="819"/>
      <c r="K280" s="819"/>
      <c r="L280" s="819"/>
      <c r="M280" s="1128" t="str">
        <f>+IFERROR(VLOOKUP(G280,'S1&amp;2 Lists'!$C$8:$G$112,3,FALSE),"-")</f>
        <v>-</v>
      </c>
      <c r="N280" s="1128" t="str">
        <f t="shared" si="4"/>
        <v>-</v>
      </c>
      <c r="P280" s="1130">
        <f>ROUND(IF(L280='S1&amp;2 Lists'!$CV$3,K280,IF(L280='S1&amp;2 Lists'!$CV$4,K280/'S1&amp;2 Lists'!$CQ$6,0)),3)</f>
        <v>0</v>
      </c>
      <c r="Q280" s="11" t="s">
        <v>12</v>
      </c>
    </row>
    <row r="281" spans="1:17" s="1129" customFormat="1" ht="24" customHeight="1">
      <c r="A281" s="819"/>
      <c r="B281" s="819"/>
      <c r="C281" s="1131"/>
      <c r="D281" s="819"/>
      <c r="E281" s="1132"/>
      <c r="F281" s="819"/>
      <c r="G281" s="1134"/>
      <c r="H281" s="819"/>
      <c r="I281" s="1132"/>
      <c r="J281" s="819"/>
      <c r="K281" s="819"/>
      <c r="L281" s="819"/>
      <c r="M281" s="1128" t="str">
        <f>+IFERROR(VLOOKUP(G281,'S1&amp;2 Lists'!$C$8:$G$112,3,FALSE),"-")</f>
        <v>-</v>
      </c>
      <c r="N281" s="1128" t="str">
        <f t="shared" si="4"/>
        <v>-</v>
      </c>
      <c r="P281" s="1130">
        <f>ROUND(IF(L281='S1&amp;2 Lists'!$CV$3,K281,IF(L281='S1&amp;2 Lists'!$CV$4,K281/'S1&amp;2 Lists'!$CQ$6,0)),3)</f>
        <v>0</v>
      </c>
      <c r="Q281" s="11" t="s">
        <v>12</v>
      </c>
    </row>
    <row r="282" spans="1:17" s="1129" customFormat="1" ht="24" customHeight="1">
      <c r="A282" s="819"/>
      <c r="B282" s="819"/>
      <c r="C282" s="1131"/>
      <c r="D282" s="819"/>
      <c r="E282" s="1132"/>
      <c r="F282" s="819"/>
      <c r="G282" s="1134"/>
      <c r="H282" s="819"/>
      <c r="I282" s="1132"/>
      <c r="J282" s="819"/>
      <c r="K282" s="819"/>
      <c r="L282" s="819"/>
      <c r="M282" s="1128" t="str">
        <f>+IFERROR(VLOOKUP(G282,'S1&amp;2 Lists'!$C$8:$G$112,3,FALSE),"-")</f>
        <v>-</v>
      </c>
      <c r="N282" s="1128" t="str">
        <f t="shared" si="4"/>
        <v>-</v>
      </c>
      <c r="P282" s="1130">
        <f>ROUND(IF(L282='S1&amp;2 Lists'!$CV$3,K282,IF(L282='S1&amp;2 Lists'!$CV$4,K282/'S1&amp;2 Lists'!$CQ$6,0)),3)</f>
        <v>0</v>
      </c>
      <c r="Q282" s="11" t="s">
        <v>12</v>
      </c>
    </row>
    <row r="283" spans="1:17" s="1129" customFormat="1" ht="24" customHeight="1">
      <c r="A283" s="819"/>
      <c r="B283" s="819"/>
      <c r="C283" s="1131"/>
      <c r="D283" s="819"/>
      <c r="E283" s="1132"/>
      <c r="F283" s="819"/>
      <c r="G283" s="1134"/>
      <c r="H283" s="819"/>
      <c r="I283" s="1132"/>
      <c r="J283" s="819"/>
      <c r="K283" s="819"/>
      <c r="L283" s="819"/>
      <c r="M283" s="1128" t="str">
        <f>+IFERROR(VLOOKUP(G283,'S1&amp;2 Lists'!$C$8:$G$112,3,FALSE),"-")</f>
        <v>-</v>
      </c>
      <c r="N283" s="1128" t="str">
        <f t="shared" si="4"/>
        <v>-</v>
      </c>
      <c r="P283" s="1130">
        <f>ROUND(IF(L283='S1&amp;2 Lists'!$CV$3,K283,IF(L283='S1&amp;2 Lists'!$CV$4,K283/'S1&amp;2 Lists'!$CQ$6,0)),3)</f>
        <v>0</v>
      </c>
      <c r="Q283" s="11" t="s">
        <v>12</v>
      </c>
    </row>
    <row r="284" spans="1:17" s="1129" customFormat="1" ht="24" customHeight="1">
      <c r="A284" s="819"/>
      <c r="B284" s="819"/>
      <c r="C284" s="1131"/>
      <c r="D284" s="819"/>
      <c r="E284" s="1132"/>
      <c r="F284" s="819"/>
      <c r="G284" s="1134"/>
      <c r="H284" s="819"/>
      <c r="I284" s="1132"/>
      <c r="J284" s="819"/>
      <c r="K284" s="819"/>
      <c r="L284" s="819"/>
      <c r="M284" s="1128" t="str">
        <f>+IFERROR(VLOOKUP(G284,'S1&amp;2 Lists'!$C$8:$G$112,3,FALSE),"-")</f>
        <v>-</v>
      </c>
      <c r="N284" s="1128" t="str">
        <f t="shared" si="4"/>
        <v>-</v>
      </c>
      <c r="P284" s="1130">
        <f>ROUND(IF(L284='S1&amp;2 Lists'!$CV$3,K284,IF(L284='S1&amp;2 Lists'!$CV$4,K284/'S1&amp;2 Lists'!$CQ$6,0)),3)</f>
        <v>0</v>
      </c>
      <c r="Q284" s="11" t="s">
        <v>12</v>
      </c>
    </row>
    <row r="285" spans="1:17" s="1129" customFormat="1" ht="24" customHeight="1">
      <c r="A285" s="819"/>
      <c r="B285" s="819"/>
      <c r="C285" s="1131"/>
      <c r="D285" s="819"/>
      <c r="E285" s="1132"/>
      <c r="F285" s="819"/>
      <c r="G285" s="1134"/>
      <c r="H285" s="819"/>
      <c r="I285" s="1132"/>
      <c r="J285" s="819"/>
      <c r="K285" s="819"/>
      <c r="L285" s="819"/>
      <c r="M285" s="1128" t="str">
        <f>+IFERROR(VLOOKUP(G285,'S1&amp;2 Lists'!$C$8:$G$112,3,FALSE),"-")</f>
        <v>-</v>
      </c>
      <c r="N285" s="1128" t="str">
        <f t="shared" si="4"/>
        <v>-</v>
      </c>
      <c r="P285" s="1130">
        <f>ROUND(IF(L285='S1&amp;2 Lists'!$CV$3,K285,IF(L285='S1&amp;2 Lists'!$CV$4,K285/'S1&amp;2 Lists'!$CQ$6,0)),3)</f>
        <v>0</v>
      </c>
      <c r="Q285" s="11" t="s">
        <v>12</v>
      </c>
    </row>
    <row r="286" spans="1:17" s="1129" customFormat="1" ht="24" customHeight="1">
      <c r="A286" s="819"/>
      <c r="B286" s="819"/>
      <c r="C286" s="1131"/>
      <c r="D286" s="819"/>
      <c r="E286" s="1132"/>
      <c r="F286" s="819"/>
      <c r="G286" s="1134"/>
      <c r="H286" s="819"/>
      <c r="I286" s="1132"/>
      <c r="J286" s="819"/>
      <c r="K286" s="819"/>
      <c r="L286" s="819"/>
      <c r="M286" s="1128" t="str">
        <f>+IFERROR(VLOOKUP(G286,'S1&amp;2 Lists'!$C$8:$G$112,3,FALSE),"-")</f>
        <v>-</v>
      </c>
      <c r="N286" s="1128" t="str">
        <f t="shared" si="4"/>
        <v>-</v>
      </c>
      <c r="P286" s="1130">
        <f>ROUND(IF(L286='S1&amp;2 Lists'!$CV$3,K286,IF(L286='S1&amp;2 Lists'!$CV$4,K286/'S1&amp;2 Lists'!$CQ$6,0)),3)</f>
        <v>0</v>
      </c>
      <c r="Q286" s="11" t="s">
        <v>12</v>
      </c>
    </row>
    <row r="287" spans="1:17" s="1129" customFormat="1" ht="24" customHeight="1">
      <c r="A287" s="819"/>
      <c r="B287" s="819"/>
      <c r="C287" s="1131"/>
      <c r="D287" s="819"/>
      <c r="E287" s="1132"/>
      <c r="F287" s="819"/>
      <c r="G287" s="1134"/>
      <c r="H287" s="819"/>
      <c r="I287" s="1132"/>
      <c r="J287" s="819"/>
      <c r="K287" s="819"/>
      <c r="L287" s="819"/>
      <c r="M287" s="1128" t="str">
        <f>+IFERROR(VLOOKUP(G287,'S1&amp;2 Lists'!$C$8:$G$112,3,FALSE),"-")</f>
        <v>-</v>
      </c>
      <c r="N287" s="1128" t="str">
        <f t="shared" si="4"/>
        <v>-</v>
      </c>
      <c r="P287" s="1130">
        <f>ROUND(IF(L287='S1&amp;2 Lists'!$CV$3,K287,IF(L287='S1&amp;2 Lists'!$CV$4,K287/'S1&amp;2 Lists'!$CQ$6,0)),3)</f>
        <v>0</v>
      </c>
      <c r="Q287" s="11" t="s">
        <v>12</v>
      </c>
    </row>
    <row r="288" spans="1:17" s="1129" customFormat="1" ht="24" customHeight="1">
      <c r="A288" s="819"/>
      <c r="B288" s="819"/>
      <c r="C288" s="1131"/>
      <c r="D288" s="819"/>
      <c r="E288" s="1132"/>
      <c r="F288" s="819"/>
      <c r="G288" s="1134"/>
      <c r="H288" s="819"/>
      <c r="I288" s="1132"/>
      <c r="J288" s="819"/>
      <c r="K288" s="819"/>
      <c r="L288" s="819"/>
      <c r="M288" s="1128" t="str">
        <f>+IFERROR(VLOOKUP(G288,'S1&amp;2 Lists'!$C$8:$G$112,3,FALSE),"-")</f>
        <v>-</v>
      </c>
      <c r="N288" s="1128" t="str">
        <f t="shared" si="4"/>
        <v>-</v>
      </c>
      <c r="P288" s="1130">
        <f>ROUND(IF(L288='S1&amp;2 Lists'!$CV$3,K288,IF(L288='S1&amp;2 Lists'!$CV$4,K288/'S1&amp;2 Lists'!$CQ$6,0)),3)</f>
        <v>0</v>
      </c>
      <c r="Q288" s="11" t="s">
        <v>12</v>
      </c>
    </row>
    <row r="289" spans="1:17" s="1129" customFormat="1" ht="24" customHeight="1">
      <c r="A289" s="819"/>
      <c r="B289" s="819"/>
      <c r="C289" s="1131"/>
      <c r="D289" s="819"/>
      <c r="E289" s="1132"/>
      <c r="F289" s="819"/>
      <c r="G289" s="1134"/>
      <c r="H289" s="819"/>
      <c r="I289" s="1132"/>
      <c r="J289" s="819"/>
      <c r="K289" s="819"/>
      <c r="L289" s="819"/>
      <c r="M289" s="1128" t="str">
        <f>+IFERROR(VLOOKUP(G289,'S1&amp;2 Lists'!$C$8:$G$112,3,FALSE),"-")</f>
        <v>-</v>
      </c>
      <c r="N289" s="1128" t="str">
        <f t="shared" si="4"/>
        <v>-</v>
      </c>
      <c r="P289" s="1130">
        <f>ROUND(IF(L289='S1&amp;2 Lists'!$CV$3,K289,IF(L289='S1&amp;2 Lists'!$CV$4,K289/'S1&amp;2 Lists'!$CQ$6,0)),3)</f>
        <v>0</v>
      </c>
      <c r="Q289" s="11" t="s">
        <v>12</v>
      </c>
    </row>
    <row r="290" spans="1:17" s="1129" customFormat="1" ht="24" customHeight="1">
      <c r="A290" s="819"/>
      <c r="B290" s="819"/>
      <c r="C290" s="1131"/>
      <c r="D290" s="819"/>
      <c r="E290" s="1132"/>
      <c r="F290" s="819"/>
      <c r="G290" s="1134"/>
      <c r="H290" s="819"/>
      <c r="I290" s="1132"/>
      <c r="J290" s="819"/>
      <c r="K290" s="819"/>
      <c r="L290" s="819"/>
      <c r="M290" s="1128" t="str">
        <f>+IFERROR(VLOOKUP(G290,'S1&amp;2 Lists'!$C$8:$G$112,3,FALSE),"-")</f>
        <v>-</v>
      </c>
      <c r="N290" s="1128" t="str">
        <f t="shared" si="4"/>
        <v>-</v>
      </c>
      <c r="P290" s="1130">
        <f>ROUND(IF(L290='S1&amp;2 Lists'!$CV$3,K290,IF(L290='S1&amp;2 Lists'!$CV$4,K290/'S1&amp;2 Lists'!$CQ$6,0)),3)</f>
        <v>0</v>
      </c>
      <c r="Q290" s="11" t="s">
        <v>12</v>
      </c>
    </row>
    <row r="291" spans="1:17" s="1129" customFormat="1" ht="24" customHeight="1">
      <c r="A291" s="819"/>
      <c r="B291" s="819"/>
      <c r="C291" s="1131"/>
      <c r="D291" s="819"/>
      <c r="E291" s="1132"/>
      <c r="F291" s="819"/>
      <c r="G291" s="1134"/>
      <c r="H291" s="819"/>
      <c r="I291" s="1132"/>
      <c r="J291" s="819"/>
      <c r="K291" s="819"/>
      <c r="L291" s="819"/>
      <c r="M291" s="1128" t="str">
        <f>+IFERROR(VLOOKUP(G291,'S1&amp;2 Lists'!$C$8:$G$112,3,FALSE),"-")</f>
        <v>-</v>
      </c>
      <c r="N291" s="1128" t="str">
        <f t="shared" si="4"/>
        <v>-</v>
      </c>
      <c r="P291" s="1130">
        <f>ROUND(IF(L291='S1&amp;2 Lists'!$CV$3,K291,IF(L291='S1&amp;2 Lists'!$CV$4,K291/'S1&amp;2 Lists'!$CQ$6,0)),3)</f>
        <v>0</v>
      </c>
      <c r="Q291" s="11" t="s">
        <v>12</v>
      </c>
    </row>
    <row r="292" spans="1:17" s="1129" customFormat="1" ht="24" customHeight="1">
      <c r="A292" s="819"/>
      <c r="B292" s="819"/>
      <c r="C292" s="1131"/>
      <c r="D292" s="819"/>
      <c r="E292" s="1132"/>
      <c r="F292" s="819"/>
      <c r="G292" s="1134"/>
      <c r="H292" s="819"/>
      <c r="I292" s="1132"/>
      <c r="J292" s="819"/>
      <c r="K292" s="819"/>
      <c r="L292" s="819"/>
      <c r="M292" s="1128" t="str">
        <f>+IFERROR(VLOOKUP(G292,'S1&amp;2 Lists'!$C$8:$G$112,3,FALSE),"-")</f>
        <v>-</v>
      </c>
      <c r="N292" s="1128" t="str">
        <f t="shared" si="4"/>
        <v>-</v>
      </c>
      <c r="P292" s="1130">
        <f>ROUND(IF(L292='S1&amp;2 Lists'!$CV$3,K292,IF(L292='S1&amp;2 Lists'!$CV$4,K292/'S1&amp;2 Lists'!$CQ$6,0)),3)</f>
        <v>0</v>
      </c>
      <c r="Q292" s="11" t="s">
        <v>12</v>
      </c>
    </row>
    <row r="293" spans="1:17" s="1129" customFormat="1" ht="24" customHeight="1">
      <c r="A293" s="819"/>
      <c r="B293" s="819"/>
      <c r="C293" s="1131"/>
      <c r="D293" s="819"/>
      <c r="E293" s="1132"/>
      <c r="F293" s="819"/>
      <c r="G293" s="1134"/>
      <c r="H293" s="819"/>
      <c r="I293" s="1132"/>
      <c r="J293" s="819"/>
      <c r="K293" s="819"/>
      <c r="L293" s="819"/>
      <c r="M293" s="1128" t="str">
        <f>+IFERROR(VLOOKUP(G293,'S1&amp;2 Lists'!$C$8:$G$112,3,FALSE),"-")</f>
        <v>-</v>
      </c>
      <c r="N293" s="1128" t="str">
        <f t="shared" si="4"/>
        <v>-</v>
      </c>
      <c r="P293" s="1130">
        <f>ROUND(IF(L293='S1&amp;2 Lists'!$CV$3,K293,IF(L293='S1&amp;2 Lists'!$CV$4,K293/'S1&amp;2 Lists'!$CQ$6,0)),3)</f>
        <v>0</v>
      </c>
      <c r="Q293" s="11" t="s">
        <v>12</v>
      </c>
    </row>
    <row r="294" spans="1:17" s="1129" customFormat="1" ht="24" customHeight="1">
      <c r="A294" s="819"/>
      <c r="B294" s="819"/>
      <c r="C294" s="1131"/>
      <c r="D294" s="819"/>
      <c r="E294" s="1132"/>
      <c r="F294" s="819"/>
      <c r="G294" s="1134"/>
      <c r="H294" s="819"/>
      <c r="I294" s="1132"/>
      <c r="J294" s="819"/>
      <c r="K294" s="819"/>
      <c r="L294" s="819"/>
      <c r="M294" s="1128" t="str">
        <f>+IFERROR(VLOOKUP(G294,'S1&amp;2 Lists'!$C$8:$G$112,3,FALSE),"-")</f>
        <v>-</v>
      </c>
      <c r="N294" s="1128" t="str">
        <f t="shared" si="4"/>
        <v>-</v>
      </c>
      <c r="P294" s="1130">
        <f>ROUND(IF(L294='S1&amp;2 Lists'!$CV$3,K294,IF(L294='S1&amp;2 Lists'!$CV$4,K294/'S1&amp;2 Lists'!$CQ$6,0)),3)</f>
        <v>0</v>
      </c>
      <c r="Q294" s="11" t="s">
        <v>12</v>
      </c>
    </row>
    <row r="295" spans="1:17" s="1129" customFormat="1" ht="24" customHeight="1">
      <c r="A295" s="819"/>
      <c r="B295" s="819"/>
      <c r="C295" s="1131"/>
      <c r="D295" s="819"/>
      <c r="E295" s="1132"/>
      <c r="F295" s="819"/>
      <c r="G295" s="1134"/>
      <c r="H295" s="819"/>
      <c r="I295" s="1132"/>
      <c r="J295" s="819"/>
      <c r="K295" s="819"/>
      <c r="L295" s="819"/>
      <c r="M295" s="1128" t="str">
        <f>+IFERROR(VLOOKUP(G295,'S1&amp;2 Lists'!$C$8:$G$112,3,FALSE),"-")</f>
        <v>-</v>
      </c>
      <c r="N295" s="1128" t="str">
        <f t="shared" si="4"/>
        <v>-</v>
      </c>
      <c r="P295" s="1130">
        <f>ROUND(IF(L295='S1&amp;2 Lists'!$CV$3,K295,IF(L295='S1&amp;2 Lists'!$CV$4,K295/'S1&amp;2 Lists'!$CQ$6,0)),3)</f>
        <v>0</v>
      </c>
      <c r="Q295" s="11" t="s">
        <v>12</v>
      </c>
    </row>
    <row r="296" spans="1:17" s="1129" customFormat="1" ht="24" customHeight="1">
      <c r="A296" s="819"/>
      <c r="B296" s="819"/>
      <c r="C296" s="1131"/>
      <c r="D296" s="819"/>
      <c r="E296" s="1132"/>
      <c r="F296" s="819"/>
      <c r="G296" s="1134"/>
      <c r="H296" s="819"/>
      <c r="I296" s="1132"/>
      <c r="J296" s="819"/>
      <c r="K296" s="819"/>
      <c r="L296" s="819"/>
      <c r="M296" s="1128" t="str">
        <f>+IFERROR(VLOOKUP(G296,'S1&amp;2 Lists'!$C$8:$G$112,3,FALSE),"-")</f>
        <v>-</v>
      </c>
      <c r="N296" s="1128" t="str">
        <f t="shared" si="4"/>
        <v>-</v>
      </c>
      <c r="P296" s="1130">
        <f>ROUND(IF(L296='S1&amp;2 Lists'!$CV$3,K296,IF(L296='S1&amp;2 Lists'!$CV$4,K296/'S1&amp;2 Lists'!$CQ$6,0)),3)</f>
        <v>0</v>
      </c>
      <c r="Q296" s="11" t="s">
        <v>12</v>
      </c>
    </row>
    <row r="297" spans="1:17" s="1129" customFormat="1" ht="24" customHeight="1">
      <c r="A297" s="819"/>
      <c r="B297" s="819"/>
      <c r="C297" s="1131"/>
      <c r="D297" s="819"/>
      <c r="E297" s="1132"/>
      <c r="F297" s="819"/>
      <c r="G297" s="1134"/>
      <c r="H297" s="819"/>
      <c r="I297" s="1132"/>
      <c r="J297" s="819"/>
      <c r="K297" s="819"/>
      <c r="L297" s="819"/>
      <c r="M297" s="1128" t="str">
        <f>+IFERROR(VLOOKUP(G297,'S1&amp;2 Lists'!$C$8:$G$112,3,FALSE),"-")</f>
        <v>-</v>
      </c>
      <c r="N297" s="1128" t="str">
        <f t="shared" si="4"/>
        <v>-</v>
      </c>
      <c r="P297" s="1130">
        <f>ROUND(IF(L297='S1&amp;2 Lists'!$CV$3,K297,IF(L297='S1&amp;2 Lists'!$CV$4,K297/'S1&amp;2 Lists'!$CQ$6,0)),3)</f>
        <v>0</v>
      </c>
      <c r="Q297" s="11" t="s">
        <v>12</v>
      </c>
    </row>
    <row r="298" spans="1:17" s="1129" customFormat="1" ht="24" customHeight="1">
      <c r="A298" s="819"/>
      <c r="B298" s="819"/>
      <c r="C298" s="1131"/>
      <c r="D298" s="819"/>
      <c r="E298" s="1132"/>
      <c r="F298" s="819"/>
      <c r="G298" s="1134"/>
      <c r="H298" s="819"/>
      <c r="I298" s="1132"/>
      <c r="J298" s="819"/>
      <c r="K298" s="819"/>
      <c r="L298" s="819"/>
      <c r="M298" s="1128" t="str">
        <f>+IFERROR(VLOOKUP(G298,'S1&amp;2 Lists'!$C$8:$G$112,3,FALSE),"-")</f>
        <v>-</v>
      </c>
      <c r="N298" s="1128" t="str">
        <f t="shared" si="4"/>
        <v>-</v>
      </c>
      <c r="P298" s="1130">
        <f>ROUND(IF(L298='S1&amp;2 Lists'!$CV$3,K298,IF(L298='S1&amp;2 Lists'!$CV$4,K298/'S1&amp;2 Lists'!$CQ$6,0)),3)</f>
        <v>0</v>
      </c>
      <c r="Q298" s="11" t="s">
        <v>12</v>
      </c>
    </row>
    <row r="299" spans="1:17" s="1129" customFormat="1" ht="24" customHeight="1">
      <c r="A299" s="819"/>
      <c r="B299" s="819"/>
      <c r="C299" s="1131"/>
      <c r="D299" s="819"/>
      <c r="E299" s="1132"/>
      <c r="F299" s="819"/>
      <c r="G299" s="1134"/>
      <c r="H299" s="819"/>
      <c r="I299" s="1132"/>
      <c r="J299" s="819"/>
      <c r="K299" s="819"/>
      <c r="L299" s="819"/>
      <c r="M299" s="1128" t="str">
        <f>+IFERROR(VLOOKUP(G299,'S1&amp;2 Lists'!$C$8:$G$112,3,FALSE),"-")</f>
        <v>-</v>
      </c>
      <c r="N299" s="1128" t="str">
        <f t="shared" si="4"/>
        <v>-</v>
      </c>
      <c r="P299" s="1130">
        <f>ROUND(IF(L299='S1&amp;2 Lists'!$CV$3,K299,IF(L299='S1&amp;2 Lists'!$CV$4,K299/'S1&amp;2 Lists'!$CQ$6,0)),3)</f>
        <v>0</v>
      </c>
      <c r="Q299" s="11" t="s">
        <v>12</v>
      </c>
    </row>
    <row r="300" spans="1:17" s="1129" customFormat="1" ht="24" customHeight="1">
      <c r="A300" s="819"/>
      <c r="B300" s="819"/>
      <c r="C300" s="1131"/>
      <c r="D300" s="819"/>
      <c r="E300" s="1132"/>
      <c r="F300" s="819"/>
      <c r="G300" s="1134"/>
      <c r="H300" s="819"/>
      <c r="I300" s="1132"/>
      <c r="J300" s="819"/>
      <c r="K300" s="819"/>
      <c r="L300" s="819"/>
      <c r="M300" s="1128" t="str">
        <f>+IFERROR(VLOOKUP(G300,'S1&amp;2 Lists'!$C$8:$G$112,3,FALSE),"-")</f>
        <v>-</v>
      </c>
      <c r="N300" s="1128" t="str">
        <f t="shared" si="4"/>
        <v>-</v>
      </c>
      <c r="P300" s="1130">
        <f>ROUND(IF(L300='S1&amp;2 Lists'!$CV$3,K300,IF(L300='S1&amp;2 Lists'!$CV$4,K300/'S1&amp;2 Lists'!$CQ$6,0)),3)</f>
        <v>0</v>
      </c>
      <c r="Q300" s="11" t="s">
        <v>12</v>
      </c>
    </row>
    <row r="301" spans="1:17" s="1129" customFormat="1" ht="24" customHeight="1">
      <c r="A301" s="819"/>
      <c r="B301" s="819"/>
      <c r="C301" s="1131"/>
      <c r="D301" s="819"/>
      <c r="E301" s="1132"/>
      <c r="F301" s="819"/>
      <c r="G301" s="1134"/>
      <c r="H301" s="819"/>
      <c r="I301" s="1132"/>
      <c r="J301" s="819"/>
      <c r="K301" s="819"/>
      <c r="L301" s="819"/>
      <c r="M301" s="1128" t="str">
        <f>+IFERROR(VLOOKUP(G301,'S1&amp;2 Lists'!$C$8:$G$112,3,FALSE),"-")</f>
        <v>-</v>
      </c>
      <c r="N301" s="1128" t="str">
        <f t="shared" si="4"/>
        <v>-</v>
      </c>
      <c r="P301" s="1130">
        <f>ROUND(IF(L301='S1&amp;2 Lists'!$CV$3,K301,IF(L301='S1&amp;2 Lists'!$CV$4,K301/'S1&amp;2 Lists'!$CQ$6,0)),3)</f>
        <v>0</v>
      </c>
      <c r="Q301" s="11" t="s">
        <v>12</v>
      </c>
    </row>
    <row r="302" spans="1:17" s="1129" customFormat="1" ht="24" customHeight="1">
      <c r="A302" s="819"/>
      <c r="B302" s="819"/>
      <c r="C302" s="1131"/>
      <c r="D302" s="819"/>
      <c r="E302" s="1132"/>
      <c r="F302" s="819"/>
      <c r="G302" s="1134"/>
      <c r="H302" s="819"/>
      <c r="I302" s="1132"/>
      <c r="J302" s="819"/>
      <c r="K302" s="819"/>
      <c r="L302" s="819"/>
      <c r="M302" s="1128" t="str">
        <f>+IFERROR(VLOOKUP(G302,'S1&amp;2 Lists'!$C$8:$G$112,3,FALSE),"-")</f>
        <v>-</v>
      </c>
      <c r="N302" s="1128" t="str">
        <f t="shared" si="4"/>
        <v>-</v>
      </c>
      <c r="P302" s="1130">
        <f>ROUND(IF(L302='S1&amp;2 Lists'!$CV$3,K302,IF(L302='S1&amp;2 Lists'!$CV$4,K302/'S1&amp;2 Lists'!$CQ$6,0)),3)</f>
        <v>0</v>
      </c>
      <c r="Q302" s="11" t="s">
        <v>12</v>
      </c>
    </row>
    <row r="303" spans="1:17" s="1129" customFormat="1" ht="24" customHeight="1">
      <c r="A303" s="819"/>
      <c r="B303" s="819"/>
      <c r="C303" s="1131"/>
      <c r="D303" s="819"/>
      <c r="E303" s="1132"/>
      <c r="F303" s="819"/>
      <c r="G303" s="1134"/>
      <c r="H303" s="819"/>
      <c r="I303" s="1132"/>
      <c r="J303" s="819"/>
      <c r="K303" s="819"/>
      <c r="L303" s="819"/>
      <c r="M303" s="1128" t="str">
        <f>+IFERROR(VLOOKUP(G303,'S1&amp;2 Lists'!$C$8:$G$112,3,FALSE),"-")</f>
        <v>-</v>
      </c>
      <c r="N303" s="1128" t="str">
        <f t="shared" si="4"/>
        <v>-</v>
      </c>
      <c r="P303" s="1130">
        <f>ROUND(IF(L303='S1&amp;2 Lists'!$CV$3,K303,IF(L303='S1&amp;2 Lists'!$CV$4,K303/'S1&amp;2 Lists'!$CQ$6,0)),3)</f>
        <v>0</v>
      </c>
      <c r="Q303" s="11" t="s">
        <v>12</v>
      </c>
    </row>
    <row r="304" spans="1:17" s="1129" customFormat="1" ht="24" customHeight="1">
      <c r="A304" s="819"/>
      <c r="B304" s="819"/>
      <c r="C304" s="1131"/>
      <c r="D304" s="819"/>
      <c r="E304" s="1132"/>
      <c r="F304" s="819"/>
      <c r="G304" s="1134"/>
      <c r="H304" s="819"/>
      <c r="I304" s="1132"/>
      <c r="J304" s="819"/>
      <c r="K304" s="819"/>
      <c r="L304" s="819"/>
      <c r="M304" s="1128" t="str">
        <f>+IFERROR(VLOOKUP(G304,'S1&amp;2 Lists'!$C$8:$G$112,3,FALSE),"-")</f>
        <v>-</v>
      </c>
      <c r="N304" s="1128" t="str">
        <f t="shared" si="4"/>
        <v>-</v>
      </c>
      <c r="P304" s="1130">
        <f>ROUND(IF(L304='S1&amp;2 Lists'!$CV$3,K304,IF(L304='S1&amp;2 Lists'!$CV$4,K304/'S1&amp;2 Lists'!$CQ$6,0)),3)</f>
        <v>0</v>
      </c>
      <c r="Q304" s="11" t="s">
        <v>12</v>
      </c>
    </row>
    <row r="305" spans="1:17" s="1129" customFormat="1" ht="24" customHeight="1">
      <c r="A305" s="819"/>
      <c r="B305" s="819"/>
      <c r="C305" s="1131"/>
      <c r="D305" s="819"/>
      <c r="E305" s="1132"/>
      <c r="F305" s="819"/>
      <c r="G305" s="1134"/>
      <c r="H305" s="819"/>
      <c r="I305" s="1132"/>
      <c r="J305" s="819"/>
      <c r="K305" s="819"/>
      <c r="L305" s="819"/>
      <c r="M305" s="1128" t="str">
        <f>+IFERROR(VLOOKUP(G305,'S1&amp;2 Lists'!$C$8:$G$112,3,FALSE),"-")</f>
        <v>-</v>
      </c>
      <c r="N305" s="1128" t="str">
        <f t="shared" si="4"/>
        <v>-</v>
      </c>
      <c r="P305" s="1130">
        <f>ROUND(IF(L305='S1&amp;2 Lists'!$CV$3,K305,IF(L305='S1&amp;2 Lists'!$CV$4,K305/'S1&amp;2 Lists'!$CQ$6,0)),3)</f>
        <v>0</v>
      </c>
      <c r="Q305" s="11" t="s">
        <v>12</v>
      </c>
    </row>
    <row r="306" spans="1:17" s="1129" customFormat="1" ht="24" customHeight="1">
      <c r="A306" s="819"/>
      <c r="B306" s="819"/>
      <c r="C306" s="1131"/>
      <c r="D306" s="819"/>
      <c r="E306" s="1132"/>
      <c r="F306" s="819"/>
      <c r="G306" s="1134"/>
      <c r="H306" s="819"/>
      <c r="I306" s="1132"/>
      <c r="J306" s="819"/>
      <c r="K306" s="819"/>
      <c r="L306" s="819"/>
      <c r="M306" s="1128" t="str">
        <f>+IFERROR(VLOOKUP(G306,'S1&amp;2 Lists'!$C$8:$G$112,3,FALSE),"-")</f>
        <v>-</v>
      </c>
      <c r="N306" s="1128" t="str">
        <f t="shared" si="4"/>
        <v>-</v>
      </c>
      <c r="P306" s="1130">
        <f>ROUND(IF(L306='S1&amp;2 Lists'!$CV$3,K306,IF(L306='S1&amp;2 Lists'!$CV$4,K306/'S1&amp;2 Lists'!$CQ$6,0)),3)</f>
        <v>0</v>
      </c>
      <c r="Q306" s="11" t="s">
        <v>12</v>
      </c>
    </row>
    <row r="307" spans="1:17" s="1129" customFormat="1" ht="24" customHeight="1">
      <c r="A307" s="819"/>
      <c r="B307" s="819"/>
      <c r="C307" s="1131"/>
      <c r="D307" s="819"/>
      <c r="E307" s="1132"/>
      <c r="F307" s="819"/>
      <c r="G307" s="1134"/>
      <c r="H307" s="819"/>
      <c r="I307" s="1132"/>
      <c r="J307" s="819"/>
      <c r="K307" s="819"/>
      <c r="L307" s="819"/>
      <c r="M307" s="1128" t="str">
        <f>+IFERROR(VLOOKUP(G307,'S1&amp;2 Lists'!$C$8:$G$112,3,FALSE),"-")</f>
        <v>-</v>
      </c>
      <c r="N307" s="1128" t="str">
        <f t="shared" si="4"/>
        <v>-</v>
      </c>
      <c r="P307" s="1130">
        <f>ROUND(IF(L307='S1&amp;2 Lists'!$CV$3,K307,IF(L307='S1&amp;2 Lists'!$CV$4,K307/'S1&amp;2 Lists'!$CQ$6,0)),3)</f>
        <v>0</v>
      </c>
      <c r="Q307" s="11" t="s">
        <v>12</v>
      </c>
    </row>
    <row r="308" spans="1:17" s="1129" customFormat="1" ht="24" customHeight="1">
      <c r="A308" s="819"/>
      <c r="B308" s="819"/>
      <c r="C308" s="1131"/>
      <c r="D308" s="819"/>
      <c r="E308" s="1132"/>
      <c r="F308" s="819"/>
      <c r="G308" s="1134"/>
      <c r="H308" s="819"/>
      <c r="I308" s="1132"/>
      <c r="J308" s="819"/>
      <c r="K308" s="819"/>
      <c r="L308" s="819"/>
      <c r="M308" s="1128" t="str">
        <f>+IFERROR(VLOOKUP(G308,'S1&amp;2 Lists'!$C$8:$G$112,3,FALSE),"-")</f>
        <v>-</v>
      </c>
      <c r="N308" s="1128" t="str">
        <f t="shared" si="4"/>
        <v>-</v>
      </c>
      <c r="P308" s="1130">
        <f>ROUND(IF(L308='S1&amp;2 Lists'!$CV$3,K308,IF(L308='S1&amp;2 Lists'!$CV$4,K308/'S1&amp;2 Lists'!$CQ$6,0)),3)</f>
        <v>0</v>
      </c>
      <c r="Q308" s="11" t="s">
        <v>12</v>
      </c>
    </row>
    <row r="309" spans="1:17" s="1129" customFormat="1" ht="24" customHeight="1">
      <c r="A309" s="819"/>
      <c r="B309" s="819"/>
      <c r="C309" s="1131"/>
      <c r="D309" s="819"/>
      <c r="E309" s="1132"/>
      <c r="F309" s="819"/>
      <c r="G309" s="1134"/>
      <c r="H309" s="819"/>
      <c r="I309" s="1132"/>
      <c r="J309" s="819"/>
      <c r="K309" s="819"/>
      <c r="L309" s="819"/>
      <c r="M309" s="1128" t="str">
        <f>+IFERROR(VLOOKUP(G309,'S1&amp;2 Lists'!$C$8:$G$112,3,FALSE),"-")</f>
        <v>-</v>
      </c>
      <c r="N309" s="1128" t="str">
        <f t="shared" si="4"/>
        <v>-</v>
      </c>
      <c r="P309" s="1130">
        <f>ROUND(IF(L309='S1&amp;2 Lists'!$CV$3,K309,IF(L309='S1&amp;2 Lists'!$CV$4,K309/'S1&amp;2 Lists'!$CQ$6,0)),3)</f>
        <v>0</v>
      </c>
      <c r="Q309" s="11" t="s">
        <v>12</v>
      </c>
    </row>
    <row r="310" spans="1:17" s="1129" customFormat="1" ht="24" customHeight="1">
      <c r="A310" s="819"/>
      <c r="B310" s="819"/>
      <c r="C310" s="1131"/>
      <c r="D310" s="819"/>
      <c r="E310" s="1132"/>
      <c r="F310" s="819"/>
      <c r="G310" s="1134"/>
      <c r="H310" s="819"/>
      <c r="I310" s="1132"/>
      <c r="J310" s="819"/>
      <c r="K310" s="819"/>
      <c r="L310" s="819"/>
      <c r="M310" s="1128" t="str">
        <f>+IFERROR(VLOOKUP(G310,'S1&amp;2 Lists'!$C$8:$G$112,3,FALSE),"-")</f>
        <v>-</v>
      </c>
      <c r="N310" s="1128" t="str">
        <f t="shared" si="4"/>
        <v>-</v>
      </c>
      <c r="P310" s="1130">
        <f>ROUND(IF(L310='S1&amp;2 Lists'!$CV$3,K310,IF(L310='S1&amp;2 Lists'!$CV$4,K310/'S1&amp;2 Lists'!$CQ$6,0)),3)</f>
        <v>0</v>
      </c>
      <c r="Q310" s="11" t="s">
        <v>12</v>
      </c>
    </row>
    <row r="311" spans="1:17" s="1129" customFormat="1" ht="24" customHeight="1">
      <c r="A311" s="819"/>
      <c r="B311" s="819"/>
      <c r="C311" s="1131"/>
      <c r="D311" s="819"/>
      <c r="E311" s="1132"/>
      <c r="F311" s="819"/>
      <c r="G311" s="1134"/>
      <c r="H311" s="819"/>
      <c r="I311" s="1132"/>
      <c r="J311" s="819"/>
      <c r="K311" s="819"/>
      <c r="L311" s="819"/>
      <c r="M311" s="1128" t="str">
        <f>+IFERROR(VLOOKUP(G311,'S1&amp;2 Lists'!$C$8:$G$112,3,FALSE),"-")</f>
        <v>-</v>
      </c>
      <c r="N311" s="1128" t="str">
        <f t="shared" si="4"/>
        <v>-</v>
      </c>
      <c r="P311" s="1130">
        <f>ROUND(IF(L311='S1&amp;2 Lists'!$CV$3,K311,IF(L311='S1&amp;2 Lists'!$CV$4,K311/'S1&amp;2 Lists'!$CQ$6,0)),3)</f>
        <v>0</v>
      </c>
      <c r="Q311" s="11" t="s">
        <v>12</v>
      </c>
    </row>
    <row r="312" spans="1:17" s="1129" customFormat="1" ht="24" customHeight="1">
      <c r="A312" s="819"/>
      <c r="B312" s="819"/>
      <c r="C312" s="1131"/>
      <c r="D312" s="819"/>
      <c r="E312" s="1132"/>
      <c r="F312" s="819"/>
      <c r="G312" s="1134"/>
      <c r="H312" s="819"/>
      <c r="I312" s="1132"/>
      <c r="J312" s="819"/>
      <c r="K312" s="819"/>
      <c r="L312" s="819"/>
      <c r="M312" s="1128" t="str">
        <f>+IFERROR(VLOOKUP(G312,'S1&amp;2 Lists'!$C$8:$G$112,3,FALSE),"-")</f>
        <v>-</v>
      </c>
      <c r="N312" s="1128" t="str">
        <f t="shared" si="4"/>
        <v>-</v>
      </c>
      <c r="P312" s="1130">
        <f>ROUND(IF(L312='S1&amp;2 Lists'!$CV$3,K312,IF(L312='S1&amp;2 Lists'!$CV$4,K312/'S1&amp;2 Lists'!$CQ$6,0)),3)</f>
        <v>0</v>
      </c>
      <c r="Q312" s="11" t="s">
        <v>12</v>
      </c>
    </row>
    <row r="313" spans="1:17" s="1129" customFormat="1" ht="24" customHeight="1">
      <c r="A313" s="819"/>
      <c r="B313" s="819"/>
      <c r="C313" s="1131"/>
      <c r="D313" s="819"/>
      <c r="E313" s="1132"/>
      <c r="F313" s="819"/>
      <c r="G313" s="1134"/>
      <c r="H313" s="819"/>
      <c r="I313" s="1132"/>
      <c r="J313" s="819"/>
      <c r="K313" s="819"/>
      <c r="L313" s="819"/>
      <c r="M313" s="1128" t="str">
        <f>+IFERROR(VLOOKUP(G313,'S1&amp;2 Lists'!$C$8:$G$112,3,FALSE),"-")</f>
        <v>-</v>
      </c>
      <c r="N313" s="1128" t="str">
        <f t="shared" si="4"/>
        <v>-</v>
      </c>
      <c r="P313" s="1130">
        <f>ROUND(IF(L313='S1&amp;2 Lists'!$CV$3,K313,IF(L313='S1&amp;2 Lists'!$CV$4,K313/'S1&amp;2 Lists'!$CQ$6,0)),3)</f>
        <v>0</v>
      </c>
      <c r="Q313" s="11" t="s">
        <v>12</v>
      </c>
    </row>
    <row r="314" spans="1:17" s="1129" customFormat="1" ht="24" customHeight="1">
      <c r="A314" s="819"/>
      <c r="B314" s="819"/>
      <c r="C314" s="1131"/>
      <c r="D314" s="819"/>
      <c r="E314" s="1132"/>
      <c r="F314" s="819"/>
      <c r="G314" s="1134"/>
      <c r="H314" s="819"/>
      <c r="I314" s="1132"/>
      <c r="J314" s="819"/>
      <c r="K314" s="819"/>
      <c r="L314" s="819"/>
      <c r="M314" s="1128" t="str">
        <f>+IFERROR(VLOOKUP(G314,'S1&amp;2 Lists'!$C$8:$G$112,3,FALSE),"-")</f>
        <v>-</v>
      </c>
      <c r="N314" s="1128" t="str">
        <f t="shared" si="4"/>
        <v>-</v>
      </c>
      <c r="P314" s="1130">
        <f>ROUND(IF(L314='S1&amp;2 Lists'!$CV$3,K314,IF(L314='S1&amp;2 Lists'!$CV$4,K314/'S1&amp;2 Lists'!$CQ$6,0)),3)</f>
        <v>0</v>
      </c>
      <c r="Q314" s="11" t="s">
        <v>12</v>
      </c>
    </row>
    <row r="315" spans="1:17" s="1129" customFormat="1" ht="24" customHeight="1">
      <c r="A315" s="819"/>
      <c r="B315" s="819"/>
      <c r="C315" s="1131"/>
      <c r="D315" s="819"/>
      <c r="E315" s="1132"/>
      <c r="F315" s="819"/>
      <c r="G315" s="1134"/>
      <c r="H315" s="819"/>
      <c r="I315" s="1132"/>
      <c r="J315" s="819"/>
      <c r="K315" s="819"/>
      <c r="L315" s="819"/>
      <c r="M315" s="1128" t="str">
        <f>+IFERROR(VLOOKUP(G315,'S1&amp;2 Lists'!$C$8:$G$112,3,FALSE),"-")</f>
        <v>-</v>
      </c>
      <c r="N315" s="1128" t="str">
        <f t="shared" si="4"/>
        <v>-</v>
      </c>
      <c r="P315" s="1130">
        <f>ROUND(IF(L315='S1&amp;2 Lists'!$CV$3,K315,IF(L315='S1&amp;2 Lists'!$CV$4,K315/'S1&amp;2 Lists'!$CQ$6,0)),3)</f>
        <v>0</v>
      </c>
      <c r="Q315" s="11" t="s">
        <v>12</v>
      </c>
    </row>
    <row r="316" spans="1:17" s="1129" customFormat="1" ht="24" customHeight="1">
      <c r="A316" s="819"/>
      <c r="B316" s="819"/>
      <c r="C316" s="1131"/>
      <c r="D316" s="819"/>
      <c r="E316" s="1132"/>
      <c r="F316" s="819"/>
      <c r="G316" s="1134"/>
      <c r="H316" s="819"/>
      <c r="I316" s="1132"/>
      <c r="J316" s="819"/>
      <c r="K316" s="819"/>
      <c r="L316" s="819"/>
      <c r="M316" s="1128" t="str">
        <f>+IFERROR(VLOOKUP(G316,'S1&amp;2 Lists'!$C$8:$G$112,3,FALSE),"-")</f>
        <v>-</v>
      </c>
      <c r="N316" s="1128" t="str">
        <f t="shared" si="4"/>
        <v>-</v>
      </c>
      <c r="P316" s="1130">
        <f>ROUND(IF(L316='S1&amp;2 Lists'!$CV$3,K316,IF(L316='S1&amp;2 Lists'!$CV$4,K316/'S1&amp;2 Lists'!$CQ$6,0)),3)</f>
        <v>0</v>
      </c>
      <c r="Q316" s="11" t="s">
        <v>12</v>
      </c>
    </row>
    <row r="317" spans="1:17" s="1129" customFormat="1" ht="24" customHeight="1">
      <c r="A317" s="819"/>
      <c r="B317" s="819"/>
      <c r="C317" s="1131"/>
      <c r="D317" s="819"/>
      <c r="E317" s="1132"/>
      <c r="F317" s="819"/>
      <c r="G317" s="1134"/>
      <c r="H317" s="819"/>
      <c r="I317" s="1132"/>
      <c r="J317" s="819"/>
      <c r="K317" s="819"/>
      <c r="L317" s="819"/>
      <c r="M317" s="1128" t="str">
        <f>+IFERROR(VLOOKUP(G317,'S1&amp;2 Lists'!$C$8:$G$112,3,FALSE),"-")</f>
        <v>-</v>
      </c>
      <c r="N317" s="1128" t="str">
        <f t="shared" si="4"/>
        <v>-</v>
      </c>
      <c r="P317" s="1130">
        <f>ROUND(IF(L317='S1&amp;2 Lists'!$CV$3,K317,IF(L317='S1&amp;2 Lists'!$CV$4,K317/'S1&amp;2 Lists'!$CQ$6,0)),3)</f>
        <v>0</v>
      </c>
      <c r="Q317" s="11" t="s">
        <v>12</v>
      </c>
    </row>
    <row r="318" spans="1:17" s="1129" customFormat="1" ht="24" customHeight="1">
      <c r="A318" s="819"/>
      <c r="B318" s="819"/>
      <c r="C318" s="1131"/>
      <c r="D318" s="819"/>
      <c r="E318" s="1132"/>
      <c r="F318" s="819"/>
      <c r="G318" s="1134"/>
      <c r="H318" s="819"/>
      <c r="I318" s="1132"/>
      <c r="J318" s="819"/>
      <c r="K318" s="819"/>
      <c r="L318" s="819"/>
      <c r="M318" s="1128" t="str">
        <f>+IFERROR(VLOOKUP(G318,'S1&amp;2 Lists'!$C$8:$G$112,3,FALSE),"-")</f>
        <v>-</v>
      </c>
      <c r="N318" s="1128" t="str">
        <f t="shared" si="4"/>
        <v>-</v>
      </c>
      <c r="P318" s="1130">
        <f>ROUND(IF(L318='S1&amp;2 Lists'!$CV$3,K318,IF(L318='S1&amp;2 Lists'!$CV$4,K318/'S1&amp;2 Lists'!$CQ$6,0)),3)</f>
        <v>0</v>
      </c>
      <c r="Q318" s="11" t="s">
        <v>12</v>
      </c>
    </row>
    <row r="319" spans="1:17" s="1129" customFormat="1" ht="24" customHeight="1">
      <c r="A319" s="819"/>
      <c r="B319" s="819"/>
      <c r="C319" s="1131"/>
      <c r="D319" s="819"/>
      <c r="E319" s="1132"/>
      <c r="F319" s="819"/>
      <c r="G319" s="1134"/>
      <c r="H319" s="819"/>
      <c r="I319" s="1132"/>
      <c r="J319" s="819"/>
      <c r="K319" s="819"/>
      <c r="L319" s="819"/>
      <c r="M319" s="1128" t="str">
        <f>+IFERROR(VLOOKUP(G319,'S1&amp;2 Lists'!$C$8:$G$112,3,FALSE),"-")</f>
        <v>-</v>
      </c>
      <c r="N319" s="1128" t="str">
        <f t="shared" si="4"/>
        <v>-</v>
      </c>
      <c r="P319" s="1130">
        <f>ROUND(IF(L319='S1&amp;2 Lists'!$CV$3,K319,IF(L319='S1&amp;2 Lists'!$CV$4,K319/'S1&amp;2 Lists'!$CQ$6,0)),3)</f>
        <v>0</v>
      </c>
      <c r="Q319" s="11" t="s">
        <v>12</v>
      </c>
    </row>
    <row r="320" spans="1:17" s="1129" customFormat="1" ht="24" customHeight="1">
      <c r="A320" s="819"/>
      <c r="B320" s="819"/>
      <c r="C320" s="1131"/>
      <c r="D320" s="819"/>
      <c r="E320" s="1132"/>
      <c r="F320" s="819"/>
      <c r="G320" s="1134"/>
      <c r="H320" s="819"/>
      <c r="I320" s="1132"/>
      <c r="J320" s="819"/>
      <c r="K320" s="819"/>
      <c r="L320" s="819"/>
      <c r="M320" s="1128" t="str">
        <f>+IFERROR(VLOOKUP(G320,'S1&amp;2 Lists'!$C$8:$G$112,3,FALSE),"-")</f>
        <v>-</v>
      </c>
      <c r="N320" s="1128" t="str">
        <f t="shared" si="4"/>
        <v>-</v>
      </c>
      <c r="P320" s="1130">
        <f>ROUND(IF(L320='S1&amp;2 Lists'!$CV$3,K320,IF(L320='S1&amp;2 Lists'!$CV$4,K320/'S1&amp;2 Lists'!$CQ$6,0)),3)</f>
        <v>0</v>
      </c>
      <c r="Q320" s="11" t="s">
        <v>12</v>
      </c>
    </row>
    <row r="321" spans="1:17" s="1129" customFormat="1" ht="24" customHeight="1">
      <c r="A321" s="819"/>
      <c r="B321" s="819"/>
      <c r="C321" s="1131"/>
      <c r="D321" s="819"/>
      <c r="E321" s="1132"/>
      <c r="F321" s="819"/>
      <c r="G321" s="1134"/>
      <c r="H321" s="819"/>
      <c r="I321" s="1132"/>
      <c r="J321" s="819"/>
      <c r="K321" s="819"/>
      <c r="L321" s="819"/>
      <c r="M321" s="1128" t="str">
        <f>+IFERROR(VLOOKUP(G321,'S1&amp;2 Lists'!$C$8:$G$112,3,FALSE),"-")</f>
        <v>-</v>
      </c>
      <c r="N321" s="1128" t="str">
        <f t="shared" si="4"/>
        <v>-</v>
      </c>
      <c r="P321" s="1130">
        <f>ROUND(IF(L321='S1&amp;2 Lists'!$CV$3,K321,IF(L321='S1&amp;2 Lists'!$CV$4,K321/'S1&amp;2 Lists'!$CQ$6,0)),3)</f>
        <v>0</v>
      </c>
      <c r="Q321" s="11" t="s">
        <v>12</v>
      </c>
    </row>
    <row r="322" spans="1:17" s="1129" customFormat="1" ht="24" customHeight="1">
      <c r="A322" s="819"/>
      <c r="B322" s="819"/>
      <c r="C322" s="1131"/>
      <c r="D322" s="819"/>
      <c r="E322" s="1132"/>
      <c r="F322" s="819"/>
      <c r="G322" s="1134"/>
      <c r="H322" s="819"/>
      <c r="I322" s="1132"/>
      <c r="J322" s="819"/>
      <c r="K322" s="819"/>
      <c r="L322" s="819"/>
      <c r="M322" s="1128" t="str">
        <f>+IFERROR(VLOOKUP(G322,'S1&amp;2 Lists'!$C$8:$G$112,3,FALSE),"-")</f>
        <v>-</v>
      </c>
      <c r="N322" s="1128" t="str">
        <f t="shared" si="4"/>
        <v>-</v>
      </c>
      <c r="P322" s="1130">
        <f>ROUND(IF(L322='S1&amp;2 Lists'!$CV$3,K322,IF(L322='S1&amp;2 Lists'!$CV$4,K322/'S1&amp;2 Lists'!$CQ$6,0)),3)</f>
        <v>0</v>
      </c>
      <c r="Q322" s="11" t="s">
        <v>12</v>
      </c>
    </row>
    <row r="323" spans="1:17" s="1129" customFormat="1" ht="24" customHeight="1">
      <c r="A323" s="819"/>
      <c r="B323" s="819"/>
      <c r="C323" s="1131"/>
      <c r="D323" s="819"/>
      <c r="E323" s="1132"/>
      <c r="F323" s="819"/>
      <c r="G323" s="1134"/>
      <c r="H323" s="819"/>
      <c r="I323" s="1132"/>
      <c r="J323" s="819"/>
      <c r="K323" s="819"/>
      <c r="L323" s="819"/>
      <c r="M323" s="1128" t="str">
        <f>+IFERROR(VLOOKUP(G323,'S1&amp;2 Lists'!$C$8:$G$112,3,FALSE),"-")</f>
        <v>-</v>
      </c>
      <c r="N323" s="1128" t="str">
        <f t="shared" si="4"/>
        <v>-</v>
      </c>
      <c r="P323" s="1130">
        <f>ROUND(IF(L323='S1&amp;2 Lists'!$CV$3,K323,IF(L323='S1&amp;2 Lists'!$CV$4,K323/'S1&amp;2 Lists'!$CQ$6,0)),3)</f>
        <v>0</v>
      </c>
      <c r="Q323" s="11" t="s">
        <v>12</v>
      </c>
    </row>
    <row r="324" spans="1:17" s="1129" customFormat="1" ht="24" customHeight="1">
      <c r="A324" s="819"/>
      <c r="B324" s="819"/>
      <c r="C324" s="1131"/>
      <c r="D324" s="819"/>
      <c r="E324" s="1132"/>
      <c r="F324" s="819"/>
      <c r="G324" s="1134"/>
      <c r="H324" s="819"/>
      <c r="I324" s="1132"/>
      <c r="J324" s="819"/>
      <c r="K324" s="819"/>
      <c r="L324" s="819"/>
      <c r="M324" s="1128" t="str">
        <f>+IFERROR(VLOOKUP(G324,'S1&amp;2 Lists'!$C$8:$G$112,3,FALSE),"-")</f>
        <v>-</v>
      </c>
      <c r="N324" s="1128" t="str">
        <f t="shared" si="4"/>
        <v>-</v>
      </c>
      <c r="P324" s="1130">
        <f>ROUND(IF(L324='S1&amp;2 Lists'!$CV$3,K324,IF(L324='S1&amp;2 Lists'!$CV$4,K324/'S1&amp;2 Lists'!$CQ$6,0)),3)</f>
        <v>0</v>
      </c>
      <c r="Q324" s="11" t="s">
        <v>12</v>
      </c>
    </row>
    <row r="325" spans="1:17" s="1129" customFormat="1" ht="24" customHeight="1">
      <c r="A325" s="819"/>
      <c r="B325" s="819"/>
      <c r="C325" s="1131"/>
      <c r="D325" s="819"/>
      <c r="E325" s="1132"/>
      <c r="F325" s="819"/>
      <c r="G325" s="1134"/>
      <c r="H325" s="819"/>
      <c r="I325" s="1132"/>
      <c r="J325" s="819"/>
      <c r="K325" s="819"/>
      <c r="L325" s="819"/>
      <c r="M325" s="1128" t="str">
        <f>+IFERROR(VLOOKUP(G325,'S1&amp;2 Lists'!$C$8:$G$112,3,FALSE),"-")</f>
        <v>-</v>
      </c>
      <c r="N325" s="1128" t="str">
        <f t="shared" si="4"/>
        <v>-</v>
      </c>
      <c r="P325" s="1130">
        <f>ROUND(IF(L325='S1&amp;2 Lists'!$CV$3,K325,IF(L325='S1&amp;2 Lists'!$CV$4,K325/'S1&amp;2 Lists'!$CQ$6,0)),3)</f>
        <v>0</v>
      </c>
      <c r="Q325" s="11" t="s">
        <v>12</v>
      </c>
    </row>
    <row r="326" spans="1:17" s="1129" customFormat="1" ht="24" customHeight="1">
      <c r="A326" s="819"/>
      <c r="B326" s="819"/>
      <c r="C326" s="1131"/>
      <c r="D326" s="819"/>
      <c r="E326" s="1132"/>
      <c r="F326" s="819"/>
      <c r="G326" s="1134"/>
      <c r="H326" s="819"/>
      <c r="I326" s="1132"/>
      <c r="J326" s="819"/>
      <c r="K326" s="819"/>
      <c r="L326" s="819"/>
      <c r="M326" s="1128" t="str">
        <f>+IFERROR(VLOOKUP(G326,'S1&amp;2 Lists'!$C$8:$G$112,3,FALSE),"-")</f>
        <v>-</v>
      </c>
      <c r="N326" s="1128" t="str">
        <f t="shared" si="4"/>
        <v>-</v>
      </c>
      <c r="P326" s="1130">
        <f>ROUND(IF(L326='S1&amp;2 Lists'!$CV$3,K326,IF(L326='S1&amp;2 Lists'!$CV$4,K326/'S1&amp;2 Lists'!$CQ$6,0)),3)</f>
        <v>0</v>
      </c>
      <c r="Q326" s="11" t="s">
        <v>12</v>
      </c>
    </row>
    <row r="327" spans="1:17" s="1129" customFormat="1" ht="24" customHeight="1">
      <c r="A327" s="819"/>
      <c r="B327" s="819"/>
      <c r="C327" s="1131"/>
      <c r="D327" s="819"/>
      <c r="E327" s="1132"/>
      <c r="F327" s="819"/>
      <c r="G327" s="1134"/>
      <c r="H327" s="819"/>
      <c r="I327" s="1132"/>
      <c r="J327" s="819"/>
      <c r="K327" s="819"/>
      <c r="L327" s="819"/>
      <c r="M327" s="1128" t="str">
        <f>+IFERROR(VLOOKUP(G327,'S1&amp;2 Lists'!$C$8:$G$112,3,FALSE),"-")</f>
        <v>-</v>
      </c>
      <c r="N327" s="1128" t="str">
        <f t="shared" si="4"/>
        <v>-</v>
      </c>
      <c r="P327" s="1130">
        <f>ROUND(IF(L327='S1&amp;2 Lists'!$CV$3,K327,IF(L327='S1&amp;2 Lists'!$CV$4,K327/'S1&amp;2 Lists'!$CQ$6,0)),3)</f>
        <v>0</v>
      </c>
      <c r="Q327" s="11" t="s">
        <v>12</v>
      </c>
    </row>
    <row r="328" spans="1:17" s="1129" customFormat="1" ht="24" customHeight="1">
      <c r="A328" s="819"/>
      <c r="B328" s="819"/>
      <c r="C328" s="1131"/>
      <c r="D328" s="819"/>
      <c r="E328" s="1132"/>
      <c r="F328" s="819"/>
      <c r="G328" s="1134"/>
      <c r="H328" s="819"/>
      <c r="I328" s="1132"/>
      <c r="J328" s="819"/>
      <c r="K328" s="819"/>
      <c r="L328" s="819"/>
      <c r="M328" s="1128" t="str">
        <f>+IFERROR(VLOOKUP(G328,'S1&amp;2 Lists'!$C$8:$G$112,3,FALSE),"-")</f>
        <v>-</v>
      </c>
      <c r="N328" s="1128" t="str">
        <f t="shared" si="4"/>
        <v>-</v>
      </c>
      <c r="P328" s="1130">
        <f>ROUND(IF(L328='S1&amp;2 Lists'!$CV$3,K328,IF(L328='S1&amp;2 Lists'!$CV$4,K328/'S1&amp;2 Lists'!$CQ$6,0)),3)</f>
        <v>0</v>
      </c>
      <c r="Q328" s="11" t="s">
        <v>12</v>
      </c>
    </row>
    <row r="329" spans="1:17" s="1129" customFormat="1" ht="24" customHeight="1">
      <c r="A329" s="819"/>
      <c r="B329" s="819"/>
      <c r="C329" s="1131"/>
      <c r="D329" s="819"/>
      <c r="E329" s="1132"/>
      <c r="F329" s="819"/>
      <c r="G329" s="1134"/>
      <c r="H329" s="819"/>
      <c r="I329" s="1132"/>
      <c r="J329" s="819"/>
      <c r="K329" s="819"/>
      <c r="L329" s="819"/>
      <c r="M329" s="1128" t="str">
        <f>+IFERROR(VLOOKUP(G329,'S1&amp;2 Lists'!$C$8:$G$112,3,FALSE),"-")</f>
        <v>-</v>
      </c>
      <c r="N329" s="1128" t="str">
        <f t="shared" si="4"/>
        <v>-</v>
      </c>
      <c r="P329" s="1130">
        <f>ROUND(IF(L329='S1&amp;2 Lists'!$CV$3,K329,IF(L329='S1&amp;2 Lists'!$CV$4,K329/'S1&amp;2 Lists'!$CQ$6,0)),3)</f>
        <v>0</v>
      </c>
      <c r="Q329" s="11" t="s">
        <v>12</v>
      </c>
    </row>
    <row r="330" spans="1:17" s="1129" customFormat="1" ht="24" customHeight="1">
      <c r="A330" s="819"/>
      <c r="B330" s="819"/>
      <c r="C330" s="1131"/>
      <c r="D330" s="819"/>
      <c r="E330" s="1132"/>
      <c r="F330" s="819"/>
      <c r="G330" s="1134"/>
      <c r="H330" s="819"/>
      <c r="I330" s="1132"/>
      <c r="J330" s="819"/>
      <c r="K330" s="819"/>
      <c r="L330" s="819"/>
      <c r="M330" s="1128" t="str">
        <f>+IFERROR(VLOOKUP(G330,'S1&amp;2 Lists'!$C$8:$G$112,3,FALSE),"-")</f>
        <v>-</v>
      </c>
      <c r="N330" s="1128" t="str">
        <f t="shared" si="4"/>
        <v>-</v>
      </c>
      <c r="P330" s="1130">
        <f>ROUND(IF(L330='S1&amp;2 Lists'!$CV$3,K330,IF(L330='S1&amp;2 Lists'!$CV$4,K330/'S1&amp;2 Lists'!$CQ$6,0)),3)</f>
        <v>0</v>
      </c>
      <c r="Q330" s="11" t="s">
        <v>12</v>
      </c>
    </row>
    <row r="331" spans="1:17" s="1129" customFormat="1" ht="24" customHeight="1">
      <c r="A331" s="819"/>
      <c r="B331" s="819"/>
      <c r="C331" s="1131"/>
      <c r="D331" s="819"/>
      <c r="E331" s="1132"/>
      <c r="F331" s="819"/>
      <c r="G331" s="1134"/>
      <c r="H331" s="819"/>
      <c r="I331" s="1132"/>
      <c r="J331" s="819"/>
      <c r="K331" s="819"/>
      <c r="L331" s="819"/>
      <c r="M331" s="1128" t="str">
        <f>+IFERROR(VLOOKUP(G331,'S1&amp;2 Lists'!$C$8:$G$112,3,FALSE),"-")</f>
        <v>-</v>
      </c>
      <c r="N331" s="1128" t="str">
        <f t="shared" ref="N331:N394" si="5">+IFERROR(P331*M331,"-")</f>
        <v>-</v>
      </c>
      <c r="P331" s="1130">
        <f>ROUND(IF(L331='S1&amp;2 Lists'!$CV$3,K331,IF(L331='S1&amp;2 Lists'!$CV$4,K331/'S1&amp;2 Lists'!$CQ$6,0)),3)</f>
        <v>0</v>
      </c>
      <c r="Q331" s="11" t="s">
        <v>12</v>
      </c>
    </row>
    <row r="332" spans="1:17" s="1129" customFormat="1" ht="24" customHeight="1">
      <c r="A332" s="819"/>
      <c r="B332" s="819"/>
      <c r="C332" s="1131"/>
      <c r="D332" s="819"/>
      <c r="E332" s="1132"/>
      <c r="F332" s="819"/>
      <c r="G332" s="1134"/>
      <c r="H332" s="819"/>
      <c r="I332" s="1132"/>
      <c r="J332" s="819"/>
      <c r="K332" s="819"/>
      <c r="L332" s="819"/>
      <c r="M332" s="1128" t="str">
        <f>+IFERROR(VLOOKUP(G332,'S1&amp;2 Lists'!$C$8:$G$112,3,FALSE),"-")</f>
        <v>-</v>
      </c>
      <c r="N332" s="1128" t="str">
        <f t="shared" si="5"/>
        <v>-</v>
      </c>
      <c r="P332" s="1130">
        <f>ROUND(IF(L332='S1&amp;2 Lists'!$CV$3,K332,IF(L332='S1&amp;2 Lists'!$CV$4,K332/'S1&amp;2 Lists'!$CQ$6,0)),3)</f>
        <v>0</v>
      </c>
      <c r="Q332" s="11" t="s">
        <v>12</v>
      </c>
    </row>
    <row r="333" spans="1:17" s="1129" customFormat="1" ht="24" customHeight="1">
      <c r="A333" s="819"/>
      <c r="B333" s="819"/>
      <c r="C333" s="1131"/>
      <c r="D333" s="819"/>
      <c r="E333" s="1132"/>
      <c r="F333" s="819"/>
      <c r="G333" s="1134"/>
      <c r="H333" s="819"/>
      <c r="I333" s="1132"/>
      <c r="J333" s="819"/>
      <c r="K333" s="819"/>
      <c r="L333" s="819"/>
      <c r="M333" s="1128" t="str">
        <f>+IFERROR(VLOOKUP(G333,'S1&amp;2 Lists'!$C$8:$G$112,3,FALSE),"-")</f>
        <v>-</v>
      </c>
      <c r="N333" s="1128" t="str">
        <f t="shared" si="5"/>
        <v>-</v>
      </c>
      <c r="P333" s="1130">
        <f>ROUND(IF(L333='S1&amp;2 Lists'!$CV$3,K333,IF(L333='S1&amp;2 Lists'!$CV$4,K333/'S1&amp;2 Lists'!$CQ$6,0)),3)</f>
        <v>0</v>
      </c>
      <c r="Q333" s="11" t="s">
        <v>12</v>
      </c>
    </row>
    <row r="334" spans="1:17" s="1129" customFormat="1" ht="24" customHeight="1">
      <c r="A334" s="819"/>
      <c r="B334" s="819"/>
      <c r="C334" s="1131"/>
      <c r="D334" s="819"/>
      <c r="E334" s="1132"/>
      <c r="F334" s="819"/>
      <c r="G334" s="1134"/>
      <c r="H334" s="819"/>
      <c r="I334" s="1132"/>
      <c r="J334" s="819"/>
      <c r="K334" s="819"/>
      <c r="L334" s="819"/>
      <c r="M334" s="1128" t="str">
        <f>+IFERROR(VLOOKUP(G334,'S1&amp;2 Lists'!$C$8:$G$112,3,FALSE),"-")</f>
        <v>-</v>
      </c>
      <c r="N334" s="1128" t="str">
        <f t="shared" si="5"/>
        <v>-</v>
      </c>
      <c r="P334" s="1130">
        <f>ROUND(IF(L334='S1&amp;2 Lists'!$CV$3,K334,IF(L334='S1&amp;2 Lists'!$CV$4,K334/'S1&amp;2 Lists'!$CQ$6,0)),3)</f>
        <v>0</v>
      </c>
      <c r="Q334" s="11" t="s">
        <v>12</v>
      </c>
    </row>
    <row r="335" spans="1:17" s="1129" customFormat="1" ht="24" customHeight="1">
      <c r="A335" s="819"/>
      <c r="B335" s="819"/>
      <c r="C335" s="1131"/>
      <c r="D335" s="819"/>
      <c r="E335" s="1132"/>
      <c r="F335" s="819"/>
      <c r="G335" s="1134"/>
      <c r="H335" s="819"/>
      <c r="I335" s="1132"/>
      <c r="J335" s="819"/>
      <c r="K335" s="819"/>
      <c r="L335" s="819"/>
      <c r="M335" s="1128" t="str">
        <f>+IFERROR(VLOOKUP(G335,'S1&amp;2 Lists'!$C$8:$G$112,3,FALSE),"-")</f>
        <v>-</v>
      </c>
      <c r="N335" s="1128" t="str">
        <f t="shared" si="5"/>
        <v>-</v>
      </c>
      <c r="P335" s="1130">
        <f>ROUND(IF(L335='S1&amp;2 Lists'!$CV$3,K335,IF(L335='S1&amp;2 Lists'!$CV$4,K335/'S1&amp;2 Lists'!$CQ$6,0)),3)</f>
        <v>0</v>
      </c>
      <c r="Q335" s="11" t="s">
        <v>12</v>
      </c>
    </row>
    <row r="336" spans="1:17" s="1129" customFormat="1" ht="24" customHeight="1">
      <c r="A336" s="819"/>
      <c r="B336" s="819"/>
      <c r="C336" s="1131"/>
      <c r="D336" s="819"/>
      <c r="E336" s="1132"/>
      <c r="F336" s="819"/>
      <c r="G336" s="1134"/>
      <c r="H336" s="819"/>
      <c r="I336" s="1132"/>
      <c r="J336" s="819"/>
      <c r="K336" s="819"/>
      <c r="L336" s="819"/>
      <c r="M336" s="1128" t="str">
        <f>+IFERROR(VLOOKUP(G336,'S1&amp;2 Lists'!$C$8:$G$112,3,FALSE),"-")</f>
        <v>-</v>
      </c>
      <c r="N336" s="1128" t="str">
        <f t="shared" si="5"/>
        <v>-</v>
      </c>
      <c r="P336" s="1130">
        <f>ROUND(IF(L336='S1&amp;2 Lists'!$CV$3,K336,IF(L336='S1&amp;2 Lists'!$CV$4,K336/'S1&amp;2 Lists'!$CQ$6,0)),3)</f>
        <v>0</v>
      </c>
      <c r="Q336" s="11" t="s">
        <v>12</v>
      </c>
    </row>
    <row r="337" spans="1:17" s="1129" customFormat="1" ht="24" customHeight="1">
      <c r="A337" s="819"/>
      <c r="B337" s="819"/>
      <c r="C337" s="1131"/>
      <c r="D337" s="819"/>
      <c r="E337" s="1132"/>
      <c r="F337" s="819"/>
      <c r="G337" s="1134"/>
      <c r="H337" s="819"/>
      <c r="I337" s="1132"/>
      <c r="J337" s="819"/>
      <c r="K337" s="819"/>
      <c r="L337" s="819"/>
      <c r="M337" s="1128" t="str">
        <f>+IFERROR(VLOOKUP(G337,'S1&amp;2 Lists'!$C$8:$G$112,3,FALSE),"-")</f>
        <v>-</v>
      </c>
      <c r="N337" s="1128" t="str">
        <f t="shared" si="5"/>
        <v>-</v>
      </c>
      <c r="P337" s="1130">
        <f>ROUND(IF(L337='S1&amp;2 Lists'!$CV$3,K337,IF(L337='S1&amp;2 Lists'!$CV$4,K337/'S1&amp;2 Lists'!$CQ$6,0)),3)</f>
        <v>0</v>
      </c>
      <c r="Q337" s="11" t="s">
        <v>12</v>
      </c>
    </row>
    <row r="338" spans="1:17" s="1129" customFormat="1" ht="24" customHeight="1">
      <c r="A338" s="819"/>
      <c r="B338" s="819"/>
      <c r="C338" s="1131"/>
      <c r="D338" s="819"/>
      <c r="E338" s="1132"/>
      <c r="F338" s="819"/>
      <c r="G338" s="1134"/>
      <c r="H338" s="819"/>
      <c r="I338" s="1132"/>
      <c r="J338" s="819"/>
      <c r="K338" s="819"/>
      <c r="L338" s="819"/>
      <c r="M338" s="1128" t="str">
        <f>+IFERROR(VLOOKUP(G338,'S1&amp;2 Lists'!$C$8:$G$112,3,FALSE),"-")</f>
        <v>-</v>
      </c>
      <c r="N338" s="1128" t="str">
        <f t="shared" si="5"/>
        <v>-</v>
      </c>
      <c r="P338" s="1130">
        <f>ROUND(IF(L338='S1&amp;2 Lists'!$CV$3,K338,IF(L338='S1&amp;2 Lists'!$CV$4,K338/'S1&amp;2 Lists'!$CQ$6,0)),3)</f>
        <v>0</v>
      </c>
      <c r="Q338" s="11" t="s">
        <v>12</v>
      </c>
    </row>
    <row r="339" spans="1:17" s="1129" customFormat="1" ht="24" customHeight="1">
      <c r="A339" s="819"/>
      <c r="B339" s="819"/>
      <c r="C339" s="1131"/>
      <c r="D339" s="819"/>
      <c r="E339" s="1132"/>
      <c r="F339" s="819"/>
      <c r="G339" s="1134"/>
      <c r="H339" s="819"/>
      <c r="I339" s="1132"/>
      <c r="J339" s="819"/>
      <c r="K339" s="819"/>
      <c r="L339" s="819"/>
      <c r="M339" s="1128" t="str">
        <f>+IFERROR(VLOOKUP(G339,'S1&amp;2 Lists'!$C$8:$G$112,3,FALSE),"-")</f>
        <v>-</v>
      </c>
      <c r="N339" s="1128" t="str">
        <f t="shared" si="5"/>
        <v>-</v>
      </c>
      <c r="P339" s="1130">
        <f>ROUND(IF(L339='S1&amp;2 Lists'!$CV$3,K339,IF(L339='S1&amp;2 Lists'!$CV$4,K339/'S1&amp;2 Lists'!$CQ$6,0)),3)</f>
        <v>0</v>
      </c>
      <c r="Q339" s="11" t="s">
        <v>12</v>
      </c>
    </row>
    <row r="340" spans="1:17" s="1129" customFormat="1" ht="24" customHeight="1">
      <c r="A340" s="819"/>
      <c r="B340" s="819"/>
      <c r="C340" s="1131"/>
      <c r="D340" s="819"/>
      <c r="E340" s="1132"/>
      <c r="F340" s="819"/>
      <c r="G340" s="1134"/>
      <c r="H340" s="819"/>
      <c r="I340" s="1132"/>
      <c r="J340" s="819"/>
      <c r="K340" s="819"/>
      <c r="L340" s="819"/>
      <c r="M340" s="1128" t="str">
        <f>+IFERROR(VLOOKUP(G340,'S1&amp;2 Lists'!$C$8:$G$112,3,FALSE),"-")</f>
        <v>-</v>
      </c>
      <c r="N340" s="1128" t="str">
        <f t="shared" si="5"/>
        <v>-</v>
      </c>
      <c r="P340" s="1130">
        <f>ROUND(IF(L340='S1&amp;2 Lists'!$CV$3,K340,IF(L340='S1&amp;2 Lists'!$CV$4,K340/'S1&amp;2 Lists'!$CQ$6,0)),3)</f>
        <v>0</v>
      </c>
      <c r="Q340" s="11" t="s">
        <v>12</v>
      </c>
    </row>
    <row r="341" spans="1:17" s="1129" customFormat="1" ht="24" customHeight="1">
      <c r="A341" s="819"/>
      <c r="B341" s="819"/>
      <c r="C341" s="1131"/>
      <c r="D341" s="819"/>
      <c r="E341" s="1132"/>
      <c r="F341" s="819"/>
      <c r="G341" s="1134"/>
      <c r="H341" s="819"/>
      <c r="I341" s="1132"/>
      <c r="J341" s="819"/>
      <c r="K341" s="819"/>
      <c r="L341" s="819"/>
      <c r="M341" s="1128" t="str">
        <f>+IFERROR(VLOOKUP(G341,'S1&amp;2 Lists'!$C$8:$G$112,3,FALSE),"-")</f>
        <v>-</v>
      </c>
      <c r="N341" s="1128" t="str">
        <f t="shared" si="5"/>
        <v>-</v>
      </c>
      <c r="P341" s="1130">
        <f>ROUND(IF(L341='S1&amp;2 Lists'!$CV$3,K341,IF(L341='S1&amp;2 Lists'!$CV$4,K341/'S1&amp;2 Lists'!$CQ$6,0)),3)</f>
        <v>0</v>
      </c>
      <c r="Q341" s="11" t="s">
        <v>12</v>
      </c>
    </row>
    <row r="342" spans="1:17" s="1129" customFormat="1" ht="24" customHeight="1">
      <c r="A342" s="819"/>
      <c r="B342" s="819"/>
      <c r="C342" s="1131"/>
      <c r="D342" s="819"/>
      <c r="E342" s="1132"/>
      <c r="F342" s="819"/>
      <c r="G342" s="1134"/>
      <c r="H342" s="819"/>
      <c r="I342" s="1132"/>
      <c r="J342" s="819"/>
      <c r="K342" s="819"/>
      <c r="L342" s="819"/>
      <c r="M342" s="1128" t="str">
        <f>+IFERROR(VLOOKUP(G342,'S1&amp;2 Lists'!$C$8:$G$112,3,FALSE),"-")</f>
        <v>-</v>
      </c>
      <c r="N342" s="1128" t="str">
        <f t="shared" si="5"/>
        <v>-</v>
      </c>
      <c r="P342" s="1130">
        <f>ROUND(IF(L342='S1&amp;2 Lists'!$CV$3,K342,IF(L342='S1&amp;2 Lists'!$CV$4,K342/'S1&amp;2 Lists'!$CQ$6,0)),3)</f>
        <v>0</v>
      </c>
      <c r="Q342" s="11" t="s">
        <v>12</v>
      </c>
    </row>
    <row r="343" spans="1:17" s="1129" customFormat="1" ht="24" customHeight="1">
      <c r="A343" s="819"/>
      <c r="B343" s="819"/>
      <c r="C343" s="1131"/>
      <c r="D343" s="819"/>
      <c r="E343" s="1132"/>
      <c r="F343" s="819"/>
      <c r="G343" s="1134"/>
      <c r="H343" s="819"/>
      <c r="I343" s="1132"/>
      <c r="J343" s="819"/>
      <c r="K343" s="819"/>
      <c r="L343" s="819"/>
      <c r="M343" s="1128" t="str">
        <f>+IFERROR(VLOOKUP(G343,'S1&amp;2 Lists'!$C$8:$G$112,3,FALSE),"-")</f>
        <v>-</v>
      </c>
      <c r="N343" s="1128" t="str">
        <f t="shared" si="5"/>
        <v>-</v>
      </c>
      <c r="P343" s="1130">
        <f>ROUND(IF(L343='S1&amp;2 Lists'!$CV$3,K343,IF(L343='S1&amp;2 Lists'!$CV$4,K343/'S1&amp;2 Lists'!$CQ$6,0)),3)</f>
        <v>0</v>
      </c>
      <c r="Q343" s="11" t="s">
        <v>12</v>
      </c>
    </row>
    <row r="344" spans="1:17" s="1129" customFormat="1" ht="24" customHeight="1">
      <c r="A344" s="819"/>
      <c r="B344" s="819"/>
      <c r="C344" s="1131"/>
      <c r="D344" s="819"/>
      <c r="E344" s="1132"/>
      <c r="F344" s="819"/>
      <c r="G344" s="1134"/>
      <c r="H344" s="819"/>
      <c r="I344" s="1132"/>
      <c r="J344" s="819"/>
      <c r="K344" s="819"/>
      <c r="L344" s="819"/>
      <c r="M344" s="1128" t="str">
        <f>+IFERROR(VLOOKUP(G344,'S1&amp;2 Lists'!$C$8:$G$112,3,FALSE),"-")</f>
        <v>-</v>
      </c>
      <c r="N344" s="1128" t="str">
        <f t="shared" si="5"/>
        <v>-</v>
      </c>
      <c r="P344" s="1130">
        <f>ROUND(IF(L344='S1&amp;2 Lists'!$CV$3,K344,IF(L344='S1&amp;2 Lists'!$CV$4,K344/'S1&amp;2 Lists'!$CQ$6,0)),3)</f>
        <v>0</v>
      </c>
      <c r="Q344" s="11" t="s">
        <v>12</v>
      </c>
    </row>
    <row r="345" spans="1:17" s="1129" customFormat="1" ht="24" customHeight="1">
      <c r="A345" s="819"/>
      <c r="B345" s="819"/>
      <c r="C345" s="1131"/>
      <c r="D345" s="819"/>
      <c r="E345" s="1132"/>
      <c r="F345" s="819"/>
      <c r="G345" s="1134"/>
      <c r="H345" s="819"/>
      <c r="I345" s="1132"/>
      <c r="J345" s="819"/>
      <c r="K345" s="819"/>
      <c r="L345" s="819"/>
      <c r="M345" s="1128" t="str">
        <f>+IFERROR(VLOOKUP(G345,'S1&amp;2 Lists'!$C$8:$G$112,3,FALSE),"-")</f>
        <v>-</v>
      </c>
      <c r="N345" s="1128" t="str">
        <f t="shared" si="5"/>
        <v>-</v>
      </c>
      <c r="P345" s="1130">
        <f>ROUND(IF(L345='S1&amp;2 Lists'!$CV$3,K345,IF(L345='S1&amp;2 Lists'!$CV$4,K345/'S1&amp;2 Lists'!$CQ$6,0)),3)</f>
        <v>0</v>
      </c>
      <c r="Q345" s="11" t="s">
        <v>12</v>
      </c>
    </row>
    <row r="346" spans="1:17" s="1129" customFormat="1" ht="24" customHeight="1">
      <c r="A346" s="819"/>
      <c r="B346" s="819"/>
      <c r="C346" s="1131"/>
      <c r="D346" s="819"/>
      <c r="E346" s="1132"/>
      <c r="F346" s="819"/>
      <c r="G346" s="1134"/>
      <c r="H346" s="819"/>
      <c r="I346" s="1132"/>
      <c r="J346" s="819"/>
      <c r="K346" s="819"/>
      <c r="L346" s="819"/>
      <c r="M346" s="1128" t="str">
        <f>+IFERROR(VLOOKUP(G346,'S1&amp;2 Lists'!$C$8:$G$112,3,FALSE),"-")</f>
        <v>-</v>
      </c>
      <c r="N346" s="1128" t="str">
        <f t="shared" si="5"/>
        <v>-</v>
      </c>
      <c r="P346" s="1130">
        <f>ROUND(IF(L346='S1&amp;2 Lists'!$CV$3,K346,IF(L346='S1&amp;2 Lists'!$CV$4,K346/'S1&amp;2 Lists'!$CQ$6,0)),3)</f>
        <v>0</v>
      </c>
      <c r="Q346" s="11" t="s">
        <v>12</v>
      </c>
    </row>
    <row r="347" spans="1:17" s="1129" customFormat="1" ht="24" customHeight="1">
      <c r="A347" s="819"/>
      <c r="B347" s="819"/>
      <c r="C347" s="1131"/>
      <c r="D347" s="819"/>
      <c r="E347" s="1132"/>
      <c r="F347" s="819"/>
      <c r="G347" s="1134"/>
      <c r="H347" s="819"/>
      <c r="I347" s="1132"/>
      <c r="J347" s="819"/>
      <c r="K347" s="819"/>
      <c r="L347" s="819"/>
      <c r="M347" s="1128" t="str">
        <f>+IFERROR(VLOOKUP(G347,'S1&amp;2 Lists'!$C$8:$G$112,3,FALSE),"-")</f>
        <v>-</v>
      </c>
      <c r="N347" s="1128" t="str">
        <f t="shared" si="5"/>
        <v>-</v>
      </c>
      <c r="P347" s="1130">
        <f>ROUND(IF(L347='S1&amp;2 Lists'!$CV$3,K347,IF(L347='S1&amp;2 Lists'!$CV$4,K347/'S1&amp;2 Lists'!$CQ$6,0)),3)</f>
        <v>0</v>
      </c>
      <c r="Q347" s="11" t="s">
        <v>12</v>
      </c>
    </row>
    <row r="348" spans="1:17" s="1129" customFormat="1" ht="24" customHeight="1">
      <c r="A348" s="819"/>
      <c r="B348" s="819"/>
      <c r="C348" s="1131"/>
      <c r="D348" s="819"/>
      <c r="E348" s="1132"/>
      <c r="F348" s="819"/>
      <c r="G348" s="1134"/>
      <c r="H348" s="819"/>
      <c r="I348" s="1132"/>
      <c r="J348" s="819"/>
      <c r="K348" s="819"/>
      <c r="L348" s="819"/>
      <c r="M348" s="1128" t="str">
        <f>+IFERROR(VLOOKUP(G348,'S1&amp;2 Lists'!$C$8:$G$112,3,FALSE),"-")</f>
        <v>-</v>
      </c>
      <c r="N348" s="1128" t="str">
        <f t="shared" si="5"/>
        <v>-</v>
      </c>
      <c r="P348" s="1130">
        <f>ROUND(IF(L348='S1&amp;2 Lists'!$CV$3,K348,IF(L348='S1&amp;2 Lists'!$CV$4,K348/'S1&amp;2 Lists'!$CQ$6,0)),3)</f>
        <v>0</v>
      </c>
      <c r="Q348" s="11" t="s">
        <v>12</v>
      </c>
    </row>
    <row r="349" spans="1:17" s="1129" customFormat="1" ht="24" customHeight="1">
      <c r="A349" s="819"/>
      <c r="B349" s="819"/>
      <c r="C349" s="1131"/>
      <c r="D349" s="819"/>
      <c r="E349" s="1132"/>
      <c r="F349" s="819"/>
      <c r="G349" s="1134"/>
      <c r="H349" s="819"/>
      <c r="I349" s="1132"/>
      <c r="J349" s="819"/>
      <c r="K349" s="819"/>
      <c r="L349" s="819"/>
      <c r="M349" s="1128" t="str">
        <f>+IFERROR(VLOOKUP(G349,'S1&amp;2 Lists'!$C$8:$G$112,3,FALSE),"-")</f>
        <v>-</v>
      </c>
      <c r="N349" s="1128" t="str">
        <f t="shared" si="5"/>
        <v>-</v>
      </c>
      <c r="P349" s="1130">
        <f>ROUND(IF(L349='S1&amp;2 Lists'!$CV$3,K349,IF(L349='S1&amp;2 Lists'!$CV$4,K349/'S1&amp;2 Lists'!$CQ$6,0)),3)</f>
        <v>0</v>
      </c>
      <c r="Q349" s="11" t="s">
        <v>12</v>
      </c>
    </row>
    <row r="350" spans="1:17" s="1129" customFormat="1" ht="24" customHeight="1">
      <c r="A350" s="819"/>
      <c r="B350" s="819"/>
      <c r="C350" s="1131"/>
      <c r="D350" s="819"/>
      <c r="E350" s="1132"/>
      <c r="F350" s="819"/>
      <c r="G350" s="1134"/>
      <c r="H350" s="819"/>
      <c r="I350" s="1132"/>
      <c r="J350" s="819"/>
      <c r="K350" s="819"/>
      <c r="L350" s="819"/>
      <c r="M350" s="1128" t="str">
        <f>+IFERROR(VLOOKUP(G350,'S1&amp;2 Lists'!$C$8:$G$112,3,FALSE),"-")</f>
        <v>-</v>
      </c>
      <c r="N350" s="1128" t="str">
        <f t="shared" si="5"/>
        <v>-</v>
      </c>
      <c r="P350" s="1130">
        <f>ROUND(IF(L350='S1&amp;2 Lists'!$CV$3,K350,IF(L350='S1&amp;2 Lists'!$CV$4,K350/'S1&amp;2 Lists'!$CQ$6,0)),3)</f>
        <v>0</v>
      </c>
      <c r="Q350" s="11" t="s">
        <v>12</v>
      </c>
    </row>
    <row r="351" spans="1:17" s="1129" customFormat="1" ht="24" customHeight="1">
      <c r="A351" s="819"/>
      <c r="B351" s="819"/>
      <c r="C351" s="1131"/>
      <c r="D351" s="819"/>
      <c r="E351" s="1132"/>
      <c r="F351" s="819"/>
      <c r="G351" s="1134"/>
      <c r="H351" s="819"/>
      <c r="I351" s="1132"/>
      <c r="J351" s="819"/>
      <c r="K351" s="819"/>
      <c r="L351" s="819"/>
      <c r="M351" s="1128" t="str">
        <f>+IFERROR(VLOOKUP(G351,'S1&amp;2 Lists'!$C$8:$G$112,3,FALSE),"-")</f>
        <v>-</v>
      </c>
      <c r="N351" s="1128" t="str">
        <f t="shared" si="5"/>
        <v>-</v>
      </c>
      <c r="P351" s="1130">
        <f>ROUND(IF(L351='S1&amp;2 Lists'!$CV$3,K351,IF(L351='S1&amp;2 Lists'!$CV$4,K351/'S1&amp;2 Lists'!$CQ$6,0)),3)</f>
        <v>0</v>
      </c>
      <c r="Q351" s="11" t="s">
        <v>12</v>
      </c>
    </row>
    <row r="352" spans="1:17" s="1129" customFormat="1" ht="24" customHeight="1">
      <c r="A352" s="819"/>
      <c r="B352" s="819"/>
      <c r="C352" s="1131"/>
      <c r="D352" s="819"/>
      <c r="E352" s="1132"/>
      <c r="F352" s="819"/>
      <c r="G352" s="1134"/>
      <c r="H352" s="819"/>
      <c r="I352" s="1132"/>
      <c r="J352" s="819"/>
      <c r="K352" s="819"/>
      <c r="L352" s="819"/>
      <c r="M352" s="1128" t="str">
        <f>+IFERROR(VLOOKUP(G352,'S1&amp;2 Lists'!$C$8:$G$112,3,FALSE),"-")</f>
        <v>-</v>
      </c>
      <c r="N352" s="1128" t="str">
        <f t="shared" si="5"/>
        <v>-</v>
      </c>
      <c r="P352" s="1130">
        <f>ROUND(IF(L352='S1&amp;2 Lists'!$CV$3,K352,IF(L352='S1&amp;2 Lists'!$CV$4,K352/'S1&amp;2 Lists'!$CQ$6,0)),3)</f>
        <v>0</v>
      </c>
      <c r="Q352" s="11" t="s">
        <v>12</v>
      </c>
    </row>
    <row r="353" spans="1:17" s="1129" customFormat="1" ht="24" customHeight="1">
      <c r="A353" s="819"/>
      <c r="B353" s="819"/>
      <c r="C353" s="1131"/>
      <c r="D353" s="819"/>
      <c r="E353" s="1132"/>
      <c r="F353" s="819"/>
      <c r="G353" s="1134"/>
      <c r="H353" s="819"/>
      <c r="I353" s="1132"/>
      <c r="J353" s="819"/>
      <c r="K353" s="819"/>
      <c r="L353" s="819"/>
      <c r="M353" s="1128" t="str">
        <f>+IFERROR(VLOOKUP(G353,'S1&amp;2 Lists'!$C$8:$G$112,3,FALSE),"-")</f>
        <v>-</v>
      </c>
      <c r="N353" s="1128" t="str">
        <f t="shared" si="5"/>
        <v>-</v>
      </c>
      <c r="P353" s="1130">
        <f>ROUND(IF(L353='S1&amp;2 Lists'!$CV$3,K353,IF(L353='S1&amp;2 Lists'!$CV$4,K353/'S1&amp;2 Lists'!$CQ$6,0)),3)</f>
        <v>0</v>
      </c>
      <c r="Q353" s="11" t="s">
        <v>12</v>
      </c>
    </row>
    <row r="354" spans="1:17" s="1129" customFormat="1" ht="24" customHeight="1">
      <c r="A354" s="819"/>
      <c r="B354" s="819"/>
      <c r="C354" s="1131"/>
      <c r="D354" s="819"/>
      <c r="E354" s="1132"/>
      <c r="F354" s="819"/>
      <c r="G354" s="1134"/>
      <c r="H354" s="819"/>
      <c r="I354" s="1132"/>
      <c r="J354" s="819"/>
      <c r="K354" s="819"/>
      <c r="L354" s="819"/>
      <c r="M354" s="1128" t="str">
        <f>+IFERROR(VLOOKUP(G354,'S1&amp;2 Lists'!$C$8:$G$112,3,FALSE),"-")</f>
        <v>-</v>
      </c>
      <c r="N354" s="1128" t="str">
        <f t="shared" si="5"/>
        <v>-</v>
      </c>
      <c r="P354" s="1130">
        <f>ROUND(IF(L354='S1&amp;2 Lists'!$CV$3,K354,IF(L354='S1&amp;2 Lists'!$CV$4,K354/'S1&amp;2 Lists'!$CQ$6,0)),3)</f>
        <v>0</v>
      </c>
      <c r="Q354" s="11" t="s">
        <v>12</v>
      </c>
    </row>
    <row r="355" spans="1:17" s="1129" customFormat="1" ht="24" customHeight="1">
      <c r="A355" s="819"/>
      <c r="B355" s="819"/>
      <c r="C355" s="1131"/>
      <c r="D355" s="819"/>
      <c r="E355" s="1132"/>
      <c r="F355" s="819"/>
      <c r="G355" s="1134"/>
      <c r="H355" s="819"/>
      <c r="I355" s="1132"/>
      <c r="J355" s="819"/>
      <c r="K355" s="819"/>
      <c r="L355" s="819"/>
      <c r="M355" s="1128" t="str">
        <f>+IFERROR(VLOOKUP(G355,'S1&amp;2 Lists'!$C$8:$G$112,3,FALSE),"-")</f>
        <v>-</v>
      </c>
      <c r="N355" s="1128" t="str">
        <f t="shared" si="5"/>
        <v>-</v>
      </c>
      <c r="P355" s="1130">
        <f>ROUND(IF(L355='S1&amp;2 Lists'!$CV$3,K355,IF(L355='S1&amp;2 Lists'!$CV$4,K355/'S1&amp;2 Lists'!$CQ$6,0)),3)</f>
        <v>0</v>
      </c>
      <c r="Q355" s="11" t="s">
        <v>12</v>
      </c>
    </row>
    <row r="356" spans="1:17" s="1129" customFormat="1" ht="24" customHeight="1">
      <c r="A356" s="819"/>
      <c r="B356" s="819"/>
      <c r="C356" s="1131"/>
      <c r="D356" s="819"/>
      <c r="E356" s="1132"/>
      <c r="F356" s="819"/>
      <c r="G356" s="1134"/>
      <c r="H356" s="819"/>
      <c r="I356" s="1132"/>
      <c r="J356" s="819"/>
      <c r="K356" s="819"/>
      <c r="L356" s="819"/>
      <c r="M356" s="1128" t="str">
        <f>+IFERROR(VLOOKUP(G356,'S1&amp;2 Lists'!$C$8:$G$112,3,FALSE),"-")</f>
        <v>-</v>
      </c>
      <c r="N356" s="1128" t="str">
        <f t="shared" si="5"/>
        <v>-</v>
      </c>
      <c r="P356" s="1130">
        <f>ROUND(IF(L356='S1&amp;2 Lists'!$CV$3,K356,IF(L356='S1&amp;2 Lists'!$CV$4,K356/'S1&amp;2 Lists'!$CQ$6,0)),3)</f>
        <v>0</v>
      </c>
      <c r="Q356" s="11" t="s">
        <v>12</v>
      </c>
    </row>
    <row r="357" spans="1:17" s="1129" customFormat="1" ht="24" customHeight="1">
      <c r="A357" s="819"/>
      <c r="B357" s="819"/>
      <c r="C357" s="1131"/>
      <c r="D357" s="819"/>
      <c r="E357" s="1132"/>
      <c r="F357" s="819"/>
      <c r="G357" s="1134"/>
      <c r="H357" s="819"/>
      <c r="I357" s="1132"/>
      <c r="J357" s="819"/>
      <c r="K357" s="819"/>
      <c r="L357" s="819"/>
      <c r="M357" s="1128" t="str">
        <f>+IFERROR(VLOOKUP(G357,'S1&amp;2 Lists'!$C$8:$G$112,3,FALSE),"-")</f>
        <v>-</v>
      </c>
      <c r="N357" s="1128" t="str">
        <f t="shared" si="5"/>
        <v>-</v>
      </c>
      <c r="P357" s="1130">
        <f>ROUND(IF(L357='S1&amp;2 Lists'!$CV$3,K357,IF(L357='S1&amp;2 Lists'!$CV$4,K357/'S1&amp;2 Lists'!$CQ$6,0)),3)</f>
        <v>0</v>
      </c>
      <c r="Q357" s="11" t="s">
        <v>12</v>
      </c>
    </row>
    <row r="358" spans="1:17" s="1129" customFormat="1" ht="24" customHeight="1">
      <c r="A358" s="819"/>
      <c r="B358" s="819"/>
      <c r="C358" s="1131"/>
      <c r="D358" s="819"/>
      <c r="E358" s="1132"/>
      <c r="F358" s="819"/>
      <c r="G358" s="1134"/>
      <c r="H358" s="819"/>
      <c r="I358" s="1132"/>
      <c r="J358" s="819"/>
      <c r="K358" s="819"/>
      <c r="L358" s="819"/>
      <c r="M358" s="1128" t="str">
        <f>+IFERROR(VLOOKUP(G358,'S1&amp;2 Lists'!$C$8:$G$112,3,FALSE),"-")</f>
        <v>-</v>
      </c>
      <c r="N358" s="1128" t="str">
        <f t="shared" si="5"/>
        <v>-</v>
      </c>
      <c r="P358" s="1130">
        <f>ROUND(IF(L358='S1&amp;2 Lists'!$CV$3,K358,IF(L358='S1&amp;2 Lists'!$CV$4,K358/'S1&amp;2 Lists'!$CQ$6,0)),3)</f>
        <v>0</v>
      </c>
      <c r="Q358" s="11" t="s">
        <v>12</v>
      </c>
    </row>
    <row r="359" spans="1:17" s="1129" customFormat="1" ht="24" customHeight="1">
      <c r="A359" s="819"/>
      <c r="B359" s="819"/>
      <c r="C359" s="1131"/>
      <c r="D359" s="819"/>
      <c r="E359" s="1132"/>
      <c r="F359" s="819"/>
      <c r="G359" s="1134"/>
      <c r="H359" s="819"/>
      <c r="I359" s="1132"/>
      <c r="J359" s="819"/>
      <c r="K359" s="819"/>
      <c r="L359" s="819"/>
      <c r="M359" s="1128" t="str">
        <f>+IFERROR(VLOOKUP(G359,'S1&amp;2 Lists'!$C$8:$G$112,3,FALSE),"-")</f>
        <v>-</v>
      </c>
      <c r="N359" s="1128" t="str">
        <f t="shared" si="5"/>
        <v>-</v>
      </c>
      <c r="P359" s="1130">
        <f>ROUND(IF(L359='S1&amp;2 Lists'!$CV$3,K359,IF(L359='S1&amp;2 Lists'!$CV$4,K359/'S1&amp;2 Lists'!$CQ$6,0)),3)</f>
        <v>0</v>
      </c>
      <c r="Q359" s="11" t="s">
        <v>12</v>
      </c>
    </row>
    <row r="360" spans="1:17" s="1129" customFormat="1" ht="24" customHeight="1">
      <c r="A360" s="819"/>
      <c r="B360" s="819"/>
      <c r="C360" s="1131"/>
      <c r="D360" s="819"/>
      <c r="E360" s="1132"/>
      <c r="F360" s="819"/>
      <c r="G360" s="1134"/>
      <c r="H360" s="819"/>
      <c r="I360" s="1132"/>
      <c r="J360" s="819"/>
      <c r="K360" s="819"/>
      <c r="L360" s="819"/>
      <c r="M360" s="1128" t="str">
        <f>+IFERROR(VLOOKUP(G360,'S1&amp;2 Lists'!$C$8:$G$112,3,FALSE),"-")</f>
        <v>-</v>
      </c>
      <c r="N360" s="1128" t="str">
        <f t="shared" si="5"/>
        <v>-</v>
      </c>
      <c r="P360" s="1130">
        <f>ROUND(IF(L360='S1&amp;2 Lists'!$CV$3,K360,IF(L360='S1&amp;2 Lists'!$CV$4,K360/'S1&amp;2 Lists'!$CQ$6,0)),3)</f>
        <v>0</v>
      </c>
      <c r="Q360" s="11" t="s">
        <v>12</v>
      </c>
    </row>
    <row r="361" spans="1:17" s="1129" customFormat="1" ht="24" customHeight="1">
      <c r="A361" s="819"/>
      <c r="B361" s="819"/>
      <c r="C361" s="1131"/>
      <c r="D361" s="819"/>
      <c r="E361" s="1132"/>
      <c r="F361" s="819"/>
      <c r="G361" s="1134"/>
      <c r="H361" s="819"/>
      <c r="I361" s="1132"/>
      <c r="J361" s="819"/>
      <c r="K361" s="819"/>
      <c r="L361" s="819"/>
      <c r="M361" s="1128" t="str">
        <f>+IFERROR(VLOOKUP(G361,'S1&amp;2 Lists'!$C$8:$G$112,3,FALSE),"-")</f>
        <v>-</v>
      </c>
      <c r="N361" s="1128" t="str">
        <f t="shared" si="5"/>
        <v>-</v>
      </c>
      <c r="P361" s="1130">
        <f>ROUND(IF(L361='S1&amp;2 Lists'!$CV$3,K361,IF(L361='S1&amp;2 Lists'!$CV$4,K361/'S1&amp;2 Lists'!$CQ$6,0)),3)</f>
        <v>0</v>
      </c>
      <c r="Q361" s="11" t="s">
        <v>12</v>
      </c>
    </row>
    <row r="362" spans="1:17" s="1129" customFormat="1" ht="24" customHeight="1">
      <c r="A362" s="819"/>
      <c r="B362" s="819"/>
      <c r="C362" s="1131"/>
      <c r="D362" s="819"/>
      <c r="E362" s="1132"/>
      <c r="F362" s="819"/>
      <c r="G362" s="1134"/>
      <c r="H362" s="819"/>
      <c r="I362" s="1132"/>
      <c r="J362" s="819"/>
      <c r="K362" s="819"/>
      <c r="L362" s="819"/>
      <c r="M362" s="1128" t="str">
        <f>+IFERROR(VLOOKUP(G362,'S1&amp;2 Lists'!$C$8:$G$112,3,FALSE),"-")</f>
        <v>-</v>
      </c>
      <c r="N362" s="1128" t="str">
        <f t="shared" si="5"/>
        <v>-</v>
      </c>
      <c r="P362" s="1130">
        <f>ROUND(IF(L362='S1&amp;2 Lists'!$CV$3,K362,IF(L362='S1&amp;2 Lists'!$CV$4,K362/'S1&amp;2 Lists'!$CQ$6,0)),3)</f>
        <v>0</v>
      </c>
      <c r="Q362" s="11" t="s">
        <v>12</v>
      </c>
    </row>
    <row r="363" spans="1:17" s="1129" customFormat="1" ht="24" customHeight="1">
      <c r="A363" s="819"/>
      <c r="B363" s="819"/>
      <c r="C363" s="1131"/>
      <c r="D363" s="819"/>
      <c r="E363" s="1132"/>
      <c r="F363" s="819"/>
      <c r="G363" s="1134"/>
      <c r="H363" s="819"/>
      <c r="I363" s="1132"/>
      <c r="J363" s="819"/>
      <c r="K363" s="819"/>
      <c r="L363" s="819"/>
      <c r="M363" s="1128" t="str">
        <f>+IFERROR(VLOOKUP(G363,'S1&amp;2 Lists'!$C$8:$G$112,3,FALSE),"-")</f>
        <v>-</v>
      </c>
      <c r="N363" s="1128" t="str">
        <f t="shared" si="5"/>
        <v>-</v>
      </c>
      <c r="P363" s="1130">
        <f>ROUND(IF(L363='S1&amp;2 Lists'!$CV$3,K363,IF(L363='S1&amp;2 Lists'!$CV$4,K363/'S1&amp;2 Lists'!$CQ$6,0)),3)</f>
        <v>0</v>
      </c>
      <c r="Q363" s="11" t="s">
        <v>12</v>
      </c>
    </row>
    <row r="364" spans="1:17" s="1129" customFormat="1" ht="24" customHeight="1">
      <c r="A364" s="819"/>
      <c r="B364" s="819"/>
      <c r="C364" s="1131"/>
      <c r="D364" s="819"/>
      <c r="E364" s="1132"/>
      <c r="F364" s="819"/>
      <c r="G364" s="1134"/>
      <c r="H364" s="819"/>
      <c r="I364" s="1132"/>
      <c r="J364" s="819"/>
      <c r="K364" s="819"/>
      <c r="L364" s="819"/>
      <c r="M364" s="1128" t="str">
        <f>+IFERROR(VLOOKUP(G364,'S1&amp;2 Lists'!$C$8:$G$112,3,FALSE),"-")</f>
        <v>-</v>
      </c>
      <c r="N364" s="1128" t="str">
        <f t="shared" si="5"/>
        <v>-</v>
      </c>
      <c r="P364" s="1130">
        <f>ROUND(IF(L364='S1&amp;2 Lists'!$CV$3,K364,IF(L364='S1&amp;2 Lists'!$CV$4,K364/'S1&amp;2 Lists'!$CQ$6,0)),3)</f>
        <v>0</v>
      </c>
      <c r="Q364" s="11" t="s">
        <v>12</v>
      </c>
    </row>
    <row r="365" spans="1:17" s="1129" customFormat="1" ht="24" customHeight="1">
      <c r="A365" s="819"/>
      <c r="B365" s="819"/>
      <c r="C365" s="1131"/>
      <c r="D365" s="819"/>
      <c r="E365" s="1132"/>
      <c r="F365" s="819"/>
      <c r="G365" s="1134"/>
      <c r="H365" s="819"/>
      <c r="I365" s="1132"/>
      <c r="J365" s="819"/>
      <c r="K365" s="819"/>
      <c r="L365" s="819"/>
      <c r="M365" s="1128" t="str">
        <f>+IFERROR(VLOOKUP(G365,'S1&amp;2 Lists'!$C$8:$G$112,3,FALSE),"-")</f>
        <v>-</v>
      </c>
      <c r="N365" s="1128" t="str">
        <f t="shared" si="5"/>
        <v>-</v>
      </c>
      <c r="P365" s="1130">
        <f>ROUND(IF(L365='S1&amp;2 Lists'!$CV$3,K365,IF(L365='S1&amp;2 Lists'!$CV$4,K365/'S1&amp;2 Lists'!$CQ$6,0)),3)</f>
        <v>0</v>
      </c>
      <c r="Q365" s="11" t="s">
        <v>12</v>
      </c>
    </row>
    <row r="366" spans="1:17" s="1129" customFormat="1" ht="24" customHeight="1">
      <c r="A366" s="819"/>
      <c r="B366" s="819"/>
      <c r="C366" s="1131"/>
      <c r="D366" s="819"/>
      <c r="E366" s="1132"/>
      <c r="F366" s="819"/>
      <c r="G366" s="1134"/>
      <c r="H366" s="819"/>
      <c r="I366" s="1132"/>
      <c r="J366" s="819"/>
      <c r="K366" s="819"/>
      <c r="L366" s="819"/>
      <c r="M366" s="1128" t="str">
        <f>+IFERROR(VLOOKUP(G366,'S1&amp;2 Lists'!$C$8:$G$112,3,FALSE),"-")</f>
        <v>-</v>
      </c>
      <c r="N366" s="1128" t="str">
        <f t="shared" si="5"/>
        <v>-</v>
      </c>
      <c r="P366" s="1130">
        <f>ROUND(IF(L366='S1&amp;2 Lists'!$CV$3,K366,IF(L366='S1&amp;2 Lists'!$CV$4,K366/'S1&amp;2 Lists'!$CQ$6,0)),3)</f>
        <v>0</v>
      </c>
      <c r="Q366" s="11" t="s">
        <v>12</v>
      </c>
    </row>
    <row r="367" spans="1:17" s="1129" customFormat="1" ht="24" customHeight="1">
      <c r="A367" s="819"/>
      <c r="B367" s="819"/>
      <c r="C367" s="1131"/>
      <c r="D367" s="819"/>
      <c r="E367" s="1132"/>
      <c r="F367" s="819"/>
      <c r="G367" s="1134"/>
      <c r="H367" s="819"/>
      <c r="I367" s="1132"/>
      <c r="J367" s="819"/>
      <c r="K367" s="819"/>
      <c r="L367" s="819"/>
      <c r="M367" s="1128" t="str">
        <f>+IFERROR(VLOOKUP(G367,'S1&amp;2 Lists'!$C$8:$G$112,3,FALSE),"-")</f>
        <v>-</v>
      </c>
      <c r="N367" s="1128" t="str">
        <f t="shared" si="5"/>
        <v>-</v>
      </c>
      <c r="P367" s="1130">
        <f>ROUND(IF(L367='S1&amp;2 Lists'!$CV$3,K367,IF(L367='S1&amp;2 Lists'!$CV$4,K367/'S1&amp;2 Lists'!$CQ$6,0)),3)</f>
        <v>0</v>
      </c>
      <c r="Q367" s="11" t="s">
        <v>12</v>
      </c>
    </row>
    <row r="368" spans="1:17" s="1129" customFormat="1" ht="24" customHeight="1">
      <c r="A368" s="819"/>
      <c r="B368" s="819"/>
      <c r="C368" s="1131"/>
      <c r="D368" s="819"/>
      <c r="E368" s="1132"/>
      <c r="F368" s="819"/>
      <c r="G368" s="1134"/>
      <c r="H368" s="819"/>
      <c r="I368" s="1132"/>
      <c r="J368" s="819"/>
      <c r="K368" s="819"/>
      <c r="L368" s="819"/>
      <c r="M368" s="1128" t="str">
        <f>+IFERROR(VLOOKUP(G368,'S1&amp;2 Lists'!$C$8:$G$112,3,FALSE),"-")</f>
        <v>-</v>
      </c>
      <c r="N368" s="1128" t="str">
        <f t="shared" si="5"/>
        <v>-</v>
      </c>
      <c r="P368" s="1130">
        <f>ROUND(IF(L368='S1&amp;2 Lists'!$CV$3,K368,IF(L368='S1&amp;2 Lists'!$CV$4,K368/'S1&amp;2 Lists'!$CQ$6,0)),3)</f>
        <v>0</v>
      </c>
      <c r="Q368" s="11" t="s">
        <v>12</v>
      </c>
    </row>
    <row r="369" spans="1:17" s="1129" customFormat="1" ht="24" customHeight="1">
      <c r="A369" s="819"/>
      <c r="B369" s="819"/>
      <c r="C369" s="1131"/>
      <c r="D369" s="819"/>
      <c r="E369" s="1132"/>
      <c r="F369" s="819"/>
      <c r="G369" s="1134"/>
      <c r="H369" s="819"/>
      <c r="I369" s="1132"/>
      <c r="J369" s="819"/>
      <c r="K369" s="819"/>
      <c r="L369" s="819"/>
      <c r="M369" s="1128" t="str">
        <f>+IFERROR(VLOOKUP(G369,'S1&amp;2 Lists'!$C$8:$G$112,3,FALSE),"-")</f>
        <v>-</v>
      </c>
      <c r="N369" s="1128" t="str">
        <f t="shared" si="5"/>
        <v>-</v>
      </c>
      <c r="P369" s="1130">
        <f>ROUND(IF(L369='S1&amp;2 Lists'!$CV$3,K369,IF(L369='S1&amp;2 Lists'!$CV$4,K369/'S1&amp;2 Lists'!$CQ$6,0)),3)</f>
        <v>0</v>
      </c>
      <c r="Q369" s="11" t="s">
        <v>12</v>
      </c>
    </row>
    <row r="370" spans="1:17" s="1129" customFormat="1" ht="24" customHeight="1">
      <c r="A370" s="819"/>
      <c r="B370" s="819"/>
      <c r="C370" s="1131"/>
      <c r="D370" s="819"/>
      <c r="E370" s="1132"/>
      <c r="F370" s="819"/>
      <c r="G370" s="1134"/>
      <c r="H370" s="819"/>
      <c r="I370" s="1132"/>
      <c r="J370" s="819"/>
      <c r="K370" s="819"/>
      <c r="L370" s="819"/>
      <c r="M370" s="1128" t="str">
        <f>+IFERROR(VLOOKUP(G370,'S1&amp;2 Lists'!$C$8:$G$112,3,FALSE),"-")</f>
        <v>-</v>
      </c>
      <c r="N370" s="1128" t="str">
        <f t="shared" si="5"/>
        <v>-</v>
      </c>
      <c r="P370" s="1130">
        <f>ROUND(IF(L370='S1&amp;2 Lists'!$CV$3,K370,IF(L370='S1&amp;2 Lists'!$CV$4,K370/'S1&amp;2 Lists'!$CQ$6,0)),3)</f>
        <v>0</v>
      </c>
      <c r="Q370" s="11" t="s">
        <v>12</v>
      </c>
    </row>
    <row r="371" spans="1:17" s="1129" customFormat="1" ht="24" customHeight="1">
      <c r="A371" s="819"/>
      <c r="B371" s="819"/>
      <c r="C371" s="1131"/>
      <c r="D371" s="819"/>
      <c r="E371" s="1132"/>
      <c r="F371" s="819"/>
      <c r="G371" s="1134"/>
      <c r="H371" s="819"/>
      <c r="I371" s="1132"/>
      <c r="J371" s="819"/>
      <c r="K371" s="819"/>
      <c r="L371" s="819"/>
      <c r="M371" s="1128" t="str">
        <f>+IFERROR(VLOOKUP(G371,'S1&amp;2 Lists'!$C$8:$G$112,3,FALSE),"-")</f>
        <v>-</v>
      </c>
      <c r="N371" s="1128" t="str">
        <f t="shared" si="5"/>
        <v>-</v>
      </c>
      <c r="P371" s="1130">
        <f>ROUND(IF(L371='S1&amp;2 Lists'!$CV$3,K371,IF(L371='S1&amp;2 Lists'!$CV$4,K371/'S1&amp;2 Lists'!$CQ$6,0)),3)</f>
        <v>0</v>
      </c>
      <c r="Q371" s="11" t="s">
        <v>12</v>
      </c>
    </row>
    <row r="372" spans="1:17" s="1129" customFormat="1" ht="24" customHeight="1">
      <c r="A372" s="819"/>
      <c r="B372" s="819"/>
      <c r="C372" s="1131"/>
      <c r="D372" s="819"/>
      <c r="E372" s="1132"/>
      <c r="F372" s="819"/>
      <c r="G372" s="1134"/>
      <c r="H372" s="819"/>
      <c r="I372" s="1132"/>
      <c r="J372" s="819"/>
      <c r="K372" s="819"/>
      <c r="L372" s="819"/>
      <c r="M372" s="1128" t="str">
        <f>+IFERROR(VLOOKUP(G372,'S1&amp;2 Lists'!$C$8:$G$112,3,FALSE),"-")</f>
        <v>-</v>
      </c>
      <c r="N372" s="1128" t="str">
        <f t="shared" si="5"/>
        <v>-</v>
      </c>
      <c r="P372" s="1130">
        <f>ROUND(IF(L372='S1&amp;2 Lists'!$CV$3,K372,IF(L372='S1&amp;2 Lists'!$CV$4,K372/'S1&amp;2 Lists'!$CQ$6,0)),3)</f>
        <v>0</v>
      </c>
      <c r="Q372" s="11" t="s">
        <v>12</v>
      </c>
    </row>
    <row r="373" spans="1:17" s="1129" customFormat="1" ht="24" customHeight="1">
      <c r="A373" s="819"/>
      <c r="B373" s="819"/>
      <c r="C373" s="1131"/>
      <c r="D373" s="819"/>
      <c r="E373" s="1132"/>
      <c r="F373" s="819"/>
      <c r="G373" s="1134"/>
      <c r="H373" s="819"/>
      <c r="I373" s="1132"/>
      <c r="J373" s="819"/>
      <c r="K373" s="819"/>
      <c r="L373" s="819"/>
      <c r="M373" s="1128" t="str">
        <f>+IFERROR(VLOOKUP(G373,'S1&amp;2 Lists'!$C$8:$G$112,3,FALSE),"-")</f>
        <v>-</v>
      </c>
      <c r="N373" s="1128" t="str">
        <f t="shared" si="5"/>
        <v>-</v>
      </c>
      <c r="P373" s="1130">
        <f>ROUND(IF(L373='S1&amp;2 Lists'!$CV$3,K373,IF(L373='S1&amp;2 Lists'!$CV$4,K373/'S1&amp;2 Lists'!$CQ$6,0)),3)</f>
        <v>0</v>
      </c>
      <c r="Q373" s="11" t="s">
        <v>12</v>
      </c>
    </row>
    <row r="374" spans="1:17" s="1129" customFormat="1" ht="24" customHeight="1">
      <c r="A374" s="819"/>
      <c r="B374" s="819"/>
      <c r="C374" s="1131"/>
      <c r="D374" s="819"/>
      <c r="E374" s="1132"/>
      <c r="F374" s="819"/>
      <c r="G374" s="1134"/>
      <c r="H374" s="819"/>
      <c r="I374" s="1132"/>
      <c r="J374" s="819"/>
      <c r="K374" s="819"/>
      <c r="L374" s="819"/>
      <c r="M374" s="1128" t="str">
        <f>+IFERROR(VLOOKUP(G374,'S1&amp;2 Lists'!$C$8:$G$112,3,FALSE),"-")</f>
        <v>-</v>
      </c>
      <c r="N374" s="1128" t="str">
        <f t="shared" si="5"/>
        <v>-</v>
      </c>
      <c r="P374" s="1130">
        <f>ROUND(IF(L374='S1&amp;2 Lists'!$CV$3,K374,IF(L374='S1&amp;2 Lists'!$CV$4,K374/'S1&amp;2 Lists'!$CQ$6,0)),3)</f>
        <v>0</v>
      </c>
      <c r="Q374" s="11" t="s">
        <v>12</v>
      </c>
    </row>
    <row r="375" spans="1:17" s="1129" customFormat="1" ht="24" customHeight="1">
      <c r="A375" s="819"/>
      <c r="B375" s="819"/>
      <c r="C375" s="1131"/>
      <c r="D375" s="819"/>
      <c r="E375" s="1132"/>
      <c r="F375" s="819"/>
      <c r="G375" s="1134"/>
      <c r="H375" s="819"/>
      <c r="I375" s="1132"/>
      <c r="J375" s="819"/>
      <c r="K375" s="819"/>
      <c r="L375" s="819"/>
      <c r="M375" s="1128" t="str">
        <f>+IFERROR(VLOOKUP(G375,'S1&amp;2 Lists'!$C$8:$G$112,3,FALSE),"-")</f>
        <v>-</v>
      </c>
      <c r="N375" s="1128" t="str">
        <f t="shared" si="5"/>
        <v>-</v>
      </c>
      <c r="P375" s="1130">
        <f>ROUND(IF(L375='S1&amp;2 Lists'!$CV$3,K375,IF(L375='S1&amp;2 Lists'!$CV$4,K375/'S1&amp;2 Lists'!$CQ$6,0)),3)</f>
        <v>0</v>
      </c>
      <c r="Q375" s="11" t="s">
        <v>12</v>
      </c>
    </row>
    <row r="376" spans="1:17" s="1129" customFormat="1" ht="24" customHeight="1">
      <c r="A376" s="819"/>
      <c r="B376" s="819"/>
      <c r="C376" s="1131"/>
      <c r="D376" s="819"/>
      <c r="E376" s="1132"/>
      <c r="F376" s="819"/>
      <c r="G376" s="1134"/>
      <c r="H376" s="819"/>
      <c r="I376" s="1132"/>
      <c r="J376" s="819"/>
      <c r="K376" s="819"/>
      <c r="L376" s="819"/>
      <c r="M376" s="1128" t="str">
        <f>+IFERROR(VLOOKUP(G376,'S1&amp;2 Lists'!$C$8:$G$112,3,FALSE),"-")</f>
        <v>-</v>
      </c>
      <c r="N376" s="1128" t="str">
        <f t="shared" si="5"/>
        <v>-</v>
      </c>
      <c r="P376" s="1130">
        <f>ROUND(IF(L376='S1&amp;2 Lists'!$CV$3,K376,IF(L376='S1&amp;2 Lists'!$CV$4,K376/'S1&amp;2 Lists'!$CQ$6,0)),3)</f>
        <v>0</v>
      </c>
      <c r="Q376" s="11" t="s">
        <v>12</v>
      </c>
    </row>
    <row r="377" spans="1:17" s="1129" customFormat="1" ht="24" customHeight="1">
      <c r="A377" s="819"/>
      <c r="B377" s="819"/>
      <c r="C377" s="1131"/>
      <c r="D377" s="819"/>
      <c r="E377" s="1132"/>
      <c r="F377" s="819"/>
      <c r="G377" s="1134"/>
      <c r="H377" s="819"/>
      <c r="I377" s="1132"/>
      <c r="J377" s="819"/>
      <c r="K377" s="819"/>
      <c r="L377" s="819"/>
      <c r="M377" s="1128" t="str">
        <f>+IFERROR(VLOOKUP(G377,'S1&amp;2 Lists'!$C$8:$G$112,3,FALSE),"-")</f>
        <v>-</v>
      </c>
      <c r="N377" s="1128" t="str">
        <f t="shared" si="5"/>
        <v>-</v>
      </c>
      <c r="P377" s="1130">
        <f>ROUND(IF(L377='S1&amp;2 Lists'!$CV$3,K377,IF(L377='S1&amp;2 Lists'!$CV$4,K377/'S1&amp;2 Lists'!$CQ$6,0)),3)</f>
        <v>0</v>
      </c>
      <c r="Q377" s="11" t="s">
        <v>12</v>
      </c>
    </row>
    <row r="378" spans="1:17" s="1129" customFormat="1" ht="24" customHeight="1">
      <c r="A378" s="819"/>
      <c r="B378" s="819"/>
      <c r="C378" s="1131"/>
      <c r="D378" s="819"/>
      <c r="E378" s="1132"/>
      <c r="F378" s="819"/>
      <c r="G378" s="1134"/>
      <c r="H378" s="819"/>
      <c r="I378" s="1132"/>
      <c r="J378" s="819"/>
      <c r="K378" s="819"/>
      <c r="L378" s="819"/>
      <c r="M378" s="1128" t="str">
        <f>+IFERROR(VLOOKUP(G378,'S1&amp;2 Lists'!$C$8:$G$112,3,FALSE),"-")</f>
        <v>-</v>
      </c>
      <c r="N378" s="1128" t="str">
        <f t="shared" si="5"/>
        <v>-</v>
      </c>
      <c r="P378" s="1130">
        <f>ROUND(IF(L378='S1&amp;2 Lists'!$CV$3,K378,IF(L378='S1&amp;2 Lists'!$CV$4,K378/'S1&amp;2 Lists'!$CQ$6,0)),3)</f>
        <v>0</v>
      </c>
      <c r="Q378" s="11" t="s">
        <v>12</v>
      </c>
    </row>
    <row r="379" spans="1:17" s="1129" customFormat="1" ht="24" customHeight="1">
      <c r="A379" s="819"/>
      <c r="B379" s="819"/>
      <c r="C379" s="1131"/>
      <c r="D379" s="819"/>
      <c r="E379" s="1132"/>
      <c r="F379" s="819"/>
      <c r="G379" s="1134"/>
      <c r="H379" s="819"/>
      <c r="I379" s="1132"/>
      <c r="J379" s="819"/>
      <c r="K379" s="819"/>
      <c r="L379" s="819"/>
      <c r="M379" s="1128" t="str">
        <f>+IFERROR(VLOOKUP(G379,'S1&amp;2 Lists'!$C$8:$G$112,3,FALSE),"-")</f>
        <v>-</v>
      </c>
      <c r="N379" s="1128" t="str">
        <f t="shared" si="5"/>
        <v>-</v>
      </c>
      <c r="P379" s="1130">
        <f>ROUND(IF(L379='S1&amp;2 Lists'!$CV$3,K379,IF(L379='S1&amp;2 Lists'!$CV$4,K379/'S1&amp;2 Lists'!$CQ$6,0)),3)</f>
        <v>0</v>
      </c>
      <c r="Q379" s="11" t="s">
        <v>12</v>
      </c>
    </row>
    <row r="380" spans="1:17" s="1129" customFormat="1" ht="24" customHeight="1">
      <c r="A380" s="819"/>
      <c r="B380" s="819"/>
      <c r="C380" s="1131"/>
      <c r="D380" s="819"/>
      <c r="E380" s="1132"/>
      <c r="F380" s="819"/>
      <c r="G380" s="1134"/>
      <c r="H380" s="819"/>
      <c r="I380" s="1132"/>
      <c r="J380" s="819"/>
      <c r="K380" s="819"/>
      <c r="L380" s="819"/>
      <c r="M380" s="1128" t="str">
        <f>+IFERROR(VLOOKUP(G380,'S1&amp;2 Lists'!$C$8:$G$112,3,FALSE),"-")</f>
        <v>-</v>
      </c>
      <c r="N380" s="1128" t="str">
        <f t="shared" si="5"/>
        <v>-</v>
      </c>
      <c r="P380" s="1130">
        <f>ROUND(IF(L380='S1&amp;2 Lists'!$CV$3,K380,IF(L380='S1&amp;2 Lists'!$CV$4,K380/'S1&amp;2 Lists'!$CQ$6,0)),3)</f>
        <v>0</v>
      </c>
      <c r="Q380" s="11" t="s">
        <v>12</v>
      </c>
    </row>
    <row r="381" spans="1:17" s="1129" customFormat="1" ht="24" customHeight="1">
      <c r="A381" s="819"/>
      <c r="B381" s="819"/>
      <c r="C381" s="1131"/>
      <c r="D381" s="819"/>
      <c r="E381" s="1132"/>
      <c r="F381" s="819"/>
      <c r="G381" s="1134"/>
      <c r="H381" s="819"/>
      <c r="I381" s="1132"/>
      <c r="J381" s="819"/>
      <c r="K381" s="819"/>
      <c r="L381" s="819"/>
      <c r="M381" s="1128" t="str">
        <f>+IFERROR(VLOOKUP(G381,'S1&amp;2 Lists'!$C$8:$G$112,3,FALSE),"-")</f>
        <v>-</v>
      </c>
      <c r="N381" s="1128" t="str">
        <f t="shared" si="5"/>
        <v>-</v>
      </c>
      <c r="P381" s="1130">
        <f>ROUND(IF(L381='S1&amp;2 Lists'!$CV$3,K381,IF(L381='S1&amp;2 Lists'!$CV$4,K381/'S1&amp;2 Lists'!$CQ$6,0)),3)</f>
        <v>0</v>
      </c>
      <c r="Q381" s="11" t="s">
        <v>12</v>
      </c>
    </row>
    <row r="382" spans="1:17" s="1129" customFormat="1" ht="24" customHeight="1">
      <c r="A382" s="819"/>
      <c r="B382" s="819"/>
      <c r="C382" s="1131"/>
      <c r="D382" s="819"/>
      <c r="E382" s="1132"/>
      <c r="F382" s="819"/>
      <c r="G382" s="1134"/>
      <c r="H382" s="819"/>
      <c r="I382" s="1132"/>
      <c r="J382" s="819"/>
      <c r="K382" s="819"/>
      <c r="L382" s="819"/>
      <c r="M382" s="1128" t="str">
        <f>+IFERROR(VLOOKUP(G382,'S1&amp;2 Lists'!$C$8:$G$112,3,FALSE),"-")</f>
        <v>-</v>
      </c>
      <c r="N382" s="1128" t="str">
        <f t="shared" si="5"/>
        <v>-</v>
      </c>
      <c r="P382" s="1130">
        <f>ROUND(IF(L382='S1&amp;2 Lists'!$CV$3,K382,IF(L382='S1&amp;2 Lists'!$CV$4,K382/'S1&amp;2 Lists'!$CQ$6,0)),3)</f>
        <v>0</v>
      </c>
      <c r="Q382" s="11" t="s">
        <v>12</v>
      </c>
    </row>
    <row r="383" spans="1:17" s="1129" customFormat="1" ht="24" customHeight="1">
      <c r="A383" s="819"/>
      <c r="B383" s="819"/>
      <c r="C383" s="1131"/>
      <c r="D383" s="819"/>
      <c r="E383" s="1132"/>
      <c r="F383" s="819"/>
      <c r="G383" s="1134"/>
      <c r="H383" s="819"/>
      <c r="I383" s="1132"/>
      <c r="J383" s="819"/>
      <c r="K383" s="819"/>
      <c r="L383" s="819"/>
      <c r="M383" s="1128" t="str">
        <f>+IFERROR(VLOOKUP(G383,'S1&amp;2 Lists'!$C$8:$G$112,3,FALSE),"-")</f>
        <v>-</v>
      </c>
      <c r="N383" s="1128" t="str">
        <f t="shared" si="5"/>
        <v>-</v>
      </c>
      <c r="P383" s="1130">
        <f>ROUND(IF(L383='S1&amp;2 Lists'!$CV$3,K383,IF(L383='S1&amp;2 Lists'!$CV$4,K383/'S1&amp;2 Lists'!$CQ$6,0)),3)</f>
        <v>0</v>
      </c>
      <c r="Q383" s="11" t="s">
        <v>12</v>
      </c>
    </row>
    <row r="384" spans="1:17" s="1129" customFormat="1" ht="24" customHeight="1">
      <c r="A384" s="819"/>
      <c r="B384" s="819"/>
      <c r="C384" s="1131"/>
      <c r="D384" s="819"/>
      <c r="E384" s="1132"/>
      <c r="F384" s="819"/>
      <c r="G384" s="1134"/>
      <c r="H384" s="819"/>
      <c r="I384" s="1132"/>
      <c r="J384" s="819"/>
      <c r="K384" s="819"/>
      <c r="L384" s="819"/>
      <c r="M384" s="1128" t="str">
        <f>+IFERROR(VLOOKUP(G384,'S1&amp;2 Lists'!$C$8:$G$112,3,FALSE),"-")</f>
        <v>-</v>
      </c>
      <c r="N384" s="1128" t="str">
        <f t="shared" si="5"/>
        <v>-</v>
      </c>
      <c r="P384" s="1130">
        <f>ROUND(IF(L384='S1&amp;2 Lists'!$CV$3,K384,IF(L384='S1&amp;2 Lists'!$CV$4,K384/'S1&amp;2 Lists'!$CQ$6,0)),3)</f>
        <v>0</v>
      </c>
      <c r="Q384" s="11" t="s">
        <v>12</v>
      </c>
    </row>
    <row r="385" spans="1:17" s="1129" customFormat="1" ht="24" customHeight="1">
      <c r="A385" s="819"/>
      <c r="B385" s="819"/>
      <c r="C385" s="1131"/>
      <c r="D385" s="819"/>
      <c r="E385" s="1132"/>
      <c r="F385" s="819"/>
      <c r="G385" s="1134"/>
      <c r="H385" s="819"/>
      <c r="I385" s="1132"/>
      <c r="J385" s="819"/>
      <c r="K385" s="819"/>
      <c r="L385" s="819"/>
      <c r="M385" s="1128" t="str">
        <f>+IFERROR(VLOOKUP(G385,'S1&amp;2 Lists'!$C$8:$G$112,3,FALSE),"-")</f>
        <v>-</v>
      </c>
      <c r="N385" s="1128" t="str">
        <f t="shared" si="5"/>
        <v>-</v>
      </c>
      <c r="P385" s="1130">
        <f>ROUND(IF(L385='S1&amp;2 Lists'!$CV$3,K385,IF(L385='S1&amp;2 Lists'!$CV$4,K385/'S1&amp;2 Lists'!$CQ$6,0)),3)</f>
        <v>0</v>
      </c>
      <c r="Q385" s="11" t="s">
        <v>12</v>
      </c>
    </row>
    <row r="386" spans="1:17" s="1129" customFormat="1" ht="24" customHeight="1">
      <c r="A386" s="819"/>
      <c r="B386" s="819"/>
      <c r="C386" s="1131"/>
      <c r="D386" s="819"/>
      <c r="E386" s="1132"/>
      <c r="F386" s="819"/>
      <c r="G386" s="1134"/>
      <c r="H386" s="819"/>
      <c r="I386" s="1132"/>
      <c r="J386" s="819"/>
      <c r="K386" s="819"/>
      <c r="L386" s="819"/>
      <c r="M386" s="1128" t="str">
        <f>+IFERROR(VLOOKUP(G386,'S1&amp;2 Lists'!$C$8:$G$112,3,FALSE),"-")</f>
        <v>-</v>
      </c>
      <c r="N386" s="1128" t="str">
        <f t="shared" si="5"/>
        <v>-</v>
      </c>
      <c r="P386" s="1130">
        <f>ROUND(IF(L386='S1&amp;2 Lists'!$CV$3,K386,IF(L386='S1&amp;2 Lists'!$CV$4,K386/'S1&amp;2 Lists'!$CQ$6,0)),3)</f>
        <v>0</v>
      </c>
      <c r="Q386" s="11" t="s">
        <v>12</v>
      </c>
    </row>
    <row r="387" spans="1:17" s="1129" customFormat="1" ht="24" customHeight="1">
      <c r="A387" s="819"/>
      <c r="B387" s="819"/>
      <c r="C387" s="1131"/>
      <c r="D387" s="819"/>
      <c r="E387" s="1132"/>
      <c r="F387" s="819"/>
      <c r="G387" s="1134"/>
      <c r="H387" s="819"/>
      <c r="I387" s="1132"/>
      <c r="J387" s="819"/>
      <c r="K387" s="819"/>
      <c r="L387" s="819"/>
      <c r="M387" s="1128" t="str">
        <f>+IFERROR(VLOOKUP(G387,'S1&amp;2 Lists'!$C$8:$G$112,3,FALSE),"-")</f>
        <v>-</v>
      </c>
      <c r="N387" s="1128" t="str">
        <f t="shared" si="5"/>
        <v>-</v>
      </c>
      <c r="P387" s="1130">
        <f>ROUND(IF(L387='S1&amp;2 Lists'!$CV$3,K387,IF(L387='S1&amp;2 Lists'!$CV$4,K387/'S1&amp;2 Lists'!$CQ$6,0)),3)</f>
        <v>0</v>
      </c>
      <c r="Q387" s="11" t="s">
        <v>12</v>
      </c>
    </row>
    <row r="388" spans="1:17" s="1129" customFormat="1" ht="24" customHeight="1">
      <c r="A388" s="819"/>
      <c r="B388" s="819"/>
      <c r="C388" s="1131"/>
      <c r="D388" s="819"/>
      <c r="E388" s="1132"/>
      <c r="F388" s="819"/>
      <c r="G388" s="1134"/>
      <c r="H388" s="819"/>
      <c r="I388" s="1132"/>
      <c r="J388" s="819"/>
      <c r="K388" s="819"/>
      <c r="L388" s="819"/>
      <c r="M388" s="1128" t="str">
        <f>+IFERROR(VLOOKUP(G388,'S1&amp;2 Lists'!$C$8:$G$112,3,FALSE),"-")</f>
        <v>-</v>
      </c>
      <c r="N388" s="1128" t="str">
        <f t="shared" si="5"/>
        <v>-</v>
      </c>
      <c r="P388" s="1130">
        <f>ROUND(IF(L388='S1&amp;2 Lists'!$CV$3,K388,IF(L388='S1&amp;2 Lists'!$CV$4,K388/'S1&amp;2 Lists'!$CQ$6,0)),3)</f>
        <v>0</v>
      </c>
      <c r="Q388" s="11" t="s">
        <v>12</v>
      </c>
    </row>
    <row r="389" spans="1:17" s="1129" customFormat="1" ht="24" customHeight="1">
      <c r="A389" s="819"/>
      <c r="B389" s="819"/>
      <c r="C389" s="1131"/>
      <c r="D389" s="819"/>
      <c r="E389" s="1132"/>
      <c r="F389" s="819"/>
      <c r="G389" s="1134"/>
      <c r="H389" s="819"/>
      <c r="I389" s="1132"/>
      <c r="J389" s="819"/>
      <c r="K389" s="819"/>
      <c r="L389" s="819"/>
      <c r="M389" s="1128" t="str">
        <f>+IFERROR(VLOOKUP(G389,'S1&amp;2 Lists'!$C$8:$G$112,3,FALSE),"-")</f>
        <v>-</v>
      </c>
      <c r="N389" s="1128" t="str">
        <f t="shared" si="5"/>
        <v>-</v>
      </c>
      <c r="P389" s="1130">
        <f>ROUND(IF(L389='S1&amp;2 Lists'!$CV$3,K389,IF(L389='S1&amp;2 Lists'!$CV$4,K389/'S1&amp;2 Lists'!$CQ$6,0)),3)</f>
        <v>0</v>
      </c>
      <c r="Q389" s="11" t="s">
        <v>12</v>
      </c>
    </row>
    <row r="390" spans="1:17" s="1129" customFormat="1" ht="24" customHeight="1">
      <c r="A390" s="819"/>
      <c r="B390" s="819"/>
      <c r="C390" s="1131"/>
      <c r="D390" s="819"/>
      <c r="E390" s="1132"/>
      <c r="F390" s="819"/>
      <c r="G390" s="1134"/>
      <c r="H390" s="819"/>
      <c r="I390" s="1132"/>
      <c r="J390" s="819"/>
      <c r="K390" s="819"/>
      <c r="L390" s="819"/>
      <c r="M390" s="1128" t="str">
        <f>+IFERROR(VLOOKUP(G390,'S1&amp;2 Lists'!$C$8:$G$112,3,FALSE),"-")</f>
        <v>-</v>
      </c>
      <c r="N390" s="1128" t="str">
        <f t="shared" si="5"/>
        <v>-</v>
      </c>
      <c r="P390" s="1130">
        <f>ROUND(IF(L390='S1&amp;2 Lists'!$CV$3,K390,IF(L390='S1&amp;2 Lists'!$CV$4,K390/'S1&amp;2 Lists'!$CQ$6,0)),3)</f>
        <v>0</v>
      </c>
      <c r="Q390" s="11" t="s">
        <v>12</v>
      </c>
    </row>
    <row r="391" spans="1:17" s="1129" customFormat="1" ht="24" customHeight="1">
      <c r="A391" s="819"/>
      <c r="B391" s="819"/>
      <c r="C391" s="1131"/>
      <c r="D391" s="819"/>
      <c r="E391" s="1132"/>
      <c r="F391" s="819"/>
      <c r="G391" s="1134"/>
      <c r="H391" s="819"/>
      <c r="I391" s="1132"/>
      <c r="J391" s="819"/>
      <c r="K391" s="819"/>
      <c r="L391" s="819"/>
      <c r="M391" s="1128" t="str">
        <f>+IFERROR(VLOOKUP(G391,'S1&amp;2 Lists'!$C$8:$G$112,3,FALSE),"-")</f>
        <v>-</v>
      </c>
      <c r="N391" s="1128" t="str">
        <f t="shared" si="5"/>
        <v>-</v>
      </c>
      <c r="P391" s="1130">
        <f>ROUND(IF(L391='S1&amp;2 Lists'!$CV$3,K391,IF(L391='S1&amp;2 Lists'!$CV$4,K391/'S1&amp;2 Lists'!$CQ$6,0)),3)</f>
        <v>0</v>
      </c>
      <c r="Q391" s="11" t="s">
        <v>12</v>
      </c>
    </row>
    <row r="392" spans="1:17" s="1129" customFormat="1" ht="24" customHeight="1">
      <c r="A392" s="819"/>
      <c r="B392" s="819"/>
      <c r="C392" s="1131"/>
      <c r="D392" s="819"/>
      <c r="E392" s="1132"/>
      <c r="F392" s="819"/>
      <c r="G392" s="1134"/>
      <c r="H392" s="819"/>
      <c r="I392" s="1132"/>
      <c r="J392" s="819"/>
      <c r="K392" s="819"/>
      <c r="L392" s="819"/>
      <c r="M392" s="1128" t="str">
        <f>+IFERROR(VLOOKUP(G392,'S1&amp;2 Lists'!$C$8:$G$112,3,FALSE),"-")</f>
        <v>-</v>
      </c>
      <c r="N392" s="1128" t="str">
        <f t="shared" si="5"/>
        <v>-</v>
      </c>
      <c r="P392" s="1130">
        <f>ROUND(IF(L392='S1&amp;2 Lists'!$CV$3,K392,IF(L392='S1&amp;2 Lists'!$CV$4,K392/'S1&amp;2 Lists'!$CQ$6,0)),3)</f>
        <v>0</v>
      </c>
      <c r="Q392" s="11" t="s">
        <v>12</v>
      </c>
    </row>
    <row r="393" spans="1:17" s="1129" customFormat="1" ht="24" customHeight="1">
      <c r="A393" s="819"/>
      <c r="B393" s="819"/>
      <c r="C393" s="1131"/>
      <c r="D393" s="819"/>
      <c r="E393" s="1132"/>
      <c r="F393" s="819"/>
      <c r="G393" s="1134"/>
      <c r="H393" s="819"/>
      <c r="I393" s="1132"/>
      <c r="J393" s="819"/>
      <c r="K393" s="819"/>
      <c r="L393" s="819"/>
      <c r="M393" s="1128" t="str">
        <f>+IFERROR(VLOOKUP(G393,'S1&amp;2 Lists'!$C$8:$G$112,3,FALSE),"-")</f>
        <v>-</v>
      </c>
      <c r="N393" s="1128" t="str">
        <f t="shared" si="5"/>
        <v>-</v>
      </c>
      <c r="P393" s="1130">
        <f>ROUND(IF(L393='S1&amp;2 Lists'!$CV$3,K393,IF(L393='S1&amp;2 Lists'!$CV$4,K393/'S1&amp;2 Lists'!$CQ$6,0)),3)</f>
        <v>0</v>
      </c>
      <c r="Q393" s="11" t="s">
        <v>12</v>
      </c>
    </row>
    <row r="394" spans="1:17" s="1129" customFormat="1" ht="24" customHeight="1">
      <c r="A394" s="819"/>
      <c r="B394" s="819"/>
      <c r="C394" s="1131"/>
      <c r="D394" s="819"/>
      <c r="E394" s="1132"/>
      <c r="F394" s="819"/>
      <c r="G394" s="1134"/>
      <c r="H394" s="819"/>
      <c r="I394" s="1132"/>
      <c r="J394" s="819"/>
      <c r="K394" s="819"/>
      <c r="L394" s="819"/>
      <c r="M394" s="1128" t="str">
        <f>+IFERROR(VLOOKUP(G394,'S1&amp;2 Lists'!$C$8:$G$112,3,FALSE),"-")</f>
        <v>-</v>
      </c>
      <c r="N394" s="1128" t="str">
        <f t="shared" si="5"/>
        <v>-</v>
      </c>
      <c r="P394" s="1130">
        <f>ROUND(IF(L394='S1&amp;2 Lists'!$CV$3,K394,IF(L394='S1&amp;2 Lists'!$CV$4,K394/'S1&amp;2 Lists'!$CQ$6,0)),3)</f>
        <v>0</v>
      </c>
      <c r="Q394" s="11" t="s">
        <v>12</v>
      </c>
    </row>
    <row r="395" spans="1:17" s="1129" customFormat="1" ht="24" customHeight="1">
      <c r="A395" s="819"/>
      <c r="B395" s="819"/>
      <c r="C395" s="1131"/>
      <c r="D395" s="819"/>
      <c r="E395" s="1132"/>
      <c r="F395" s="819"/>
      <c r="G395" s="1134"/>
      <c r="H395" s="819"/>
      <c r="I395" s="1132"/>
      <c r="J395" s="819"/>
      <c r="K395" s="819"/>
      <c r="L395" s="819"/>
      <c r="M395" s="1128" t="str">
        <f>+IFERROR(VLOOKUP(G395,'S1&amp;2 Lists'!$C$8:$G$112,3,FALSE),"-")</f>
        <v>-</v>
      </c>
      <c r="N395" s="1128" t="str">
        <f t="shared" ref="N395:N458" si="6">+IFERROR(P395*M395,"-")</f>
        <v>-</v>
      </c>
      <c r="P395" s="1130">
        <f>ROUND(IF(L395='S1&amp;2 Lists'!$CV$3,K395,IF(L395='S1&amp;2 Lists'!$CV$4,K395/'S1&amp;2 Lists'!$CQ$6,0)),3)</f>
        <v>0</v>
      </c>
      <c r="Q395" s="11" t="s">
        <v>12</v>
      </c>
    </row>
    <row r="396" spans="1:17" s="1129" customFormat="1" ht="24" customHeight="1">
      <c r="A396" s="819"/>
      <c r="B396" s="819"/>
      <c r="C396" s="1131"/>
      <c r="D396" s="819"/>
      <c r="E396" s="1132"/>
      <c r="F396" s="819"/>
      <c r="G396" s="1134"/>
      <c r="H396" s="819"/>
      <c r="I396" s="1132"/>
      <c r="J396" s="819"/>
      <c r="K396" s="819"/>
      <c r="L396" s="819"/>
      <c r="M396" s="1128" t="str">
        <f>+IFERROR(VLOOKUP(G396,'S1&amp;2 Lists'!$C$8:$G$112,3,FALSE),"-")</f>
        <v>-</v>
      </c>
      <c r="N396" s="1128" t="str">
        <f t="shared" si="6"/>
        <v>-</v>
      </c>
      <c r="P396" s="1130">
        <f>ROUND(IF(L396='S1&amp;2 Lists'!$CV$3,K396,IF(L396='S1&amp;2 Lists'!$CV$4,K396/'S1&amp;2 Lists'!$CQ$6,0)),3)</f>
        <v>0</v>
      </c>
      <c r="Q396" s="11" t="s">
        <v>12</v>
      </c>
    </row>
    <row r="397" spans="1:17" s="1129" customFormat="1" ht="24" customHeight="1">
      <c r="A397" s="819"/>
      <c r="B397" s="819"/>
      <c r="C397" s="1131"/>
      <c r="D397" s="819"/>
      <c r="E397" s="1132"/>
      <c r="F397" s="819"/>
      <c r="G397" s="1134"/>
      <c r="H397" s="819"/>
      <c r="I397" s="1132"/>
      <c r="J397" s="819"/>
      <c r="K397" s="819"/>
      <c r="L397" s="819"/>
      <c r="M397" s="1128" t="str">
        <f>+IFERROR(VLOOKUP(G397,'S1&amp;2 Lists'!$C$8:$G$112,3,FALSE),"-")</f>
        <v>-</v>
      </c>
      <c r="N397" s="1128" t="str">
        <f t="shared" si="6"/>
        <v>-</v>
      </c>
      <c r="P397" s="1130">
        <f>ROUND(IF(L397='S1&amp;2 Lists'!$CV$3,K397,IF(L397='S1&amp;2 Lists'!$CV$4,K397/'S1&amp;2 Lists'!$CQ$6,0)),3)</f>
        <v>0</v>
      </c>
      <c r="Q397" s="11" t="s">
        <v>12</v>
      </c>
    </row>
    <row r="398" spans="1:17" s="1129" customFormat="1" ht="24" customHeight="1">
      <c r="A398" s="819"/>
      <c r="B398" s="819"/>
      <c r="C398" s="1131"/>
      <c r="D398" s="819"/>
      <c r="E398" s="1132"/>
      <c r="F398" s="819"/>
      <c r="G398" s="1134"/>
      <c r="H398" s="819"/>
      <c r="I398" s="1132"/>
      <c r="J398" s="819"/>
      <c r="K398" s="819"/>
      <c r="L398" s="819"/>
      <c r="M398" s="1128" t="str">
        <f>+IFERROR(VLOOKUP(G398,'S1&amp;2 Lists'!$C$8:$G$112,3,FALSE),"-")</f>
        <v>-</v>
      </c>
      <c r="N398" s="1128" t="str">
        <f t="shared" si="6"/>
        <v>-</v>
      </c>
      <c r="P398" s="1130">
        <f>ROUND(IF(L398='S1&amp;2 Lists'!$CV$3,K398,IF(L398='S1&amp;2 Lists'!$CV$4,K398/'S1&amp;2 Lists'!$CQ$6,0)),3)</f>
        <v>0</v>
      </c>
      <c r="Q398" s="11" t="s">
        <v>12</v>
      </c>
    </row>
    <row r="399" spans="1:17" s="1129" customFormat="1" ht="24" customHeight="1">
      <c r="A399" s="819"/>
      <c r="B399" s="819"/>
      <c r="C399" s="1131"/>
      <c r="D399" s="819"/>
      <c r="E399" s="1132"/>
      <c r="F399" s="819"/>
      <c r="G399" s="1134"/>
      <c r="H399" s="819"/>
      <c r="I399" s="1132"/>
      <c r="J399" s="819"/>
      <c r="K399" s="819"/>
      <c r="L399" s="819"/>
      <c r="M399" s="1128" t="str">
        <f>+IFERROR(VLOOKUP(G399,'S1&amp;2 Lists'!$C$8:$G$112,3,FALSE),"-")</f>
        <v>-</v>
      </c>
      <c r="N399" s="1128" t="str">
        <f t="shared" si="6"/>
        <v>-</v>
      </c>
      <c r="P399" s="1130">
        <f>ROUND(IF(L399='S1&amp;2 Lists'!$CV$3,K399,IF(L399='S1&amp;2 Lists'!$CV$4,K399/'S1&amp;2 Lists'!$CQ$6,0)),3)</f>
        <v>0</v>
      </c>
      <c r="Q399" s="11" t="s">
        <v>12</v>
      </c>
    </row>
    <row r="400" spans="1:17" s="1129" customFormat="1" ht="24" customHeight="1">
      <c r="A400" s="819"/>
      <c r="B400" s="819"/>
      <c r="C400" s="1131"/>
      <c r="D400" s="819"/>
      <c r="E400" s="1132"/>
      <c r="F400" s="819"/>
      <c r="G400" s="1134"/>
      <c r="H400" s="819"/>
      <c r="I400" s="1132"/>
      <c r="J400" s="819"/>
      <c r="K400" s="819"/>
      <c r="L400" s="819"/>
      <c r="M400" s="1128" t="str">
        <f>+IFERROR(VLOOKUP(G400,'S1&amp;2 Lists'!$C$8:$G$112,3,FALSE),"-")</f>
        <v>-</v>
      </c>
      <c r="N400" s="1128" t="str">
        <f t="shared" si="6"/>
        <v>-</v>
      </c>
      <c r="P400" s="1130">
        <f>ROUND(IF(L400='S1&amp;2 Lists'!$CV$3,K400,IF(L400='S1&amp;2 Lists'!$CV$4,K400/'S1&amp;2 Lists'!$CQ$6,0)),3)</f>
        <v>0</v>
      </c>
      <c r="Q400" s="11" t="s">
        <v>12</v>
      </c>
    </row>
    <row r="401" spans="1:17" s="1129" customFormat="1" ht="24" customHeight="1">
      <c r="A401" s="819"/>
      <c r="B401" s="819"/>
      <c r="C401" s="1131"/>
      <c r="D401" s="819"/>
      <c r="E401" s="1132"/>
      <c r="F401" s="819"/>
      <c r="G401" s="1134"/>
      <c r="H401" s="819"/>
      <c r="I401" s="1132"/>
      <c r="J401" s="819"/>
      <c r="K401" s="819"/>
      <c r="L401" s="819"/>
      <c r="M401" s="1128" t="str">
        <f>+IFERROR(VLOOKUP(G401,'S1&amp;2 Lists'!$C$8:$G$112,3,FALSE),"-")</f>
        <v>-</v>
      </c>
      <c r="N401" s="1128" t="str">
        <f t="shared" si="6"/>
        <v>-</v>
      </c>
      <c r="P401" s="1130">
        <f>ROUND(IF(L401='S1&amp;2 Lists'!$CV$3,K401,IF(L401='S1&amp;2 Lists'!$CV$4,K401/'S1&amp;2 Lists'!$CQ$6,0)),3)</f>
        <v>0</v>
      </c>
      <c r="Q401" s="11" t="s">
        <v>12</v>
      </c>
    </row>
    <row r="402" spans="1:17" s="1129" customFormat="1" ht="24" customHeight="1">
      <c r="A402" s="819"/>
      <c r="B402" s="819"/>
      <c r="C402" s="1131"/>
      <c r="D402" s="819"/>
      <c r="E402" s="1132"/>
      <c r="F402" s="819"/>
      <c r="G402" s="1134"/>
      <c r="H402" s="819"/>
      <c r="I402" s="1132"/>
      <c r="J402" s="819"/>
      <c r="K402" s="819"/>
      <c r="L402" s="819"/>
      <c r="M402" s="1128" t="str">
        <f>+IFERROR(VLOOKUP(G402,'S1&amp;2 Lists'!$C$8:$G$112,3,FALSE),"-")</f>
        <v>-</v>
      </c>
      <c r="N402" s="1128" t="str">
        <f t="shared" si="6"/>
        <v>-</v>
      </c>
      <c r="P402" s="1130">
        <f>ROUND(IF(L402='S1&amp;2 Lists'!$CV$3,K402,IF(L402='S1&amp;2 Lists'!$CV$4,K402/'S1&amp;2 Lists'!$CQ$6,0)),3)</f>
        <v>0</v>
      </c>
      <c r="Q402" s="11" t="s">
        <v>12</v>
      </c>
    </row>
    <row r="403" spans="1:17" s="1129" customFormat="1" ht="24" customHeight="1">
      <c r="A403" s="819"/>
      <c r="B403" s="819"/>
      <c r="C403" s="1131"/>
      <c r="D403" s="819"/>
      <c r="E403" s="1132"/>
      <c r="F403" s="819"/>
      <c r="G403" s="1134"/>
      <c r="H403" s="819"/>
      <c r="I403" s="1132"/>
      <c r="J403" s="819"/>
      <c r="K403" s="819"/>
      <c r="L403" s="819"/>
      <c r="M403" s="1128" t="str">
        <f>+IFERROR(VLOOKUP(G403,'S1&amp;2 Lists'!$C$8:$G$112,3,FALSE),"-")</f>
        <v>-</v>
      </c>
      <c r="N403" s="1128" t="str">
        <f t="shared" si="6"/>
        <v>-</v>
      </c>
      <c r="P403" s="1130">
        <f>ROUND(IF(L403='S1&amp;2 Lists'!$CV$3,K403,IF(L403='S1&amp;2 Lists'!$CV$4,K403/'S1&amp;2 Lists'!$CQ$6,0)),3)</f>
        <v>0</v>
      </c>
      <c r="Q403" s="11" t="s">
        <v>12</v>
      </c>
    </row>
    <row r="404" spans="1:17" s="1129" customFormat="1" ht="24" customHeight="1">
      <c r="A404" s="819"/>
      <c r="B404" s="819"/>
      <c r="C404" s="1131"/>
      <c r="D404" s="819"/>
      <c r="E404" s="1132"/>
      <c r="F404" s="819"/>
      <c r="G404" s="1134"/>
      <c r="H404" s="819"/>
      <c r="I404" s="1132"/>
      <c r="J404" s="819"/>
      <c r="K404" s="819"/>
      <c r="L404" s="819"/>
      <c r="M404" s="1128" t="str">
        <f>+IFERROR(VLOOKUP(G404,'S1&amp;2 Lists'!$C$8:$G$112,3,FALSE),"-")</f>
        <v>-</v>
      </c>
      <c r="N404" s="1128" t="str">
        <f t="shared" si="6"/>
        <v>-</v>
      </c>
      <c r="P404" s="1130">
        <f>ROUND(IF(L404='S1&amp;2 Lists'!$CV$3,K404,IF(L404='S1&amp;2 Lists'!$CV$4,K404/'S1&amp;2 Lists'!$CQ$6,0)),3)</f>
        <v>0</v>
      </c>
      <c r="Q404" s="11" t="s">
        <v>12</v>
      </c>
    </row>
    <row r="405" spans="1:17" s="1129" customFormat="1" ht="24" customHeight="1">
      <c r="A405" s="819"/>
      <c r="B405" s="819"/>
      <c r="C405" s="1131"/>
      <c r="D405" s="819"/>
      <c r="E405" s="1132"/>
      <c r="F405" s="819"/>
      <c r="G405" s="1134"/>
      <c r="H405" s="819"/>
      <c r="I405" s="1132"/>
      <c r="J405" s="819"/>
      <c r="K405" s="819"/>
      <c r="L405" s="819"/>
      <c r="M405" s="1128" t="str">
        <f>+IFERROR(VLOOKUP(G405,'S1&amp;2 Lists'!$C$8:$G$112,3,FALSE),"-")</f>
        <v>-</v>
      </c>
      <c r="N405" s="1128" t="str">
        <f t="shared" si="6"/>
        <v>-</v>
      </c>
      <c r="P405" s="1130">
        <f>ROUND(IF(L405='S1&amp;2 Lists'!$CV$3,K405,IF(L405='S1&amp;2 Lists'!$CV$4,K405/'S1&amp;2 Lists'!$CQ$6,0)),3)</f>
        <v>0</v>
      </c>
      <c r="Q405" s="11" t="s">
        <v>12</v>
      </c>
    </row>
    <row r="406" spans="1:17" s="1129" customFormat="1" ht="24" customHeight="1">
      <c r="A406" s="819"/>
      <c r="B406" s="819"/>
      <c r="C406" s="1131"/>
      <c r="D406" s="819"/>
      <c r="E406" s="1132"/>
      <c r="F406" s="819"/>
      <c r="G406" s="1134"/>
      <c r="H406" s="819"/>
      <c r="I406" s="1132"/>
      <c r="J406" s="819"/>
      <c r="K406" s="819"/>
      <c r="L406" s="819"/>
      <c r="M406" s="1128" t="str">
        <f>+IFERROR(VLOOKUP(G406,'S1&amp;2 Lists'!$C$8:$G$112,3,FALSE),"-")</f>
        <v>-</v>
      </c>
      <c r="N406" s="1128" t="str">
        <f t="shared" si="6"/>
        <v>-</v>
      </c>
      <c r="P406" s="1130">
        <f>ROUND(IF(L406='S1&amp;2 Lists'!$CV$3,K406,IF(L406='S1&amp;2 Lists'!$CV$4,K406/'S1&amp;2 Lists'!$CQ$6,0)),3)</f>
        <v>0</v>
      </c>
      <c r="Q406" s="11" t="s">
        <v>12</v>
      </c>
    </row>
    <row r="407" spans="1:17" s="1129" customFormat="1" ht="24" customHeight="1">
      <c r="A407" s="819"/>
      <c r="B407" s="819"/>
      <c r="C407" s="1131"/>
      <c r="D407" s="819"/>
      <c r="E407" s="1132"/>
      <c r="F407" s="819"/>
      <c r="G407" s="1134"/>
      <c r="H407" s="819"/>
      <c r="I407" s="1132"/>
      <c r="J407" s="819"/>
      <c r="K407" s="819"/>
      <c r="L407" s="819"/>
      <c r="M407" s="1128" t="str">
        <f>+IFERROR(VLOOKUP(G407,'S1&amp;2 Lists'!$C$8:$G$112,3,FALSE),"-")</f>
        <v>-</v>
      </c>
      <c r="N407" s="1128" t="str">
        <f t="shared" si="6"/>
        <v>-</v>
      </c>
      <c r="P407" s="1130">
        <f>ROUND(IF(L407='S1&amp;2 Lists'!$CV$3,K407,IF(L407='S1&amp;2 Lists'!$CV$4,K407/'S1&amp;2 Lists'!$CQ$6,0)),3)</f>
        <v>0</v>
      </c>
      <c r="Q407" s="11" t="s">
        <v>12</v>
      </c>
    </row>
    <row r="408" spans="1:17" s="1129" customFormat="1" ht="24" customHeight="1">
      <c r="A408" s="819"/>
      <c r="B408" s="819"/>
      <c r="C408" s="1131"/>
      <c r="D408" s="819"/>
      <c r="E408" s="1132"/>
      <c r="F408" s="819"/>
      <c r="G408" s="1134"/>
      <c r="H408" s="819"/>
      <c r="I408" s="1132"/>
      <c r="J408" s="819"/>
      <c r="K408" s="819"/>
      <c r="L408" s="819"/>
      <c r="M408" s="1128" t="str">
        <f>+IFERROR(VLOOKUP(G408,'S1&amp;2 Lists'!$C$8:$G$112,3,FALSE),"-")</f>
        <v>-</v>
      </c>
      <c r="N408" s="1128" t="str">
        <f t="shared" si="6"/>
        <v>-</v>
      </c>
      <c r="P408" s="1130">
        <f>ROUND(IF(L408='S1&amp;2 Lists'!$CV$3,K408,IF(L408='S1&amp;2 Lists'!$CV$4,K408/'S1&amp;2 Lists'!$CQ$6,0)),3)</f>
        <v>0</v>
      </c>
      <c r="Q408" s="11" t="s">
        <v>12</v>
      </c>
    </row>
    <row r="409" spans="1:17" s="1129" customFormat="1" ht="24" customHeight="1">
      <c r="A409" s="819"/>
      <c r="B409" s="819"/>
      <c r="C409" s="1131"/>
      <c r="D409" s="819"/>
      <c r="E409" s="1132"/>
      <c r="F409" s="819"/>
      <c r="G409" s="1134"/>
      <c r="H409" s="819"/>
      <c r="I409" s="1132"/>
      <c r="J409" s="819"/>
      <c r="K409" s="819"/>
      <c r="L409" s="819"/>
      <c r="M409" s="1128" t="str">
        <f>+IFERROR(VLOOKUP(G409,'S1&amp;2 Lists'!$C$8:$G$112,3,FALSE),"-")</f>
        <v>-</v>
      </c>
      <c r="N409" s="1128" t="str">
        <f t="shared" si="6"/>
        <v>-</v>
      </c>
      <c r="P409" s="1130">
        <f>ROUND(IF(L409='S1&amp;2 Lists'!$CV$3,K409,IF(L409='S1&amp;2 Lists'!$CV$4,K409/'S1&amp;2 Lists'!$CQ$6,0)),3)</f>
        <v>0</v>
      </c>
      <c r="Q409" s="11" t="s">
        <v>12</v>
      </c>
    </row>
    <row r="410" spans="1:17" s="1129" customFormat="1" ht="24" customHeight="1">
      <c r="A410" s="819"/>
      <c r="B410" s="819"/>
      <c r="C410" s="1131"/>
      <c r="D410" s="819"/>
      <c r="E410" s="1132"/>
      <c r="F410" s="819"/>
      <c r="G410" s="1134"/>
      <c r="H410" s="819"/>
      <c r="I410" s="1132"/>
      <c r="J410" s="819"/>
      <c r="K410" s="819"/>
      <c r="L410" s="819"/>
      <c r="M410" s="1128" t="str">
        <f>+IFERROR(VLOOKUP(G410,'S1&amp;2 Lists'!$C$8:$G$112,3,FALSE),"-")</f>
        <v>-</v>
      </c>
      <c r="N410" s="1128" t="str">
        <f t="shared" si="6"/>
        <v>-</v>
      </c>
      <c r="P410" s="1130">
        <f>ROUND(IF(L410='S1&amp;2 Lists'!$CV$3,K410,IF(L410='S1&amp;2 Lists'!$CV$4,K410/'S1&amp;2 Lists'!$CQ$6,0)),3)</f>
        <v>0</v>
      </c>
      <c r="Q410" s="11" t="s">
        <v>12</v>
      </c>
    </row>
    <row r="411" spans="1:17" s="1129" customFormat="1" ht="24" customHeight="1">
      <c r="A411" s="819"/>
      <c r="B411" s="819"/>
      <c r="C411" s="1131"/>
      <c r="D411" s="819"/>
      <c r="E411" s="1132"/>
      <c r="F411" s="819"/>
      <c r="G411" s="1134"/>
      <c r="H411" s="819"/>
      <c r="I411" s="1132"/>
      <c r="J411" s="819"/>
      <c r="K411" s="819"/>
      <c r="L411" s="819"/>
      <c r="M411" s="1128" t="str">
        <f>+IFERROR(VLOOKUP(G411,'S1&amp;2 Lists'!$C$8:$G$112,3,FALSE),"-")</f>
        <v>-</v>
      </c>
      <c r="N411" s="1128" t="str">
        <f t="shared" si="6"/>
        <v>-</v>
      </c>
      <c r="P411" s="1130">
        <f>ROUND(IF(L411='S1&amp;2 Lists'!$CV$3,K411,IF(L411='S1&amp;2 Lists'!$CV$4,K411/'S1&amp;2 Lists'!$CQ$6,0)),3)</f>
        <v>0</v>
      </c>
      <c r="Q411" s="11" t="s">
        <v>12</v>
      </c>
    </row>
    <row r="412" spans="1:17" s="1129" customFormat="1" ht="24" customHeight="1">
      <c r="A412" s="819"/>
      <c r="B412" s="819"/>
      <c r="C412" s="1131"/>
      <c r="D412" s="819"/>
      <c r="E412" s="1132"/>
      <c r="F412" s="819"/>
      <c r="G412" s="1134"/>
      <c r="H412" s="819"/>
      <c r="I412" s="1132"/>
      <c r="J412" s="819"/>
      <c r="K412" s="819"/>
      <c r="L412" s="819"/>
      <c r="M412" s="1128" t="str">
        <f>+IFERROR(VLOOKUP(G412,'S1&amp;2 Lists'!$C$8:$G$112,3,FALSE),"-")</f>
        <v>-</v>
      </c>
      <c r="N412" s="1128" t="str">
        <f t="shared" si="6"/>
        <v>-</v>
      </c>
      <c r="P412" s="1130">
        <f>ROUND(IF(L412='S1&amp;2 Lists'!$CV$3,K412,IF(L412='S1&amp;2 Lists'!$CV$4,K412/'S1&amp;2 Lists'!$CQ$6,0)),3)</f>
        <v>0</v>
      </c>
      <c r="Q412" s="11" t="s">
        <v>12</v>
      </c>
    </row>
    <row r="413" spans="1:17" s="1129" customFormat="1" ht="24" customHeight="1">
      <c r="A413" s="819"/>
      <c r="B413" s="819"/>
      <c r="C413" s="1131"/>
      <c r="D413" s="819"/>
      <c r="E413" s="1132"/>
      <c r="F413" s="819"/>
      <c r="G413" s="1134"/>
      <c r="H413" s="819"/>
      <c r="I413" s="1132"/>
      <c r="J413" s="819"/>
      <c r="K413" s="819"/>
      <c r="L413" s="819"/>
      <c r="M413" s="1128" t="str">
        <f>+IFERROR(VLOOKUP(G413,'S1&amp;2 Lists'!$C$8:$G$112,3,FALSE),"-")</f>
        <v>-</v>
      </c>
      <c r="N413" s="1128" t="str">
        <f t="shared" si="6"/>
        <v>-</v>
      </c>
      <c r="P413" s="1130">
        <f>ROUND(IF(L413='S1&amp;2 Lists'!$CV$3,K413,IF(L413='S1&amp;2 Lists'!$CV$4,K413/'S1&amp;2 Lists'!$CQ$6,0)),3)</f>
        <v>0</v>
      </c>
      <c r="Q413" s="11" t="s">
        <v>12</v>
      </c>
    </row>
    <row r="414" spans="1:17" s="1129" customFormat="1" ht="24" customHeight="1">
      <c r="A414" s="819"/>
      <c r="B414" s="819"/>
      <c r="C414" s="1131"/>
      <c r="D414" s="819"/>
      <c r="E414" s="1132"/>
      <c r="F414" s="819"/>
      <c r="G414" s="1134"/>
      <c r="H414" s="819"/>
      <c r="I414" s="1132"/>
      <c r="J414" s="819"/>
      <c r="K414" s="819"/>
      <c r="L414" s="819"/>
      <c r="M414" s="1128" t="str">
        <f>+IFERROR(VLOOKUP(G414,'S1&amp;2 Lists'!$C$8:$G$112,3,FALSE),"-")</f>
        <v>-</v>
      </c>
      <c r="N414" s="1128" t="str">
        <f t="shared" si="6"/>
        <v>-</v>
      </c>
      <c r="P414" s="1130">
        <f>ROUND(IF(L414='S1&amp;2 Lists'!$CV$3,K414,IF(L414='S1&amp;2 Lists'!$CV$4,K414/'S1&amp;2 Lists'!$CQ$6,0)),3)</f>
        <v>0</v>
      </c>
      <c r="Q414" s="11" t="s">
        <v>12</v>
      </c>
    </row>
    <row r="415" spans="1:17" s="1129" customFormat="1" ht="24" customHeight="1">
      <c r="A415" s="819"/>
      <c r="B415" s="819"/>
      <c r="C415" s="1131"/>
      <c r="D415" s="819"/>
      <c r="E415" s="1132"/>
      <c r="F415" s="819"/>
      <c r="G415" s="1134"/>
      <c r="H415" s="819"/>
      <c r="I415" s="1132"/>
      <c r="J415" s="819"/>
      <c r="K415" s="819"/>
      <c r="L415" s="819"/>
      <c r="M415" s="1128" t="str">
        <f>+IFERROR(VLOOKUP(G415,'S1&amp;2 Lists'!$C$8:$G$112,3,FALSE),"-")</f>
        <v>-</v>
      </c>
      <c r="N415" s="1128" t="str">
        <f t="shared" si="6"/>
        <v>-</v>
      </c>
      <c r="P415" s="1130">
        <f>ROUND(IF(L415='S1&amp;2 Lists'!$CV$3,K415,IF(L415='S1&amp;2 Lists'!$CV$4,K415/'S1&amp;2 Lists'!$CQ$6,0)),3)</f>
        <v>0</v>
      </c>
      <c r="Q415" s="11" t="s">
        <v>12</v>
      </c>
    </row>
    <row r="416" spans="1:17" s="1129" customFormat="1" ht="24" customHeight="1">
      <c r="A416" s="819"/>
      <c r="B416" s="819"/>
      <c r="C416" s="1131"/>
      <c r="D416" s="819"/>
      <c r="E416" s="1132"/>
      <c r="F416" s="819"/>
      <c r="G416" s="1134"/>
      <c r="H416" s="819"/>
      <c r="I416" s="1132"/>
      <c r="J416" s="819"/>
      <c r="K416" s="819"/>
      <c r="L416" s="819"/>
      <c r="M416" s="1128" t="str">
        <f>+IFERROR(VLOOKUP(G416,'S1&amp;2 Lists'!$C$8:$G$112,3,FALSE),"-")</f>
        <v>-</v>
      </c>
      <c r="N416" s="1128" t="str">
        <f t="shared" si="6"/>
        <v>-</v>
      </c>
      <c r="P416" s="1130">
        <f>ROUND(IF(L416='S1&amp;2 Lists'!$CV$3,K416,IF(L416='S1&amp;2 Lists'!$CV$4,K416/'S1&amp;2 Lists'!$CQ$6,0)),3)</f>
        <v>0</v>
      </c>
      <c r="Q416" s="11" t="s">
        <v>12</v>
      </c>
    </row>
    <row r="417" spans="1:17" s="1129" customFormat="1" ht="24" customHeight="1">
      <c r="A417" s="819"/>
      <c r="B417" s="819"/>
      <c r="C417" s="1131"/>
      <c r="D417" s="819"/>
      <c r="E417" s="1132"/>
      <c r="F417" s="819"/>
      <c r="G417" s="1134"/>
      <c r="H417" s="819"/>
      <c r="I417" s="1132"/>
      <c r="J417" s="819"/>
      <c r="K417" s="819"/>
      <c r="L417" s="819"/>
      <c r="M417" s="1128" t="str">
        <f>+IFERROR(VLOOKUP(G417,'S1&amp;2 Lists'!$C$8:$G$112,3,FALSE),"-")</f>
        <v>-</v>
      </c>
      <c r="N417" s="1128" t="str">
        <f t="shared" si="6"/>
        <v>-</v>
      </c>
      <c r="P417" s="1130">
        <f>ROUND(IF(L417='S1&amp;2 Lists'!$CV$3,K417,IF(L417='S1&amp;2 Lists'!$CV$4,K417/'S1&amp;2 Lists'!$CQ$6,0)),3)</f>
        <v>0</v>
      </c>
      <c r="Q417" s="11" t="s">
        <v>12</v>
      </c>
    </row>
    <row r="418" spans="1:17" s="1129" customFormat="1" ht="24" customHeight="1">
      <c r="A418" s="819"/>
      <c r="B418" s="819"/>
      <c r="C418" s="1131"/>
      <c r="D418" s="819"/>
      <c r="E418" s="1132"/>
      <c r="F418" s="819"/>
      <c r="G418" s="1134"/>
      <c r="H418" s="819"/>
      <c r="I418" s="1132"/>
      <c r="J418" s="819"/>
      <c r="K418" s="819"/>
      <c r="L418" s="819"/>
      <c r="M418" s="1128" t="str">
        <f>+IFERROR(VLOOKUP(G418,'S1&amp;2 Lists'!$C$8:$G$112,3,FALSE),"-")</f>
        <v>-</v>
      </c>
      <c r="N418" s="1128" t="str">
        <f t="shared" si="6"/>
        <v>-</v>
      </c>
      <c r="P418" s="1130">
        <f>ROUND(IF(L418='S1&amp;2 Lists'!$CV$3,K418,IF(L418='S1&amp;2 Lists'!$CV$4,K418/'S1&amp;2 Lists'!$CQ$6,0)),3)</f>
        <v>0</v>
      </c>
      <c r="Q418" s="11" t="s">
        <v>12</v>
      </c>
    </row>
    <row r="419" spans="1:17" s="1129" customFormat="1" ht="24" customHeight="1">
      <c r="A419" s="819"/>
      <c r="B419" s="819"/>
      <c r="C419" s="1131"/>
      <c r="D419" s="819"/>
      <c r="E419" s="1132"/>
      <c r="F419" s="819"/>
      <c r="G419" s="1134"/>
      <c r="H419" s="819"/>
      <c r="I419" s="1132"/>
      <c r="J419" s="819"/>
      <c r="K419" s="819"/>
      <c r="L419" s="819"/>
      <c r="M419" s="1128" t="str">
        <f>+IFERROR(VLOOKUP(G419,'S1&amp;2 Lists'!$C$8:$G$112,3,FALSE),"-")</f>
        <v>-</v>
      </c>
      <c r="N419" s="1128" t="str">
        <f t="shared" si="6"/>
        <v>-</v>
      </c>
      <c r="P419" s="1130">
        <f>ROUND(IF(L419='S1&amp;2 Lists'!$CV$3,K419,IF(L419='S1&amp;2 Lists'!$CV$4,K419/'S1&amp;2 Lists'!$CQ$6,0)),3)</f>
        <v>0</v>
      </c>
      <c r="Q419" s="11" t="s">
        <v>12</v>
      </c>
    </row>
    <row r="420" spans="1:17" s="1129" customFormat="1" ht="24" customHeight="1">
      <c r="A420" s="819"/>
      <c r="B420" s="819"/>
      <c r="C420" s="1131"/>
      <c r="D420" s="819"/>
      <c r="E420" s="1132"/>
      <c r="F420" s="819"/>
      <c r="G420" s="1134"/>
      <c r="H420" s="819"/>
      <c r="I420" s="1132"/>
      <c r="J420" s="819"/>
      <c r="K420" s="819"/>
      <c r="L420" s="819"/>
      <c r="M420" s="1128" t="str">
        <f>+IFERROR(VLOOKUP(G420,'S1&amp;2 Lists'!$C$8:$G$112,3,FALSE),"-")</f>
        <v>-</v>
      </c>
      <c r="N420" s="1128" t="str">
        <f t="shared" si="6"/>
        <v>-</v>
      </c>
      <c r="P420" s="1130">
        <f>ROUND(IF(L420='S1&amp;2 Lists'!$CV$3,K420,IF(L420='S1&amp;2 Lists'!$CV$4,K420/'S1&amp;2 Lists'!$CQ$6,0)),3)</f>
        <v>0</v>
      </c>
      <c r="Q420" s="11" t="s">
        <v>12</v>
      </c>
    </row>
    <row r="421" spans="1:17" s="1129" customFormat="1" ht="24" customHeight="1">
      <c r="A421" s="819"/>
      <c r="B421" s="819"/>
      <c r="C421" s="1131"/>
      <c r="D421" s="819"/>
      <c r="E421" s="1132"/>
      <c r="F421" s="819"/>
      <c r="G421" s="1134"/>
      <c r="H421" s="819"/>
      <c r="I421" s="1132"/>
      <c r="J421" s="819"/>
      <c r="K421" s="819"/>
      <c r="L421" s="819"/>
      <c r="M421" s="1128" t="str">
        <f>+IFERROR(VLOOKUP(G421,'S1&amp;2 Lists'!$C$8:$G$112,3,FALSE),"-")</f>
        <v>-</v>
      </c>
      <c r="N421" s="1128" t="str">
        <f t="shared" si="6"/>
        <v>-</v>
      </c>
      <c r="P421" s="1130">
        <f>ROUND(IF(L421='S1&amp;2 Lists'!$CV$3,K421,IF(L421='S1&amp;2 Lists'!$CV$4,K421/'S1&amp;2 Lists'!$CQ$6,0)),3)</f>
        <v>0</v>
      </c>
      <c r="Q421" s="11" t="s">
        <v>12</v>
      </c>
    </row>
    <row r="422" spans="1:17" s="1129" customFormat="1" ht="24" customHeight="1">
      <c r="A422" s="819"/>
      <c r="B422" s="819"/>
      <c r="C422" s="1131"/>
      <c r="D422" s="819"/>
      <c r="E422" s="1132"/>
      <c r="F422" s="819"/>
      <c r="G422" s="1134"/>
      <c r="H422" s="819"/>
      <c r="I422" s="1132"/>
      <c r="J422" s="819"/>
      <c r="K422" s="819"/>
      <c r="L422" s="819"/>
      <c r="M422" s="1128" t="str">
        <f>+IFERROR(VLOOKUP(G422,'S1&amp;2 Lists'!$C$8:$G$112,3,FALSE),"-")</f>
        <v>-</v>
      </c>
      <c r="N422" s="1128" t="str">
        <f t="shared" si="6"/>
        <v>-</v>
      </c>
      <c r="P422" s="1130">
        <f>ROUND(IF(L422='S1&amp;2 Lists'!$CV$3,K422,IF(L422='S1&amp;2 Lists'!$CV$4,K422/'S1&amp;2 Lists'!$CQ$6,0)),3)</f>
        <v>0</v>
      </c>
      <c r="Q422" s="11" t="s">
        <v>12</v>
      </c>
    </row>
    <row r="423" spans="1:17" s="1129" customFormat="1" ht="24" customHeight="1">
      <c r="A423" s="819"/>
      <c r="B423" s="819"/>
      <c r="C423" s="1131"/>
      <c r="D423" s="819"/>
      <c r="E423" s="1132"/>
      <c r="F423" s="819"/>
      <c r="G423" s="1134"/>
      <c r="H423" s="819"/>
      <c r="I423" s="1132"/>
      <c r="J423" s="819"/>
      <c r="K423" s="819"/>
      <c r="L423" s="819"/>
      <c r="M423" s="1128" t="str">
        <f>+IFERROR(VLOOKUP(G423,'S1&amp;2 Lists'!$C$8:$G$112,3,FALSE),"-")</f>
        <v>-</v>
      </c>
      <c r="N423" s="1128" t="str">
        <f t="shared" si="6"/>
        <v>-</v>
      </c>
      <c r="P423" s="1130">
        <f>ROUND(IF(L423='S1&amp;2 Lists'!$CV$3,K423,IF(L423='S1&amp;2 Lists'!$CV$4,K423/'S1&amp;2 Lists'!$CQ$6,0)),3)</f>
        <v>0</v>
      </c>
      <c r="Q423" s="11" t="s">
        <v>12</v>
      </c>
    </row>
    <row r="424" spans="1:17" s="1129" customFormat="1" ht="24" customHeight="1">
      <c r="A424" s="819"/>
      <c r="B424" s="819"/>
      <c r="C424" s="1131"/>
      <c r="D424" s="819"/>
      <c r="E424" s="1132"/>
      <c r="F424" s="819"/>
      <c r="G424" s="1134"/>
      <c r="H424" s="819"/>
      <c r="I424" s="1132"/>
      <c r="J424" s="819"/>
      <c r="K424" s="819"/>
      <c r="L424" s="819"/>
      <c r="M424" s="1128" t="str">
        <f>+IFERROR(VLOOKUP(G424,'S1&amp;2 Lists'!$C$8:$G$112,3,FALSE),"-")</f>
        <v>-</v>
      </c>
      <c r="N424" s="1128" t="str">
        <f t="shared" si="6"/>
        <v>-</v>
      </c>
      <c r="P424" s="1130">
        <f>ROUND(IF(L424='S1&amp;2 Lists'!$CV$3,K424,IF(L424='S1&amp;2 Lists'!$CV$4,K424/'S1&amp;2 Lists'!$CQ$6,0)),3)</f>
        <v>0</v>
      </c>
      <c r="Q424" s="11" t="s">
        <v>12</v>
      </c>
    </row>
    <row r="425" spans="1:17" s="1129" customFormat="1" ht="24" customHeight="1">
      <c r="A425" s="819"/>
      <c r="B425" s="819"/>
      <c r="C425" s="1131"/>
      <c r="D425" s="819"/>
      <c r="E425" s="1132"/>
      <c r="F425" s="819"/>
      <c r="G425" s="1134"/>
      <c r="H425" s="819"/>
      <c r="I425" s="1132"/>
      <c r="J425" s="819"/>
      <c r="K425" s="819"/>
      <c r="L425" s="819"/>
      <c r="M425" s="1128" t="str">
        <f>+IFERROR(VLOOKUP(G425,'S1&amp;2 Lists'!$C$8:$G$112,3,FALSE),"-")</f>
        <v>-</v>
      </c>
      <c r="N425" s="1128" t="str">
        <f t="shared" si="6"/>
        <v>-</v>
      </c>
      <c r="P425" s="1130">
        <f>ROUND(IF(L425='S1&amp;2 Lists'!$CV$3,K425,IF(L425='S1&amp;2 Lists'!$CV$4,K425/'S1&amp;2 Lists'!$CQ$6,0)),3)</f>
        <v>0</v>
      </c>
      <c r="Q425" s="11" t="s">
        <v>12</v>
      </c>
    </row>
    <row r="426" spans="1:17" s="1129" customFormat="1" ht="24" customHeight="1">
      <c r="A426" s="819"/>
      <c r="B426" s="819"/>
      <c r="C426" s="1131"/>
      <c r="D426" s="819"/>
      <c r="E426" s="1132"/>
      <c r="F426" s="819"/>
      <c r="G426" s="1134"/>
      <c r="H426" s="819"/>
      <c r="I426" s="1132"/>
      <c r="J426" s="819"/>
      <c r="K426" s="819"/>
      <c r="L426" s="819"/>
      <c r="M426" s="1128" t="str">
        <f>+IFERROR(VLOOKUP(G426,'S1&amp;2 Lists'!$C$8:$G$112,3,FALSE),"-")</f>
        <v>-</v>
      </c>
      <c r="N426" s="1128" t="str">
        <f t="shared" si="6"/>
        <v>-</v>
      </c>
      <c r="P426" s="1130">
        <f>ROUND(IF(L426='S1&amp;2 Lists'!$CV$3,K426,IF(L426='S1&amp;2 Lists'!$CV$4,K426/'S1&amp;2 Lists'!$CQ$6,0)),3)</f>
        <v>0</v>
      </c>
      <c r="Q426" s="11" t="s">
        <v>12</v>
      </c>
    </row>
    <row r="427" spans="1:17" s="1129" customFormat="1" ht="24" customHeight="1">
      <c r="A427" s="819"/>
      <c r="B427" s="819"/>
      <c r="C427" s="1131"/>
      <c r="D427" s="819"/>
      <c r="E427" s="1132"/>
      <c r="F427" s="819"/>
      <c r="G427" s="1134"/>
      <c r="H427" s="819"/>
      <c r="I427" s="1132"/>
      <c r="J427" s="819"/>
      <c r="K427" s="819"/>
      <c r="L427" s="819"/>
      <c r="M427" s="1128" t="str">
        <f>+IFERROR(VLOOKUP(G427,'S1&amp;2 Lists'!$C$8:$G$112,3,FALSE),"-")</f>
        <v>-</v>
      </c>
      <c r="N427" s="1128" t="str">
        <f t="shared" si="6"/>
        <v>-</v>
      </c>
      <c r="P427" s="1130">
        <f>ROUND(IF(L427='S1&amp;2 Lists'!$CV$3,K427,IF(L427='S1&amp;2 Lists'!$CV$4,K427/'S1&amp;2 Lists'!$CQ$6,0)),3)</f>
        <v>0</v>
      </c>
      <c r="Q427" s="11" t="s">
        <v>12</v>
      </c>
    </row>
    <row r="428" spans="1:17" s="1129" customFormat="1" ht="24" customHeight="1">
      <c r="A428" s="819"/>
      <c r="B428" s="819"/>
      <c r="C428" s="1131"/>
      <c r="D428" s="819"/>
      <c r="E428" s="1132"/>
      <c r="F428" s="819"/>
      <c r="G428" s="1134"/>
      <c r="H428" s="819"/>
      <c r="I428" s="1132"/>
      <c r="J428" s="819"/>
      <c r="K428" s="819"/>
      <c r="L428" s="819"/>
      <c r="M428" s="1128" t="str">
        <f>+IFERROR(VLOOKUP(G428,'S1&amp;2 Lists'!$C$8:$G$112,3,FALSE),"-")</f>
        <v>-</v>
      </c>
      <c r="N428" s="1128" t="str">
        <f t="shared" si="6"/>
        <v>-</v>
      </c>
      <c r="P428" s="1130">
        <f>ROUND(IF(L428='S1&amp;2 Lists'!$CV$3,K428,IF(L428='S1&amp;2 Lists'!$CV$4,K428/'S1&amp;2 Lists'!$CQ$6,0)),3)</f>
        <v>0</v>
      </c>
      <c r="Q428" s="11" t="s">
        <v>12</v>
      </c>
    </row>
    <row r="429" spans="1:17" s="1129" customFormat="1" ht="24" customHeight="1">
      <c r="A429" s="819"/>
      <c r="B429" s="819"/>
      <c r="C429" s="1131"/>
      <c r="D429" s="819"/>
      <c r="E429" s="1132"/>
      <c r="F429" s="819"/>
      <c r="G429" s="1134"/>
      <c r="H429" s="819"/>
      <c r="I429" s="1132"/>
      <c r="J429" s="819"/>
      <c r="K429" s="819"/>
      <c r="L429" s="819"/>
      <c r="M429" s="1128" t="str">
        <f>+IFERROR(VLOOKUP(G429,'S1&amp;2 Lists'!$C$8:$G$112,3,FALSE),"-")</f>
        <v>-</v>
      </c>
      <c r="N429" s="1128" t="str">
        <f t="shared" si="6"/>
        <v>-</v>
      </c>
      <c r="P429" s="1130">
        <f>ROUND(IF(L429='S1&amp;2 Lists'!$CV$3,K429,IF(L429='S1&amp;2 Lists'!$CV$4,K429/'S1&amp;2 Lists'!$CQ$6,0)),3)</f>
        <v>0</v>
      </c>
      <c r="Q429" s="11" t="s">
        <v>12</v>
      </c>
    </row>
    <row r="430" spans="1:17" s="1129" customFormat="1" ht="24" customHeight="1">
      <c r="A430" s="819"/>
      <c r="B430" s="819"/>
      <c r="C430" s="1131"/>
      <c r="D430" s="819"/>
      <c r="E430" s="1132"/>
      <c r="F430" s="819"/>
      <c r="G430" s="1134"/>
      <c r="H430" s="819"/>
      <c r="I430" s="1132"/>
      <c r="J430" s="819"/>
      <c r="K430" s="819"/>
      <c r="L430" s="819"/>
      <c r="M430" s="1128" t="str">
        <f>+IFERROR(VLOOKUP(G430,'S1&amp;2 Lists'!$C$8:$G$112,3,FALSE),"-")</f>
        <v>-</v>
      </c>
      <c r="N430" s="1128" t="str">
        <f t="shared" si="6"/>
        <v>-</v>
      </c>
      <c r="P430" s="1130">
        <f>ROUND(IF(L430='S1&amp;2 Lists'!$CV$3,K430,IF(L430='S1&amp;2 Lists'!$CV$4,K430/'S1&amp;2 Lists'!$CQ$6,0)),3)</f>
        <v>0</v>
      </c>
      <c r="Q430" s="11" t="s">
        <v>12</v>
      </c>
    </row>
    <row r="431" spans="1:17" s="1129" customFormat="1" ht="24" customHeight="1">
      <c r="A431" s="819"/>
      <c r="B431" s="819"/>
      <c r="C431" s="1131"/>
      <c r="D431" s="819"/>
      <c r="E431" s="1132"/>
      <c r="F431" s="819"/>
      <c r="G431" s="1134"/>
      <c r="H431" s="819"/>
      <c r="I431" s="1132"/>
      <c r="J431" s="819"/>
      <c r="K431" s="819"/>
      <c r="L431" s="819"/>
      <c r="M431" s="1128" t="str">
        <f>+IFERROR(VLOOKUP(G431,'S1&amp;2 Lists'!$C$8:$G$112,3,FALSE),"-")</f>
        <v>-</v>
      </c>
      <c r="N431" s="1128" t="str">
        <f t="shared" si="6"/>
        <v>-</v>
      </c>
      <c r="P431" s="1130">
        <f>ROUND(IF(L431='S1&amp;2 Lists'!$CV$3,K431,IF(L431='S1&amp;2 Lists'!$CV$4,K431/'S1&amp;2 Lists'!$CQ$6,0)),3)</f>
        <v>0</v>
      </c>
      <c r="Q431" s="11" t="s">
        <v>12</v>
      </c>
    </row>
    <row r="432" spans="1:17" s="1129" customFormat="1" ht="24" customHeight="1">
      <c r="A432" s="819"/>
      <c r="B432" s="819"/>
      <c r="C432" s="1131"/>
      <c r="D432" s="819"/>
      <c r="E432" s="1132"/>
      <c r="F432" s="819"/>
      <c r="G432" s="1134"/>
      <c r="H432" s="819"/>
      <c r="I432" s="1132"/>
      <c r="J432" s="819"/>
      <c r="K432" s="819"/>
      <c r="L432" s="819"/>
      <c r="M432" s="1128" t="str">
        <f>+IFERROR(VLOOKUP(G432,'S1&amp;2 Lists'!$C$8:$G$112,3,FALSE),"-")</f>
        <v>-</v>
      </c>
      <c r="N432" s="1128" t="str">
        <f t="shared" si="6"/>
        <v>-</v>
      </c>
      <c r="P432" s="1130">
        <f>ROUND(IF(L432='S1&amp;2 Lists'!$CV$3,K432,IF(L432='S1&amp;2 Lists'!$CV$4,K432/'S1&amp;2 Lists'!$CQ$6,0)),3)</f>
        <v>0</v>
      </c>
      <c r="Q432" s="11" t="s">
        <v>12</v>
      </c>
    </row>
    <row r="433" spans="1:17" s="1129" customFormat="1" ht="24" customHeight="1">
      <c r="A433" s="819"/>
      <c r="B433" s="819"/>
      <c r="C433" s="1131"/>
      <c r="D433" s="819"/>
      <c r="E433" s="1132"/>
      <c r="F433" s="819"/>
      <c r="G433" s="1134"/>
      <c r="H433" s="819"/>
      <c r="I433" s="1132"/>
      <c r="J433" s="819"/>
      <c r="K433" s="819"/>
      <c r="L433" s="819"/>
      <c r="M433" s="1128" t="str">
        <f>+IFERROR(VLOOKUP(G433,'S1&amp;2 Lists'!$C$8:$G$112,3,FALSE),"-")</f>
        <v>-</v>
      </c>
      <c r="N433" s="1128" t="str">
        <f t="shared" si="6"/>
        <v>-</v>
      </c>
      <c r="P433" s="1130">
        <f>ROUND(IF(L433='S1&amp;2 Lists'!$CV$3,K433,IF(L433='S1&amp;2 Lists'!$CV$4,K433/'S1&amp;2 Lists'!$CQ$6,0)),3)</f>
        <v>0</v>
      </c>
      <c r="Q433" s="11" t="s">
        <v>12</v>
      </c>
    </row>
    <row r="434" spans="1:17" s="1129" customFormat="1" ht="24" customHeight="1">
      <c r="A434" s="819"/>
      <c r="B434" s="819"/>
      <c r="C434" s="1131"/>
      <c r="D434" s="819"/>
      <c r="E434" s="1132"/>
      <c r="F434" s="819"/>
      <c r="G434" s="1134"/>
      <c r="H434" s="819"/>
      <c r="I434" s="1132"/>
      <c r="J434" s="819"/>
      <c r="K434" s="819"/>
      <c r="L434" s="819"/>
      <c r="M434" s="1128" t="str">
        <f>+IFERROR(VLOOKUP(G434,'S1&amp;2 Lists'!$C$8:$G$112,3,FALSE),"-")</f>
        <v>-</v>
      </c>
      <c r="N434" s="1128" t="str">
        <f t="shared" si="6"/>
        <v>-</v>
      </c>
      <c r="P434" s="1130">
        <f>ROUND(IF(L434='S1&amp;2 Lists'!$CV$3,K434,IF(L434='S1&amp;2 Lists'!$CV$4,K434/'S1&amp;2 Lists'!$CQ$6,0)),3)</f>
        <v>0</v>
      </c>
      <c r="Q434" s="11" t="s">
        <v>12</v>
      </c>
    </row>
    <row r="435" spans="1:17" s="1129" customFormat="1" ht="24" customHeight="1">
      <c r="A435" s="819"/>
      <c r="B435" s="819"/>
      <c r="C435" s="1131"/>
      <c r="D435" s="819"/>
      <c r="E435" s="1132"/>
      <c r="F435" s="819"/>
      <c r="G435" s="1134"/>
      <c r="H435" s="819"/>
      <c r="I435" s="1132"/>
      <c r="J435" s="819"/>
      <c r="K435" s="819"/>
      <c r="L435" s="819"/>
      <c r="M435" s="1128" t="str">
        <f>+IFERROR(VLOOKUP(G435,'S1&amp;2 Lists'!$C$8:$G$112,3,FALSE),"-")</f>
        <v>-</v>
      </c>
      <c r="N435" s="1128" t="str">
        <f t="shared" si="6"/>
        <v>-</v>
      </c>
      <c r="P435" s="1130">
        <f>ROUND(IF(L435='S1&amp;2 Lists'!$CV$3,K435,IF(L435='S1&amp;2 Lists'!$CV$4,K435/'S1&amp;2 Lists'!$CQ$6,0)),3)</f>
        <v>0</v>
      </c>
      <c r="Q435" s="11" t="s">
        <v>12</v>
      </c>
    </row>
    <row r="436" spans="1:17" s="1129" customFormat="1" ht="24" customHeight="1">
      <c r="A436" s="819"/>
      <c r="B436" s="819"/>
      <c r="C436" s="1131"/>
      <c r="D436" s="819"/>
      <c r="E436" s="1132"/>
      <c r="F436" s="819"/>
      <c r="G436" s="1134"/>
      <c r="H436" s="819"/>
      <c r="I436" s="1132"/>
      <c r="J436" s="819"/>
      <c r="K436" s="819"/>
      <c r="L436" s="819"/>
      <c r="M436" s="1128" t="str">
        <f>+IFERROR(VLOOKUP(G436,'S1&amp;2 Lists'!$C$8:$G$112,3,FALSE),"-")</f>
        <v>-</v>
      </c>
      <c r="N436" s="1128" t="str">
        <f t="shared" si="6"/>
        <v>-</v>
      </c>
      <c r="P436" s="1130">
        <f>ROUND(IF(L436='S1&amp;2 Lists'!$CV$3,K436,IF(L436='S1&amp;2 Lists'!$CV$4,K436/'S1&amp;2 Lists'!$CQ$6,0)),3)</f>
        <v>0</v>
      </c>
      <c r="Q436" s="11" t="s">
        <v>12</v>
      </c>
    </row>
    <row r="437" spans="1:17" s="1129" customFormat="1" ht="24" customHeight="1">
      <c r="A437" s="819"/>
      <c r="B437" s="819"/>
      <c r="C437" s="1131"/>
      <c r="D437" s="819"/>
      <c r="E437" s="1132"/>
      <c r="F437" s="819"/>
      <c r="G437" s="1134"/>
      <c r="H437" s="819"/>
      <c r="I437" s="1132"/>
      <c r="J437" s="819"/>
      <c r="K437" s="819"/>
      <c r="L437" s="819"/>
      <c r="M437" s="1128" t="str">
        <f>+IFERROR(VLOOKUP(G437,'S1&amp;2 Lists'!$C$8:$G$112,3,FALSE),"-")</f>
        <v>-</v>
      </c>
      <c r="N437" s="1128" t="str">
        <f t="shared" si="6"/>
        <v>-</v>
      </c>
      <c r="P437" s="1130">
        <f>ROUND(IF(L437='S1&amp;2 Lists'!$CV$3,K437,IF(L437='S1&amp;2 Lists'!$CV$4,K437/'S1&amp;2 Lists'!$CQ$6,0)),3)</f>
        <v>0</v>
      </c>
      <c r="Q437" s="11" t="s">
        <v>12</v>
      </c>
    </row>
    <row r="438" spans="1:17" s="1129" customFormat="1" ht="24" customHeight="1">
      <c r="A438" s="819"/>
      <c r="B438" s="819"/>
      <c r="C438" s="1131"/>
      <c r="D438" s="819"/>
      <c r="E438" s="1132"/>
      <c r="F438" s="819"/>
      <c r="G438" s="1134"/>
      <c r="H438" s="819"/>
      <c r="I438" s="1132"/>
      <c r="J438" s="819"/>
      <c r="K438" s="819"/>
      <c r="L438" s="819"/>
      <c r="M438" s="1128" t="str">
        <f>+IFERROR(VLOOKUP(G438,'S1&amp;2 Lists'!$C$8:$G$112,3,FALSE),"-")</f>
        <v>-</v>
      </c>
      <c r="N438" s="1128" t="str">
        <f t="shared" si="6"/>
        <v>-</v>
      </c>
      <c r="P438" s="1130">
        <f>ROUND(IF(L438='S1&amp;2 Lists'!$CV$3,K438,IF(L438='S1&amp;2 Lists'!$CV$4,K438/'S1&amp;2 Lists'!$CQ$6,0)),3)</f>
        <v>0</v>
      </c>
      <c r="Q438" s="11" t="s">
        <v>12</v>
      </c>
    </row>
    <row r="439" spans="1:17" s="1129" customFormat="1" ht="24" customHeight="1">
      <c r="A439" s="819"/>
      <c r="B439" s="819"/>
      <c r="C439" s="1131"/>
      <c r="D439" s="819"/>
      <c r="E439" s="1132"/>
      <c r="F439" s="819"/>
      <c r="G439" s="1134"/>
      <c r="H439" s="819"/>
      <c r="I439" s="1132"/>
      <c r="J439" s="819"/>
      <c r="K439" s="819"/>
      <c r="L439" s="819"/>
      <c r="M439" s="1128" t="str">
        <f>+IFERROR(VLOOKUP(G439,'S1&amp;2 Lists'!$C$8:$G$112,3,FALSE),"-")</f>
        <v>-</v>
      </c>
      <c r="N439" s="1128" t="str">
        <f t="shared" si="6"/>
        <v>-</v>
      </c>
      <c r="P439" s="1130">
        <f>ROUND(IF(L439='S1&amp;2 Lists'!$CV$3,K439,IF(L439='S1&amp;2 Lists'!$CV$4,K439/'S1&amp;2 Lists'!$CQ$6,0)),3)</f>
        <v>0</v>
      </c>
      <c r="Q439" s="11" t="s">
        <v>12</v>
      </c>
    </row>
    <row r="440" spans="1:17" s="1129" customFormat="1" ht="24" customHeight="1">
      <c r="A440" s="819"/>
      <c r="B440" s="819"/>
      <c r="C440" s="1131"/>
      <c r="D440" s="819"/>
      <c r="E440" s="1132"/>
      <c r="F440" s="819"/>
      <c r="G440" s="1134"/>
      <c r="H440" s="819"/>
      <c r="I440" s="1132"/>
      <c r="J440" s="819"/>
      <c r="K440" s="819"/>
      <c r="L440" s="819"/>
      <c r="M440" s="1128" t="str">
        <f>+IFERROR(VLOOKUP(G440,'S1&amp;2 Lists'!$C$8:$G$112,3,FALSE),"-")</f>
        <v>-</v>
      </c>
      <c r="N440" s="1128" t="str">
        <f t="shared" si="6"/>
        <v>-</v>
      </c>
      <c r="P440" s="1130">
        <f>ROUND(IF(L440='S1&amp;2 Lists'!$CV$3,K440,IF(L440='S1&amp;2 Lists'!$CV$4,K440/'S1&amp;2 Lists'!$CQ$6,0)),3)</f>
        <v>0</v>
      </c>
      <c r="Q440" s="11" t="s">
        <v>12</v>
      </c>
    </row>
    <row r="441" spans="1:17" s="1129" customFormat="1" ht="24" customHeight="1">
      <c r="A441" s="819"/>
      <c r="B441" s="819"/>
      <c r="C441" s="1131"/>
      <c r="D441" s="819"/>
      <c r="E441" s="1132"/>
      <c r="F441" s="819"/>
      <c r="G441" s="1134"/>
      <c r="H441" s="819"/>
      <c r="I441" s="1132"/>
      <c r="J441" s="819"/>
      <c r="K441" s="819"/>
      <c r="L441" s="819"/>
      <c r="M441" s="1128" t="str">
        <f>+IFERROR(VLOOKUP(G441,'S1&amp;2 Lists'!$C$8:$G$112,3,FALSE),"-")</f>
        <v>-</v>
      </c>
      <c r="N441" s="1128" t="str">
        <f t="shared" si="6"/>
        <v>-</v>
      </c>
      <c r="P441" s="1130">
        <f>ROUND(IF(L441='S1&amp;2 Lists'!$CV$3,K441,IF(L441='S1&amp;2 Lists'!$CV$4,K441/'S1&amp;2 Lists'!$CQ$6,0)),3)</f>
        <v>0</v>
      </c>
      <c r="Q441" s="11" t="s">
        <v>12</v>
      </c>
    </row>
    <row r="442" spans="1:17" s="1129" customFormat="1" ht="24" customHeight="1">
      <c r="A442" s="819"/>
      <c r="B442" s="819"/>
      <c r="C442" s="1131"/>
      <c r="D442" s="819"/>
      <c r="E442" s="1132"/>
      <c r="F442" s="819"/>
      <c r="G442" s="1134"/>
      <c r="H442" s="819"/>
      <c r="I442" s="1132"/>
      <c r="J442" s="819"/>
      <c r="K442" s="819"/>
      <c r="L442" s="819"/>
      <c r="M442" s="1128" t="str">
        <f>+IFERROR(VLOOKUP(G442,'S1&amp;2 Lists'!$C$8:$G$112,3,FALSE),"-")</f>
        <v>-</v>
      </c>
      <c r="N442" s="1128" t="str">
        <f t="shared" si="6"/>
        <v>-</v>
      </c>
      <c r="P442" s="1130">
        <f>ROUND(IF(L442='S1&amp;2 Lists'!$CV$3,K442,IF(L442='S1&amp;2 Lists'!$CV$4,K442/'S1&amp;2 Lists'!$CQ$6,0)),3)</f>
        <v>0</v>
      </c>
      <c r="Q442" s="11" t="s">
        <v>12</v>
      </c>
    </row>
    <row r="443" spans="1:17" s="1129" customFormat="1" ht="24" customHeight="1">
      <c r="A443" s="819"/>
      <c r="B443" s="819"/>
      <c r="C443" s="1131"/>
      <c r="D443" s="819"/>
      <c r="E443" s="1132"/>
      <c r="F443" s="819"/>
      <c r="G443" s="1134"/>
      <c r="H443" s="819"/>
      <c r="I443" s="1132"/>
      <c r="J443" s="819"/>
      <c r="K443" s="819"/>
      <c r="L443" s="819"/>
      <c r="M443" s="1128" t="str">
        <f>+IFERROR(VLOOKUP(G443,'S1&amp;2 Lists'!$C$8:$G$112,3,FALSE),"-")</f>
        <v>-</v>
      </c>
      <c r="N443" s="1128" t="str">
        <f t="shared" si="6"/>
        <v>-</v>
      </c>
      <c r="P443" s="1130">
        <f>ROUND(IF(L443='S1&amp;2 Lists'!$CV$3,K443,IF(L443='S1&amp;2 Lists'!$CV$4,K443/'S1&amp;2 Lists'!$CQ$6,0)),3)</f>
        <v>0</v>
      </c>
      <c r="Q443" s="11" t="s">
        <v>12</v>
      </c>
    </row>
    <row r="444" spans="1:17" s="1129" customFormat="1" ht="24" customHeight="1">
      <c r="A444" s="819"/>
      <c r="B444" s="819"/>
      <c r="C444" s="1131"/>
      <c r="D444" s="819"/>
      <c r="E444" s="1132"/>
      <c r="F444" s="819"/>
      <c r="G444" s="1134"/>
      <c r="H444" s="819"/>
      <c r="I444" s="1132"/>
      <c r="J444" s="819"/>
      <c r="K444" s="819"/>
      <c r="L444" s="819"/>
      <c r="M444" s="1128" t="str">
        <f>+IFERROR(VLOOKUP(G444,'S1&amp;2 Lists'!$C$8:$G$112,3,FALSE),"-")</f>
        <v>-</v>
      </c>
      <c r="N444" s="1128" t="str">
        <f t="shared" si="6"/>
        <v>-</v>
      </c>
      <c r="P444" s="1130">
        <f>ROUND(IF(L444='S1&amp;2 Lists'!$CV$3,K444,IF(L444='S1&amp;2 Lists'!$CV$4,K444/'S1&amp;2 Lists'!$CQ$6,0)),3)</f>
        <v>0</v>
      </c>
      <c r="Q444" s="11" t="s">
        <v>12</v>
      </c>
    </row>
    <row r="445" spans="1:17" s="1129" customFormat="1" ht="24" customHeight="1">
      <c r="A445" s="819"/>
      <c r="B445" s="819"/>
      <c r="C445" s="1131"/>
      <c r="D445" s="819"/>
      <c r="E445" s="1132"/>
      <c r="F445" s="819"/>
      <c r="G445" s="1134"/>
      <c r="H445" s="819"/>
      <c r="I445" s="1132"/>
      <c r="J445" s="819"/>
      <c r="K445" s="819"/>
      <c r="L445" s="819"/>
      <c r="M445" s="1128" t="str">
        <f>+IFERROR(VLOOKUP(G445,'S1&amp;2 Lists'!$C$8:$G$112,3,FALSE),"-")</f>
        <v>-</v>
      </c>
      <c r="N445" s="1128" t="str">
        <f t="shared" si="6"/>
        <v>-</v>
      </c>
      <c r="P445" s="1130">
        <f>ROUND(IF(L445='S1&amp;2 Lists'!$CV$3,K445,IF(L445='S1&amp;2 Lists'!$CV$4,K445/'S1&amp;2 Lists'!$CQ$6,0)),3)</f>
        <v>0</v>
      </c>
      <c r="Q445" s="11" t="s">
        <v>12</v>
      </c>
    </row>
    <row r="446" spans="1:17" s="1129" customFormat="1" ht="24" customHeight="1">
      <c r="A446" s="819"/>
      <c r="B446" s="819"/>
      <c r="C446" s="1131"/>
      <c r="D446" s="819"/>
      <c r="E446" s="1132"/>
      <c r="F446" s="819"/>
      <c r="G446" s="1134"/>
      <c r="H446" s="819"/>
      <c r="I446" s="1132"/>
      <c r="J446" s="819"/>
      <c r="K446" s="819"/>
      <c r="L446" s="819"/>
      <c r="M446" s="1128" t="str">
        <f>+IFERROR(VLOOKUP(G446,'S1&amp;2 Lists'!$C$8:$G$112,3,FALSE),"-")</f>
        <v>-</v>
      </c>
      <c r="N446" s="1128" t="str">
        <f t="shared" si="6"/>
        <v>-</v>
      </c>
      <c r="P446" s="1130">
        <f>ROUND(IF(L446='S1&amp;2 Lists'!$CV$3,K446,IF(L446='S1&amp;2 Lists'!$CV$4,K446/'S1&amp;2 Lists'!$CQ$6,0)),3)</f>
        <v>0</v>
      </c>
      <c r="Q446" s="11" t="s">
        <v>12</v>
      </c>
    </row>
    <row r="447" spans="1:17" s="1129" customFormat="1" ht="24" customHeight="1">
      <c r="A447" s="819"/>
      <c r="B447" s="819"/>
      <c r="C447" s="1131"/>
      <c r="D447" s="819"/>
      <c r="E447" s="1132"/>
      <c r="F447" s="819"/>
      <c r="G447" s="1134"/>
      <c r="H447" s="819"/>
      <c r="I447" s="1132"/>
      <c r="J447" s="819"/>
      <c r="K447" s="819"/>
      <c r="L447" s="819"/>
      <c r="M447" s="1128" t="str">
        <f>+IFERROR(VLOOKUP(G447,'S1&amp;2 Lists'!$C$8:$G$112,3,FALSE),"-")</f>
        <v>-</v>
      </c>
      <c r="N447" s="1128" t="str">
        <f t="shared" si="6"/>
        <v>-</v>
      </c>
      <c r="P447" s="1130">
        <f>ROUND(IF(L447='S1&amp;2 Lists'!$CV$3,K447,IF(L447='S1&amp;2 Lists'!$CV$4,K447/'S1&amp;2 Lists'!$CQ$6,0)),3)</f>
        <v>0</v>
      </c>
      <c r="Q447" s="11" t="s">
        <v>12</v>
      </c>
    </row>
    <row r="448" spans="1:17" s="1129" customFormat="1" ht="24" customHeight="1">
      <c r="A448" s="819"/>
      <c r="B448" s="819"/>
      <c r="C448" s="1131"/>
      <c r="D448" s="819"/>
      <c r="E448" s="1132"/>
      <c r="F448" s="819"/>
      <c r="G448" s="1134"/>
      <c r="H448" s="819"/>
      <c r="I448" s="1132"/>
      <c r="J448" s="819"/>
      <c r="K448" s="819"/>
      <c r="L448" s="819"/>
      <c r="M448" s="1128" t="str">
        <f>+IFERROR(VLOOKUP(G448,'S1&amp;2 Lists'!$C$8:$G$112,3,FALSE),"-")</f>
        <v>-</v>
      </c>
      <c r="N448" s="1128" t="str">
        <f t="shared" si="6"/>
        <v>-</v>
      </c>
      <c r="P448" s="1130">
        <f>ROUND(IF(L448='S1&amp;2 Lists'!$CV$3,K448,IF(L448='S1&amp;2 Lists'!$CV$4,K448/'S1&amp;2 Lists'!$CQ$6,0)),3)</f>
        <v>0</v>
      </c>
      <c r="Q448" s="11" t="s">
        <v>12</v>
      </c>
    </row>
    <row r="449" spans="1:17" s="1129" customFormat="1" ht="24" customHeight="1">
      <c r="A449" s="819"/>
      <c r="B449" s="819"/>
      <c r="C449" s="1131"/>
      <c r="D449" s="819"/>
      <c r="E449" s="1132"/>
      <c r="F449" s="819"/>
      <c r="G449" s="1134"/>
      <c r="H449" s="819"/>
      <c r="I449" s="1132"/>
      <c r="J449" s="819"/>
      <c r="K449" s="819"/>
      <c r="L449" s="819"/>
      <c r="M449" s="1128" t="str">
        <f>+IFERROR(VLOOKUP(G449,'S1&amp;2 Lists'!$C$8:$G$112,3,FALSE),"-")</f>
        <v>-</v>
      </c>
      <c r="N449" s="1128" t="str">
        <f t="shared" si="6"/>
        <v>-</v>
      </c>
      <c r="P449" s="1130">
        <f>ROUND(IF(L449='S1&amp;2 Lists'!$CV$3,K449,IF(L449='S1&amp;2 Lists'!$CV$4,K449/'S1&amp;2 Lists'!$CQ$6,0)),3)</f>
        <v>0</v>
      </c>
      <c r="Q449" s="11" t="s">
        <v>12</v>
      </c>
    </row>
    <row r="450" spans="1:17" s="1129" customFormat="1" ht="24" customHeight="1">
      <c r="A450" s="819"/>
      <c r="B450" s="819"/>
      <c r="C450" s="1131"/>
      <c r="D450" s="819"/>
      <c r="E450" s="1132"/>
      <c r="F450" s="819"/>
      <c r="G450" s="1134"/>
      <c r="H450" s="819"/>
      <c r="I450" s="1132"/>
      <c r="J450" s="819"/>
      <c r="K450" s="819"/>
      <c r="L450" s="819"/>
      <c r="M450" s="1128" t="str">
        <f>+IFERROR(VLOOKUP(G450,'S1&amp;2 Lists'!$C$8:$G$112,3,FALSE),"-")</f>
        <v>-</v>
      </c>
      <c r="N450" s="1128" t="str">
        <f t="shared" si="6"/>
        <v>-</v>
      </c>
      <c r="P450" s="1130">
        <f>ROUND(IF(L450='S1&amp;2 Lists'!$CV$3,K450,IF(L450='S1&amp;2 Lists'!$CV$4,K450/'S1&amp;2 Lists'!$CQ$6,0)),3)</f>
        <v>0</v>
      </c>
      <c r="Q450" s="11" t="s">
        <v>12</v>
      </c>
    </row>
    <row r="451" spans="1:17" s="1129" customFormat="1" ht="24" customHeight="1">
      <c r="A451" s="819"/>
      <c r="B451" s="819"/>
      <c r="C451" s="1131"/>
      <c r="D451" s="819"/>
      <c r="E451" s="1132"/>
      <c r="F451" s="819"/>
      <c r="G451" s="1134"/>
      <c r="H451" s="819"/>
      <c r="I451" s="1132"/>
      <c r="J451" s="819"/>
      <c r="K451" s="819"/>
      <c r="L451" s="819"/>
      <c r="M451" s="1128" t="str">
        <f>+IFERROR(VLOOKUP(G451,'S1&amp;2 Lists'!$C$8:$G$112,3,FALSE),"-")</f>
        <v>-</v>
      </c>
      <c r="N451" s="1128" t="str">
        <f t="shared" si="6"/>
        <v>-</v>
      </c>
      <c r="P451" s="1130">
        <f>ROUND(IF(L451='S1&amp;2 Lists'!$CV$3,K451,IF(L451='S1&amp;2 Lists'!$CV$4,K451/'S1&amp;2 Lists'!$CQ$6,0)),3)</f>
        <v>0</v>
      </c>
      <c r="Q451" s="11" t="s">
        <v>12</v>
      </c>
    </row>
    <row r="452" spans="1:17" s="1129" customFormat="1" ht="24" customHeight="1">
      <c r="A452" s="819"/>
      <c r="B452" s="819"/>
      <c r="C452" s="1131"/>
      <c r="D452" s="819"/>
      <c r="E452" s="1132"/>
      <c r="F452" s="819"/>
      <c r="G452" s="1134"/>
      <c r="H452" s="819"/>
      <c r="I452" s="1132"/>
      <c r="J452" s="819"/>
      <c r="K452" s="819"/>
      <c r="L452" s="819"/>
      <c r="M452" s="1128" t="str">
        <f>+IFERROR(VLOOKUP(G452,'S1&amp;2 Lists'!$C$8:$G$112,3,FALSE),"-")</f>
        <v>-</v>
      </c>
      <c r="N452" s="1128" t="str">
        <f t="shared" si="6"/>
        <v>-</v>
      </c>
      <c r="P452" s="1130">
        <f>ROUND(IF(L452='S1&amp;2 Lists'!$CV$3,K452,IF(L452='S1&amp;2 Lists'!$CV$4,K452/'S1&amp;2 Lists'!$CQ$6,0)),3)</f>
        <v>0</v>
      </c>
      <c r="Q452" s="11" t="s">
        <v>12</v>
      </c>
    </row>
    <row r="453" spans="1:17" s="1129" customFormat="1" ht="24" customHeight="1">
      <c r="A453" s="819"/>
      <c r="B453" s="819"/>
      <c r="C453" s="1131"/>
      <c r="D453" s="819"/>
      <c r="E453" s="1132"/>
      <c r="F453" s="819"/>
      <c r="G453" s="1134"/>
      <c r="H453" s="819"/>
      <c r="I453" s="1132"/>
      <c r="J453" s="819"/>
      <c r="K453" s="819"/>
      <c r="L453" s="819"/>
      <c r="M453" s="1128" t="str">
        <f>+IFERROR(VLOOKUP(G453,'S1&amp;2 Lists'!$C$8:$G$112,3,FALSE),"-")</f>
        <v>-</v>
      </c>
      <c r="N453" s="1128" t="str">
        <f t="shared" si="6"/>
        <v>-</v>
      </c>
      <c r="P453" s="1130">
        <f>ROUND(IF(L453='S1&amp;2 Lists'!$CV$3,K453,IF(L453='S1&amp;2 Lists'!$CV$4,K453/'S1&amp;2 Lists'!$CQ$6,0)),3)</f>
        <v>0</v>
      </c>
      <c r="Q453" s="11" t="s">
        <v>12</v>
      </c>
    </row>
    <row r="454" spans="1:17" s="1129" customFormat="1" ht="24" customHeight="1">
      <c r="A454" s="819"/>
      <c r="B454" s="819"/>
      <c r="C454" s="1131"/>
      <c r="D454" s="819"/>
      <c r="E454" s="1132"/>
      <c r="F454" s="819"/>
      <c r="G454" s="1134"/>
      <c r="H454" s="819"/>
      <c r="I454" s="1132"/>
      <c r="J454" s="819"/>
      <c r="K454" s="819"/>
      <c r="L454" s="819"/>
      <c r="M454" s="1128" t="str">
        <f>+IFERROR(VLOOKUP(G454,'S1&amp;2 Lists'!$C$8:$G$112,3,FALSE),"-")</f>
        <v>-</v>
      </c>
      <c r="N454" s="1128" t="str">
        <f t="shared" si="6"/>
        <v>-</v>
      </c>
      <c r="P454" s="1130">
        <f>ROUND(IF(L454='S1&amp;2 Lists'!$CV$3,K454,IF(L454='S1&amp;2 Lists'!$CV$4,K454/'S1&amp;2 Lists'!$CQ$6,0)),3)</f>
        <v>0</v>
      </c>
      <c r="Q454" s="11" t="s">
        <v>12</v>
      </c>
    </row>
    <row r="455" spans="1:17" s="1129" customFormat="1" ht="24" customHeight="1">
      <c r="A455" s="819"/>
      <c r="B455" s="819"/>
      <c r="C455" s="1131"/>
      <c r="D455" s="819"/>
      <c r="E455" s="1132"/>
      <c r="F455" s="819"/>
      <c r="G455" s="1134"/>
      <c r="H455" s="819"/>
      <c r="I455" s="1132"/>
      <c r="J455" s="819"/>
      <c r="K455" s="819"/>
      <c r="L455" s="819"/>
      <c r="M455" s="1128" t="str">
        <f>+IFERROR(VLOOKUP(G455,'S1&amp;2 Lists'!$C$8:$G$112,3,FALSE),"-")</f>
        <v>-</v>
      </c>
      <c r="N455" s="1128" t="str">
        <f t="shared" si="6"/>
        <v>-</v>
      </c>
      <c r="P455" s="1130">
        <f>ROUND(IF(L455='S1&amp;2 Lists'!$CV$3,K455,IF(L455='S1&amp;2 Lists'!$CV$4,K455/'S1&amp;2 Lists'!$CQ$6,0)),3)</f>
        <v>0</v>
      </c>
      <c r="Q455" s="11" t="s">
        <v>12</v>
      </c>
    </row>
    <row r="456" spans="1:17" s="1129" customFormat="1" ht="24" customHeight="1">
      <c r="A456" s="819"/>
      <c r="B456" s="819"/>
      <c r="C456" s="1131"/>
      <c r="D456" s="819"/>
      <c r="E456" s="1132"/>
      <c r="F456" s="819"/>
      <c r="G456" s="1134"/>
      <c r="H456" s="819"/>
      <c r="I456" s="1132"/>
      <c r="J456" s="819"/>
      <c r="K456" s="819"/>
      <c r="L456" s="819"/>
      <c r="M456" s="1128" t="str">
        <f>+IFERROR(VLOOKUP(G456,'S1&amp;2 Lists'!$C$8:$G$112,3,FALSE),"-")</f>
        <v>-</v>
      </c>
      <c r="N456" s="1128" t="str">
        <f t="shared" si="6"/>
        <v>-</v>
      </c>
      <c r="P456" s="1130">
        <f>ROUND(IF(L456='S1&amp;2 Lists'!$CV$3,K456,IF(L456='S1&amp;2 Lists'!$CV$4,K456/'S1&amp;2 Lists'!$CQ$6,0)),3)</f>
        <v>0</v>
      </c>
      <c r="Q456" s="11" t="s">
        <v>12</v>
      </c>
    </row>
    <row r="457" spans="1:17" s="1129" customFormat="1" ht="24" customHeight="1">
      <c r="A457" s="819"/>
      <c r="B457" s="819"/>
      <c r="C457" s="1131"/>
      <c r="D457" s="819"/>
      <c r="E457" s="1132"/>
      <c r="F457" s="819"/>
      <c r="G457" s="1134"/>
      <c r="H457" s="819"/>
      <c r="I457" s="1132"/>
      <c r="J457" s="819"/>
      <c r="K457" s="819"/>
      <c r="L457" s="819"/>
      <c r="M457" s="1128" t="str">
        <f>+IFERROR(VLOOKUP(G457,'S1&amp;2 Lists'!$C$8:$G$112,3,FALSE),"-")</f>
        <v>-</v>
      </c>
      <c r="N457" s="1128" t="str">
        <f t="shared" si="6"/>
        <v>-</v>
      </c>
      <c r="P457" s="1130">
        <f>ROUND(IF(L457='S1&amp;2 Lists'!$CV$3,K457,IF(L457='S1&amp;2 Lists'!$CV$4,K457/'S1&amp;2 Lists'!$CQ$6,0)),3)</f>
        <v>0</v>
      </c>
      <c r="Q457" s="11" t="s">
        <v>12</v>
      </c>
    </row>
    <row r="458" spans="1:17" s="1129" customFormat="1" ht="24" customHeight="1">
      <c r="A458" s="819"/>
      <c r="B458" s="819"/>
      <c r="C458" s="1131"/>
      <c r="D458" s="819"/>
      <c r="E458" s="1132"/>
      <c r="F458" s="819"/>
      <c r="G458" s="1134"/>
      <c r="H458" s="819"/>
      <c r="I458" s="1132"/>
      <c r="J458" s="819"/>
      <c r="K458" s="819"/>
      <c r="L458" s="819"/>
      <c r="M458" s="1128" t="str">
        <f>+IFERROR(VLOOKUP(G458,'S1&amp;2 Lists'!$C$8:$G$112,3,FALSE),"-")</f>
        <v>-</v>
      </c>
      <c r="N458" s="1128" t="str">
        <f t="shared" si="6"/>
        <v>-</v>
      </c>
      <c r="P458" s="1130">
        <f>ROUND(IF(L458='S1&amp;2 Lists'!$CV$3,K458,IF(L458='S1&amp;2 Lists'!$CV$4,K458/'S1&amp;2 Lists'!$CQ$6,0)),3)</f>
        <v>0</v>
      </c>
      <c r="Q458" s="11" t="s">
        <v>12</v>
      </c>
    </row>
    <row r="459" spans="1:17" s="1129" customFormat="1" ht="24" customHeight="1">
      <c r="A459" s="819"/>
      <c r="B459" s="819"/>
      <c r="C459" s="1131"/>
      <c r="D459" s="819"/>
      <c r="E459" s="1132"/>
      <c r="F459" s="819"/>
      <c r="G459" s="1134"/>
      <c r="H459" s="819"/>
      <c r="I459" s="1132"/>
      <c r="J459" s="819"/>
      <c r="K459" s="819"/>
      <c r="L459" s="819"/>
      <c r="M459" s="1128" t="str">
        <f>+IFERROR(VLOOKUP(G459,'S1&amp;2 Lists'!$C$8:$G$112,3,FALSE),"-")</f>
        <v>-</v>
      </c>
      <c r="N459" s="1128" t="str">
        <f t="shared" ref="N459:N522" si="7">+IFERROR(P459*M459,"-")</f>
        <v>-</v>
      </c>
      <c r="P459" s="1130">
        <f>ROUND(IF(L459='S1&amp;2 Lists'!$CV$3,K459,IF(L459='S1&amp;2 Lists'!$CV$4,K459/'S1&amp;2 Lists'!$CQ$6,0)),3)</f>
        <v>0</v>
      </c>
      <c r="Q459" s="11" t="s">
        <v>12</v>
      </c>
    </row>
    <row r="460" spans="1:17" s="1129" customFormat="1" ht="24" customHeight="1">
      <c r="A460" s="819"/>
      <c r="B460" s="819"/>
      <c r="C460" s="1131"/>
      <c r="D460" s="819"/>
      <c r="E460" s="1132"/>
      <c r="F460" s="819"/>
      <c r="G460" s="1134"/>
      <c r="H460" s="819"/>
      <c r="I460" s="1132"/>
      <c r="J460" s="819"/>
      <c r="K460" s="819"/>
      <c r="L460" s="819"/>
      <c r="M460" s="1128" t="str">
        <f>+IFERROR(VLOOKUP(G460,'S1&amp;2 Lists'!$C$8:$G$112,3,FALSE),"-")</f>
        <v>-</v>
      </c>
      <c r="N460" s="1128" t="str">
        <f t="shared" si="7"/>
        <v>-</v>
      </c>
      <c r="P460" s="1130">
        <f>ROUND(IF(L460='S1&amp;2 Lists'!$CV$3,K460,IF(L460='S1&amp;2 Lists'!$CV$4,K460/'S1&amp;2 Lists'!$CQ$6,0)),3)</f>
        <v>0</v>
      </c>
      <c r="Q460" s="11" t="s">
        <v>12</v>
      </c>
    </row>
    <row r="461" spans="1:17" s="1129" customFormat="1" ht="24" customHeight="1">
      <c r="A461" s="819"/>
      <c r="B461" s="819"/>
      <c r="C461" s="1131"/>
      <c r="D461" s="819"/>
      <c r="E461" s="1132"/>
      <c r="F461" s="819"/>
      <c r="G461" s="1134"/>
      <c r="H461" s="819"/>
      <c r="I461" s="1132"/>
      <c r="J461" s="819"/>
      <c r="K461" s="819"/>
      <c r="L461" s="819"/>
      <c r="M461" s="1128" t="str">
        <f>+IFERROR(VLOOKUP(G461,'S1&amp;2 Lists'!$C$8:$G$112,3,FALSE),"-")</f>
        <v>-</v>
      </c>
      <c r="N461" s="1128" t="str">
        <f t="shared" si="7"/>
        <v>-</v>
      </c>
      <c r="P461" s="1130">
        <f>ROUND(IF(L461='S1&amp;2 Lists'!$CV$3,K461,IF(L461='S1&amp;2 Lists'!$CV$4,K461/'S1&amp;2 Lists'!$CQ$6,0)),3)</f>
        <v>0</v>
      </c>
      <c r="Q461" s="11" t="s">
        <v>12</v>
      </c>
    </row>
    <row r="462" spans="1:17" s="1129" customFormat="1" ht="24" customHeight="1">
      <c r="A462" s="819"/>
      <c r="B462" s="819"/>
      <c r="C462" s="1131"/>
      <c r="D462" s="819"/>
      <c r="E462" s="1132"/>
      <c r="F462" s="819"/>
      <c r="G462" s="1134"/>
      <c r="H462" s="819"/>
      <c r="I462" s="1132"/>
      <c r="J462" s="819"/>
      <c r="K462" s="819"/>
      <c r="L462" s="819"/>
      <c r="M462" s="1128" t="str">
        <f>+IFERROR(VLOOKUP(G462,'S1&amp;2 Lists'!$C$8:$G$112,3,FALSE),"-")</f>
        <v>-</v>
      </c>
      <c r="N462" s="1128" t="str">
        <f t="shared" si="7"/>
        <v>-</v>
      </c>
      <c r="P462" s="1130">
        <f>ROUND(IF(L462='S1&amp;2 Lists'!$CV$3,K462,IF(L462='S1&amp;2 Lists'!$CV$4,K462/'S1&amp;2 Lists'!$CQ$6,0)),3)</f>
        <v>0</v>
      </c>
      <c r="Q462" s="11" t="s">
        <v>12</v>
      </c>
    </row>
    <row r="463" spans="1:17" s="1129" customFormat="1" ht="24" customHeight="1">
      <c r="A463" s="819"/>
      <c r="B463" s="819"/>
      <c r="C463" s="1131"/>
      <c r="D463" s="819"/>
      <c r="E463" s="1132"/>
      <c r="F463" s="819"/>
      <c r="G463" s="1134"/>
      <c r="H463" s="819"/>
      <c r="I463" s="1132"/>
      <c r="J463" s="819"/>
      <c r="K463" s="819"/>
      <c r="L463" s="819"/>
      <c r="M463" s="1128" t="str">
        <f>+IFERROR(VLOOKUP(G463,'S1&amp;2 Lists'!$C$8:$G$112,3,FALSE),"-")</f>
        <v>-</v>
      </c>
      <c r="N463" s="1128" t="str">
        <f t="shared" si="7"/>
        <v>-</v>
      </c>
      <c r="P463" s="1130">
        <f>ROUND(IF(L463='S1&amp;2 Lists'!$CV$3,K463,IF(L463='S1&amp;2 Lists'!$CV$4,K463/'S1&amp;2 Lists'!$CQ$6,0)),3)</f>
        <v>0</v>
      </c>
      <c r="Q463" s="11" t="s">
        <v>12</v>
      </c>
    </row>
    <row r="464" spans="1:17" s="1129" customFormat="1" ht="24" customHeight="1">
      <c r="A464" s="819"/>
      <c r="B464" s="819"/>
      <c r="C464" s="1131"/>
      <c r="D464" s="819"/>
      <c r="E464" s="1132"/>
      <c r="F464" s="819"/>
      <c r="G464" s="1134"/>
      <c r="H464" s="819"/>
      <c r="I464" s="1132"/>
      <c r="J464" s="819"/>
      <c r="K464" s="819"/>
      <c r="L464" s="819"/>
      <c r="M464" s="1128" t="str">
        <f>+IFERROR(VLOOKUP(G464,'S1&amp;2 Lists'!$C$8:$G$112,3,FALSE),"-")</f>
        <v>-</v>
      </c>
      <c r="N464" s="1128" t="str">
        <f t="shared" si="7"/>
        <v>-</v>
      </c>
      <c r="P464" s="1130">
        <f>ROUND(IF(L464='S1&amp;2 Lists'!$CV$3,K464,IF(L464='S1&amp;2 Lists'!$CV$4,K464/'S1&amp;2 Lists'!$CQ$6,0)),3)</f>
        <v>0</v>
      </c>
      <c r="Q464" s="11" t="s">
        <v>12</v>
      </c>
    </row>
    <row r="465" spans="1:17" s="1129" customFormat="1" ht="24" customHeight="1">
      <c r="A465" s="819"/>
      <c r="B465" s="819"/>
      <c r="C465" s="1131"/>
      <c r="D465" s="819"/>
      <c r="E465" s="1132"/>
      <c r="F465" s="819"/>
      <c r="G465" s="1134"/>
      <c r="H465" s="819"/>
      <c r="I465" s="1132"/>
      <c r="J465" s="819"/>
      <c r="K465" s="819"/>
      <c r="L465" s="819"/>
      <c r="M465" s="1128" t="str">
        <f>+IFERROR(VLOOKUP(G465,'S1&amp;2 Lists'!$C$8:$G$112,3,FALSE),"-")</f>
        <v>-</v>
      </c>
      <c r="N465" s="1128" t="str">
        <f t="shared" si="7"/>
        <v>-</v>
      </c>
      <c r="P465" s="1130">
        <f>ROUND(IF(L465='S1&amp;2 Lists'!$CV$3,K465,IF(L465='S1&amp;2 Lists'!$CV$4,K465/'S1&amp;2 Lists'!$CQ$6,0)),3)</f>
        <v>0</v>
      </c>
      <c r="Q465" s="11" t="s">
        <v>12</v>
      </c>
    </row>
    <row r="466" spans="1:17" s="1129" customFormat="1" ht="24" customHeight="1">
      <c r="A466" s="819"/>
      <c r="B466" s="819"/>
      <c r="C466" s="1131"/>
      <c r="D466" s="819"/>
      <c r="E466" s="1132"/>
      <c r="F466" s="819"/>
      <c r="G466" s="1134"/>
      <c r="H466" s="819"/>
      <c r="I466" s="1132"/>
      <c r="J466" s="819"/>
      <c r="K466" s="819"/>
      <c r="L466" s="819"/>
      <c r="M466" s="1128" t="str">
        <f>+IFERROR(VLOOKUP(G466,'S1&amp;2 Lists'!$C$8:$G$112,3,FALSE),"-")</f>
        <v>-</v>
      </c>
      <c r="N466" s="1128" t="str">
        <f t="shared" si="7"/>
        <v>-</v>
      </c>
      <c r="P466" s="1130">
        <f>ROUND(IF(L466='S1&amp;2 Lists'!$CV$3,K466,IF(L466='S1&amp;2 Lists'!$CV$4,K466/'S1&amp;2 Lists'!$CQ$6,0)),3)</f>
        <v>0</v>
      </c>
      <c r="Q466" s="11" t="s">
        <v>12</v>
      </c>
    </row>
    <row r="467" spans="1:17" s="1129" customFormat="1" ht="24" customHeight="1">
      <c r="A467" s="819"/>
      <c r="B467" s="819"/>
      <c r="C467" s="1131"/>
      <c r="D467" s="819"/>
      <c r="E467" s="1132"/>
      <c r="F467" s="819"/>
      <c r="G467" s="1134"/>
      <c r="H467" s="819"/>
      <c r="I467" s="1132"/>
      <c r="J467" s="819"/>
      <c r="K467" s="819"/>
      <c r="L467" s="819"/>
      <c r="M467" s="1128" t="str">
        <f>+IFERROR(VLOOKUP(G467,'S1&amp;2 Lists'!$C$8:$G$112,3,FALSE),"-")</f>
        <v>-</v>
      </c>
      <c r="N467" s="1128" t="str">
        <f t="shared" si="7"/>
        <v>-</v>
      </c>
      <c r="P467" s="1130">
        <f>ROUND(IF(L467='S1&amp;2 Lists'!$CV$3,K467,IF(L467='S1&amp;2 Lists'!$CV$4,K467/'S1&amp;2 Lists'!$CQ$6,0)),3)</f>
        <v>0</v>
      </c>
      <c r="Q467" s="11" t="s">
        <v>12</v>
      </c>
    </row>
    <row r="468" spans="1:17" s="1129" customFormat="1" ht="24" customHeight="1">
      <c r="A468" s="819"/>
      <c r="B468" s="819"/>
      <c r="C468" s="1131"/>
      <c r="D468" s="819"/>
      <c r="E468" s="1132"/>
      <c r="F468" s="819"/>
      <c r="G468" s="1134"/>
      <c r="H468" s="819"/>
      <c r="I468" s="1132"/>
      <c r="J468" s="819"/>
      <c r="K468" s="819"/>
      <c r="L468" s="819"/>
      <c r="M468" s="1128" t="str">
        <f>+IFERROR(VLOOKUP(G468,'S1&amp;2 Lists'!$C$8:$G$112,3,FALSE),"-")</f>
        <v>-</v>
      </c>
      <c r="N468" s="1128" t="str">
        <f t="shared" si="7"/>
        <v>-</v>
      </c>
      <c r="P468" s="1130">
        <f>ROUND(IF(L468='S1&amp;2 Lists'!$CV$3,K468,IF(L468='S1&amp;2 Lists'!$CV$4,K468/'S1&amp;2 Lists'!$CQ$6,0)),3)</f>
        <v>0</v>
      </c>
      <c r="Q468" s="11" t="s">
        <v>12</v>
      </c>
    </row>
    <row r="469" spans="1:17" s="1129" customFormat="1" ht="24" customHeight="1">
      <c r="A469" s="819"/>
      <c r="B469" s="819"/>
      <c r="C469" s="1131"/>
      <c r="D469" s="819"/>
      <c r="E469" s="1132"/>
      <c r="F469" s="819"/>
      <c r="G469" s="1134"/>
      <c r="H469" s="819"/>
      <c r="I469" s="1132"/>
      <c r="J469" s="819"/>
      <c r="K469" s="819"/>
      <c r="L469" s="819"/>
      <c r="M469" s="1128" t="str">
        <f>+IFERROR(VLOOKUP(G469,'S1&amp;2 Lists'!$C$8:$G$112,3,FALSE),"-")</f>
        <v>-</v>
      </c>
      <c r="N469" s="1128" t="str">
        <f t="shared" si="7"/>
        <v>-</v>
      </c>
      <c r="P469" s="1130">
        <f>ROUND(IF(L469='S1&amp;2 Lists'!$CV$3,K469,IF(L469='S1&amp;2 Lists'!$CV$4,K469/'S1&amp;2 Lists'!$CQ$6,0)),3)</f>
        <v>0</v>
      </c>
      <c r="Q469" s="11" t="s">
        <v>12</v>
      </c>
    </row>
    <row r="470" spans="1:17" s="1129" customFormat="1" ht="24" customHeight="1">
      <c r="A470" s="819"/>
      <c r="B470" s="819"/>
      <c r="C470" s="1131"/>
      <c r="D470" s="819"/>
      <c r="E470" s="1132"/>
      <c r="F470" s="819"/>
      <c r="G470" s="1134"/>
      <c r="H470" s="819"/>
      <c r="I470" s="1132"/>
      <c r="J470" s="819"/>
      <c r="K470" s="819"/>
      <c r="L470" s="819"/>
      <c r="M470" s="1128" t="str">
        <f>+IFERROR(VLOOKUP(G470,'S1&amp;2 Lists'!$C$8:$G$112,3,FALSE),"-")</f>
        <v>-</v>
      </c>
      <c r="N470" s="1128" t="str">
        <f t="shared" si="7"/>
        <v>-</v>
      </c>
      <c r="P470" s="1130">
        <f>ROUND(IF(L470='S1&amp;2 Lists'!$CV$3,K470,IF(L470='S1&amp;2 Lists'!$CV$4,K470/'S1&amp;2 Lists'!$CQ$6,0)),3)</f>
        <v>0</v>
      </c>
      <c r="Q470" s="11" t="s">
        <v>12</v>
      </c>
    </row>
    <row r="471" spans="1:17" s="1129" customFormat="1" ht="24" customHeight="1">
      <c r="A471" s="819"/>
      <c r="B471" s="819"/>
      <c r="C471" s="1131"/>
      <c r="D471" s="819"/>
      <c r="E471" s="1132"/>
      <c r="F471" s="819"/>
      <c r="G471" s="1134"/>
      <c r="H471" s="819"/>
      <c r="I471" s="1132"/>
      <c r="J471" s="819"/>
      <c r="K471" s="819"/>
      <c r="L471" s="819"/>
      <c r="M471" s="1128" t="str">
        <f>+IFERROR(VLOOKUP(G471,'S1&amp;2 Lists'!$C$8:$G$112,3,FALSE),"-")</f>
        <v>-</v>
      </c>
      <c r="N471" s="1128" t="str">
        <f t="shared" si="7"/>
        <v>-</v>
      </c>
      <c r="P471" s="1130">
        <f>ROUND(IF(L471='S1&amp;2 Lists'!$CV$3,K471,IF(L471='S1&amp;2 Lists'!$CV$4,K471/'S1&amp;2 Lists'!$CQ$6,0)),3)</f>
        <v>0</v>
      </c>
      <c r="Q471" s="11" t="s">
        <v>12</v>
      </c>
    </row>
    <row r="472" spans="1:17" s="1129" customFormat="1" ht="24" customHeight="1">
      <c r="A472" s="819"/>
      <c r="B472" s="819"/>
      <c r="C472" s="1131"/>
      <c r="D472" s="819"/>
      <c r="E472" s="1132"/>
      <c r="F472" s="819"/>
      <c r="G472" s="1134"/>
      <c r="H472" s="819"/>
      <c r="I472" s="1132"/>
      <c r="J472" s="819"/>
      <c r="K472" s="819"/>
      <c r="L472" s="819"/>
      <c r="M472" s="1128" t="str">
        <f>+IFERROR(VLOOKUP(G472,'S1&amp;2 Lists'!$C$8:$G$112,3,FALSE),"-")</f>
        <v>-</v>
      </c>
      <c r="N472" s="1128" t="str">
        <f t="shared" si="7"/>
        <v>-</v>
      </c>
      <c r="P472" s="1130">
        <f>ROUND(IF(L472='S1&amp;2 Lists'!$CV$3,K472,IF(L472='S1&amp;2 Lists'!$CV$4,K472/'S1&amp;2 Lists'!$CQ$6,0)),3)</f>
        <v>0</v>
      </c>
      <c r="Q472" s="11" t="s">
        <v>12</v>
      </c>
    </row>
    <row r="473" spans="1:17" s="1129" customFormat="1" ht="24" customHeight="1">
      <c r="A473" s="819"/>
      <c r="B473" s="819"/>
      <c r="C473" s="1131"/>
      <c r="D473" s="819"/>
      <c r="E473" s="1132"/>
      <c r="F473" s="819"/>
      <c r="G473" s="1134"/>
      <c r="H473" s="819"/>
      <c r="I473" s="1132"/>
      <c r="J473" s="819"/>
      <c r="K473" s="819"/>
      <c r="L473" s="819"/>
      <c r="M473" s="1128" t="str">
        <f>+IFERROR(VLOOKUP(G473,'S1&amp;2 Lists'!$C$8:$G$112,3,FALSE),"-")</f>
        <v>-</v>
      </c>
      <c r="N473" s="1128" t="str">
        <f t="shared" si="7"/>
        <v>-</v>
      </c>
      <c r="P473" s="1130">
        <f>ROUND(IF(L473='S1&amp;2 Lists'!$CV$3,K473,IF(L473='S1&amp;2 Lists'!$CV$4,K473/'S1&amp;2 Lists'!$CQ$6,0)),3)</f>
        <v>0</v>
      </c>
      <c r="Q473" s="11" t="s">
        <v>12</v>
      </c>
    </row>
    <row r="474" spans="1:17" s="1129" customFormat="1" ht="24" customHeight="1">
      <c r="A474" s="819"/>
      <c r="B474" s="819"/>
      <c r="C474" s="1131"/>
      <c r="D474" s="819"/>
      <c r="E474" s="1132"/>
      <c r="F474" s="819"/>
      <c r="G474" s="1134"/>
      <c r="H474" s="819"/>
      <c r="I474" s="1132"/>
      <c r="J474" s="819"/>
      <c r="K474" s="819"/>
      <c r="L474" s="819"/>
      <c r="M474" s="1128" t="str">
        <f>+IFERROR(VLOOKUP(G474,'S1&amp;2 Lists'!$C$8:$G$112,3,FALSE),"-")</f>
        <v>-</v>
      </c>
      <c r="N474" s="1128" t="str">
        <f t="shared" si="7"/>
        <v>-</v>
      </c>
      <c r="P474" s="1130">
        <f>ROUND(IF(L474='S1&amp;2 Lists'!$CV$3,K474,IF(L474='S1&amp;2 Lists'!$CV$4,K474/'S1&amp;2 Lists'!$CQ$6,0)),3)</f>
        <v>0</v>
      </c>
      <c r="Q474" s="11" t="s">
        <v>12</v>
      </c>
    </row>
    <row r="475" spans="1:17" s="1129" customFormat="1" ht="24" customHeight="1">
      <c r="A475" s="819"/>
      <c r="B475" s="819"/>
      <c r="C475" s="1131"/>
      <c r="D475" s="819"/>
      <c r="E475" s="1132"/>
      <c r="F475" s="819"/>
      <c r="G475" s="1134"/>
      <c r="H475" s="819"/>
      <c r="I475" s="1132"/>
      <c r="J475" s="819"/>
      <c r="K475" s="819"/>
      <c r="L475" s="819"/>
      <c r="M475" s="1128" t="str">
        <f>+IFERROR(VLOOKUP(G475,'S1&amp;2 Lists'!$C$8:$G$112,3,FALSE),"-")</f>
        <v>-</v>
      </c>
      <c r="N475" s="1128" t="str">
        <f t="shared" si="7"/>
        <v>-</v>
      </c>
      <c r="P475" s="1130">
        <f>ROUND(IF(L475='S1&amp;2 Lists'!$CV$3,K475,IF(L475='S1&amp;2 Lists'!$CV$4,K475/'S1&amp;2 Lists'!$CQ$6,0)),3)</f>
        <v>0</v>
      </c>
      <c r="Q475" s="11" t="s">
        <v>12</v>
      </c>
    </row>
    <row r="476" spans="1:17" s="1129" customFormat="1" ht="24" customHeight="1">
      <c r="A476" s="819"/>
      <c r="B476" s="819"/>
      <c r="C476" s="1131"/>
      <c r="D476" s="819"/>
      <c r="E476" s="1132"/>
      <c r="F476" s="819"/>
      <c r="G476" s="1134"/>
      <c r="H476" s="819"/>
      <c r="I476" s="1132"/>
      <c r="J476" s="819"/>
      <c r="K476" s="819"/>
      <c r="L476" s="819"/>
      <c r="M476" s="1128" t="str">
        <f>+IFERROR(VLOOKUP(G476,'S1&amp;2 Lists'!$C$8:$G$112,3,FALSE),"-")</f>
        <v>-</v>
      </c>
      <c r="N476" s="1128" t="str">
        <f t="shared" si="7"/>
        <v>-</v>
      </c>
      <c r="P476" s="1130">
        <f>ROUND(IF(L476='S1&amp;2 Lists'!$CV$3,K476,IF(L476='S1&amp;2 Lists'!$CV$4,K476/'S1&amp;2 Lists'!$CQ$6,0)),3)</f>
        <v>0</v>
      </c>
      <c r="Q476" s="11" t="s">
        <v>12</v>
      </c>
    </row>
    <row r="477" spans="1:17" s="1129" customFormat="1" ht="24" customHeight="1">
      <c r="A477" s="819"/>
      <c r="B477" s="819"/>
      <c r="C477" s="1131"/>
      <c r="D477" s="819"/>
      <c r="E477" s="1132"/>
      <c r="F477" s="819"/>
      <c r="G477" s="1134"/>
      <c r="H477" s="819"/>
      <c r="I477" s="1132"/>
      <c r="J477" s="819"/>
      <c r="K477" s="819"/>
      <c r="L477" s="819"/>
      <c r="M477" s="1128" t="str">
        <f>+IFERROR(VLOOKUP(G477,'S1&amp;2 Lists'!$C$8:$G$112,3,FALSE),"-")</f>
        <v>-</v>
      </c>
      <c r="N477" s="1128" t="str">
        <f t="shared" si="7"/>
        <v>-</v>
      </c>
      <c r="P477" s="1130">
        <f>ROUND(IF(L477='S1&amp;2 Lists'!$CV$3,K477,IF(L477='S1&amp;2 Lists'!$CV$4,K477/'S1&amp;2 Lists'!$CQ$6,0)),3)</f>
        <v>0</v>
      </c>
      <c r="Q477" s="11" t="s">
        <v>12</v>
      </c>
    </row>
    <row r="478" spans="1:17" s="1129" customFormat="1" ht="24" customHeight="1">
      <c r="A478" s="819"/>
      <c r="B478" s="819"/>
      <c r="C478" s="1131"/>
      <c r="D478" s="819"/>
      <c r="E478" s="1132"/>
      <c r="F478" s="819"/>
      <c r="G478" s="1134"/>
      <c r="H478" s="819"/>
      <c r="I478" s="1132"/>
      <c r="J478" s="819"/>
      <c r="K478" s="819"/>
      <c r="L478" s="819"/>
      <c r="M478" s="1128" t="str">
        <f>+IFERROR(VLOOKUP(G478,'S1&amp;2 Lists'!$C$8:$G$112,3,FALSE),"-")</f>
        <v>-</v>
      </c>
      <c r="N478" s="1128" t="str">
        <f t="shared" si="7"/>
        <v>-</v>
      </c>
      <c r="P478" s="1130">
        <f>ROUND(IF(L478='S1&amp;2 Lists'!$CV$3,K478,IF(L478='S1&amp;2 Lists'!$CV$4,K478/'S1&amp;2 Lists'!$CQ$6,0)),3)</f>
        <v>0</v>
      </c>
      <c r="Q478" s="11" t="s">
        <v>12</v>
      </c>
    </row>
    <row r="479" spans="1:17" s="1129" customFormat="1" ht="24" customHeight="1">
      <c r="A479" s="819"/>
      <c r="B479" s="819"/>
      <c r="C479" s="1131"/>
      <c r="D479" s="819"/>
      <c r="E479" s="1132"/>
      <c r="F479" s="819"/>
      <c r="G479" s="1134"/>
      <c r="H479" s="819"/>
      <c r="I479" s="1132"/>
      <c r="J479" s="819"/>
      <c r="K479" s="819"/>
      <c r="L479" s="819"/>
      <c r="M479" s="1128" t="str">
        <f>+IFERROR(VLOOKUP(G479,'S1&amp;2 Lists'!$C$8:$G$112,3,FALSE),"-")</f>
        <v>-</v>
      </c>
      <c r="N479" s="1128" t="str">
        <f t="shared" si="7"/>
        <v>-</v>
      </c>
      <c r="P479" s="1130">
        <f>ROUND(IF(L479='S1&amp;2 Lists'!$CV$3,K479,IF(L479='S1&amp;2 Lists'!$CV$4,K479/'S1&amp;2 Lists'!$CQ$6,0)),3)</f>
        <v>0</v>
      </c>
      <c r="Q479" s="11" t="s">
        <v>12</v>
      </c>
    </row>
    <row r="480" spans="1:17" s="1129" customFormat="1" ht="24" customHeight="1">
      <c r="A480" s="819"/>
      <c r="B480" s="819"/>
      <c r="C480" s="1131"/>
      <c r="D480" s="819"/>
      <c r="E480" s="1132"/>
      <c r="F480" s="819"/>
      <c r="G480" s="1134"/>
      <c r="H480" s="819"/>
      <c r="I480" s="1132"/>
      <c r="J480" s="819"/>
      <c r="K480" s="819"/>
      <c r="L480" s="819"/>
      <c r="M480" s="1128" t="str">
        <f>+IFERROR(VLOOKUP(G480,'S1&amp;2 Lists'!$C$8:$G$112,3,FALSE),"-")</f>
        <v>-</v>
      </c>
      <c r="N480" s="1128" t="str">
        <f t="shared" si="7"/>
        <v>-</v>
      </c>
      <c r="P480" s="1130">
        <f>ROUND(IF(L480='S1&amp;2 Lists'!$CV$3,K480,IF(L480='S1&amp;2 Lists'!$CV$4,K480/'S1&amp;2 Lists'!$CQ$6,0)),3)</f>
        <v>0</v>
      </c>
      <c r="Q480" s="11" t="s">
        <v>12</v>
      </c>
    </row>
    <row r="481" spans="1:17" s="1129" customFormat="1" ht="24" customHeight="1">
      <c r="A481" s="819"/>
      <c r="B481" s="819"/>
      <c r="C481" s="1131"/>
      <c r="D481" s="819"/>
      <c r="E481" s="1132"/>
      <c r="F481" s="819"/>
      <c r="G481" s="1134"/>
      <c r="H481" s="819"/>
      <c r="I481" s="1132"/>
      <c r="J481" s="819"/>
      <c r="K481" s="819"/>
      <c r="L481" s="819"/>
      <c r="M481" s="1128" t="str">
        <f>+IFERROR(VLOOKUP(G481,'S1&amp;2 Lists'!$C$8:$G$112,3,FALSE),"-")</f>
        <v>-</v>
      </c>
      <c r="N481" s="1128" t="str">
        <f t="shared" si="7"/>
        <v>-</v>
      </c>
      <c r="P481" s="1130">
        <f>ROUND(IF(L481='S1&amp;2 Lists'!$CV$3,K481,IF(L481='S1&amp;2 Lists'!$CV$4,K481/'S1&amp;2 Lists'!$CQ$6,0)),3)</f>
        <v>0</v>
      </c>
      <c r="Q481" s="11" t="s">
        <v>12</v>
      </c>
    </row>
    <row r="482" spans="1:17" s="1129" customFormat="1" ht="24" customHeight="1">
      <c r="A482" s="819"/>
      <c r="B482" s="819"/>
      <c r="C482" s="1131"/>
      <c r="D482" s="819"/>
      <c r="E482" s="1132"/>
      <c r="F482" s="819"/>
      <c r="G482" s="1134"/>
      <c r="H482" s="819"/>
      <c r="I482" s="1132"/>
      <c r="J482" s="819"/>
      <c r="K482" s="819"/>
      <c r="L482" s="819"/>
      <c r="M482" s="1128" t="str">
        <f>+IFERROR(VLOOKUP(G482,'S1&amp;2 Lists'!$C$8:$G$112,3,FALSE),"-")</f>
        <v>-</v>
      </c>
      <c r="N482" s="1128" t="str">
        <f t="shared" si="7"/>
        <v>-</v>
      </c>
      <c r="P482" s="1130">
        <f>ROUND(IF(L482='S1&amp;2 Lists'!$CV$3,K482,IF(L482='S1&amp;2 Lists'!$CV$4,K482/'S1&amp;2 Lists'!$CQ$6,0)),3)</f>
        <v>0</v>
      </c>
      <c r="Q482" s="11" t="s">
        <v>12</v>
      </c>
    </row>
    <row r="483" spans="1:17" s="1129" customFormat="1" ht="24" customHeight="1">
      <c r="A483" s="819"/>
      <c r="B483" s="819"/>
      <c r="C483" s="1131"/>
      <c r="D483" s="819"/>
      <c r="E483" s="1132"/>
      <c r="F483" s="819"/>
      <c r="G483" s="1134"/>
      <c r="H483" s="819"/>
      <c r="I483" s="1132"/>
      <c r="J483" s="819"/>
      <c r="K483" s="819"/>
      <c r="L483" s="819"/>
      <c r="M483" s="1128" t="str">
        <f>+IFERROR(VLOOKUP(G483,'S1&amp;2 Lists'!$C$8:$G$112,3,FALSE),"-")</f>
        <v>-</v>
      </c>
      <c r="N483" s="1128" t="str">
        <f t="shared" si="7"/>
        <v>-</v>
      </c>
      <c r="P483" s="1130">
        <f>ROUND(IF(L483='S1&amp;2 Lists'!$CV$3,K483,IF(L483='S1&amp;2 Lists'!$CV$4,K483/'S1&amp;2 Lists'!$CQ$6,0)),3)</f>
        <v>0</v>
      </c>
      <c r="Q483" s="11" t="s">
        <v>12</v>
      </c>
    </row>
    <row r="484" spans="1:17" s="1129" customFormat="1" ht="24" customHeight="1">
      <c r="A484" s="819"/>
      <c r="B484" s="819"/>
      <c r="C484" s="1131"/>
      <c r="D484" s="819"/>
      <c r="E484" s="1132"/>
      <c r="F484" s="819"/>
      <c r="G484" s="1134"/>
      <c r="H484" s="819"/>
      <c r="I484" s="1132"/>
      <c r="J484" s="819"/>
      <c r="K484" s="819"/>
      <c r="L484" s="819"/>
      <c r="M484" s="1128" t="str">
        <f>+IFERROR(VLOOKUP(G484,'S1&amp;2 Lists'!$C$8:$G$112,3,FALSE),"-")</f>
        <v>-</v>
      </c>
      <c r="N484" s="1128" t="str">
        <f t="shared" si="7"/>
        <v>-</v>
      </c>
      <c r="P484" s="1130">
        <f>ROUND(IF(L484='S1&amp;2 Lists'!$CV$3,K484,IF(L484='S1&amp;2 Lists'!$CV$4,K484/'S1&amp;2 Lists'!$CQ$6,0)),3)</f>
        <v>0</v>
      </c>
      <c r="Q484" s="11" t="s">
        <v>12</v>
      </c>
    </row>
    <row r="485" spans="1:17" s="1129" customFormat="1" ht="24" customHeight="1">
      <c r="A485" s="819"/>
      <c r="B485" s="819"/>
      <c r="C485" s="1131"/>
      <c r="D485" s="819"/>
      <c r="E485" s="1132"/>
      <c r="F485" s="819"/>
      <c r="G485" s="1134"/>
      <c r="H485" s="819"/>
      <c r="I485" s="1132"/>
      <c r="J485" s="819"/>
      <c r="K485" s="819"/>
      <c r="L485" s="819"/>
      <c r="M485" s="1128" t="str">
        <f>+IFERROR(VLOOKUP(G485,'S1&amp;2 Lists'!$C$8:$G$112,3,FALSE),"-")</f>
        <v>-</v>
      </c>
      <c r="N485" s="1128" t="str">
        <f t="shared" si="7"/>
        <v>-</v>
      </c>
      <c r="P485" s="1130">
        <f>ROUND(IF(L485='S1&amp;2 Lists'!$CV$3,K485,IF(L485='S1&amp;2 Lists'!$CV$4,K485/'S1&amp;2 Lists'!$CQ$6,0)),3)</f>
        <v>0</v>
      </c>
      <c r="Q485" s="11" t="s">
        <v>12</v>
      </c>
    </row>
    <row r="486" spans="1:17" s="1129" customFormat="1" ht="24" customHeight="1">
      <c r="A486" s="819"/>
      <c r="B486" s="819"/>
      <c r="C486" s="1131"/>
      <c r="D486" s="819"/>
      <c r="E486" s="1132"/>
      <c r="F486" s="819"/>
      <c r="G486" s="1134"/>
      <c r="H486" s="819"/>
      <c r="I486" s="1132"/>
      <c r="J486" s="819"/>
      <c r="K486" s="819"/>
      <c r="L486" s="819"/>
      <c r="M486" s="1128" t="str">
        <f>+IFERROR(VLOOKUP(G486,'S1&amp;2 Lists'!$C$8:$G$112,3,FALSE),"-")</f>
        <v>-</v>
      </c>
      <c r="N486" s="1128" t="str">
        <f t="shared" si="7"/>
        <v>-</v>
      </c>
      <c r="P486" s="1130">
        <f>ROUND(IF(L486='S1&amp;2 Lists'!$CV$3,K486,IF(L486='S1&amp;2 Lists'!$CV$4,K486/'S1&amp;2 Lists'!$CQ$6,0)),3)</f>
        <v>0</v>
      </c>
      <c r="Q486" s="11" t="s">
        <v>12</v>
      </c>
    </row>
    <row r="487" spans="1:17" s="1129" customFormat="1" ht="24" customHeight="1">
      <c r="A487" s="819"/>
      <c r="B487" s="819"/>
      <c r="C487" s="1131"/>
      <c r="D487" s="819"/>
      <c r="E487" s="1132"/>
      <c r="F487" s="819"/>
      <c r="G487" s="1134"/>
      <c r="H487" s="819"/>
      <c r="I487" s="1132"/>
      <c r="J487" s="819"/>
      <c r="K487" s="819"/>
      <c r="L487" s="819"/>
      <c r="M487" s="1128" t="str">
        <f>+IFERROR(VLOOKUP(G487,'S1&amp;2 Lists'!$C$8:$G$112,3,FALSE),"-")</f>
        <v>-</v>
      </c>
      <c r="N487" s="1128" t="str">
        <f t="shared" si="7"/>
        <v>-</v>
      </c>
      <c r="P487" s="1130">
        <f>ROUND(IF(L487='S1&amp;2 Lists'!$CV$3,K487,IF(L487='S1&amp;2 Lists'!$CV$4,K487/'S1&amp;2 Lists'!$CQ$6,0)),3)</f>
        <v>0</v>
      </c>
      <c r="Q487" s="11" t="s">
        <v>12</v>
      </c>
    </row>
    <row r="488" spans="1:17" s="1129" customFormat="1" ht="24" customHeight="1">
      <c r="A488" s="819"/>
      <c r="B488" s="819"/>
      <c r="C488" s="1131"/>
      <c r="D488" s="819"/>
      <c r="E488" s="1132"/>
      <c r="F488" s="819"/>
      <c r="G488" s="1134"/>
      <c r="H488" s="819"/>
      <c r="I488" s="1132"/>
      <c r="J488" s="819"/>
      <c r="K488" s="819"/>
      <c r="L488" s="819"/>
      <c r="M488" s="1128" t="str">
        <f>+IFERROR(VLOOKUP(G488,'S1&amp;2 Lists'!$C$8:$G$112,3,FALSE),"-")</f>
        <v>-</v>
      </c>
      <c r="N488" s="1128" t="str">
        <f t="shared" si="7"/>
        <v>-</v>
      </c>
      <c r="P488" s="1130">
        <f>ROUND(IF(L488='S1&amp;2 Lists'!$CV$3,K488,IF(L488='S1&amp;2 Lists'!$CV$4,K488/'S1&amp;2 Lists'!$CQ$6,0)),3)</f>
        <v>0</v>
      </c>
      <c r="Q488" s="11" t="s">
        <v>12</v>
      </c>
    </row>
    <row r="489" spans="1:17" s="1129" customFormat="1" ht="24" customHeight="1">
      <c r="A489" s="819"/>
      <c r="B489" s="819"/>
      <c r="C489" s="1131"/>
      <c r="D489" s="819"/>
      <c r="E489" s="1132"/>
      <c r="F489" s="819"/>
      <c r="G489" s="1134"/>
      <c r="H489" s="819"/>
      <c r="I489" s="1132"/>
      <c r="J489" s="819"/>
      <c r="K489" s="819"/>
      <c r="L489" s="819"/>
      <c r="M489" s="1128" t="str">
        <f>+IFERROR(VLOOKUP(G489,'S1&amp;2 Lists'!$C$8:$G$112,3,FALSE),"-")</f>
        <v>-</v>
      </c>
      <c r="N489" s="1128" t="str">
        <f t="shared" si="7"/>
        <v>-</v>
      </c>
      <c r="P489" s="1130">
        <f>ROUND(IF(L489='S1&amp;2 Lists'!$CV$3,K489,IF(L489='S1&amp;2 Lists'!$CV$4,K489/'S1&amp;2 Lists'!$CQ$6,0)),3)</f>
        <v>0</v>
      </c>
      <c r="Q489" s="11" t="s">
        <v>12</v>
      </c>
    </row>
    <row r="490" spans="1:17" s="1129" customFormat="1" ht="24" customHeight="1">
      <c r="A490" s="819"/>
      <c r="B490" s="819"/>
      <c r="C490" s="1131"/>
      <c r="D490" s="819"/>
      <c r="E490" s="1132"/>
      <c r="F490" s="819"/>
      <c r="G490" s="1134"/>
      <c r="H490" s="819"/>
      <c r="I490" s="1132"/>
      <c r="J490" s="819"/>
      <c r="K490" s="819"/>
      <c r="L490" s="819"/>
      <c r="M490" s="1128" t="str">
        <f>+IFERROR(VLOOKUP(G490,'S1&amp;2 Lists'!$C$8:$G$112,3,FALSE),"-")</f>
        <v>-</v>
      </c>
      <c r="N490" s="1128" t="str">
        <f t="shared" si="7"/>
        <v>-</v>
      </c>
      <c r="P490" s="1130">
        <f>ROUND(IF(L490='S1&amp;2 Lists'!$CV$3,K490,IF(L490='S1&amp;2 Lists'!$CV$4,K490/'S1&amp;2 Lists'!$CQ$6,0)),3)</f>
        <v>0</v>
      </c>
      <c r="Q490" s="11" t="s">
        <v>12</v>
      </c>
    </row>
    <row r="491" spans="1:17" s="1129" customFormat="1" ht="24" customHeight="1">
      <c r="A491" s="819"/>
      <c r="B491" s="819"/>
      <c r="C491" s="1131"/>
      <c r="D491" s="819"/>
      <c r="E491" s="1132"/>
      <c r="F491" s="819"/>
      <c r="G491" s="1134"/>
      <c r="H491" s="819"/>
      <c r="I491" s="1132"/>
      <c r="J491" s="819"/>
      <c r="K491" s="819"/>
      <c r="L491" s="819"/>
      <c r="M491" s="1128" t="str">
        <f>+IFERROR(VLOOKUP(G491,'S1&amp;2 Lists'!$C$8:$G$112,3,FALSE),"-")</f>
        <v>-</v>
      </c>
      <c r="N491" s="1128" t="str">
        <f t="shared" si="7"/>
        <v>-</v>
      </c>
      <c r="P491" s="1130">
        <f>ROUND(IF(L491='S1&amp;2 Lists'!$CV$3,K491,IF(L491='S1&amp;2 Lists'!$CV$4,K491/'S1&amp;2 Lists'!$CQ$6,0)),3)</f>
        <v>0</v>
      </c>
      <c r="Q491" s="11" t="s">
        <v>12</v>
      </c>
    </row>
    <row r="492" spans="1:17" s="1129" customFormat="1" ht="24" customHeight="1">
      <c r="A492" s="819"/>
      <c r="B492" s="819"/>
      <c r="C492" s="1131"/>
      <c r="D492" s="819"/>
      <c r="E492" s="1132"/>
      <c r="F492" s="819"/>
      <c r="G492" s="1134"/>
      <c r="H492" s="819"/>
      <c r="I492" s="1132"/>
      <c r="J492" s="819"/>
      <c r="K492" s="819"/>
      <c r="L492" s="819"/>
      <c r="M492" s="1128" t="str">
        <f>+IFERROR(VLOOKUP(G492,'S1&amp;2 Lists'!$C$8:$G$112,3,FALSE),"-")</f>
        <v>-</v>
      </c>
      <c r="N492" s="1128" t="str">
        <f t="shared" si="7"/>
        <v>-</v>
      </c>
      <c r="P492" s="1130">
        <f>ROUND(IF(L492='S1&amp;2 Lists'!$CV$3,K492,IF(L492='S1&amp;2 Lists'!$CV$4,K492/'S1&amp;2 Lists'!$CQ$6,0)),3)</f>
        <v>0</v>
      </c>
      <c r="Q492" s="11" t="s">
        <v>12</v>
      </c>
    </row>
    <row r="493" spans="1:17" s="1129" customFormat="1" ht="24" customHeight="1">
      <c r="A493" s="819"/>
      <c r="B493" s="819"/>
      <c r="C493" s="1131"/>
      <c r="D493" s="819"/>
      <c r="E493" s="1132"/>
      <c r="F493" s="819"/>
      <c r="G493" s="1134"/>
      <c r="H493" s="819"/>
      <c r="I493" s="1132"/>
      <c r="J493" s="819"/>
      <c r="K493" s="819"/>
      <c r="L493" s="819"/>
      <c r="M493" s="1128" t="str">
        <f>+IFERROR(VLOOKUP(G493,'S1&amp;2 Lists'!$C$8:$G$112,3,FALSE),"-")</f>
        <v>-</v>
      </c>
      <c r="N493" s="1128" t="str">
        <f t="shared" si="7"/>
        <v>-</v>
      </c>
      <c r="P493" s="1130">
        <f>ROUND(IF(L493='S1&amp;2 Lists'!$CV$3,K493,IF(L493='S1&amp;2 Lists'!$CV$4,K493/'S1&amp;2 Lists'!$CQ$6,0)),3)</f>
        <v>0</v>
      </c>
      <c r="Q493" s="11" t="s">
        <v>12</v>
      </c>
    </row>
    <row r="494" spans="1:17" s="1129" customFormat="1" ht="24" customHeight="1">
      <c r="A494" s="819"/>
      <c r="B494" s="819"/>
      <c r="C494" s="1131"/>
      <c r="D494" s="819"/>
      <c r="E494" s="1132"/>
      <c r="F494" s="819"/>
      <c r="G494" s="1134"/>
      <c r="H494" s="819"/>
      <c r="I494" s="1132"/>
      <c r="J494" s="819"/>
      <c r="K494" s="819"/>
      <c r="L494" s="819"/>
      <c r="M494" s="1128" t="str">
        <f>+IFERROR(VLOOKUP(G494,'S1&amp;2 Lists'!$C$8:$G$112,3,FALSE),"-")</f>
        <v>-</v>
      </c>
      <c r="N494" s="1128" t="str">
        <f t="shared" si="7"/>
        <v>-</v>
      </c>
      <c r="P494" s="1130">
        <f>ROUND(IF(L494='S1&amp;2 Lists'!$CV$3,K494,IF(L494='S1&amp;2 Lists'!$CV$4,K494/'S1&amp;2 Lists'!$CQ$6,0)),3)</f>
        <v>0</v>
      </c>
      <c r="Q494" s="11" t="s">
        <v>12</v>
      </c>
    </row>
    <row r="495" spans="1:17" s="1129" customFormat="1" ht="24" customHeight="1">
      <c r="A495" s="819"/>
      <c r="B495" s="819"/>
      <c r="C495" s="1131"/>
      <c r="D495" s="819"/>
      <c r="E495" s="1132"/>
      <c r="F495" s="819"/>
      <c r="G495" s="1134"/>
      <c r="H495" s="819"/>
      <c r="I495" s="1132"/>
      <c r="J495" s="819"/>
      <c r="K495" s="819"/>
      <c r="L495" s="819"/>
      <c r="M495" s="1128" t="str">
        <f>+IFERROR(VLOOKUP(G495,'S1&amp;2 Lists'!$C$8:$G$112,3,FALSE),"-")</f>
        <v>-</v>
      </c>
      <c r="N495" s="1128" t="str">
        <f t="shared" si="7"/>
        <v>-</v>
      </c>
      <c r="P495" s="1130">
        <f>ROUND(IF(L495='S1&amp;2 Lists'!$CV$3,K495,IF(L495='S1&amp;2 Lists'!$CV$4,K495/'S1&amp;2 Lists'!$CQ$6,0)),3)</f>
        <v>0</v>
      </c>
      <c r="Q495" s="11" t="s">
        <v>12</v>
      </c>
    </row>
    <row r="496" spans="1:17" s="1129" customFormat="1" ht="24" customHeight="1">
      <c r="A496" s="819"/>
      <c r="B496" s="819"/>
      <c r="C496" s="1131"/>
      <c r="D496" s="819"/>
      <c r="E496" s="1132"/>
      <c r="F496" s="819"/>
      <c r="G496" s="1134"/>
      <c r="H496" s="819"/>
      <c r="I496" s="1132"/>
      <c r="J496" s="819"/>
      <c r="K496" s="819"/>
      <c r="L496" s="819"/>
      <c r="M496" s="1128" t="str">
        <f>+IFERROR(VLOOKUP(G496,'S1&amp;2 Lists'!$C$8:$G$112,3,FALSE),"-")</f>
        <v>-</v>
      </c>
      <c r="N496" s="1128" t="str">
        <f t="shared" si="7"/>
        <v>-</v>
      </c>
      <c r="P496" s="1130">
        <f>ROUND(IF(L496='S1&amp;2 Lists'!$CV$3,K496,IF(L496='S1&amp;2 Lists'!$CV$4,K496/'S1&amp;2 Lists'!$CQ$6,0)),3)</f>
        <v>0</v>
      </c>
      <c r="Q496" s="11" t="s">
        <v>12</v>
      </c>
    </row>
    <row r="497" spans="1:17" s="1129" customFormat="1" ht="24" customHeight="1">
      <c r="A497" s="819"/>
      <c r="B497" s="819"/>
      <c r="C497" s="1131"/>
      <c r="D497" s="819"/>
      <c r="E497" s="1132"/>
      <c r="F497" s="819"/>
      <c r="G497" s="1134"/>
      <c r="H497" s="819"/>
      <c r="I497" s="1132"/>
      <c r="J497" s="819"/>
      <c r="K497" s="819"/>
      <c r="L497" s="819"/>
      <c r="M497" s="1128" t="str">
        <f>+IFERROR(VLOOKUP(G497,'S1&amp;2 Lists'!$C$8:$G$112,3,FALSE),"-")</f>
        <v>-</v>
      </c>
      <c r="N497" s="1128" t="str">
        <f t="shared" si="7"/>
        <v>-</v>
      </c>
      <c r="P497" s="1130">
        <f>ROUND(IF(L497='S1&amp;2 Lists'!$CV$3,K497,IF(L497='S1&amp;2 Lists'!$CV$4,K497/'S1&amp;2 Lists'!$CQ$6,0)),3)</f>
        <v>0</v>
      </c>
      <c r="Q497" s="11" t="s">
        <v>12</v>
      </c>
    </row>
    <row r="498" spans="1:17" s="1129" customFormat="1" ht="24" customHeight="1">
      <c r="A498" s="819"/>
      <c r="B498" s="819"/>
      <c r="C498" s="1131"/>
      <c r="D498" s="819"/>
      <c r="E498" s="1132"/>
      <c r="F498" s="819"/>
      <c r="G498" s="1134"/>
      <c r="H498" s="819"/>
      <c r="I498" s="1132"/>
      <c r="J498" s="819"/>
      <c r="K498" s="819"/>
      <c r="L498" s="819"/>
      <c r="M498" s="1128" t="str">
        <f>+IFERROR(VLOOKUP(G498,'S1&amp;2 Lists'!$C$8:$G$112,3,FALSE),"-")</f>
        <v>-</v>
      </c>
      <c r="N498" s="1128" t="str">
        <f t="shared" si="7"/>
        <v>-</v>
      </c>
      <c r="P498" s="1130">
        <f>ROUND(IF(L498='S1&amp;2 Lists'!$CV$3,K498,IF(L498='S1&amp;2 Lists'!$CV$4,K498/'S1&amp;2 Lists'!$CQ$6,0)),3)</f>
        <v>0</v>
      </c>
      <c r="Q498" s="11" t="s">
        <v>12</v>
      </c>
    </row>
    <row r="499" spans="1:17" s="1129" customFormat="1" ht="24" customHeight="1">
      <c r="A499" s="819"/>
      <c r="B499" s="819"/>
      <c r="C499" s="1131"/>
      <c r="D499" s="819"/>
      <c r="E499" s="1132"/>
      <c r="F499" s="819"/>
      <c r="G499" s="1134"/>
      <c r="H499" s="819"/>
      <c r="I499" s="1132"/>
      <c r="J499" s="819"/>
      <c r="K499" s="819"/>
      <c r="L499" s="819"/>
      <c r="M499" s="1128" t="str">
        <f>+IFERROR(VLOOKUP(G499,'S1&amp;2 Lists'!$C$8:$G$112,3,FALSE),"-")</f>
        <v>-</v>
      </c>
      <c r="N499" s="1128" t="str">
        <f t="shared" si="7"/>
        <v>-</v>
      </c>
      <c r="P499" s="1130">
        <f>ROUND(IF(L499='S1&amp;2 Lists'!$CV$3,K499,IF(L499='S1&amp;2 Lists'!$CV$4,K499/'S1&amp;2 Lists'!$CQ$6,0)),3)</f>
        <v>0</v>
      </c>
      <c r="Q499" s="11" t="s">
        <v>12</v>
      </c>
    </row>
    <row r="500" spans="1:17" s="1129" customFormat="1" ht="24" customHeight="1">
      <c r="A500" s="819"/>
      <c r="B500" s="819"/>
      <c r="C500" s="1131"/>
      <c r="D500" s="819"/>
      <c r="E500" s="1132"/>
      <c r="F500" s="819"/>
      <c r="G500" s="1134"/>
      <c r="H500" s="819"/>
      <c r="I500" s="1132"/>
      <c r="J500" s="819"/>
      <c r="K500" s="819"/>
      <c r="L500" s="819"/>
      <c r="M500" s="1128" t="str">
        <f>+IFERROR(VLOOKUP(G500,'S1&amp;2 Lists'!$C$8:$G$112,3,FALSE),"-")</f>
        <v>-</v>
      </c>
      <c r="N500" s="1128" t="str">
        <f t="shared" si="7"/>
        <v>-</v>
      </c>
      <c r="P500" s="1130">
        <f>ROUND(IF(L500='S1&amp;2 Lists'!$CV$3,K500,IF(L500='S1&amp;2 Lists'!$CV$4,K500/'S1&amp;2 Lists'!$CQ$6,0)),3)</f>
        <v>0</v>
      </c>
      <c r="Q500" s="11" t="s">
        <v>12</v>
      </c>
    </row>
    <row r="501" spans="1:17" s="1129" customFormat="1" ht="24" customHeight="1">
      <c r="A501" s="819"/>
      <c r="B501" s="819"/>
      <c r="C501" s="1131"/>
      <c r="D501" s="819"/>
      <c r="E501" s="1132"/>
      <c r="F501" s="819"/>
      <c r="G501" s="1134"/>
      <c r="H501" s="819"/>
      <c r="I501" s="1132"/>
      <c r="J501" s="819"/>
      <c r="K501" s="819"/>
      <c r="L501" s="819"/>
      <c r="M501" s="1128" t="str">
        <f>+IFERROR(VLOOKUP(G501,'S1&amp;2 Lists'!$C$8:$G$112,3,FALSE),"-")</f>
        <v>-</v>
      </c>
      <c r="N501" s="1128" t="str">
        <f t="shared" si="7"/>
        <v>-</v>
      </c>
      <c r="P501" s="1130">
        <f>ROUND(IF(L501='S1&amp;2 Lists'!$CV$3,K501,IF(L501='S1&amp;2 Lists'!$CV$4,K501/'S1&amp;2 Lists'!$CQ$6,0)),3)</f>
        <v>0</v>
      </c>
      <c r="Q501" s="11" t="s">
        <v>12</v>
      </c>
    </row>
    <row r="502" spans="1:17" s="1129" customFormat="1" ht="24" customHeight="1">
      <c r="A502" s="819"/>
      <c r="B502" s="819"/>
      <c r="C502" s="1131"/>
      <c r="D502" s="819"/>
      <c r="E502" s="1132"/>
      <c r="F502" s="819"/>
      <c r="G502" s="1134"/>
      <c r="H502" s="819"/>
      <c r="I502" s="1132"/>
      <c r="J502" s="819"/>
      <c r="K502" s="819"/>
      <c r="L502" s="819"/>
      <c r="M502" s="1128" t="str">
        <f>+IFERROR(VLOOKUP(G502,'S1&amp;2 Lists'!$C$8:$G$112,3,FALSE),"-")</f>
        <v>-</v>
      </c>
      <c r="N502" s="1128" t="str">
        <f t="shared" si="7"/>
        <v>-</v>
      </c>
      <c r="P502" s="1130">
        <f>ROUND(IF(L502='S1&amp;2 Lists'!$CV$3,K502,IF(L502='S1&amp;2 Lists'!$CV$4,K502/'S1&amp;2 Lists'!$CQ$6,0)),3)</f>
        <v>0</v>
      </c>
      <c r="Q502" s="11" t="s">
        <v>12</v>
      </c>
    </row>
    <row r="503" spans="1:17" s="1129" customFormat="1" ht="24" customHeight="1">
      <c r="A503" s="819"/>
      <c r="B503" s="819"/>
      <c r="C503" s="1131"/>
      <c r="D503" s="819"/>
      <c r="E503" s="1132"/>
      <c r="F503" s="819"/>
      <c r="G503" s="1134"/>
      <c r="H503" s="819"/>
      <c r="I503" s="1132"/>
      <c r="J503" s="819"/>
      <c r="K503" s="819"/>
      <c r="L503" s="819"/>
      <c r="M503" s="1128" t="str">
        <f>+IFERROR(VLOOKUP(G503,'S1&amp;2 Lists'!$C$8:$G$112,3,FALSE),"-")</f>
        <v>-</v>
      </c>
      <c r="N503" s="1128" t="str">
        <f t="shared" si="7"/>
        <v>-</v>
      </c>
      <c r="P503" s="1130">
        <f>ROUND(IF(L503='S1&amp;2 Lists'!$CV$3,K503,IF(L503='S1&amp;2 Lists'!$CV$4,K503/'S1&amp;2 Lists'!$CQ$6,0)),3)</f>
        <v>0</v>
      </c>
      <c r="Q503" s="11" t="s">
        <v>12</v>
      </c>
    </row>
    <row r="504" spans="1:17" s="1129" customFormat="1" ht="24" customHeight="1">
      <c r="A504" s="819"/>
      <c r="B504" s="819"/>
      <c r="C504" s="1131"/>
      <c r="D504" s="819"/>
      <c r="E504" s="1132"/>
      <c r="F504" s="819"/>
      <c r="G504" s="1134"/>
      <c r="H504" s="819"/>
      <c r="I504" s="1132"/>
      <c r="J504" s="819"/>
      <c r="K504" s="819"/>
      <c r="L504" s="819"/>
      <c r="M504" s="1128" t="str">
        <f>+IFERROR(VLOOKUP(G504,'S1&amp;2 Lists'!$C$8:$G$112,3,FALSE),"-")</f>
        <v>-</v>
      </c>
      <c r="N504" s="1128" t="str">
        <f t="shared" si="7"/>
        <v>-</v>
      </c>
      <c r="P504" s="1130">
        <f>ROUND(IF(L504='S1&amp;2 Lists'!$CV$3,K504,IF(L504='S1&amp;2 Lists'!$CV$4,K504/'S1&amp;2 Lists'!$CQ$6,0)),3)</f>
        <v>0</v>
      </c>
      <c r="Q504" s="11" t="s">
        <v>12</v>
      </c>
    </row>
    <row r="505" spans="1:17" s="1129" customFormat="1" ht="24" customHeight="1">
      <c r="A505" s="819"/>
      <c r="B505" s="819"/>
      <c r="C505" s="1131"/>
      <c r="D505" s="819"/>
      <c r="E505" s="1132"/>
      <c r="F505" s="819"/>
      <c r="G505" s="1134"/>
      <c r="H505" s="819"/>
      <c r="I505" s="1132"/>
      <c r="J505" s="819"/>
      <c r="K505" s="819"/>
      <c r="L505" s="819"/>
      <c r="M505" s="1128" t="str">
        <f>+IFERROR(VLOOKUP(G505,'S1&amp;2 Lists'!$C$8:$G$112,3,FALSE),"-")</f>
        <v>-</v>
      </c>
      <c r="N505" s="1128" t="str">
        <f t="shared" si="7"/>
        <v>-</v>
      </c>
      <c r="P505" s="1130">
        <f>ROUND(IF(L505='S1&amp;2 Lists'!$CV$3,K505,IF(L505='S1&amp;2 Lists'!$CV$4,K505/'S1&amp;2 Lists'!$CQ$6,0)),3)</f>
        <v>0</v>
      </c>
      <c r="Q505" s="11" t="s">
        <v>12</v>
      </c>
    </row>
    <row r="506" spans="1:17" s="1129" customFormat="1" ht="24" customHeight="1">
      <c r="A506" s="819"/>
      <c r="B506" s="819"/>
      <c r="C506" s="1131"/>
      <c r="D506" s="819"/>
      <c r="E506" s="1132"/>
      <c r="F506" s="819"/>
      <c r="G506" s="1134"/>
      <c r="H506" s="819"/>
      <c r="I506" s="1132"/>
      <c r="J506" s="819"/>
      <c r="K506" s="819"/>
      <c r="L506" s="819"/>
      <c r="M506" s="1128" t="str">
        <f>+IFERROR(VLOOKUP(G506,'S1&amp;2 Lists'!$C$8:$G$112,3,FALSE),"-")</f>
        <v>-</v>
      </c>
      <c r="N506" s="1128" t="str">
        <f t="shared" si="7"/>
        <v>-</v>
      </c>
      <c r="P506" s="1130">
        <f>ROUND(IF(L506='S1&amp;2 Lists'!$CV$3,K506,IF(L506='S1&amp;2 Lists'!$CV$4,K506/'S1&amp;2 Lists'!$CQ$6,0)),3)</f>
        <v>0</v>
      </c>
      <c r="Q506" s="11" t="s">
        <v>12</v>
      </c>
    </row>
    <row r="507" spans="1:17" s="1129" customFormat="1" ht="24" customHeight="1">
      <c r="A507" s="819"/>
      <c r="B507" s="819"/>
      <c r="C507" s="1131"/>
      <c r="D507" s="819"/>
      <c r="E507" s="1132"/>
      <c r="F507" s="819"/>
      <c r="G507" s="1134"/>
      <c r="H507" s="819"/>
      <c r="I507" s="1132"/>
      <c r="J507" s="819"/>
      <c r="K507" s="819"/>
      <c r="L507" s="819"/>
      <c r="M507" s="1128" t="str">
        <f>+IFERROR(VLOOKUP(G507,'S1&amp;2 Lists'!$C$8:$G$112,3,FALSE),"-")</f>
        <v>-</v>
      </c>
      <c r="N507" s="1128" t="str">
        <f t="shared" si="7"/>
        <v>-</v>
      </c>
      <c r="P507" s="1130">
        <f>ROUND(IF(L507='S1&amp;2 Lists'!$CV$3,K507,IF(L507='S1&amp;2 Lists'!$CV$4,K507/'S1&amp;2 Lists'!$CQ$6,0)),3)</f>
        <v>0</v>
      </c>
      <c r="Q507" s="11" t="s">
        <v>12</v>
      </c>
    </row>
    <row r="508" spans="1:17" s="1129" customFormat="1" ht="24" customHeight="1">
      <c r="A508" s="819"/>
      <c r="B508" s="819"/>
      <c r="C508" s="1131"/>
      <c r="D508" s="819"/>
      <c r="E508" s="1132"/>
      <c r="F508" s="819"/>
      <c r="G508" s="1134"/>
      <c r="H508" s="819"/>
      <c r="I508" s="1132"/>
      <c r="J508" s="819"/>
      <c r="K508" s="819"/>
      <c r="L508" s="819"/>
      <c r="M508" s="1128" t="str">
        <f>+IFERROR(VLOOKUP(G508,'S1&amp;2 Lists'!$C$8:$G$112,3,FALSE),"-")</f>
        <v>-</v>
      </c>
      <c r="N508" s="1128" t="str">
        <f t="shared" si="7"/>
        <v>-</v>
      </c>
      <c r="P508" s="1130">
        <f>ROUND(IF(L508='S1&amp;2 Lists'!$CV$3,K508,IF(L508='S1&amp;2 Lists'!$CV$4,K508/'S1&amp;2 Lists'!$CQ$6,0)),3)</f>
        <v>0</v>
      </c>
      <c r="Q508" s="11" t="s">
        <v>12</v>
      </c>
    </row>
    <row r="509" spans="1:17" s="1129" customFormat="1" ht="24" customHeight="1">
      <c r="A509" s="819"/>
      <c r="B509" s="819"/>
      <c r="C509" s="1131"/>
      <c r="D509" s="819"/>
      <c r="E509" s="1132"/>
      <c r="F509" s="819"/>
      <c r="G509" s="1134"/>
      <c r="H509" s="819"/>
      <c r="I509" s="1132"/>
      <c r="J509" s="819"/>
      <c r="K509" s="819"/>
      <c r="L509" s="819"/>
      <c r="M509" s="1128" t="str">
        <f>+IFERROR(VLOOKUP(G509,'S1&amp;2 Lists'!$C$8:$G$112,3,FALSE),"-")</f>
        <v>-</v>
      </c>
      <c r="N509" s="1128" t="str">
        <f t="shared" si="7"/>
        <v>-</v>
      </c>
      <c r="P509" s="1130">
        <f>ROUND(IF(L509='S1&amp;2 Lists'!$CV$3,K509,IF(L509='S1&amp;2 Lists'!$CV$4,K509/'S1&amp;2 Lists'!$CQ$6,0)),3)</f>
        <v>0</v>
      </c>
      <c r="Q509" s="11" t="s">
        <v>12</v>
      </c>
    </row>
    <row r="510" spans="1:17" s="1129" customFormat="1" ht="24" customHeight="1">
      <c r="A510" s="819"/>
      <c r="B510" s="819"/>
      <c r="C510" s="1131"/>
      <c r="D510" s="819"/>
      <c r="E510" s="1132"/>
      <c r="F510" s="819"/>
      <c r="G510" s="1134"/>
      <c r="H510" s="819"/>
      <c r="I510" s="1132"/>
      <c r="J510" s="819"/>
      <c r="K510" s="819"/>
      <c r="L510" s="819"/>
      <c r="M510" s="1128" t="str">
        <f>+IFERROR(VLOOKUP(G510,'S1&amp;2 Lists'!$C$8:$G$112,3,FALSE),"-")</f>
        <v>-</v>
      </c>
      <c r="N510" s="1128" t="str">
        <f t="shared" si="7"/>
        <v>-</v>
      </c>
      <c r="P510" s="1130">
        <f>ROUND(IF(L510='S1&amp;2 Lists'!$CV$3,K510,IF(L510='S1&amp;2 Lists'!$CV$4,K510/'S1&amp;2 Lists'!$CQ$6,0)),3)</f>
        <v>0</v>
      </c>
      <c r="Q510" s="11" t="s">
        <v>12</v>
      </c>
    </row>
    <row r="511" spans="1:17" s="1129" customFormat="1" ht="24" customHeight="1">
      <c r="A511" s="819"/>
      <c r="B511" s="819"/>
      <c r="C511" s="1131"/>
      <c r="D511" s="819"/>
      <c r="E511" s="1132"/>
      <c r="F511" s="819"/>
      <c r="G511" s="1134"/>
      <c r="H511" s="819"/>
      <c r="I511" s="1132"/>
      <c r="J511" s="819"/>
      <c r="K511" s="819"/>
      <c r="L511" s="819"/>
      <c r="M511" s="1128" t="str">
        <f>+IFERROR(VLOOKUP(G511,'S1&amp;2 Lists'!$C$8:$G$112,3,FALSE),"-")</f>
        <v>-</v>
      </c>
      <c r="N511" s="1128" t="str">
        <f t="shared" si="7"/>
        <v>-</v>
      </c>
      <c r="P511" s="1130">
        <f>ROUND(IF(L511='S1&amp;2 Lists'!$CV$3,K511,IF(L511='S1&amp;2 Lists'!$CV$4,K511/'S1&amp;2 Lists'!$CQ$6,0)),3)</f>
        <v>0</v>
      </c>
      <c r="Q511" s="11" t="s">
        <v>12</v>
      </c>
    </row>
    <row r="512" spans="1:17" s="1129" customFormat="1" ht="24" customHeight="1">
      <c r="A512" s="819"/>
      <c r="B512" s="819"/>
      <c r="C512" s="1131"/>
      <c r="D512" s="819"/>
      <c r="E512" s="1132"/>
      <c r="F512" s="819"/>
      <c r="G512" s="1134"/>
      <c r="H512" s="819"/>
      <c r="I512" s="1132"/>
      <c r="J512" s="819"/>
      <c r="K512" s="819"/>
      <c r="L512" s="819"/>
      <c r="M512" s="1128" t="str">
        <f>+IFERROR(VLOOKUP(G512,'S1&amp;2 Lists'!$C$8:$G$112,3,FALSE),"-")</f>
        <v>-</v>
      </c>
      <c r="N512" s="1128" t="str">
        <f t="shared" si="7"/>
        <v>-</v>
      </c>
      <c r="P512" s="1130">
        <f>ROUND(IF(L512='S1&amp;2 Lists'!$CV$3,K512,IF(L512='S1&amp;2 Lists'!$CV$4,K512/'S1&amp;2 Lists'!$CQ$6,0)),3)</f>
        <v>0</v>
      </c>
      <c r="Q512" s="11" t="s">
        <v>12</v>
      </c>
    </row>
    <row r="513" spans="1:17" s="1129" customFormat="1" ht="24" customHeight="1">
      <c r="A513" s="819"/>
      <c r="B513" s="819"/>
      <c r="C513" s="1131"/>
      <c r="D513" s="819"/>
      <c r="E513" s="1132"/>
      <c r="F513" s="819"/>
      <c r="G513" s="1134"/>
      <c r="H513" s="819"/>
      <c r="I513" s="1132"/>
      <c r="J513" s="819"/>
      <c r="K513" s="819"/>
      <c r="L513" s="819"/>
      <c r="M513" s="1128" t="str">
        <f>+IFERROR(VLOOKUP(G513,'S1&amp;2 Lists'!$C$8:$G$112,3,FALSE),"-")</f>
        <v>-</v>
      </c>
      <c r="N513" s="1128" t="str">
        <f t="shared" si="7"/>
        <v>-</v>
      </c>
      <c r="P513" s="1130">
        <f>ROUND(IF(L513='S1&amp;2 Lists'!$CV$3,K513,IF(L513='S1&amp;2 Lists'!$CV$4,K513/'S1&amp;2 Lists'!$CQ$6,0)),3)</f>
        <v>0</v>
      </c>
      <c r="Q513" s="11" t="s">
        <v>12</v>
      </c>
    </row>
    <row r="514" spans="1:17" s="1129" customFormat="1" ht="24" customHeight="1">
      <c r="A514" s="819"/>
      <c r="B514" s="819"/>
      <c r="C514" s="1131"/>
      <c r="D514" s="819"/>
      <c r="E514" s="1132"/>
      <c r="F514" s="819"/>
      <c r="G514" s="1134"/>
      <c r="H514" s="819"/>
      <c r="I514" s="1132"/>
      <c r="J514" s="819"/>
      <c r="K514" s="819"/>
      <c r="L514" s="819"/>
      <c r="M514" s="1128" t="str">
        <f>+IFERROR(VLOOKUP(G514,'S1&amp;2 Lists'!$C$8:$G$112,3,FALSE),"-")</f>
        <v>-</v>
      </c>
      <c r="N514" s="1128" t="str">
        <f t="shared" si="7"/>
        <v>-</v>
      </c>
      <c r="P514" s="1130">
        <f>ROUND(IF(L514='S1&amp;2 Lists'!$CV$3,K514,IF(L514='S1&amp;2 Lists'!$CV$4,K514/'S1&amp;2 Lists'!$CQ$6,0)),3)</f>
        <v>0</v>
      </c>
      <c r="Q514" s="11" t="s">
        <v>12</v>
      </c>
    </row>
    <row r="515" spans="1:17" s="1129" customFormat="1" ht="24" customHeight="1">
      <c r="A515" s="819"/>
      <c r="B515" s="819"/>
      <c r="C515" s="1131"/>
      <c r="D515" s="819"/>
      <c r="E515" s="1132"/>
      <c r="F515" s="819"/>
      <c r="G515" s="1134"/>
      <c r="H515" s="819"/>
      <c r="I515" s="1132"/>
      <c r="J515" s="819"/>
      <c r="K515" s="819"/>
      <c r="L515" s="819"/>
      <c r="M515" s="1128" t="str">
        <f>+IFERROR(VLOOKUP(G515,'S1&amp;2 Lists'!$C$8:$G$112,3,FALSE),"-")</f>
        <v>-</v>
      </c>
      <c r="N515" s="1128" t="str">
        <f t="shared" si="7"/>
        <v>-</v>
      </c>
      <c r="P515" s="1130">
        <f>ROUND(IF(L515='S1&amp;2 Lists'!$CV$3,K515,IF(L515='S1&amp;2 Lists'!$CV$4,K515/'S1&amp;2 Lists'!$CQ$6,0)),3)</f>
        <v>0</v>
      </c>
      <c r="Q515" s="11" t="s">
        <v>12</v>
      </c>
    </row>
    <row r="516" spans="1:17" s="1129" customFormat="1" ht="24" customHeight="1">
      <c r="A516" s="819"/>
      <c r="B516" s="819"/>
      <c r="C516" s="1131"/>
      <c r="D516" s="819"/>
      <c r="E516" s="1132"/>
      <c r="F516" s="819"/>
      <c r="G516" s="1134"/>
      <c r="H516" s="819"/>
      <c r="I516" s="1132"/>
      <c r="J516" s="819"/>
      <c r="K516" s="819"/>
      <c r="L516" s="819"/>
      <c r="M516" s="1128" t="str">
        <f>+IFERROR(VLOOKUP(G516,'S1&amp;2 Lists'!$C$8:$G$112,3,FALSE),"-")</f>
        <v>-</v>
      </c>
      <c r="N516" s="1128" t="str">
        <f t="shared" si="7"/>
        <v>-</v>
      </c>
      <c r="P516" s="1130">
        <f>ROUND(IF(L516='S1&amp;2 Lists'!$CV$3,K516,IF(L516='S1&amp;2 Lists'!$CV$4,K516/'S1&amp;2 Lists'!$CQ$6,0)),3)</f>
        <v>0</v>
      </c>
      <c r="Q516" s="11" t="s">
        <v>12</v>
      </c>
    </row>
    <row r="517" spans="1:17" s="1129" customFormat="1" ht="24" customHeight="1">
      <c r="A517" s="819"/>
      <c r="B517" s="819"/>
      <c r="C517" s="1131"/>
      <c r="D517" s="819"/>
      <c r="E517" s="1132"/>
      <c r="F517" s="819"/>
      <c r="G517" s="1134"/>
      <c r="H517" s="819"/>
      <c r="I517" s="1132"/>
      <c r="J517" s="819"/>
      <c r="K517" s="819"/>
      <c r="L517" s="819"/>
      <c r="M517" s="1128" t="str">
        <f>+IFERROR(VLOOKUP(G517,'S1&amp;2 Lists'!$C$8:$G$112,3,FALSE),"-")</f>
        <v>-</v>
      </c>
      <c r="N517" s="1128" t="str">
        <f t="shared" si="7"/>
        <v>-</v>
      </c>
      <c r="P517" s="1130">
        <f>ROUND(IF(L517='S1&amp;2 Lists'!$CV$3,K517,IF(L517='S1&amp;2 Lists'!$CV$4,K517/'S1&amp;2 Lists'!$CQ$6,0)),3)</f>
        <v>0</v>
      </c>
      <c r="Q517" s="11" t="s">
        <v>12</v>
      </c>
    </row>
    <row r="518" spans="1:17" s="1129" customFormat="1" ht="24" customHeight="1">
      <c r="A518" s="819"/>
      <c r="B518" s="819"/>
      <c r="C518" s="1131"/>
      <c r="D518" s="819"/>
      <c r="E518" s="1132"/>
      <c r="F518" s="819"/>
      <c r="G518" s="1134"/>
      <c r="H518" s="819"/>
      <c r="I518" s="1132"/>
      <c r="J518" s="819"/>
      <c r="K518" s="819"/>
      <c r="L518" s="819"/>
      <c r="M518" s="1128" t="str">
        <f>+IFERROR(VLOOKUP(G518,'S1&amp;2 Lists'!$C$8:$G$112,3,FALSE),"-")</f>
        <v>-</v>
      </c>
      <c r="N518" s="1128" t="str">
        <f t="shared" si="7"/>
        <v>-</v>
      </c>
      <c r="P518" s="1130">
        <f>ROUND(IF(L518='S1&amp;2 Lists'!$CV$3,K518,IF(L518='S1&amp;2 Lists'!$CV$4,K518/'S1&amp;2 Lists'!$CQ$6,0)),3)</f>
        <v>0</v>
      </c>
      <c r="Q518" s="11" t="s">
        <v>12</v>
      </c>
    </row>
    <row r="519" spans="1:17" s="1129" customFormat="1" ht="24" customHeight="1">
      <c r="A519" s="819"/>
      <c r="B519" s="819"/>
      <c r="C519" s="1131"/>
      <c r="D519" s="819"/>
      <c r="E519" s="1132"/>
      <c r="F519" s="819"/>
      <c r="G519" s="1134"/>
      <c r="H519" s="819"/>
      <c r="I519" s="1132"/>
      <c r="J519" s="819"/>
      <c r="K519" s="819"/>
      <c r="L519" s="819"/>
      <c r="M519" s="1128" t="str">
        <f>+IFERROR(VLOOKUP(G519,'S1&amp;2 Lists'!$C$8:$G$112,3,FALSE),"-")</f>
        <v>-</v>
      </c>
      <c r="N519" s="1128" t="str">
        <f t="shared" si="7"/>
        <v>-</v>
      </c>
      <c r="P519" s="1130">
        <f>ROUND(IF(L519='S1&amp;2 Lists'!$CV$3,K519,IF(L519='S1&amp;2 Lists'!$CV$4,K519/'S1&amp;2 Lists'!$CQ$6,0)),3)</f>
        <v>0</v>
      </c>
      <c r="Q519" s="11" t="s">
        <v>12</v>
      </c>
    </row>
    <row r="520" spans="1:17" s="1129" customFormat="1" ht="24" customHeight="1">
      <c r="A520" s="819"/>
      <c r="B520" s="819"/>
      <c r="C520" s="1131"/>
      <c r="D520" s="819"/>
      <c r="E520" s="1132"/>
      <c r="F520" s="819"/>
      <c r="G520" s="1134"/>
      <c r="H520" s="819"/>
      <c r="I520" s="1132"/>
      <c r="J520" s="819"/>
      <c r="K520" s="819"/>
      <c r="L520" s="819"/>
      <c r="M520" s="1128" t="str">
        <f>+IFERROR(VLOOKUP(G520,'S1&amp;2 Lists'!$C$8:$G$112,3,FALSE),"-")</f>
        <v>-</v>
      </c>
      <c r="N520" s="1128" t="str">
        <f t="shared" si="7"/>
        <v>-</v>
      </c>
      <c r="P520" s="1130">
        <f>ROUND(IF(L520='S1&amp;2 Lists'!$CV$3,K520,IF(L520='S1&amp;2 Lists'!$CV$4,K520/'S1&amp;2 Lists'!$CQ$6,0)),3)</f>
        <v>0</v>
      </c>
      <c r="Q520" s="11" t="s">
        <v>12</v>
      </c>
    </row>
    <row r="521" spans="1:17" s="1129" customFormat="1" ht="24" customHeight="1">
      <c r="A521" s="819"/>
      <c r="B521" s="819"/>
      <c r="C521" s="1131"/>
      <c r="D521" s="819"/>
      <c r="E521" s="1132"/>
      <c r="F521" s="819"/>
      <c r="G521" s="1134"/>
      <c r="H521" s="819"/>
      <c r="I521" s="1132"/>
      <c r="J521" s="819"/>
      <c r="K521" s="819"/>
      <c r="L521" s="819"/>
      <c r="M521" s="1128" t="str">
        <f>+IFERROR(VLOOKUP(G521,'S1&amp;2 Lists'!$C$8:$G$112,3,FALSE),"-")</f>
        <v>-</v>
      </c>
      <c r="N521" s="1128" t="str">
        <f t="shared" si="7"/>
        <v>-</v>
      </c>
      <c r="P521" s="1130">
        <f>ROUND(IF(L521='S1&amp;2 Lists'!$CV$3,K521,IF(L521='S1&amp;2 Lists'!$CV$4,K521/'S1&amp;2 Lists'!$CQ$6,0)),3)</f>
        <v>0</v>
      </c>
      <c r="Q521" s="11" t="s">
        <v>12</v>
      </c>
    </row>
    <row r="522" spans="1:17" s="1129" customFormat="1" ht="24" customHeight="1">
      <c r="A522" s="819"/>
      <c r="B522" s="819"/>
      <c r="C522" s="1131"/>
      <c r="D522" s="819"/>
      <c r="E522" s="1132"/>
      <c r="F522" s="819"/>
      <c r="G522" s="1134"/>
      <c r="H522" s="819"/>
      <c r="I522" s="1132"/>
      <c r="J522" s="819"/>
      <c r="K522" s="819"/>
      <c r="L522" s="819"/>
      <c r="M522" s="1128" t="str">
        <f>+IFERROR(VLOOKUP(G522,'S1&amp;2 Lists'!$C$8:$G$112,3,FALSE),"-")</f>
        <v>-</v>
      </c>
      <c r="N522" s="1128" t="str">
        <f t="shared" si="7"/>
        <v>-</v>
      </c>
      <c r="P522" s="1130">
        <f>ROUND(IF(L522='S1&amp;2 Lists'!$CV$3,K522,IF(L522='S1&amp;2 Lists'!$CV$4,K522/'S1&amp;2 Lists'!$CQ$6,0)),3)</f>
        <v>0</v>
      </c>
      <c r="Q522" s="11" t="s">
        <v>12</v>
      </c>
    </row>
    <row r="523" spans="1:17" s="1129" customFormat="1" ht="24" customHeight="1">
      <c r="A523" s="819"/>
      <c r="B523" s="819"/>
      <c r="C523" s="1131"/>
      <c r="D523" s="819"/>
      <c r="E523" s="1132"/>
      <c r="F523" s="819"/>
      <c r="G523" s="1134"/>
      <c r="H523" s="819"/>
      <c r="I523" s="1132"/>
      <c r="J523" s="819"/>
      <c r="K523" s="819"/>
      <c r="L523" s="819"/>
      <c r="M523" s="1128" t="str">
        <f>+IFERROR(VLOOKUP(G523,'S1&amp;2 Lists'!$C$8:$G$112,3,FALSE),"-")</f>
        <v>-</v>
      </c>
      <c r="N523" s="1128" t="str">
        <f t="shared" ref="N523:N586" si="8">+IFERROR(P523*M523,"-")</f>
        <v>-</v>
      </c>
      <c r="P523" s="1130">
        <f>ROUND(IF(L523='S1&amp;2 Lists'!$CV$3,K523,IF(L523='S1&amp;2 Lists'!$CV$4,K523/'S1&amp;2 Lists'!$CQ$6,0)),3)</f>
        <v>0</v>
      </c>
      <c r="Q523" s="11" t="s">
        <v>12</v>
      </c>
    </row>
    <row r="524" spans="1:17" s="1129" customFormat="1" ht="24" customHeight="1">
      <c r="A524" s="819"/>
      <c r="B524" s="819"/>
      <c r="C524" s="1131"/>
      <c r="D524" s="819"/>
      <c r="E524" s="1132"/>
      <c r="F524" s="819"/>
      <c r="G524" s="1134"/>
      <c r="H524" s="819"/>
      <c r="I524" s="1132"/>
      <c r="J524" s="819"/>
      <c r="K524" s="819"/>
      <c r="L524" s="819"/>
      <c r="M524" s="1128" t="str">
        <f>+IFERROR(VLOOKUP(G524,'S1&amp;2 Lists'!$C$8:$G$112,3,FALSE),"-")</f>
        <v>-</v>
      </c>
      <c r="N524" s="1128" t="str">
        <f t="shared" si="8"/>
        <v>-</v>
      </c>
      <c r="P524" s="1130">
        <f>ROUND(IF(L524='S1&amp;2 Lists'!$CV$3,K524,IF(L524='S1&amp;2 Lists'!$CV$4,K524/'S1&amp;2 Lists'!$CQ$6,0)),3)</f>
        <v>0</v>
      </c>
      <c r="Q524" s="11" t="s">
        <v>12</v>
      </c>
    </row>
    <row r="525" spans="1:17" s="1129" customFormat="1" ht="24" customHeight="1">
      <c r="A525" s="819"/>
      <c r="B525" s="819"/>
      <c r="C525" s="1131"/>
      <c r="D525" s="819"/>
      <c r="E525" s="1132"/>
      <c r="F525" s="819"/>
      <c r="G525" s="1134"/>
      <c r="H525" s="819"/>
      <c r="I525" s="1132"/>
      <c r="J525" s="819"/>
      <c r="K525" s="819"/>
      <c r="L525" s="819"/>
      <c r="M525" s="1128" t="str">
        <f>+IFERROR(VLOOKUP(G525,'S1&amp;2 Lists'!$C$8:$G$112,3,FALSE),"-")</f>
        <v>-</v>
      </c>
      <c r="N525" s="1128" t="str">
        <f t="shared" si="8"/>
        <v>-</v>
      </c>
      <c r="P525" s="1130">
        <f>ROUND(IF(L525='S1&amp;2 Lists'!$CV$3,K525,IF(L525='S1&amp;2 Lists'!$CV$4,K525/'S1&amp;2 Lists'!$CQ$6,0)),3)</f>
        <v>0</v>
      </c>
      <c r="Q525" s="11" t="s">
        <v>12</v>
      </c>
    </row>
    <row r="526" spans="1:17" s="1129" customFormat="1" ht="24" customHeight="1">
      <c r="A526" s="819"/>
      <c r="B526" s="819"/>
      <c r="C526" s="1131"/>
      <c r="D526" s="819"/>
      <c r="E526" s="1132"/>
      <c r="F526" s="819"/>
      <c r="G526" s="1134"/>
      <c r="H526" s="819"/>
      <c r="I526" s="1132"/>
      <c r="J526" s="819"/>
      <c r="K526" s="819"/>
      <c r="L526" s="819"/>
      <c r="M526" s="1128" t="str">
        <f>+IFERROR(VLOOKUP(G526,'S1&amp;2 Lists'!$C$8:$G$112,3,FALSE),"-")</f>
        <v>-</v>
      </c>
      <c r="N526" s="1128" t="str">
        <f t="shared" si="8"/>
        <v>-</v>
      </c>
      <c r="P526" s="1130">
        <f>ROUND(IF(L526='S1&amp;2 Lists'!$CV$3,K526,IF(L526='S1&amp;2 Lists'!$CV$4,K526/'S1&amp;2 Lists'!$CQ$6,0)),3)</f>
        <v>0</v>
      </c>
      <c r="Q526" s="11" t="s">
        <v>12</v>
      </c>
    </row>
    <row r="527" spans="1:17" s="1129" customFormat="1" ht="24" customHeight="1">
      <c r="A527" s="819"/>
      <c r="B527" s="819"/>
      <c r="C527" s="1131"/>
      <c r="D527" s="819"/>
      <c r="E527" s="1132"/>
      <c r="F527" s="819"/>
      <c r="G527" s="1134"/>
      <c r="H527" s="819"/>
      <c r="I527" s="1132"/>
      <c r="J527" s="819"/>
      <c r="K527" s="819"/>
      <c r="L527" s="819"/>
      <c r="M527" s="1128" t="str">
        <f>+IFERROR(VLOOKUP(G527,'S1&amp;2 Lists'!$C$8:$G$112,3,FALSE),"-")</f>
        <v>-</v>
      </c>
      <c r="N527" s="1128" t="str">
        <f t="shared" si="8"/>
        <v>-</v>
      </c>
      <c r="P527" s="1130">
        <f>ROUND(IF(L527='S1&amp;2 Lists'!$CV$3,K527,IF(L527='S1&amp;2 Lists'!$CV$4,K527/'S1&amp;2 Lists'!$CQ$6,0)),3)</f>
        <v>0</v>
      </c>
      <c r="Q527" s="11" t="s">
        <v>12</v>
      </c>
    </row>
    <row r="528" spans="1:17" s="1129" customFormat="1" ht="24" customHeight="1">
      <c r="A528" s="819"/>
      <c r="B528" s="819"/>
      <c r="C528" s="1131"/>
      <c r="D528" s="819"/>
      <c r="E528" s="1132"/>
      <c r="F528" s="819"/>
      <c r="G528" s="1134"/>
      <c r="H528" s="819"/>
      <c r="I528" s="1132"/>
      <c r="J528" s="819"/>
      <c r="K528" s="819"/>
      <c r="L528" s="819"/>
      <c r="M528" s="1128" t="str">
        <f>+IFERROR(VLOOKUP(G528,'S1&amp;2 Lists'!$C$8:$G$112,3,FALSE),"-")</f>
        <v>-</v>
      </c>
      <c r="N528" s="1128" t="str">
        <f t="shared" si="8"/>
        <v>-</v>
      </c>
      <c r="P528" s="1130">
        <f>ROUND(IF(L528='S1&amp;2 Lists'!$CV$3,K528,IF(L528='S1&amp;2 Lists'!$CV$4,K528/'S1&amp;2 Lists'!$CQ$6,0)),3)</f>
        <v>0</v>
      </c>
      <c r="Q528" s="11" t="s">
        <v>12</v>
      </c>
    </row>
    <row r="529" spans="1:17" s="1129" customFormat="1" ht="24" customHeight="1">
      <c r="A529" s="819"/>
      <c r="B529" s="819"/>
      <c r="C529" s="1131"/>
      <c r="D529" s="819"/>
      <c r="E529" s="1132"/>
      <c r="F529" s="819"/>
      <c r="G529" s="1134"/>
      <c r="H529" s="819"/>
      <c r="I529" s="1132"/>
      <c r="J529" s="819"/>
      <c r="K529" s="819"/>
      <c r="L529" s="819"/>
      <c r="M529" s="1128" t="str">
        <f>+IFERROR(VLOOKUP(G529,'S1&amp;2 Lists'!$C$8:$G$112,3,FALSE),"-")</f>
        <v>-</v>
      </c>
      <c r="N529" s="1128" t="str">
        <f t="shared" si="8"/>
        <v>-</v>
      </c>
      <c r="P529" s="1130">
        <f>ROUND(IF(L529='S1&amp;2 Lists'!$CV$3,K529,IF(L529='S1&amp;2 Lists'!$CV$4,K529/'S1&amp;2 Lists'!$CQ$6,0)),3)</f>
        <v>0</v>
      </c>
      <c r="Q529" s="11" t="s">
        <v>12</v>
      </c>
    </row>
    <row r="530" spans="1:17" s="1129" customFormat="1" ht="24" customHeight="1">
      <c r="A530" s="819"/>
      <c r="B530" s="819"/>
      <c r="C530" s="1131"/>
      <c r="D530" s="819"/>
      <c r="E530" s="1132"/>
      <c r="F530" s="819"/>
      <c r="G530" s="1134"/>
      <c r="H530" s="819"/>
      <c r="I530" s="1132"/>
      <c r="J530" s="819"/>
      <c r="K530" s="819"/>
      <c r="L530" s="819"/>
      <c r="M530" s="1128" t="str">
        <f>+IFERROR(VLOOKUP(G530,'S1&amp;2 Lists'!$C$8:$G$112,3,FALSE),"-")</f>
        <v>-</v>
      </c>
      <c r="N530" s="1128" t="str">
        <f t="shared" si="8"/>
        <v>-</v>
      </c>
      <c r="P530" s="1130">
        <f>ROUND(IF(L530='S1&amp;2 Lists'!$CV$3,K530,IF(L530='S1&amp;2 Lists'!$CV$4,K530/'S1&amp;2 Lists'!$CQ$6,0)),3)</f>
        <v>0</v>
      </c>
      <c r="Q530" s="11" t="s">
        <v>12</v>
      </c>
    </row>
    <row r="531" spans="1:17" s="1129" customFormat="1" ht="24" customHeight="1">
      <c r="A531" s="819"/>
      <c r="B531" s="819"/>
      <c r="C531" s="1131"/>
      <c r="D531" s="819"/>
      <c r="E531" s="1132"/>
      <c r="F531" s="819"/>
      <c r="G531" s="1134"/>
      <c r="H531" s="819"/>
      <c r="I531" s="1132"/>
      <c r="J531" s="819"/>
      <c r="K531" s="819"/>
      <c r="L531" s="819"/>
      <c r="M531" s="1128" t="str">
        <f>+IFERROR(VLOOKUP(G531,'S1&amp;2 Lists'!$C$8:$G$112,3,FALSE),"-")</f>
        <v>-</v>
      </c>
      <c r="N531" s="1128" t="str">
        <f t="shared" si="8"/>
        <v>-</v>
      </c>
      <c r="P531" s="1130">
        <f>ROUND(IF(L531='S1&amp;2 Lists'!$CV$3,K531,IF(L531='S1&amp;2 Lists'!$CV$4,K531/'S1&amp;2 Lists'!$CQ$6,0)),3)</f>
        <v>0</v>
      </c>
      <c r="Q531" s="11" t="s">
        <v>12</v>
      </c>
    </row>
    <row r="532" spans="1:17" s="1129" customFormat="1" ht="24" customHeight="1">
      <c r="A532" s="819"/>
      <c r="B532" s="819"/>
      <c r="C532" s="1131"/>
      <c r="D532" s="819"/>
      <c r="E532" s="1132"/>
      <c r="F532" s="819"/>
      <c r="G532" s="1134"/>
      <c r="H532" s="819"/>
      <c r="I532" s="1132"/>
      <c r="J532" s="819"/>
      <c r="K532" s="819"/>
      <c r="L532" s="819"/>
      <c r="M532" s="1128" t="str">
        <f>+IFERROR(VLOOKUP(G532,'S1&amp;2 Lists'!$C$8:$G$112,3,FALSE),"-")</f>
        <v>-</v>
      </c>
      <c r="N532" s="1128" t="str">
        <f t="shared" si="8"/>
        <v>-</v>
      </c>
      <c r="P532" s="1130">
        <f>ROUND(IF(L532='S1&amp;2 Lists'!$CV$3,K532,IF(L532='S1&amp;2 Lists'!$CV$4,K532/'S1&amp;2 Lists'!$CQ$6,0)),3)</f>
        <v>0</v>
      </c>
      <c r="Q532" s="11" t="s">
        <v>12</v>
      </c>
    </row>
    <row r="533" spans="1:17" s="1129" customFormat="1" ht="24" customHeight="1">
      <c r="A533" s="819"/>
      <c r="B533" s="819"/>
      <c r="C533" s="1131"/>
      <c r="D533" s="819"/>
      <c r="E533" s="1132"/>
      <c r="F533" s="819"/>
      <c r="G533" s="1134"/>
      <c r="H533" s="819"/>
      <c r="I533" s="1132"/>
      <c r="J533" s="819"/>
      <c r="K533" s="819"/>
      <c r="L533" s="819"/>
      <c r="M533" s="1128" t="str">
        <f>+IFERROR(VLOOKUP(G533,'S1&amp;2 Lists'!$C$8:$G$112,3,FALSE),"-")</f>
        <v>-</v>
      </c>
      <c r="N533" s="1128" t="str">
        <f t="shared" si="8"/>
        <v>-</v>
      </c>
      <c r="P533" s="1130">
        <f>ROUND(IF(L533='S1&amp;2 Lists'!$CV$3,K533,IF(L533='S1&amp;2 Lists'!$CV$4,K533/'S1&amp;2 Lists'!$CQ$6,0)),3)</f>
        <v>0</v>
      </c>
      <c r="Q533" s="11" t="s">
        <v>12</v>
      </c>
    </row>
    <row r="534" spans="1:17" s="1129" customFormat="1" ht="24" customHeight="1">
      <c r="A534" s="819"/>
      <c r="B534" s="819"/>
      <c r="C534" s="1131"/>
      <c r="D534" s="819"/>
      <c r="E534" s="1132"/>
      <c r="F534" s="819"/>
      <c r="G534" s="1134"/>
      <c r="H534" s="819"/>
      <c r="I534" s="1132"/>
      <c r="J534" s="819"/>
      <c r="K534" s="819"/>
      <c r="L534" s="819"/>
      <c r="M534" s="1128" t="str">
        <f>+IFERROR(VLOOKUP(G534,'S1&amp;2 Lists'!$C$8:$G$112,3,FALSE),"-")</f>
        <v>-</v>
      </c>
      <c r="N534" s="1128" t="str">
        <f t="shared" si="8"/>
        <v>-</v>
      </c>
      <c r="P534" s="1130">
        <f>ROUND(IF(L534='S1&amp;2 Lists'!$CV$3,K534,IF(L534='S1&amp;2 Lists'!$CV$4,K534/'S1&amp;2 Lists'!$CQ$6,0)),3)</f>
        <v>0</v>
      </c>
      <c r="Q534" s="11" t="s">
        <v>12</v>
      </c>
    </row>
    <row r="535" spans="1:17" s="1129" customFormat="1" ht="24" customHeight="1">
      <c r="A535" s="819"/>
      <c r="B535" s="819"/>
      <c r="C535" s="1131"/>
      <c r="D535" s="819"/>
      <c r="E535" s="1132"/>
      <c r="F535" s="819"/>
      <c r="G535" s="1134"/>
      <c r="H535" s="819"/>
      <c r="I535" s="1132"/>
      <c r="J535" s="819"/>
      <c r="K535" s="819"/>
      <c r="L535" s="819"/>
      <c r="M535" s="1128" t="str">
        <f>+IFERROR(VLOOKUP(G535,'S1&amp;2 Lists'!$C$8:$G$112,3,FALSE),"-")</f>
        <v>-</v>
      </c>
      <c r="N535" s="1128" t="str">
        <f t="shared" si="8"/>
        <v>-</v>
      </c>
      <c r="P535" s="1130">
        <f>ROUND(IF(L535='S1&amp;2 Lists'!$CV$3,K535,IF(L535='S1&amp;2 Lists'!$CV$4,K535/'S1&amp;2 Lists'!$CQ$6,0)),3)</f>
        <v>0</v>
      </c>
      <c r="Q535" s="11" t="s">
        <v>12</v>
      </c>
    </row>
    <row r="536" spans="1:17" s="1129" customFormat="1" ht="24" customHeight="1">
      <c r="A536" s="819"/>
      <c r="B536" s="819"/>
      <c r="C536" s="1131"/>
      <c r="D536" s="819"/>
      <c r="E536" s="1132"/>
      <c r="F536" s="819"/>
      <c r="G536" s="1134"/>
      <c r="H536" s="819"/>
      <c r="I536" s="1132"/>
      <c r="J536" s="819"/>
      <c r="K536" s="819"/>
      <c r="L536" s="819"/>
      <c r="M536" s="1128" t="str">
        <f>+IFERROR(VLOOKUP(G536,'S1&amp;2 Lists'!$C$8:$G$112,3,FALSE),"-")</f>
        <v>-</v>
      </c>
      <c r="N536" s="1128" t="str">
        <f t="shared" si="8"/>
        <v>-</v>
      </c>
      <c r="P536" s="1130">
        <f>ROUND(IF(L536='S1&amp;2 Lists'!$CV$3,K536,IF(L536='S1&amp;2 Lists'!$CV$4,K536/'S1&amp;2 Lists'!$CQ$6,0)),3)</f>
        <v>0</v>
      </c>
      <c r="Q536" s="11" t="s">
        <v>12</v>
      </c>
    </row>
    <row r="537" spans="1:17" s="1129" customFormat="1" ht="24" customHeight="1">
      <c r="A537" s="819"/>
      <c r="B537" s="819"/>
      <c r="C537" s="1131"/>
      <c r="D537" s="819"/>
      <c r="E537" s="1132"/>
      <c r="F537" s="819"/>
      <c r="G537" s="1134"/>
      <c r="H537" s="819"/>
      <c r="I537" s="1132"/>
      <c r="J537" s="819"/>
      <c r="K537" s="819"/>
      <c r="L537" s="819"/>
      <c r="M537" s="1128" t="str">
        <f>+IFERROR(VLOOKUP(G537,'S1&amp;2 Lists'!$C$8:$G$112,3,FALSE),"-")</f>
        <v>-</v>
      </c>
      <c r="N537" s="1128" t="str">
        <f t="shared" si="8"/>
        <v>-</v>
      </c>
      <c r="P537" s="1130">
        <f>ROUND(IF(L537='S1&amp;2 Lists'!$CV$3,K537,IF(L537='S1&amp;2 Lists'!$CV$4,K537/'S1&amp;2 Lists'!$CQ$6,0)),3)</f>
        <v>0</v>
      </c>
      <c r="Q537" s="11" t="s">
        <v>12</v>
      </c>
    </row>
    <row r="538" spans="1:17" s="1129" customFormat="1" ht="24" customHeight="1">
      <c r="A538" s="819"/>
      <c r="B538" s="819"/>
      <c r="C538" s="1131"/>
      <c r="D538" s="819"/>
      <c r="E538" s="1132"/>
      <c r="F538" s="819"/>
      <c r="G538" s="1134"/>
      <c r="H538" s="819"/>
      <c r="I538" s="1132"/>
      <c r="J538" s="819"/>
      <c r="K538" s="819"/>
      <c r="L538" s="819"/>
      <c r="M538" s="1128" t="str">
        <f>+IFERROR(VLOOKUP(G538,'S1&amp;2 Lists'!$C$8:$G$112,3,FALSE),"-")</f>
        <v>-</v>
      </c>
      <c r="N538" s="1128" t="str">
        <f t="shared" si="8"/>
        <v>-</v>
      </c>
      <c r="P538" s="1130">
        <f>ROUND(IF(L538='S1&amp;2 Lists'!$CV$3,K538,IF(L538='S1&amp;2 Lists'!$CV$4,K538/'S1&amp;2 Lists'!$CQ$6,0)),3)</f>
        <v>0</v>
      </c>
      <c r="Q538" s="11" t="s">
        <v>12</v>
      </c>
    </row>
    <row r="539" spans="1:17" s="1129" customFormat="1" ht="24" customHeight="1">
      <c r="A539" s="819"/>
      <c r="B539" s="819"/>
      <c r="C539" s="1131"/>
      <c r="D539" s="819"/>
      <c r="E539" s="1132"/>
      <c r="F539" s="819"/>
      <c r="G539" s="1134"/>
      <c r="H539" s="819"/>
      <c r="I539" s="1132"/>
      <c r="J539" s="819"/>
      <c r="K539" s="819"/>
      <c r="L539" s="819"/>
      <c r="M539" s="1128" t="str">
        <f>+IFERROR(VLOOKUP(G539,'S1&amp;2 Lists'!$C$8:$G$112,3,FALSE),"-")</f>
        <v>-</v>
      </c>
      <c r="N539" s="1128" t="str">
        <f t="shared" si="8"/>
        <v>-</v>
      </c>
      <c r="P539" s="1130">
        <f>ROUND(IF(L539='S1&amp;2 Lists'!$CV$3,K539,IF(L539='S1&amp;2 Lists'!$CV$4,K539/'S1&amp;2 Lists'!$CQ$6,0)),3)</f>
        <v>0</v>
      </c>
      <c r="Q539" s="11" t="s">
        <v>12</v>
      </c>
    </row>
    <row r="540" spans="1:17" s="1129" customFormat="1" ht="24" customHeight="1">
      <c r="A540" s="819"/>
      <c r="B540" s="819"/>
      <c r="C540" s="1131"/>
      <c r="D540" s="819"/>
      <c r="E540" s="1132"/>
      <c r="F540" s="819"/>
      <c r="G540" s="1134"/>
      <c r="H540" s="819"/>
      <c r="I540" s="1132"/>
      <c r="J540" s="819"/>
      <c r="K540" s="819"/>
      <c r="L540" s="819"/>
      <c r="M540" s="1128" t="str">
        <f>+IFERROR(VLOOKUP(G540,'S1&amp;2 Lists'!$C$8:$G$112,3,FALSE),"-")</f>
        <v>-</v>
      </c>
      <c r="N540" s="1128" t="str">
        <f t="shared" si="8"/>
        <v>-</v>
      </c>
      <c r="P540" s="1130">
        <f>ROUND(IF(L540='S1&amp;2 Lists'!$CV$3,K540,IF(L540='S1&amp;2 Lists'!$CV$4,K540/'S1&amp;2 Lists'!$CQ$6,0)),3)</f>
        <v>0</v>
      </c>
      <c r="Q540" s="11" t="s">
        <v>12</v>
      </c>
    </row>
    <row r="541" spans="1:17" s="1129" customFormat="1" ht="24" customHeight="1">
      <c r="A541" s="819"/>
      <c r="B541" s="819"/>
      <c r="C541" s="1131"/>
      <c r="D541" s="819"/>
      <c r="E541" s="1132"/>
      <c r="F541" s="819"/>
      <c r="G541" s="1134"/>
      <c r="H541" s="819"/>
      <c r="I541" s="1132"/>
      <c r="J541" s="819"/>
      <c r="K541" s="819"/>
      <c r="L541" s="819"/>
      <c r="M541" s="1128" t="str">
        <f>+IFERROR(VLOOKUP(G541,'S1&amp;2 Lists'!$C$8:$G$112,3,FALSE),"-")</f>
        <v>-</v>
      </c>
      <c r="N541" s="1128" t="str">
        <f t="shared" si="8"/>
        <v>-</v>
      </c>
      <c r="P541" s="1130">
        <f>ROUND(IF(L541='S1&amp;2 Lists'!$CV$3,K541,IF(L541='S1&amp;2 Lists'!$CV$4,K541/'S1&amp;2 Lists'!$CQ$6,0)),3)</f>
        <v>0</v>
      </c>
      <c r="Q541" s="11" t="s">
        <v>12</v>
      </c>
    </row>
    <row r="542" spans="1:17" s="1129" customFormat="1" ht="24" customHeight="1">
      <c r="A542" s="819"/>
      <c r="B542" s="819"/>
      <c r="C542" s="1131"/>
      <c r="D542" s="819"/>
      <c r="E542" s="1132"/>
      <c r="F542" s="819"/>
      <c r="G542" s="1134"/>
      <c r="H542" s="819"/>
      <c r="I542" s="1132"/>
      <c r="J542" s="819"/>
      <c r="K542" s="819"/>
      <c r="L542" s="819"/>
      <c r="M542" s="1128" t="str">
        <f>+IFERROR(VLOOKUP(G542,'S1&amp;2 Lists'!$C$8:$G$112,3,FALSE),"-")</f>
        <v>-</v>
      </c>
      <c r="N542" s="1128" t="str">
        <f t="shared" si="8"/>
        <v>-</v>
      </c>
      <c r="P542" s="1130">
        <f>ROUND(IF(L542='S1&amp;2 Lists'!$CV$3,K542,IF(L542='S1&amp;2 Lists'!$CV$4,K542/'S1&amp;2 Lists'!$CQ$6,0)),3)</f>
        <v>0</v>
      </c>
      <c r="Q542" s="11" t="s">
        <v>12</v>
      </c>
    </row>
    <row r="543" spans="1:17" s="1129" customFormat="1" ht="24" customHeight="1">
      <c r="A543" s="819"/>
      <c r="B543" s="819"/>
      <c r="C543" s="1131"/>
      <c r="D543" s="819"/>
      <c r="E543" s="1132"/>
      <c r="F543" s="819"/>
      <c r="G543" s="1134"/>
      <c r="H543" s="819"/>
      <c r="I543" s="1132"/>
      <c r="J543" s="819"/>
      <c r="K543" s="819"/>
      <c r="L543" s="819"/>
      <c r="M543" s="1128" t="str">
        <f>+IFERROR(VLOOKUP(G543,'S1&amp;2 Lists'!$C$8:$G$112,3,FALSE),"-")</f>
        <v>-</v>
      </c>
      <c r="N543" s="1128" t="str">
        <f t="shared" si="8"/>
        <v>-</v>
      </c>
      <c r="P543" s="1130">
        <f>ROUND(IF(L543='S1&amp;2 Lists'!$CV$3,K543,IF(L543='S1&amp;2 Lists'!$CV$4,K543/'S1&amp;2 Lists'!$CQ$6,0)),3)</f>
        <v>0</v>
      </c>
      <c r="Q543" s="11" t="s">
        <v>12</v>
      </c>
    </row>
    <row r="544" spans="1:17" s="1129" customFormat="1" ht="24" customHeight="1">
      <c r="A544" s="819"/>
      <c r="B544" s="819"/>
      <c r="C544" s="1131"/>
      <c r="D544" s="819"/>
      <c r="E544" s="1132"/>
      <c r="F544" s="819"/>
      <c r="G544" s="1134"/>
      <c r="H544" s="819"/>
      <c r="I544" s="1132"/>
      <c r="J544" s="819"/>
      <c r="K544" s="819"/>
      <c r="L544" s="819"/>
      <c r="M544" s="1128" t="str">
        <f>+IFERROR(VLOOKUP(G544,'S1&amp;2 Lists'!$C$8:$G$112,3,FALSE),"-")</f>
        <v>-</v>
      </c>
      <c r="N544" s="1128" t="str">
        <f t="shared" si="8"/>
        <v>-</v>
      </c>
      <c r="P544" s="1130">
        <f>ROUND(IF(L544='S1&amp;2 Lists'!$CV$3,K544,IF(L544='S1&amp;2 Lists'!$CV$4,K544/'S1&amp;2 Lists'!$CQ$6,0)),3)</f>
        <v>0</v>
      </c>
      <c r="Q544" s="11" t="s">
        <v>12</v>
      </c>
    </row>
    <row r="545" spans="1:17" s="1129" customFormat="1" ht="24" customHeight="1">
      <c r="A545" s="819"/>
      <c r="B545" s="819"/>
      <c r="C545" s="1131"/>
      <c r="D545" s="819"/>
      <c r="E545" s="1132"/>
      <c r="F545" s="819"/>
      <c r="G545" s="1134"/>
      <c r="H545" s="819"/>
      <c r="I545" s="1132"/>
      <c r="J545" s="819"/>
      <c r="K545" s="819"/>
      <c r="L545" s="819"/>
      <c r="M545" s="1128" t="str">
        <f>+IFERROR(VLOOKUP(G545,'S1&amp;2 Lists'!$C$8:$G$112,3,FALSE),"-")</f>
        <v>-</v>
      </c>
      <c r="N545" s="1128" t="str">
        <f t="shared" si="8"/>
        <v>-</v>
      </c>
      <c r="P545" s="1130">
        <f>ROUND(IF(L545='S1&amp;2 Lists'!$CV$3,K545,IF(L545='S1&amp;2 Lists'!$CV$4,K545/'S1&amp;2 Lists'!$CQ$6,0)),3)</f>
        <v>0</v>
      </c>
      <c r="Q545" s="11" t="s">
        <v>12</v>
      </c>
    </row>
    <row r="546" spans="1:17" s="1129" customFormat="1" ht="24" customHeight="1">
      <c r="A546" s="819"/>
      <c r="B546" s="819"/>
      <c r="C546" s="1131"/>
      <c r="D546" s="819"/>
      <c r="E546" s="1132"/>
      <c r="F546" s="819"/>
      <c r="G546" s="1134"/>
      <c r="H546" s="819"/>
      <c r="I546" s="1132"/>
      <c r="J546" s="819"/>
      <c r="K546" s="819"/>
      <c r="L546" s="819"/>
      <c r="M546" s="1128" t="str">
        <f>+IFERROR(VLOOKUP(G546,'S1&amp;2 Lists'!$C$8:$G$112,3,FALSE),"-")</f>
        <v>-</v>
      </c>
      <c r="N546" s="1128" t="str">
        <f t="shared" si="8"/>
        <v>-</v>
      </c>
      <c r="P546" s="1130">
        <f>ROUND(IF(L546='S1&amp;2 Lists'!$CV$3,K546,IF(L546='S1&amp;2 Lists'!$CV$4,K546/'S1&amp;2 Lists'!$CQ$6,0)),3)</f>
        <v>0</v>
      </c>
      <c r="Q546" s="11" t="s">
        <v>12</v>
      </c>
    </row>
    <row r="547" spans="1:17" s="1129" customFormat="1" ht="24" customHeight="1">
      <c r="A547" s="819"/>
      <c r="B547" s="819"/>
      <c r="C547" s="1131"/>
      <c r="D547" s="819"/>
      <c r="E547" s="1132"/>
      <c r="F547" s="819"/>
      <c r="G547" s="1134"/>
      <c r="H547" s="819"/>
      <c r="I547" s="1132"/>
      <c r="J547" s="819"/>
      <c r="K547" s="819"/>
      <c r="L547" s="819"/>
      <c r="M547" s="1128" t="str">
        <f>+IFERROR(VLOOKUP(G547,'S1&amp;2 Lists'!$C$8:$G$112,3,FALSE),"-")</f>
        <v>-</v>
      </c>
      <c r="N547" s="1128" t="str">
        <f t="shared" si="8"/>
        <v>-</v>
      </c>
      <c r="P547" s="1130">
        <f>ROUND(IF(L547='S1&amp;2 Lists'!$CV$3,K547,IF(L547='S1&amp;2 Lists'!$CV$4,K547/'S1&amp;2 Lists'!$CQ$6,0)),3)</f>
        <v>0</v>
      </c>
      <c r="Q547" s="11" t="s">
        <v>12</v>
      </c>
    </row>
    <row r="548" spans="1:17" s="1129" customFormat="1" ht="24" customHeight="1">
      <c r="A548" s="819"/>
      <c r="B548" s="819"/>
      <c r="C548" s="1131"/>
      <c r="D548" s="819"/>
      <c r="E548" s="1132"/>
      <c r="F548" s="819"/>
      <c r="G548" s="1134"/>
      <c r="H548" s="819"/>
      <c r="I548" s="1132"/>
      <c r="J548" s="819"/>
      <c r="K548" s="819"/>
      <c r="L548" s="819"/>
      <c r="M548" s="1128" t="str">
        <f>+IFERROR(VLOOKUP(G548,'S1&amp;2 Lists'!$C$8:$G$112,3,FALSE),"-")</f>
        <v>-</v>
      </c>
      <c r="N548" s="1128" t="str">
        <f t="shared" si="8"/>
        <v>-</v>
      </c>
      <c r="P548" s="1130">
        <f>ROUND(IF(L548='S1&amp;2 Lists'!$CV$3,K548,IF(L548='S1&amp;2 Lists'!$CV$4,K548/'S1&amp;2 Lists'!$CQ$6,0)),3)</f>
        <v>0</v>
      </c>
      <c r="Q548" s="11" t="s">
        <v>12</v>
      </c>
    </row>
    <row r="549" spans="1:17" s="1129" customFormat="1" ht="24" customHeight="1">
      <c r="A549" s="819"/>
      <c r="B549" s="819"/>
      <c r="C549" s="1131"/>
      <c r="D549" s="819"/>
      <c r="E549" s="1132"/>
      <c r="F549" s="819"/>
      <c r="G549" s="1134"/>
      <c r="H549" s="819"/>
      <c r="I549" s="1132"/>
      <c r="J549" s="819"/>
      <c r="K549" s="819"/>
      <c r="L549" s="819"/>
      <c r="M549" s="1128" t="str">
        <f>+IFERROR(VLOOKUP(G549,'S1&amp;2 Lists'!$C$8:$G$112,3,FALSE),"-")</f>
        <v>-</v>
      </c>
      <c r="N549" s="1128" t="str">
        <f t="shared" si="8"/>
        <v>-</v>
      </c>
      <c r="P549" s="1130">
        <f>ROUND(IF(L549='S1&amp;2 Lists'!$CV$3,K549,IF(L549='S1&amp;2 Lists'!$CV$4,K549/'S1&amp;2 Lists'!$CQ$6,0)),3)</f>
        <v>0</v>
      </c>
      <c r="Q549" s="11" t="s">
        <v>12</v>
      </c>
    </row>
    <row r="550" spans="1:17" s="1129" customFormat="1" ht="24" customHeight="1">
      <c r="A550" s="819"/>
      <c r="B550" s="819"/>
      <c r="C550" s="1131"/>
      <c r="D550" s="819"/>
      <c r="E550" s="1132"/>
      <c r="F550" s="819"/>
      <c r="G550" s="1134"/>
      <c r="H550" s="819"/>
      <c r="I550" s="1132"/>
      <c r="J550" s="819"/>
      <c r="K550" s="819"/>
      <c r="L550" s="819"/>
      <c r="M550" s="1128" t="str">
        <f>+IFERROR(VLOOKUP(G550,'S1&amp;2 Lists'!$C$8:$G$112,3,FALSE),"-")</f>
        <v>-</v>
      </c>
      <c r="N550" s="1128" t="str">
        <f t="shared" si="8"/>
        <v>-</v>
      </c>
      <c r="P550" s="1130">
        <f>ROUND(IF(L550='S1&amp;2 Lists'!$CV$3,K550,IF(L550='S1&amp;2 Lists'!$CV$4,K550/'S1&amp;2 Lists'!$CQ$6,0)),3)</f>
        <v>0</v>
      </c>
      <c r="Q550" s="11" t="s">
        <v>12</v>
      </c>
    </row>
    <row r="551" spans="1:17" s="1129" customFormat="1" ht="24" customHeight="1">
      <c r="A551" s="819"/>
      <c r="B551" s="819"/>
      <c r="C551" s="1131"/>
      <c r="D551" s="819"/>
      <c r="E551" s="1132"/>
      <c r="F551" s="819"/>
      <c r="G551" s="1134"/>
      <c r="H551" s="819"/>
      <c r="I551" s="1132"/>
      <c r="J551" s="819"/>
      <c r="K551" s="819"/>
      <c r="L551" s="819"/>
      <c r="M551" s="1128" t="str">
        <f>+IFERROR(VLOOKUP(G551,'S1&amp;2 Lists'!$C$8:$G$112,3,FALSE),"-")</f>
        <v>-</v>
      </c>
      <c r="N551" s="1128" t="str">
        <f t="shared" si="8"/>
        <v>-</v>
      </c>
      <c r="P551" s="1130">
        <f>ROUND(IF(L551='S1&amp;2 Lists'!$CV$3,K551,IF(L551='S1&amp;2 Lists'!$CV$4,K551/'S1&amp;2 Lists'!$CQ$6,0)),3)</f>
        <v>0</v>
      </c>
      <c r="Q551" s="11" t="s">
        <v>12</v>
      </c>
    </row>
    <row r="552" spans="1:17" s="1129" customFormat="1" ht="24" customHeight="1">
      <c r="A552" s="819"/>
      <c r="B552" s="819"/>
      <c r="C552" s="1131"/>
      <c r="D552" s="819"/>
      <c r="E552" s="1132"/>
      <c r="F552" s="819"/>
      <c r="G552" s="1134"/>
      <c r="H552" s="819"/>
      <c r="I552" s="1132"/>
      <c r="J552" s="819"/>
      <c r="K552" s="819"/>
      <c r="L552" s="819"/>
      <c r="M552" s="1128" t="str">
        <f>+IFERROR(VLOOKUP(G552,'S1&amp;2 Lists'!$C$8:$G$112,3,FALSE),"-")</f>
        <v>-</v>
      </c>
      <c r="N552" s="1128" t="str">
        <f t="shared" si="8"/>
        <v>-</v>
      </c>
      <c r="P552" s="1130">
        <f>ROUND(IF(L552='S1&amp;2 Lists'!$CV$3,K552,IF(L552='S1&amp;2 Lists'!$CV$4,K552/'S1&amp;2 Lists'!$CQ$6,0)),3)</f>
        <v>0</v>
      </c>
      <c r="Q552" s="11" t="s">
        <v>12</v>
      </c>
    </row>
    <row r="553" spans="1:17" s="1129" customFormat="1" ht="24" customHeight="1">
      <c r="A553" s="819"/>
      <c r="B553" s="819"/>
      <c r="C553" s="1131"/>
      <c r="D553" s="819"/>
      <c r="E553" s="1132"/>
      <c r="F553" s="819"/>
      <c r="G553" s="1134"/>
      <c r="H553" s="819"/>
      <c r="I553" s="1132"/>
      <c r="J553" s="819"/>
      <c r="K553" s="819"/>
      <c r="L553" s="819"/>
      <c r="M553" s="1128" t="str">
        <f>+IFERROR(VLOOKUP(G553,'S1&amp;2 Lists'!$C$8:$G$112,3,FALSE),"-")</f>
        <v>-</v>
      </c>
      <c r="N553" s="1128" t="str">
        <f t="shared" si="8"/>
        <v>-</v>
      </c>
      <c r="P553" s="1130">
        <f>ROUND(IF(L553='S1&amp;2 Lists'!$CV$3,K553,IF(L553='S1&amp;2 Lists'!$CV$4,K553/'S1&amp;2 Lists'!$CQ$6,0)),3)</f>
        <v>0</v>
      </c>
      <c r="Q553" s="11" t="s">
        <v>12</v>
      </c>
    </row>
    <row r="554" spans="1:17" s="1129" customFormat="1" ht="24" customHeight="1">
      <c r="A554" s="819"/>
      <c r="B554" s="819"/>
      <c r="C554" s="1131"/>
      <c r="D554" s="819"/>
      <c r="E554" s="1132"/>
      <c r="F554" s="819"/>
      <c r="G554" s="1134"/>
      <c r="H554" s="819"/>
      <c r="I554" s="1132"/>
      <c r="J554" s="819"/>
      <c r="K554" s="819"/>
      <c r="L554" s="819"/>
      <c r="M554" s="1128" t="str">
        <f>+IFERROR(VLOOKUP(G554,'S1&amp;2 Lists'!$C$8:$G$112,3,FALSE),"-")</f>
        <v>-</v>
      </c>
      <c r="N554" s="1128" t="str">
        <f t="shared" si="8"/>
        <v>-</v>
      </c>
      <c r="P554" s="1130">
        <f>ROUND(IF(L554='S1&amp;2 Lists'!$CV$3,K554,IF(L554='S1&amp;2 Lists'!$CV$4,K554/'S1&amp;2 Lists'!$CQ$6,0)),3)</f>
        <v>0</v>
      </c>
      <c r="Q554" s="11" t="s">
        <v>12</v>
      </c>
    </row>
    <row r="555" spans="1:17" s="1129" customFormat="1" ht="24" customHeight="1">
      <c r="A555" s="819"/>
      <c r="B555" s="819"/>
      <c r="C555" s="1131"/>
      <c r="D555" s="819"/>
      <c r="E555" s="1132"/>
      <c r="F555" s="819"/>
      <c r="G555" s="1134"/>
      <c r="H555" s="819"/>
      <c r="I555" s="1132"/>
      <c r="J555" s="819"/>
      <c r="K555" s="819"/>
      <c r="L555" s="819"/>
      <c r="M555" s="1128" t="str">
        <f>+IFERROR(VLOOKUP(G555,'S1&amp;2 Lists'!$C$8:$G$112,3,FALSE),"-")</f>
        <v>-</v>
      </c>
      <c r="N555" s="1128" t="str">
        <f t="shared" si="8"/>
        <v>-</v>
      </c>
      <c r="P555" s="1130">
        <f>ROUND(IF(L555='S1&amp;2 Lists'!$CV$3,K555,IF(L555='S1&amp;2 Lists'!$CV$4,K555/'S1&amp;2 Lists'!$CQ$6,0)),3)</f>
        <v>0</v>
      </c>
      <c r="Q555" s="11" t="s">
        <v>12</v>
      </c>
    </row>
    <row r="556" spans="1:17" s="1129" customFormat="1" ht="24" customHeight="1">
      <c r="A556" s="819"/>
      <c r="B556" s="819"/>
      <c r="C556" s="1131"/>
      <c r="D556" s="819"/>
      <c r="E556" s="1132"/>
      <c r="F556" s="819"/>
      <c r="G556" s="1134"/>
      <c r="H556" s="819"/>
      <c r="I556" s="1132"/>
      <c r="J556" s="819"/>
      <c r="K556" s="819"/>
      <c r="L556" s="819"/>
      <c r="M556" s="1128" t="str">
        <f>+IFERROR(VLOOKUP(G556,'S1&amp;2 Lists'!$C$8:$G$112,3,FALSE),"-")</f>
        <v>-</v>
      </c>
      <c r="N556" s="1128" t="str">
        <f t="shared" si="8"/>
        <v>-</v>
      </c>
      <c r="P556" s="1130">
        <f>ROUND(IF(L556='S1&amp;2 Lists'!$CV$3,K556,IF(L556='S1&amp;2 Lists'!$CV$4,K556/'S1&amp;2 Lists'!$CQ$6,0)),3)</f>
        <v>0</v>
      </c>
      <c r="Q556" s="11" t="s">
        <v>12</v>
      </c>
    </row>
    <row r="557" spans="1:17" s="1129" customFormat="1" ht="24" customHeight="1">
      <c r="A557" s="819"/>
      <c r="B557" s="819"/>
      <c r="C557" s="1131"/>
      <c r="D557" s="819"/>
      <c r="E557" s="1132"/>
      <c r="F557" s="819"/>
      <c r="G557" s="1134"/>
      <c r="H557" s="819"/>
      <c r="I557" s="1132"/>
      <c r="J557" s="819"/>
      <c r="K557" s="819"/>
      <c r="L557" s="819"/>
      <c r="M557" s="1128" t="str">
        <f>+IFERROR(VLOOKUP(G557,'S1&amp;2 Lists'!$C$8:$G$112,3,FALSE),"-")</f>
        <v>-</v>
      </c>
      <c r="N557" s="1128" t="str">
        <f t="shared" si="8"/>
        <v>-</v>
      </c>
      <c r="P557" s="1130">
        <f>ROUND(IF(L557='S1&amp;2 Lists'!$CV$3,K557,IF(L557='S1&amp;2 Lists'!$CV$4,K557/'S1&amp;2 Lists'!$CQ$6,0)),3)</f>
        <v>0</v>
      </c>
      <c r="Q557" s="11" t="s">
        <v>12</v>
      </c>
    </row>
    <row r="558" spans="1:17" s="1129" customFormat="1" ht="24" customHeight="1">
      <c r="A558" s="819"/>
      <c r="B558" s="819"/>
      <c r="C558" s="1131"/>
      <c r="D558" s="819"/>
      <c r="E558" s="1132"/>
      <c r="F558" s="819"/>
      <c r="G558" s="1134"/>
      <c r="H558" s="819"/>
      <c r="I558" s="1132"/>
      <c r="J558" s="819"/>
      <c r="K558" s="819"/>
      <c r="L558" s="819"/>
      <c r="M558" s="1128" t="str">
        <f>+IFERROR(VLOOKUP(G558,'S1&amp;2 Lists'!$C$8:$G$112,3,FALSE),"-")</f>
        <v>-</v>
      </c>
      <c r="N558" s="1128" t="str">
        <f t="shared" si="8"/>
        <v>-</v>
      </c>
      <c r="P558" s="1130">
        <f>ROUND(IF(L558='S1&amp;2 Lists'!$CV$3,K558,IF(L558='S1&amp;2 Lists'!$CV$4,K558/'S1&amp;2 Lists'!$CQ$6,0)),3)</f>
        <v>0</v>
      </c>
      <c r="Q558" s="11" t="s">
        <v>12</v>
      </c>
    </row>
    <row r="559" spans="1:17" s="1129" customFormat="1" ht="24" customHeight="1">
      <c r="A559" s="819"/>
      <c r="B559" s="819"/>
      <c r="C559" s="1131"/>
      <c r="D559" s="819"/>
      <c r="E559" s="1132"/>
      <c r="F559" s="819"/>
      <c r="G559" s="1134"/>
      <c r="H559" s="819"/>
      <c r="I559" s="1132"/>
      <c r="J559" s="819"/>
      <c r="K559" s="819"/>
      <c r="L559" s="819"/>
      <c r="M559" s="1128" t="str">
        <f>+IFERROR(VLOOKUP(G559,'S1&amp;2 Lists'!$C$8:$G$112,3,FALSE),"-")</f>
        <v>-</v>
      </c>
      <c r="N559" s="1128" t="str">
        <f t="shared" si="8"/>
        <v>-</v>
      </c>
      <c r="P559" s="1130">
        <f>ROUND(IF(L559='S1&amp;2 Lists'!$CV$3,K559,IF(L559='S1&amp;2 Lists'!$CV$4,K559/'S1&amp;2 Lists'!$CQ$6,0)),3)</f>
        <v>0</v>
      </c>
      <c r="Q559" s="11" t="s">
        <v>12</v>
      </c>
    </row>
    <row r="560" spans="1:17" s="1129" customFormat="1" ht="24" customHeight="1">
      <c r="A560" s="819"/>
      <c r="B560" s="819"/>
      <c r="C560" s="1131"/>
      <c r="D560" s="819"/>
      <c r="E560" s="1132"/>
      <c r="F560" s="819"/>
      <c r="G560" s="1134"/>
      <c r="H560" s="819"/>
      <c r="I560" s="1132"/>
      <c r="J560" s="819"/>
      <c r="K560" s="819"/>
      <c r="L560" s="819"/>
      <c r="M560" s="1128" t="str">
        <f>+IFERROR(VLOOKUP(G560,'S1&amp;2 Lists'!$C$8:$G$112,3,FALSE),"-")</f>
        <v>-</v>
      </c>
      <c r="N560" s="1128" t="str">
        <f t="shared" si="8"/>
        <v>-</v>
      </c>
      <c r="P560" s="1130">
        <f>ROUND(IF(L560='S1&amp;2 Lists'!$CV$3,K560,IF(L560='S1&amp;2 Lists'!$CV$4,K560/'S1&amp;2 Lists'!$CQ$6,0)),3)</f>
        <v>0</v>
      </c>
      <c r="Q560" s="11" t="s">
        <v>12</v>
      </c>
    </row>
    <row r="561" spans="1:17" s="1129" customFormat="1" ht="24" customHeight="1">
      <c r="A561" s="819"/>
      <c r="B561" s="819"/>
      <c r="C561" s="1131"/>
      <c r="D561" s="819"/>
      <c r="E561" s="1132"/>
      <c r="F561" s="819"/>
      <c r="G561" s="1134"/>
      <c r="H561" s="819"/>
      <c r="I561" s="1132"/>
      <c r="J561" s="819"/>
      <c r="K561" s="819"/>
      <c r="L561" s="819"/>
      <c r="M561" s="1128" t="str">
        <f>+IFERROR(VLOOKUP(G561,'S1&amp;2 Lists'!$C$8:$G$112,3,FALSE),"-")</f>
        <v>-</v>
      </c>
      <c r="N561" s="1128" t="str">
        <f t="shared" si="8"/>
        <v>-</v>
      </c>
      <c r="P561" s="1130">
        <f>ROUND(IF(L561='S1&amp;2 Lists'!$CV$3,K561,IF(L561='S1&amp;2 Lists'!$CV$4,K561/'S1&amp;2 Lists'!$CQ$6,0)),3)</f>
        <v>0</v>
      </c>
      <c r="Q561" s="11" t="s">
        <v>12</v>
      </c>
    </row>
    <row r="562" spans="1:17" s="1129" customFormat="1" ht="24" customHeight="1">
      <c r="A562" s="819"/>
      <c r="B562" s="819"/>
      <c r="C562" s="1131"/>
      <c r="D562" s="819"/>
      <c r="E562" s="1132"/>
      <c r="F562" s="819"/>
      <c r="G562" s="1134"/>
      <c r="H562" s="819"/>
      <c r="I562" s="1132"/>
      <c r="J562" s="819"/>
      <c r="K562" s="819"/>
      <c r="L562" s="819"/>
      <c r="M562" s="1128" t="str">
        <f>+IFERROR(VLOOKUP(G562,'S1&amp;2 Lists'!$C$8:$G$112,3,FALSE),"-")</f>
        <v>-</v>
      </c>
      <c r="N562" s="1128" t="str">
        <f t="shared" si="8"/>
        <v>-</v>
      </c>
      <c r="P562" s="1130">
        <f>ROUND(IF(L562='S1&amp;2 Lists'!$CV$3,K562,IF(L562='S1&amp;2 Lists'!$CV$4,K562/'S1&amp;2 Lists'!$CQ$6,0)),3)</f>
        <v>0</v>
      </c>
      <c r="Q562" s="11" t="s">
        <v>12</v>
      </c>
    </row>
    <row r="563" spans="1:17" s="1129" customFormat="1" ht="24" customHeight="1">
      <c r="A563" s="819"/>
      <c r="B563" s="819"/>
      <c r="C563" s="1131"/>
      <c r="D563" s="819"/>
      <c r="E563" s="1132"/>
      <c r="F563" s="819"/>
      <c r="G563" s="1134"/>
      <c r="H563" s="819"/>
      <c r="I563" s="1132"/>
      <c r="J563" s="819"/>
      <c r="K563" s="819"/>
      <c r="L563" s="819"/>
      <c r="M563" s="1128" t="str">
        <f>+IFERROR(VLOOKUP(G563,'S1&amp;2 Lists'!$C$8:$G$112,3,FALSE),"-")</f>
        <v>-</v>
      </c>
      <c r="N563" s="1128" t="str">
        <f t="shared" si="8"/>
        <v>-</v>
      </c>
      <c r="P563" s="1130">
        <f>ROUND(IF(L563='S1&amp;2 Lists'!$CV$3,K563,IF(L563='S1&amp;2 Lists'!$CV$4,K563/'S1&amp;2 Lists'!$CQ$6,0)),3)</f>
        <v>0</v>
      </c>
      <c r="Q563" s="11" t="s">
        <v>12</v>
      </c>
    </row>
    <row r="564" spans="1:17" s="1129" customFormat="1" ht="24" customHeight="1">
      <c r="A564" s="819"/>
      <c r="B564" s="819"/>
      <c r="C564" s="1131"/>
      <c r="D564" s="819"/>
      <c r="E564" s="1132"/>
      <c r="F564" s="819"/>
      <c r="G564" s="1134"/>
      <c r="H564" s="819"/>
      <c r="I564" s="1132"/>
      <c r="J564" s="819"/>
      <c r="K564" s="819"/>
      <c r="L564" s="819"/>
      <c r="M564" s="1128" t="str">
        <f>+IFERROR(VLOOKUP(G564,'S1&amp;2 Lists'!$C$8:$G$112,3,FALSE),"-")</f>
        <v>-</v>
      </c>
      <c r="N564" s="1128" t="str">
        <f t="shared" si="8"/>
        <v>-</v>
      </c>
      <c r="P564" s="1130">
        <f>ROUND(IF(L564='S1&amp;2 Lists'!$CV$3,K564,IF(L564='S1&amp;2 Lists'!$CV$4,K564/'S1&amp;2 Lists'!$CQ$6,0)),3)</f>
        <v>0</v>
      </c>
      <c r="Q564" s="11" t="s">
        <v>12</v>
      </c>
    </row>
    <row r="565" spans="1:17" s="1129" customFormat="1" ht="24" customHeight="1">
      <c r="A565" s="819"/>
      <c r="B565" s="819"/>
      <c r="C565" s="1131"/>
      <c r="D565" s="819"/>
      <c r="E565" s="1132"/>
      <c r="F565" s="819"/>
      <c r="G565" s="1134"/>
      <c r="H565" s="819"/>
      <c r="I565" s="1132"/>
      <c r="J565" s="819"/>
      <c r="K565" s="819"/>
      <c r="L565" s="819"/>
      <c r="M565" s="1128" t="str">
        <f>+IFERROR(VLOOKUP(G565,'S1&amp;2 Lists'!$C$8:$G$112,3,FALSE),"-")</f>
        <v>-</v>
      </c>
      <c r="N565" s="1128" t="str">
        <f t="shared" si="8"/>
        <v>-</v>
      </c>
      <c r="P565" s="1130">
        <f>ROUND(IF(L565='S1&amp;2 Lists'!$CV$3,K565,IF(L565='S1&amp;2 Lists'!$CV$4,K565/'S1&amp;2 Lists'!$CQ$6,0)),3)</f>
        <v>0</v>
      </c>
      <c r="Q565" s="11" t="s">
        <v>12</v>
      </c>
    </row>
    <row r="566" spans="1:17" s="1129" customFormat="1" ht="24" customHeight="1">
      <c r="A566" s="819"/>
      <c r="B566" s="819"/>
      <c r="C566" s="1131"/>
      <c r="D566" s="819"/>
      <c r="E566" s="1132"/>
      <c r="F566" s="819"/>
      <c r="G566" s="1134"/>
      <c r="H566" s="819"/>
      <c r="I566" s="1132"/>
      <c r="J566" s="819"/>
      <c r="K566" s="819"/>
      <c r="L566" s="819"/>
      <c r="M566" s="1128" t="str">
        <f>+IFERROR(VLOOKUP(G566,'S1&amp;2 Lists'!$C$8:$G$112,3,FALSE),"-")</f>
        <v>-</v>
      </c>
      <c r="N566" s="1128" t="str">
        <f t="shared" si="8"/>
        <v>-</v>
      </c>
      <c r="P566" s="1130">
        <f>ROUND(IF(L566='S1&amp;2 Lists'!$CV$3,K566,IF(L566='S1&amp;2 Lists'!$CV$4,K566/'S1&amp;2 Lists'!$CQ$6,0)),3)</f>
        <v>0</v>
      </c>
      <c r="Q566" s="11" t="s">
        <v>12</v>
      </c>
    </row>
    <row r="567" spans="1:17" s="1129" customFormat="1" ht="24" customHeight="1">
      <c r="A567" s="819"/>
      <c r="B567" s="819"/>
      <c r="C567" s="1131"/>
      <c r="D567" s="819"/>
      <c r="E567" s="1132"/>
      <c r="F567" s="819"/>
      <c r="G567" s="1134"/>
      <c r="H567" s="819"/>
      <c r="I567" s="1132"/>
      <c r="J567" s="819"/>
      <c r="K567" s="819"/>
      <c r="L567" s="819"/>
      <c r="M567" s="1128" t="str">
        <f>+IFERROR(VLOOKUP(G567,'S1&amp;2 Lists'!$C$8:$G$112,3,FALSE),"-")</f>
        <v>-</v>
      </c>
      <c r="N567" s="1128" t="str">
        <f t="shared" si="8"/>
        <v>-</v>
      </c>
      <c r="P567" s="1130">
        <f>ROUND(IF(L567='S1&amp;2 Lists'!$CV$3,K567,IF(L567='S1&amp;2 Lists'!$CV$4,K567/'S1&amp;2 Lists'!$CQ$6,0)),3)</f>
        <v>0</v>
      </c>
      <c r="Q567" s="11" t="s">
        <v>12</v>
      </c>
    </row>
    <row r="568" spans="1:17" s="1129" customFormat="1" ht="24" customHeight="1">
      <c r="A568" s="819"/>
      <c r="B568" s="819"/>
      <c r="C568" s="1131"/>
      <c r="D568" s="819"/>
      <c r="E568" s="1132"/>
      <c r="F568" s="819"/>
      <c r="G568" s="1134"/>
      <c r="H568" s="819"/>
      <c r="I568" s="1132"/>
      <c r="J568" s="819"/>
      <c r="K568" s="819"/>
      <c r="L568" s="819"/>
      <c r="M568" s="1128" t="str">
        <f>+IFERROR(VLOOKUP(G568,'S1&amp;2 Lists'!$C$8:$G$112,3,FALSE),"-")</f>
        <v>-</v>
      </c>
      <c r="N568" s="1128" t="str">
        <f t="shared" si="8"/>
        <v>-</v>
      </c>
      <c r="P568" s="1130">
        <f>ROUND(IF(L568='S1&amp;2 Lists'!$CV$3,K568,IF(L568='S1&amp;2 Lists'!$CV$4,K568/'S1&amp;2 Lists'!$CQ$6,0)),3)</f>
        <v>0</v>
      </c>
      <c r="Q568" s="11" t="s">
        <v>12</v>
      </c>
    </row>
    <row r="569" spans="1:17" s="1129" customFormat="1" ht="24" customHeight="1">
      <c r="A569" s="819"/>
      <c r="B569" s="819"/>
      <c r="C569" s="1131"/>
      <c r="D569" s="819"/>
      <c r="E569" s="1132"/>
      <c r="F569" s="819"/>
      <c r="G569" s="1134"/>
      <c r="H569" s="819"/>
      <c r="I569" s="1132"/>
      <c r="J569" s="819"/>
      <c r="K569" s="819"/>
      <c r="L569" s="819"/>
      <c r="M569" s="1128" t="str">
        <f>+IFERROR(VLOOKUP(G569,'S1&amp;2 Lists'!$C$8:$G$112,3,FALSE),"-")</f>
        <v>-</v>
      </c>
      <c r="N569" s="1128" t="str">
        <f t="shared" si="8"/>
        <v>-</v>
      </c>
      <c r="P569" s="1130">
        <f>ROUND(IF(L569='S1&amp;2 Lists'!$CV$3,K569,IF(L569='S1&amp;2 Lists'!$CV$4,K569/'S1&amp;2 Lists'!$CQ$6,0)),3)</f>
        <v>0</v>
      </c>
      <c r="Q569" s="11" t="s">
        <v>12</v>
      </c>
    </row>
    <row r="570" spans="1:17" s="1129" customFormat="1" ht="24" customHeight="1">
      <c r="A570" s="819"/>
      <c r="B570" s="819"/>
      <c r="C570" s="1131"/>
      <c r="D570" s="819"/>
      <c r="E570" s="1132"/>
      <c r="F570" s="819"/>
      <c r="G570" s="1134"/>
      <c r="H570" s="819"/>
      <c r="I570" s="1132"/>
      <c r="J570" s="819"/>
      <c r="K570" s="819"/>
      <c r="L570" s="819"/>
      <c r="M570" s="1128" t="str">
        <f>+IFERROR(VLOOKUP(G570,'S1&amp;2 Lists'!$C$8:$G$112,3,FALSE),"-")</f>
        <v>-</v>
      </c>
      <c r="N570" s="1128" t="str">
        <f t="shared" si="8"/>
        <v>-</v>
      </c>
      <c r="P570" s="1130">
        <f>ROUND(IF(L570='S1&amp;2 Lists'!$CV$3,K570,IF(L570='S1&amp;2 Lists'!$CV$4,K570/'S1&amp;2 Lists'!$CQ$6,0)),3)</f>
        <v>0</v>
      </c>
      <c r="Q570" s="11" t="s">
        <v>12</v>
      </c>
    </row>
    <row r="571" spans="1:17" s="1129" customFormat="1" ht="24" customHeight="1">
      <c r="A571" s="819"/>
      <c r="B571" s="819"/>
      <c r="C571" s="1131"/>
      <c r="D571" s="819"/>
      <c r="E571" s="1132"/>
      <c r="F571" s="819"/>
      <c r="G571" s="1134"/>
      <c r="H571" s="819"/>
      <c r="I571" s="1132"/>
      <c r="J571" s="819"/>
      <c r="K571" s="819"/>
      <c r="L571" s="819"/>
      <c r="M571" s="1128" t="str">
        <f>+IFERROR(VLOOKUP(G571,'S1&amp;2 Lists'!$C$8:$G$112,3,FALSE),"-")</f>
        <v>-</v>
      </c>
      <c r="N571" s="1128" t="str">
        <f t="shared" si="8"/>
        <v>-</v>
      </c>
      <c r="P571" s="1130">
        <f>ROUND(IF(L571='S1&amp;2 Lists'!$CV$3,K571,IF(L571='S1&amp;2 Lists'!$CV$4,K571/'S1&amp;2 Lists'!$CQ$6,0)),3)</f>
        <v>0</v>
      </c>
      <c r="Q571" s="11" t="s">
        <v>12</v>
      </c>
    </row>
    <row r="572" spans="1:17" s="1129" customFormat="1" ht="24" customHeight="1">
      <c r="A572" s="819"/>
      <c r="B572" s="819"/>
      <c r="C572" s="1131"/>
      <c r="D572" s="819"/>
      <c r="E572" s="1132"/>
      <c r="F572" s="819"/>
      <c r="G572" s="1134"/>
      <c r="H572" s="819"/>
      <c r="I572" s="1132"/>
      <c r="J572" s="819"/>
      <c r="K572" s="819"/>
      <c r="L572" s="819"/>
      <c r="M572" s="1128" t="str">
        <f>+IFERROR(VLOOKUP(G572,'S1&amp;2 Lists'!$C$8:$G$112,3,FALSE),"-")</f>
        <v>-</v>
      </c>
      <c r="N572" s="1128" t="str">
        <f t="shared" si="8"/>
        <v>-</v>
      </c>
      <c r="P572" s="1130">
        <f>ROUND(IF(L572='S1&amp;2 Lists'!$CV$3,K572,IF(L572='S1&amp;2 Lists'!$CV$4,K572/'S1&amp;2 Lists'!$CQ$6,0)),3)</f>
        <v>0</v>
      </c>
      <c r="Q572" s="11" t="s">
        <v>12</v>
      </c>
    </row>
    <row r="573" spans="1:17" s="1129" customFormat="1" ht="24" customHeight="1">
      <c r="A573" s="819"/>
      <c r="B573" s="819"/>
      <c r="C573" s="1131"/>
      <c r="D573" s="819"/>
      <c r="E573" s="1132"/>
      <c r="F573" s="819"/>
      <c r="G573" s="1134"/>
      <c r="H573" s="819"/>
      <c r="I573" s="1132"/>
      <c r="J573" s="819"/>
      <c r="K573" s="819"/>
      <c r="L573" s="819"/>
      <c r="M573" s="1128" t="str">
        <f>+IFERROR(VLOOKUP(G573,'S1&amp;2 Lists'!$C$8:$G$112,3,FALSE),"-")</f>
        <v>-</v>
      </c>
      <c r="N573" s="1128" t="str">
        <f t="shared" si="8"/>
        <v>-</v>
      </c>
      <c r="P573" s="1130">
        <f>ROUND(IF(L573='S1&amp;2 Lists'!$CV$3,K573,IF(L573='S1&amp;2 Lists'!$CV$4,K573/'S1&amp;2 Lists'!$CQ$6,0)),3)</f>
        <v>0</v>
      </c>
      <c r="Q573" s="11" t="s">
        <v>12</v>
      </c>
    </row>
    <row r="574" spans="1:17" s="1129" customFormat="1" ht="24" customHeight="1">
      <c r="A574" s="819"/>
      <c r="B574" s="819"/>
      <c r="C574" s="1131"/>
      <c r="D574" s="819"/>
      <c r="E574" s="1132"/>
      <c r="F574" s="819"/>
      <c r="G574" s="1134"/>
      <c r="H574" s="819"/>
      <c r="I574" s="1132"/>
      <c r="J574" s="819"/>
      <c r="K574" s="819"/>
      <c r="L574" s="819"/>
      <c r="M574" s="1128" t="str">
        <f>+IFERROR(VLOOKUP(G574,'S1&amp;2 Lists'!$C$8:$G$112,3,FALSE),"-")</f>
        <v>-</v>
      </c>
      <c r="N574" s="1128" t="str">
        <f t="shared" si="8"/>
        <v>-</v>
      </c>
      <c r="P574" s="1130">
        <f>ROUND(IF(L574='S1&amp;2 Lists'!$CV$3,K574,IF(L574='S1&amp;2 Lists'!$CV$4,K574/'S1&amp;2 Lists'!$CQ$6,0)),3)</f>
        <v>0</v>
      </c>
      <c r="Q574" s="11" t="s">
        <v>12</v>
      </c>
    </row>
    <row r="575" spans="1:17" s="1129" customFormat="1" ht="24" customHeight="1">
      <c r="A575" s="819"/>
      <c r="B575" s="819"/>
      <c r="C575" s="1131"/>
      <c r="D575" s="819"/>
      <c r="E575" s="1132"/>
      <c r="F575" s="819"/>
      <c r="G575" s="1134"/>
      <c r="H575" s="819"/>
      <c r="I575" s="1132"/>
      <c r="J575" s="819"/>
      <c r="K575" s="819"/>
      <c r="L575" s="819"/>
      <c r="M575" s="1128" t="str">
        <f>+IFERROR(VLOOKUP(G575,'S1&amp;2 Lists'!$C$8:$G$112,3,FALSE),"-")</f>
        <v>-</v>
      </c>
      <c r="N575" s="1128" t="str">
        <f t="shared" si="8"/>
        <v>-</v>
      </c>
      <c r="P575" s="1130">
        <f>ROUND(IF(L575='S1&amp;2 Lists'!$CV$3,K575,IF(L575='S1&amp;2 Lists'!$CV$4,K575/'S1&amp;2 Lists'!$CQ$6,0)),3)</f>
        <v>0</v>
      </c>
      <c r="Q575" s="11" t="s">
        <v>12</v>
      </c>
    </row>
    <row r="576" spans="1:17" s="1129" customFormat="1" ht="24" customHeight="1">
      <c r="A576" s="819"/>
      <c r="B576" s="819"/>
      <c r="C576" s="1131"/>
      <c r="D576" s="819"/>
      <c r="E576" s="1132"/>
      <c r="F576" s="819"/>
      <c r="G576" s="1134"/>
      <c r="H576" s="819"/>
      <c r="I576" s="1132"/>
      <c r="J576" s="819"/>
      <c r="K576" s="819"/>
      <c r="L576" s="819"/>
      <c r="M576" s="1128" t="str">
        <f>+IFERROR(VLOOKUP(G576,'S1&amp;2 Lists'!$C$8:$G$112,3,FALSE),"-")</f>
        <v>-</v>
      </c>
      <c r="N576" s="1128" t="str">
        <f t="shared" si="8"/>
        <v>-</v>
      </c>
      <c r="P576" s="1130">
        <f>ROUND(IF(L576='S1&amp;2 Lists'!$CV$3,K576,IF(L576='S1&amp;2 Lists'!$CV$4,K576/'S1&amp;2 Lists'!$CQ$6,0)),3)</f>
        <v>0</v>
      </c>
      <c r="Q576" s="11" t="s">
        <v>12</v>
      </c>
    </row>
    <row r="577" spans="1:17" s="1129" customFormat="1" ht="24" customHeight="1">
      <c r="A577" s="819"/>
      <c r="B577" s="819"/>
      <c r="C577" s="1131"/>
      <c r="D577" s="819"/>
      <c r="E577" s="1132"/>
      <c r="F577" s="819"/>
      <c r="G577" s="1134"/>
      <c r="H577" s="819"/>
      <c r="I577" s="1132"/>
      <c r="J577" s="819"/>
      <c r="K577" s="819"/>
      <c r="L577" s="819"/>
      <c r="M577" s="1128" t="str">
        <f>+IFERROR(VLOOKUP(G577,'S1&amp;2 Lists'!$C$8:$G$112,3,FALSE),"-")</f>
        <v>-</v>
      </c>
      <c r="N577" s="1128" t="str">
        <f t="shared" si="8"/>
        <v>-</v>
      </c>
      <c r="P577" s="1130">
        <f>ROUND(IF(L577='S1&amp;2 Lists'!$CV$3,K577,IF(L577='S1&amp;2 Lists'!$CV$4,K577/'S1&amp;2 Lists'!$CQ$6,0)),3)</f>
        <v>0</v>
      </c>
      <c r="Q577" s="11" t="s">
        <v>12</v>
      </c>
    </row>
    <row r="578" spans="1:17" s="1129" customFormat="1" ht="24" customHeight="1">
      <c r="A578" s="819"/>
      <c r="B578" s="819"/>
      <c r="C578" s="1131"/>
      <c r="D578" s="819"/>
      <c r="E578" s="1132"/>
      <c r="F578" s="819"/>
      <c r="G578" s="1134"/>
      <c r="H578" s="819"/>
      <c r="I578" s="1132"/>
      <c r="J578" s="819"/>
      <c r="K578" s="819"/>
      <c r="L578" s="819"/>
      <c r="M578" s="1128" t="str">
        <f>+IFERROR(VLOOKUP(G578,'S1&amp;2 Lists'!$C$8:$G$112,3,FALSE),"-")</f>
        <v>-</v>
      </c>
      <c r="N578" s="1128" t="str">
        <f t="shared" si="8"/>
        <v>-</v>
      </c>
      <c r="P578" s="1130">
        <f>ROUND(IF(L578='S1&amp;2 Lists'!$CV$3,K578,IF(L578='S1&amp;2 Lists'!$CV$4,K578/'S1&amp;2 Lists'!$CQ$6,0)),3)</f>
        <v>0</v>
      </c>
      <c r="Q578" s="11" t="s">
        <v>12</v>
      </c>
    </row>
    <row r="579" spans="1:17" s="1129" customFormat="1" ht="24" customHeight="1">
      <c r="A579" s="819"/>
      <c r="B579" s="819"/>
      <c r="C579" s="1131"/>
      <c r="D579" s="819"/>
      <c r="E579" s="1132"/>
      <c r="F579" s="819"/>
      <c r="G579" s="1134"/>
      <c r="H579" s="819"/>
      <c r="I579" s="1132"/>
      <c r="J579" s="819"/>
      <c r="K579" s="819"/>
      <c r="L579" s="819"/>
      <c r="M579" s="1128" t="str">
        <f>+IFERROR(VLOOKUP(G579,'S1&amp;2 Lists'!$C$8:$G$112,3,FALSE),"-")</f>
        <v>-</v>
      </c>
      <c r="N579" s="1128" t="str">
        <f t="shared" si="8"/>
        <v>-</v>
      </c>
      <c r="P579" s="1130">
        <f>ROUND(IF(L579='S1&amp;2 Lists'!$CV$3,K579,IF(L579='S1&amp;2 Lists'!$CV$4,K579/'S1&amp;2 Lists'!$CQ$6,0)),3)</f>
        <v>0</v>
      </c>
      <c r="Q579" s="11" t="s">
        <v>12</v>
      </c>
    </row>
    <row r="580" spans="1:17" s="1129" customFormat="1" ht="24" customHeight="1">
      <c r="A580" s="819"/>
      <c r="B580" s="819"/>
      <c r="C580" s="1131"/>
      <c r="D580" s="819"/>
      <c r="E580" s="1132"/>
      <c r="F580" s="819"/>
      <c r="G580" s="1134"/>
      <c r="H580" s="819"/>
      <c r="I580" s="1132"/>
      <c r="J580" s="819"/>
      <c r="K580" s="819"/>
      <c r="L580" s="819"/>
      <c r="M580" s="1128" t="str">
        <f>+IFERROR(VLOOKUP(G580,'S1&amp;2 Lists'!$C$8:$G$112,3,FALSE),"-")</f>
        <v>-</v>
      </c>
      <c r="N580" s="1128" t="str">
        <f t="shared" si="8"/>
        <v>-</v>
      </c>
      <c r="P580" s="1130">
        <f>ROUND(IF(L580='S1&amp;2 Lists'!$CV$3,K580,IF(L580='S1&amp;2 Lists'!$CV$4,K580/'S1&amp;2 Lists'!$CQ$6,0)),3)</f>
        <v>0</v>
      </c>
      <c r="Q580" s="11" t="s">
        <v>12</v>
      </c>
    </row>
    <row r="581" spans="1:17" s="1129" customFormat="1" ht="24" customHeight="1">
      <c r="A581" s="819"/>
      <c r="B581" s="819"/>
      <c r="C581" s="1131"/>
      <c r="D581" s="819"/>
      <c r="E581" s="1132"/>
      <c r="F581" s="819"/>
      <c r="G581" s="1134"/>
      <c r="H581" s="819"/>
      <c r="I581" s="1132"/>
      <c r="J581" s="819"/>
      <c r="K581" s="819"/>
      <c r="L581" s="819"/>
      <c r="M581" s="1128" t="str">
        <f>+IFERROR(VLOOKUP(G581,'S1&amp;2 Lists'!$C$8:$G$112,3,FALSE),"-")</f>
        <v>-</v>
      </c>
      <c r="N581" s="1128" t="str">
        <f t="shared" si="8"/>
        <v>-</v>
      </c>
      <c r="P581" s="1130">
        <f>ROUND(IF(L581='S1&amp;2 Lists'!$CV$3,K581,IF(L581='S1&amp;2 Lists'!$CV$4,K581/'S1&amp;2 Lists'!$CQ$6,0)),3)</f>
        <v>0</v>
      </c>
      <c r="Q581" s="11" t="s">
        <v>12</v>
      </c>
    </row>
    <row r="582" spans="1:17" s="1129" customFormat="1" ht="24" customHeight="1">
      <c r="A582" s="819"/>
      <c r="B582" s="819"/>
      <c r="C582" s="1131"/>
      <c r="D582" s="819"/>
      <c r="E582" s="1132"/>
      <c r="F582" s="819"/>
      <c r="G582" s="1134"/>
      <c r="H582" s="819"/>
      <c r="I582" s="1132"/>
      <c r="J582" s="819"/>
      <c r="K582" s="819"/>
      <c r="L582" s="819"/>
      <c r="M582" s="1128" t="str">
        <f>+IFERROR(VLOOKUP(G582,'S1&amp;2 Lists'!$C$8:$G$112,3,FALSE),"-")</f>
        <v>-</v>
      </c>
      <c r="N582" s="1128" t="str">
        <f t="shared" si="8"/>
        <v>-</v>
      </c>
      <c r="P582" s="1130">
        <f>ROUND(IF(L582='S1&amp;2 Lists'!$CV$3,K582,IF(L582='S1&amp;2 Lists'!$CV$4,K582/'S1&amp;2 Lists'!$CQ$6,0)),3)</f>
        <v>0</v>
      </c>
      <c r="Q582" s="11" t="s">
        <v>12</v>
      </c>
    </row>
    <row r="583" spans="1:17" s="1129" customFormat="1" ht="24" customHeight="1">
      <c r="A583" s="819"/>
      <c r="B583" s="819"/>
      <c r="C583" s="1131"/>
      <c r="D583" s="819"/>
      <c r="E583" s="1132"/>
      <c r="F583" s="819"/>
      <c r="G583" s="1134"/>
      <c r="H583" s="819"/>
      <c r="I583" s="1132"/>
      <c r="J583" s="819"/>
      <c r="K583" s="819"/>
      <c r="L583" s="819"/>
      <c r="M583" s="1128" t="str">
        <f>+IFERROR(VLOOKUP(G583,'S1&amp;2 Lists'!$C$8:$G$112,3,FALSE),"-")</f>
        <v>-</v>
      </c>
      <c r="N583" s="1128" t="str">
        <f t="shared" si="8"/>
        <v>-</v>
      </c>
      <c r="P583" s="1130">
        <f>ROUND(IF(L583='S1&amp;2 Lists'!$CV$3,K583,IF(L583='S1&amp;2 Lists'!$CV$4,K583/'S1&amp;2 Lists'!$CQ$6,0)),3)</f>
        <v>0</v>
      </c>
      <c r="Q583" s="11" t="s">
        <v>12</v>
      </c>
    </row>
    <row r="584" spans="1:17" s="1129" customFormat="1" ht="24" customHeight="1">
      <c r="A584" s="819"/>
      <c r="B584" s="819"/>
      <c r="C584" s="1131"/>
      <c r="D584" s="819"/>
      <c r="E584" s="1132"/>
      <c r="F584" s="819"/>
      <c r="G584" s="1134"/>
      <c r="H584" s="819"/>
      <c r="I584" s="1132"/>
      <c r="J584" s="819"/>
      <c r="K584" s="819"/>
      <c r="L584" s="819"/>
      <c r="M584" s="1128" t="str">
        <f>+IFERROR(VLOOKUP(G584,'S1&amp;2 Lists'!$C$8:$G$112,3,FALSE),"-")</f>
        <v>-</v>
      </c>
      <c r="N584" s="1128" t="str">
        <f t="shared" si="8"/>
        <v>-</v>
      </c>
      <c r="P584" s="1130">
        <f>ROUND(IF(L584='S1&amp;2 Lists'!$CV$3,K584,IF(L584='S1&amp;2 Lists'!$CV$4,K584/'S1&amp;2 Lists'!$CQ$6,0)),3)</f>
        <v>0</v>
      </c>
      <c r="Q584" s="11" t="s">
        <v>12</v>
      </c>
    </row>
    <row r="585" spans="1:17" s="1129" customFormat="1" ht="24" customHeight="1">
      <c r="A585" s="819"/>
      <c r="B585" s="819"/>
      <c r="C585" s="1131"/>
      <c r="D585" s="819"/>
      <c r="E585" s="1132"/>
      <c r="F585" s="819"/>
      <c r="G585" s="1134"/>
      <c r="H585" s="819"/>
      <c r="I585" s="1132"/>
      <c r="J585" s="819"/>
      <c r="K585" s="819"/>
      <c r="L585" s="819"/>
      <c r="M585" s="1128" t="str">
        <f>+IFERROR(VLOOKUP(G585,'S1&amp;2 Lists'!$C$8:$G$112,3,FALSE),"-")</f>
        <v>-</v>
      </c>
      <c r="N585" s="1128" t="str">
        <f t="shared" si="8"/>
        <v>-</v>
      </c>
      <c r="P585" s="1130">
        <f>ROUND(IF(L585='S1&amp;2 Lists'!$CV$3,K585,IF(L585='S1&amp;2 Lists'!$CV$4,K585/'S1&amp;2 Lists'!$CQ$6,0)),3)</f>
        <v>0</v>
      </c>
      <c r="Q585" s="11" t="s">
        <v>12</v>
      </c>
    </row>
    <row r="586" spans="1:17" s="1129" customFormat="1" ht="24" customHeight="1">
      <c r="A586" s="819"/>
      <c r="B586" s="819"/>
      <c r="C586" s="1131"/>
      <c r="D586" s="819"/>
      <c r="E586" s="1132"/>
      <c r="F586" s="819"/>
      <c r="G586" s="1134"/>
      <c r="H586" s="819"/>
      <c r="I586" s="1132"/>
      <c r="J586" s="819"/>
      <c r="K586" s="819"/>
      <c r="L586" s="819"/>
      <c r="M586" s="1128" t="str">
        <f>+IFERROR(VLOOKUP(G586,'S1&amp;2 Lists'!$C$8:$G$112,3,FALSE),"-")</f>
        <v>-</v>
      </c>
      <c r="N586" s="1128" t="str">
        <f t="shared" si="8"/>
        <v>-</v>
      </c>
      <c r="P586" s="1130">
        <f>ROUND(IF(L586='S1&amp;2 Lists'!$CV$3,K586,IF(L586='S1&amp;2 Lists'!$CV$4,K586/'S1&amp;2 Lists'!$CQ$6,0)),3)</f>
        <v>0</v>
      </c>
      <c r="Q586" s="11" t="s">
        <v>12</v>
      </c>
    </row>
    <row r="587" spans="1:17" s="1129" customFormat="1" ht="24" customHeight="1">
      <c r="A587" s="819"/>
      <c r="B587" s="819"/>
      <c r="C587" s="1131"/>
      <c r="D587" s="819"/>
      <c r="E587" s="1132"/>
      <c r="F587" s="819"/>
      <c r="G587" s="1134"/>
      <c r="H587" s="819"/>
      <c r="I587" s="1132"/>
      <c r="J587" s="819"/>
      <c r="K587" s="819"/>
      <c r="L587" s="819"/>
      <c r="M587" s="1128" t="str">
        <f>+IFERROR(VLOOKUP(G587,'S1&amp;2 Lists'!$C$8:$G$112,3,FALSE),"-")</f>
        <v>-</v>
      </c>
      <c r="N587" s="1128" t="str">
        <f t="shared" ref="N587:N650" si="9">+IFERROR(P587*M587,"-")</f>
        <v>-</v>
      </c>
      <c r="P587" s="1130">
        <f>ROUND(IF(L587='S1&amp;2 Lists'!$CV$3,K587,IF(L587='S1&amp;2 Lists'!$CV$4,K587/'S1&amp;2 Lists'!$CQ$6,0)),3)</f>
        <v>0</v>
      </c>
      <c r="Q587" s="11" t="s">
        <v>12</v>
      </c>
    </row>
    <row r="588" spans="1:17" s="1129" customFormat="1" ht="24" customHeight="1">
      <c r="A588" s="819"/>
      <c r="B588" s="819"/>
      <c r="C588" s="1131"/>
      <c r="D588" s="819"/>
      <c r="E588" s="1132"/>
      <c r="F588" s="819"/>
      <c r="G588" s="1134"/>
      <c r="H588" s="819"/>
      <c r="I588" s="1132"/>
      <c r="J588" s="819"/>
      <c r="K588" s="819"/>
      <c r="L588" s="819"/>
      <c r="M588" s="1128" t="str">
        <f>+IFERROR(VLOOKUP(G588,'S1&amp;2 Lists'!$C$8:$G$112,3,FALSE),"-")</f>
        <v>-</v>
      </c>
      <c r="N588" s="1128" t="str">
        <f t="shared" si="9"/>
        <v>-</v>
      </c>
      <c r="P588" s="1130">
        <f>ROUND(IF(L588='S1&amp;2 Lists'!$CV$3,K588,IF(L588='S1&amp;2 Lists'!$CV$4,K588/'S1&amp;2 Lists'!$CQ$6,0)),3)</f>
        <v>0</v>
      </c>
      <c r="Q588" s="11" t="s">
        <v>12</v>
      </c>
    </row>
    <row r="589" spans="1:17" s="1129" customFormat="1" ht="24" customHeight="1">
      <c r="A589" s="819"/>
      <c r="B589" s="819"/>
      <c r="C589" s="1131"/>
      <c r="D589" s="819"/>
      <c r="E589" s="1132"/>
      <c r="F589" s="819"/>
      <c r="G589" s="1134"/>
      <c r="H589" s="819"/>
      <c r="I589" s="1132"/>
      <c r="J589" s="819"/>
      <c r="K589" s="819"/>
      <c r="L589" s="819"/>
      <c r="M589" s="1128" t="str">
        <f>+IFERROR(VLOOKUP(G589,'S1&amp;2 Lists'!$C$8:$G$112,3,FALSE),"-")</f>
        <v>-</v>
      </c>
      <c r="N589" s="1128" t="str">
        <f t="shared" si="9"/>
        <v>-</v>
      </c>
      <c r="P589" s="1130">
        <f>ROUND(IF(L589='S1&amp;2 Lists'!$CV$3,K589,IF(L589='S1&amp;2 Lists'!$CV$4,K589/'S1&amp;2 Lists'!$CQ$6,0)),3)</f>
        <v>0</v>
      </c>
      <c r="Q589" s="11" t="s">
        <v>12</v>
      </c>
    </row>
    <row r="590" spans="1:17" s="1129" customFormat="1" ht="24" customHeight="1">
      <c r="A590" s="819"/>
      <c r="B590" s="819"/>
      <c r="C590" s="1131"/>
      <c r="D590" s="819"/>
      <c r="E590" s="1132"/>
      <c r="F590" s="819"/>
      <c r="G590" s="1134"/>
      <c r="H590" s="819"/>
      <c r="I590" s="1132"/>
      <c r="J590" s="819"/>
      <c r="K590" s="819"/>
      <c r="L590" s="819"/>
      <c r="M590" s="1128" t="str">
        <f>+IFERROR(VLOOKUP(G590,'S1&amp;2 Lists'!$C$8:$G$112,3,FALSE),"-")</f>
        <v>-</v>
      </c>
      <c r="N590" s="1128" t="str">
        <f t="shared" si="9"/>
        <v>-</v>
      </c>
      <c r="P590" s="1130">
        <f>ROUND(IF(L590='S1&amp;2 Lists'!$CV$3,K590,IF(L590='S1&amp;2 Lists'!$CV$4,K590/'S1&amp;2 Lists'!$CQ$6,0)),3)</f>
        <v>0</v>
      </c>
      <c r="Q590" s="11" t="s">
        <v>12</v>
      </c>
    </row>
    <row r="591" spans="1:17" s="1129" customFormat="1" ht="24" customHeight="1">
      <c r="A591" s="819"/>
      <c r="B591" s="819"/>
      <c r="C591" s="1131"/>
      <c r="D591" s="819"/>
      <c r="E591" s="1132"/>
      <c r="F591" s="819"/>
      <c r="G591" s="1134"/>
      <c r="H591" s="819"/>
      <c r="I591" s="1132"/>
      <c r="J591" s="819"/>
      <c r="K591" s="819"/>
      <c r="L591" s="819"/>
      <c r="M591" s="1128" t="str">
        <f>+IFERROR(VLOOKUP(G591,'S1&amp;2 Lists'!$C$8:$G$112,3,FALSE),"-")</f>
        <v>-</v>
      </c>
      <c r="N591" s="1128" t="str">
        <f t="shared" si="9"/>
        <v>-</v>
      </c>
      <c r="P591" s="1130">
        <f>ROUND(IF(L591='S1&amp;2 Lists'!$CV$3,K591,IF(L591='S1&amp;2 Lists'!$CV$4,K591/'S1&amp;2 Lists'!$CQ$6,0)),3)</f>
        <v>0</v>
      </c>
      <c r="Q591" s="11" t="s">
        <v>12</v>
      </c>
    </row>
    <row r="592" spans="1:17" s="1129" customFormat="1" ht="24" customHeight="1">
      <c r="A592" s="819"/>
      <c r="B592" s="819"/>
      <c r="C592" s="1131"/>
      <c r="D592" s="819"/>
      <c r="E592" s="1132"/>
      <c r="F592" s="819"/>
      <c r="G592" s="1134"/>
      <c r="H592" s="819"/>
      <c r="I592" s="1132"/>
      <c r="J592" s="819"/>
      <c r="K592" s="819"/>
      <c r="L592" s="819"/>
      <c r="M592" s="1128" t="str">
        <f>+IFERROR(VLOOKUP(G592,'S1&amp;2 Lists'!$C$8:$G$112,3,FALSE),"-")</f>
        <v>-</v>
      </c>
      <c r="N592" s="1128" t="str">
        <f t="shared" si="9"/>
        <v>-</v>
      </c>
      <c r="P592" s="1130">
        <f>ROUND(IF(L592='S1&amp;2 Lists'!$CV$3,K592,IF(L592='S1&amp;2 Lists'!$CV$4,K592/'S1&amp;2 Lists'!$CQ$6,0)),3)</f>
        <v>0</v>
      </c>
      <c r="Q592" s="11" t="s">
        <v>12</v>
      </c>
    </row>
    <row r="593" spans="1:17" s="1129" customFormat="1" ht="24" customHeight="1">
      <c r="A593" s="819"/>
      <c r="B593" s="819"/>
      <c r="C593" s="1131"/>
      <c r="D593" s="819"/>
      <c r="E593" s="1132"/>
      <c r="F593" s="819"/>
      <c r="G593" s="1134"/>
      <c r="H593" s="819"/>
      <c r="I593" s="1132"/>
      <c r="J593" s="819"/>
      <c r="K593" s="819"/>
      <c r="L593" s="819"/>
      <c r="M593" s="1128" t="str">
        <f>+IFERROR(VLOOKUP(G593,'S1&amp;2 Lists'!$C$8:$G$112,3,FALSE),"-")</f>
        <v>-</v>
      </c>
      <c r="N593" s="1128" t="str">
        <f t="shared" si="9"/>
        <v>-</v>
      </c>
      <c r="P593" s="1130">
        <f>ROUND(IF(L593='S1&amp;2 Lists'!$CV$3,K593,IF(L593='S1&amp;2 Lists'!$CV$4,K593/'S1&amp;2 Lists'!$CQ$6,0)),3)</f>
        <v>0</v>
      </c>
      <c r="Q593" s="11" t="s">
        <v>12</v>
      </c>
    </row>
    <row r="594" spans="1:17" s="1129" customFormat="1" ht="24" customHeight="1">
      <c r="A594" s="819"/>
      <c r="B594" s="819"/>
      <c r="C594" s="1131"/>
      <c r="D594" s="819"/>
      <c r="E594" s="1132"/>
      <c r="F594" s="819"/>
      <c r="G594" s="1134"/>
      <c r="H594" s="819"/>
      <c r="I594" s="1132"/>
      <c r="J594" s="819"/>
      <c r="K594" s="819"/>
      <c r="L594" s="819"/>
      <c r="M594" s="1128" t="str">
        <f>+IFERROR(VLOOKUP(G594,'S1&amp;2 Lists'!$C$8:$G$112,3,FALSE),"-")</f>
        <v>-</v>
      </c>
      <c r="N594" s="1128" t="str">
        <f t="shared" si="9"/>
        <v>-</v>
      </c>
      <c r="P594" s="1130">
        <f>ROUND(IF(L594='S1&amp;2 Lists'!$CV$3,K594,IF(L594='S1&amp;2 Lists'!$CV$4,K594/'S1&amp;2 Lists'!$CQ$6,0)),3)</f>
        <v>0</v>
      </c>
      <c r="Q594" s="11" t="s">
        <v>12</v>
      </c>
    </row>
    <row r="595" spans="1:17" s="1129" customFormat="1" ht="24" customHeight="1">
      <c r="A595" s="819"/>
      <c r="B595" s="819"/>
      <c r="C595" s="1131"/>
      <c r="D595" s="819"/>
      <c r="E595" s="1132"/>
      <c r="F595" s="819"/>
      <c r="G595" s="1134"/>
      <c r="H595" s="819"/>
      <c r="I595" s="1132"/>
      <c r="J595" s="819"/>
      <c r="K595" s="819"/>
      <c r="L595" s="819"/>
      <c r="M595" s="1128" t="str">
        <f>+IFERROR(VLOOKUP(G595,'S1&amp;2 Lists'!$C$8:$G$112,3,FALSE),"-")</f>
        <v>-</v>
      </c>
      <c r="N595" s="1128" t="str">
        <f t="shared" si="9"/>
        <v>-</v>
      </c>
      <c r="P595" s="1130">
        <f>ROUND(IF(L595='S1&amp;2 Lists'!$CV$3,K595,IF(L595='S1&amp;2 Lists'!$CV$4,K595/'S1&amp;2 Lists'!$CQ$6,0)),3)</f>
        <v>0</v>
      </c>
      <c r="Q595" s="11" t="s">
        <v>12</v>
      </c>
    </row>
    <row r="596" spans="1:17" s="1129" customFormat="1" ht="24" customHeight="1">
      <c r="A596" s="819"/>
      <c r="B596" s="819"/>
      <c r="C596" s="1131"/>
      <c r="D596" s="819"/>
      <c r="E596" s="1132"/>
      <c r="F596" s="819"/>
      <c r="G596" s="1134"/>
      <c r="H596" s="819"/>
      <c r="I596" s="1132"/>
      <c r="J596" s="819"/>
      <c r="K596" s="819"/>
      <c r="L596" s="819"/>
      <c r="M596" s="1128" t="str">
        <f>+IFERROR(VLOOKUP(G596,'S1&amp;2 Lists'!$C$8:$G$112,3,FALSE),"-")</f>
        <v>-</v>
      </c>
      <c r="N596" s="1128" t="str">
        <f t="shared" si="9"/>
        <v>-</v>
      </c>
      <c r="P596" s="1130">
        <f>ROUND(IF(L596='S1&amp;2 Lists'!$CV$3,K596,IF(L596='S1&amp;2 Lists'!$CV$4,K596/'S1&amp;2 Lists'!$CQ$6,0)),3)</f>
        <v>0</v>
      </c>
      <c r="Q596" s="11" t="s">
        <v>12</v>
      </c>
    </row>
    <row r="597" spans="1:17" s="1129" customFormat="1" ht="24" customHeight="1">
      <c r="A597" s="819"/>
      <c r="B597" s="819"/>
      <c r="C597" s="1131"/>
      <c r="D597" s="819"/>
      <c r="E597" s="1132"/>
      <c r="F597" s="819"/>
      <c r="G597" s="1134"/>
      <c r="H597" s="819"/>
      <c r="I597" s="1132"/>
      <c r="J597" s="819"/>
      <c r="K597" s="819"/>
      <c r="L597" s="819"/>
      <c r="M597" s="1128" t="str">
        <f>+IFERROR(VLOOKUP(G597,'S1&amp;2 Lists'!$C$8:$G$112,3,FALSE),"-")</f>
        <v>-</v>
      </c>
      <c r="N597" s="1128" t="str">
        <f t="shared" si="9"/>
        <v>-</v>
      </c>
      <c r="P597" s="1130">
        <f>ROUND(IF(L597='S1&amp;2 Lists'!$CV$3,K597,IF(L597='S1&amp;2 Lists'!$CV$4,K597/'S1&amp;2 Lists'!$CQ$6,0)),3)</f>
        <v>0</v>
      </c>
      <c r="Q597" s="11" t="s">
        <v>12</v>
      </c>
    </row>
    <row r="598" spans="1:17" s="1129" customFormat="1" ht="24" customHeight="1">
      <c r="A598" s="819"/>
      <c r="B598" s="819"/>
      <c r="C598" s="1131"/>
      <c r="D598" s="819"/>
      <c r="E598" s="1132"/>
      <c r="F598" s="819"/>
      <c r="G598" s="1134"/>
      <c r="H598" s="819"/>
      <c r="I598" s="1132"/>
      <c r="J598" s="819"/>
      <c r="K598" s="819"/>
      <c r="L598" s="819"/>
      <c r="M598" s="1128" t="str">
        <f>+IFERROR(VLOOKUP(G598,'S1&amp;2 Lists'!$C$8:$G$112,3,FALSE),"-")</f>
        <v>-</v>
      </c>
      <c r="N598" s="1128" t="str">
        <f t="shared" si="9"/>
        <v>-</v>
      </c>
      <c r="P598" s="1130">
        <f>ROUND(IF(L598='S1&amp;2 Lists'!$CV$3,K598,IF(L598='S1&amp;2 Lists'!$CV$4,K598/'S1&amp;2 Lists'!$CQ$6,0)),3)</f>
        <v>0</v>
      </c>
      <c r="Q598" s="11" t="s">
        <v>12</v>
      </c>
    </row>
    <row r="599" spans="1:17" s="1129" customFormat="1" ht="24" customHeight="1">
      <c r="A599" s="819"/>
      <c r="B599" s="819"/>
      <c r="C599" s="1131"/>
      <c r="D599" s="819"/>
      <c r="E599" s="1132"/>
      <c r="F599" s="819"/>
      <c r="G599" s="1134"/>
      <c r="H599" s="819"/>
      <c r="I599" s="1132"/>
      <c r="J599" s="819"/>
      <c r="K599" s="819"/>
      <c r="L599" s="819"/>
      <c r="M599" s="1128" t="str">
        <f>+IFERROR(VLOOKUP(G599,'S1&amp;2 Lists'!$C$8:$G$112,3,FALSE),"-")</f>
        <v>-</v>
      </c>
      <c r="N599" s="1128" t="str">
        <f t="shared" si="9"/>
        <v>-</v>
      </c>
      <c r="P599" s="1130">
        <f>ROUND(IF(L599='S1&amp;2 Lists'!$CV$3,K599,IF(L599='S1&amp;2 Lists'!$CV$4,K599/'S1&amp;2 Lists'!$CQ$6,0)),3)</f>
        <v>0</v>
      </c>
      <c r="Q599" s="11" t="s">
        <v>12</v>
      </c>
    </row>
    <row r="600" spans="1:17" s="1129" customFormat="1" ht="24" customHeight="1">
      <c r="A600" s="819"/>
      <c r="B600" s="819"/>
      <c r="C600" s="1131"/>
      <c r="D600" s="819"/>
      <c r="E600" s="1132"/>
      <c r="F600" s="819"/>
      <c r="G600" s="1134"/>
      <c r="H600" s="819"/>
      <c r="I600" s="1132"/>
      <c r="J600" s="819"/>
      <c r="K600" s="819"/>
      <c r="L600" s="819"/>
      <c r="M600" s="1128" t="str">
        <f>+IFERROR(VLOOKUP(G600,'S1&amp;2 Lists'!$C$8:$G$112,3,FALSE),"-")</f>
        <v>-</v>
      </c>
      <c r="N600" s="1128" t="str">
        <f t="shared" si="9"/>
        <v>-</v>
      </c>
      <c r="P600" s="1130">
        <f>ROUND(IF(L600='S1&amp;2 Lists'!$CV$3,K600,IF(L600='S1&amp;2 Lists'!$CV$4,K600/'S1&amp;2 Lists'!$CQ$6,0)),3)</f>
        <v>0</v>
      </c>
      <c r="Q600" s="11" t="s">
        <v>12</v>
      </c>
    </row>
    <row r="601" spans="1:17" s="1129" customFormat="1" ht="24" customHeight="1">
      <c r="A601" s="819"/>
      <c r="B601" s="819"/>
      <c r="C601" s="1131"/>
      <c r="D601" s="819"/>
      <c r="E601" s="1132"/>
      <c r="F601" s="819"/>
      <c r="G601" s="1134"/>
      <c r="H601" s="819"/>
      <c r="I601" s="1132"/>
      <c r="J601" s="819"/>
      <c r="K601" s="819"/>
      <c r="L601" s="819"/>
      <c r="M601" s="1128" t="str">
        <f>+IFERROR(VLOOKUP(G601,'S1&amp;2 Lists'!$C$8:$G$112,3,FALSE),"-")</f>
        <v>-</v>
      </c>
      <c r="N601" s="1128" t="str">
        <f t="shared" si="9"/>
        <v>-</v>
      </c>
      <c r="P601" s="1130">
        <f>ROUND(IF(L601='S1&amp;2 Lists'!$CV$3,K601,IF(L601='S1&amp;2 Lists'!$CV$4,K601/'S1&amp;2 Lists'!$CQ$6,0)),3)</f>
        <v>0</v>
      </c>
      <c r="Q601" s="11" t="s">
        <v>12</v>
      </c>
    </row>
    <row r="602" spans="1:17" s="1129" customFormat="1" ht="24" customHeight="1">
      <c r="A602" s="819"/>
      <c r="B602" s="819"/>
      <c r="C602" s="1131"/>
      <c r="D602" s="819"/>
      <c r="E602" s="1132"/>
      <c r="F602" s="819"/>
      <c r="G602" s="1134"/>
      <c r="H602" s="819"/>
      <c r="I602" s="1132"/>
      <c r="J602" s="819"/>
      <c r="K602" s="819"/>
      <c r="L602" s="819"/>
      <c r="M602" s="1128" t="str">
        <f>+IFERROR(VLOOKUP(G602,'S1&amp;2 Lists'!$C$8:$G$112,3,FALSE),"-")</f>
        <v>-</v>
      </c>
      <c r="N602" s="1128" t="str">
        <f t="shared" si="9"/>
        <v>-</v>
      </c>
      <c r="P602" s="1130">
        <f>ROUND(IF(L602='S1&amp;2 Lists'!$CV$3,K602,IF(L602='S1&amp;2 Lists'!$CV$4,K602/'S1&amp;2 Lists'!$CQ$6,0)),3)</f>
        <v>0</v>
      </c>
      <c r="Q602" s="11" t="s">
        <v>12</v>
      </c>
    </row>
    <row r="603" spans="1:17" s="1129" customFormat="1" ht="24" customHeight="1">
      <c r="A603" s="819"/>
      <c r="B603" s="819"/>
      <c r="C603" s="1131"/>
      <c r="D603" s="819"/>
      <c r="E603" s="1132"/>
      <c r="F603" s="819"/>
      <c r="G603" s="1134"/>
      <c r="H603" s="819"/>
      <c r="I603" s="1132"/>
      <c r="J603" s="819"/>
      <c r="K603" s="819"/>
      <c r="L603" s="819"/>
      <c r="M603" s="1128" t="str">
        <f>+IFERROR(VLOOKUP(G603,'S1&amp;2 Lists'!$C$8:$G$112,3,FALSE),"-")</f>
        <v>-</v>
      </c>
      <c r="N603" s="1128" t="str">
        <f t="shared" si="9"/>
        <v>-</v>
      </c>
      <c r="P603" s="1130">
        <f>ROUND(IF(L603='S1&amp;2 Lists'!$CV$3,K603,IF(L603='S1&amp;2 Lists'!$CV$4,K603/'S1&amp;2 Lists'!$CQ$6,0)),3)</f>
        <v>0</v>
      </c>
      <c r="Q603" s="11" t="s">
        <v>12</v>
      </c>
    </row>
    <row r="604" spans="1:17" s="1129" customFormat="1" ht="24" customHeight="1">
      <c r="A604" s="819"/>
      <c r="B604" s="819"/>
      <c r="C604" s="1131"/>
      <c r="D604" s="819"/>
      <c r="E604" s="1132"/>
      <c r="F604" s="819"/>
      <c r="G604" s="1134"/>
      <c r="H604" s="819"/>
      <c r="I604" s="1132"/>
      <c r="J604" s="819"/>
      <c r="K604" s="819"/>
      <c r="L604" s="819"/>
      <c r="M604" s="1128" t="str">
        <f>+IFERROR(VLOOKUP(G604,'S1&amp;2 Lists'!$C$8:$G$112,3,FALSE),"-")</f>
        <v>-</v>
      </c>
      <c r="N604" s="1128" t="str">
        <f t="shared" si="9"/>
        <v>-</v>
      </c>
      <c r="P604" s="1130">
        <f>ROUND(IF(L604='S1&amp;2 Lists'!$CV$3,K604,IF(L604='S1&amp;2 Lists'!$CV$4,K604/'S1&amp;2 Lists'!$CQ$6,0)),3)</f>
        <v>0</v>
      </c>
      <c r="Q604" s="11" t="s">
        <v>12</v>
      </c>
    </row>
    <row r="605" spans="1:17" s="1129" customFormat="1" ht="24" customHeight="1">
      <c r="A605" s="819"/>
      <c r="B605" s="819"/>
      <c r="C605" s="1131"/>
      <c r="D605" s="819"/>
      <c r="E605" s="1132"/>
      <c r="F605" s="819"/>
      <c r="G605" s="1134"/>
      <c r="H605" s="819"/>
      <c r="I605" s="1132"/>
      <c r="J605" s="819"/>
      <c r="K605" s="819"/>
      <c r="L605" s="819"/>
      <c r="M605" s="1128" t="str">
        <f>+IFERROR(VLOOKUP(G605,'S1&amp;2 Lists'!$C$8:$G$112,3,FALSE),"-")</f>
        <v>-</v>
      </c>
      <c r="N605" s="1128" t="str">
        <f t="shared" si="9"/>
        <v>-</v>
      </c>
      <c r="P605" s="1130">
        <f>ROUND(IF(L605='S1&amp;2 Lists'!$CV$3,K605,IF(L605='S1&amp;2 Lists'!$CV$4,K605/'S1&amp;2 Lists'!$CQ$6,0)),3)</f>
        <v>0</v>
      </c>
      <c r="Q605" s="11" t="s">
        <v>12</v>
      </c>
    </row>
    <row r="606" spans="1:17" s="1129" customFormat="1" ht="24" customHeight="1">
      <c r="A606" s="819"/>
      <c r="B606" s="819"/>
      <c r="C606" s="1131"/>
      <c r="D606" s="819"/>
      <c r="E606" s="1132"/>
      <c r="F606" s="819"/>
      <c r="G606" s="1134"/>
      <c r="H606" s="819"/>
      <c r="I606" s="1132"/>
      <c r="J606" s="819"/>
      <c r="K606" s="819"/>
      <c r="L606" s="819"/>
      <c r="M606" s="1128" t="str">
        <f>+IFERROR(VLOOKUP(G606,'S1&amp;2 Lists'!$C$8:$G$112,3,FALSE),"-")</f>
        <v>-</v>
      </c>
      <c r="N606" s="1128" t="str">
        <f t="shared" si="9"/>
        <v>-</v>
      </c>
      <c r="P606" s="1130">
        <f>ROUND(IF(L606='S1&amp;2 Lists'!$CV$3,K606,IF(L606='S1&amp;2 Lists'!$CV$4,K606/'S1&amp;2 Lists'!$CQ$6,0)),3)</f>
        <v>0</v>
      </c>
      <c r="Q606" s="11" t="s">
        <v>12</v>
      </c>
    </row>
    <row r="607" spans="1:17" s="1129" customFormat="1" ht="24" customHeight="1">
      <c r="A607" s="819"/>
      <c r="B607" s="819"/>
      <c r="C607" s="1131"/>
      <c r="D607" s="819"/>
      <c r="E607" s="1132"/>
      <c r="F607" s="819"/>
      <c r="G607" s="1134"/>
      <c r="H607" s="819"/>
      <c r="I607" s="1132"/>
      <c r="J607" s="819"/>
      <c r="K607" s="819"/>
      <c r="L607" s="819"/>
      <c r="M607" s="1128" t="str">
        <f>+IFERROR(VLOOKUP(G607,'S1&amp;2 Lists'!$C$8:$G$112,3,FALSE),"-")</f>
        <v>-</v>
      </c>
      <c r="N607" s="1128" t="str">
        <f t="shared" si="9"/>
        <v>-</v>
      </c>
      <c r="P607" s="1130">
        <f>ROUND(IF(L607='S1&amp;2 Lists'!$CV$3,K607,IF(L607='S1&amp;2 Lists'!$CV$4,K607/'S1&amp;2 Lists'!$CQ$6,0)),3)</f>
        <v>0</v>
      </c>
      <c r="Q607" s="11" t="s">
        <v>12</v>
      </c>
    </row>
    <row r="608" spans="1:17" s="1129" customFormat="1" ht="24" customHeight="1">
      <c r="A608" s="819"/>
      <c r="B608" s="819"/>
      <c r="C608" s="1131"/>
      <c r="D608" s="819"/>
      <c r="E608" s="1132"/>
      <c r="F608" s="819"/>
      <c r="G608" s="1134"/>
      <c r="H608" s="819"/>
      <c r="I608" s="1132"/>
      <c r="J608" s="819"/>
      <c r="K608" s="819"/>
      <c r="L608" s="819"/>
      <c r="M608" s="1128" t="str">
        <f>+IFERROR(VLOOKUP(G608,'S1&amp;2 Lists'!$C$8:$G$112,3,FALSE),"-")</f>
        <v>-</v>
      </c>
      <c r="N608" s="1128" t="str">
        <f t="shared" si="9"/>
        <v>-</v>
      </c>
      <c r="P608" s="1130">
        <f>ROUND(IF(L608='S1&amp;2 Lists'!$CV$3,K608,IF(L608='S1&amp;2 Lists'!$CV$4,K608/'S1&amp;2 Lists'!$CQ$6,0)),3)</f>
        <v>0</v>
      </c>
      <c r="Q608" s="11" t="s">
        <v>12</v>
      </c>
    </row>
    <row r="609" spans="1:17" s="1129" customFormat="1" ht="24" customHeight="1">
      <c r="A609" s="819"/>
      <c r="B609" s="819"/>
      <c r="C609" s="1131"/>
      <c r="D609" s="819"/>
      <c r="E609" s="1132"/>
      <c r="F609" s="819"/>
      <c r="G609" s="1134"/>
      <c r="H609" s="819"/>
      <c r="I609" s="1132"/>
      <c r="J609" s="819"/>
      <c r="K609" s="819"/>
      <c r="L609" s="819"/>
      <c r="M609" s="1128" t="str">
        <f>+IFERROR(VLOOKUP(G609,'S1&amp;2 Lists'!$C$8:$G$112,3,FALSE),"-")</f>
        <v>-</v>
      </c>
      <c r="N609" s="1128" t="str">
        <f t="shared" si="9"/>
        <v>-</v>
      </c>
      <c r="P609" s="1130">
        <f>ROUND(IF(L609='S1&amp;2 Lists'!$CV$3,K609,IF(L609='S1&amp;2 Lists'!$CV$4,K609/'S1&amp;2 Lists'!$CQ$6,0)),3)</f>
        <v>0</v>
      </c>
      <c r="Q609" s="11" t="s">
        <v>12</v>
      </c>
    </row>
    <row r="610" spans="1:17" s="1129" customFormat="1" ht="24" customHeight="1">
      <c r="A610" s="819"/>
      <c r="B610" s="819"/>
      <c r="C610" s="1131"/>
      <c r="D610" s="819"/>
      <c r="E610" s="1132"/>
      <c r="F610" s="819"/>
      <c r="G610" s="1134"/>
      <c r="H610" s="819"/>
      <c r="I610" s="1132"/>
      <c r="J610" s="819"/>
      <c r="K610" s="819"/>
      <c r="L610" s="819"/>
      <c r="M610" s="1128" t="str">
        <f>+IFERROR(VLOOKUP(G610,'S1&amp;2 Lists'!$C$8:$G$112,3,FALSE),"-")</f>
        <v>-</v>
      </c>
      <c r="N610" s="1128" t="str">
        <f t="shared" si="9"/>
        <v>-</v>
      </c>
      <c r="P610" s="1130">
        <f>ROUND(IF(L610='S1&amp;2 Lists'!$CV$3,K610,IF(L610='S1&amp;2 Lists'!$CV$4,K610/'S1&amp;2 Lists'!$CQ$6,0)),3)</f>
        <v>0</v>
      </c>
      <c r="Q610" s="11" t="s">
        <v>12</v>
      </c>
    </row>
    <row r="611" spans="1:17" s="1129" customFormat="1" ht="24" customHeight="1">
      <c r="A611" s="819"/>
      <c r="B611" s="819"/>
      <c r="C611" s="1131"/>
      <c r="D611" s="819"/>
      <c r="E611" s="1132"/>
      <c r="F611" s="819"/>
      <c r="G611" s="1134"/>
      <c r="H611" s="819"/>
      <c r="I611" s="1132"/>
      <c r="J611" s="819"/>
      <c r="K611" s="819"/>
      <c r="L611" s="819"/>
      <c r="M611" s="1128" t="str">
        <f>+IFERROR(VLOOKUP(G611,'S1&amp;2 Lists'!$C$8:$G$112,3,FALSE),"-")</f>
        <v>-</v>
      </c>
      <c r="N611" s="1128" t="str">
        <f t="shared" si="9"/>
        <v>-</v>
      </c>
      <c r="P611" s="1130">
        <f>ROUND(IF(L611='S1&amp;2 Lists'!$CV$3,K611,IF(L611='S1&amp;2 Lists'!$CV$4,K611/'S1&amp;2 Lists'!$CQ$6,0)),3)</f>
        <v>0</v>
      </c>
      <c r="Q611" s="11" t="s">
        <v>12</v>
      </c>
    </row>
    <row r="612" spans="1:17" s="1129" customFormat="1" ht="24" customHeight="1">
      <c r="A612" s="819"/>
      <c r="B612" s="819"/>
      <c r="C612" s="1131"/>
      <c r="D612" s="819"/>
      <c r="E612" s="1132"/>
      <c r="F612" s="819"/>
      <c r="G612" s="1134"/>
      <c r="H612" s="819"/>
      <c r="I612" s="1132"/>
      <c r="J612" s="819"/>
      <c r="K612" s="819"/>
      <c r="L612" s="819"/>
      <c r="M612" s="1128" t="str">
        <f>+IFERROR(VLOOKUP(G612,'S1&amp;2 Lists'!$C$8:$G$112,3,FALSE),"-")</f>
        <v>-</v>
      </c>
      <c r="N612" s="1128" t="str">
        <f t="shared" si="9"/>
        <v>-</v>
      </c>
      <c r="P612" s="1130">
        <f>ROUND(IF(L612='S1&amp;2 Lists'!$CV$3,K612,IF(L612='S1&amp;2 Lists'!$CV$4,K612/'S1&amp;2 Lists'!$CQ$6,0)),3)</f>
        <v>0</v>
      </c>
      <c r="Q612" s="11" t="s">
        <v>12</v>
      </c>
    </row>
    <row r="613" spans="1:17" s="1129" customFormat="1" ht="24" customHeight="1">
      <c r="A613" s="819"/>
      <c r="B613" s="819"/>
      <c r="C613" s="1131"/>
      <c r="D613" s="819"/>
      <c r="E613" s="1132"/>
      <c r="F613" s="819"/>
      <c r="G613" s="1134"/>
      <c r="H613" s="819"/>
      <c r="I613" s="1132"/>
      <c r="J613" s="819"/>
      <c r="K613" s="819"/>
      <c r="L613" s="819"/>
      <c r="M613" s="1128" t="str">
        <f>+IFERROR(VLOOKUP(G613,'S1&amp;2 Lists'!$C$8:$G$112,3,FALSE),"-")</f>
        <v>-</v>
      </c>
      <c r="N613" s="1128" t="str">
        <f t="shared" si="9"/>
        <v>-</v>
      </c>
      <c r="P613" s="1130">
        <f>ROUND(IF(L613='S1&amp;2 Lists'!$CV$3,K613,IF(L613='S1&amp;2 Lists'!$CV$4,K613/'S1&amp;2 Lists'!$CQ$6,0)),3)</f>
        <v>0</v>
      </c>
      <c r="Q613" s="11" t="s">
        <v>12</v>
      </c>
    </row>
    <row r="614" spans="1:17" s="1129" customFormat="1" ht="24" customHeight="1">
      <c r="A614" s="819"/>
      <c r="B614" s="819"/>
      <c r="C614" s="1131"/>
      <c r="D614" s="819"/>
      <c r="E614" s="1132"/>
      <c r="F614" s="819"/>
      <c r="G614" s="1134"/>
      <c r="H614" s="819"/>
      <c r="I614" s="1132"/>
      <c r="J614" s="819"/>
      <c r="K614" s="819"/>
      <c r="L614" s="819"/>
      <c r="M614" s="1128" t="str">
        <f>+IFERROR(VLOOKUP(G614,'S1&amp;2 Lists'!$C$8:$G$112,3,FALSE),"-")</f>
        <v>-</v>
      </c>
      <c r="N614" s="1128" t="str">
        <f t="shared" si="9"/>
        <v>-</v>
      </c>
      <c r="P614" s="1130">
        <f>ROUND(IF(L614='S1&amp;2 Lists'!$CV$3,K614,IF(L614='S1&amp;2 Lists'!$CV$4,K614/'S1&amp;2 Lists'!$CQ$6,0)),3)</f>
        <v>0</v>
      </c>
      <c r="Q614" s="11" t="s">
        <v>12</v>
      </c>
    </row>
    <row r="615" spans="1:17" s="1129" customFormat="1" ht="24" customHeight="1">
      <c r="A615" s="819"/>
      <c r="B615" s="819"/>
      <c r="C615" s="1131"/>
      <c r="D615" s="819"/>
      <c r="E615" s="1132"/>
      <c r="F615" s="819"/>
      <c r="G615" s="1134"/>
      <c r="H615" s="819"/>
      <c r="I615" s="1132"/>
      <c r="J615" s="819"/>
      <c r="K615" s="819"/>
      <c r="L615" s="819"/>
      <c r="M615" s="1128" t="str">
        <f>+IFERROR(VLOOKUP(G615,'S1&amp;2 Lists'!$C$8:$G$112,3,FALSE),"-")</f>
        <v>-</v>
      </c>
      <c r="N615" s="1128" t="str">
        <f t="shared" si="9"/>
        <v>-</v>
      </c>
      <c r="P615" s="1130">
        <f>ROUND(IF(L615='S1&amp;2 Lists'!$CV$3,K615,IF(L615='S1&amp;2 Lists'!$CV$4,K615/'S1&amp;2 Lists'!$CQ$6,0)),3)</f>
        <v>0</v>
      </c>
      <c r="Q615" s="11" t="s">
        <v>12</v>
      </c>
    </row>
    <row r="616" spans="1:17" s="1129" customFormat="1" ht="24" customHeight="1">
      <c r="A616" s="819"/>
      <c r="B616" s="819"/>
      <c r="C616" s="1131"/>
      <c r="D616" s="819"/>
      <c r="E616" s="1132"/>
      <c r="F616" s="819"/>
      <c r="G616" s="1134"/>
      <c r="H616" s="819"/>
      <c r="I616" s="1132"/>
      <c r="J616" s="819"/>
      <c r="K616" s="819"/>
      <c r="L616" s="819"/>
      <c r="M616" s="1128" t="str">
        <f>+IFERROR(VLOOKUP(G616,'S1&amp;2 Lists'!$C$8:$G$112,3,FALSE),"-")</f>
        <v>-</v>
      </c>
      <c r="N616" s="1128" t="str">
        <f t="shared" si="9"/>
        <v>-</v>
      </c>
      <c r="P616" s="1130">
        <f>ROUND(IF(L616='S1&amp;2 Lists'!$CV$3,K616,IF(L616='S1&amp;2 Lists'!$CV$4,K616/'S1&amp;2 Lists'!$CQ$6,0)),3)</f>
        <v>0</v>
      </c>
      <c r="Q616" s="11" t="s">
        <v>12</v>
      </c>
    </row>
    <row r="617" spans="1:17" s="1129" customFormat="1" ht="24" customHeight="1">
      <c r="A617" s="819"/>
      <c r="B617" s="819"/>
      <c r="C617" s="1131"/>
      <c r="D617" s="819"/>
      <c r="E617" s="1132"/>
      <c r="F617" s="819"/>
      <c r="G617" s="1134"/>
      <c r="H617" s="819"/>
      <c r="I617" s="1132"/>
      <c r="J617" s="819"/>
      <c r="K617" s="819"/>
      <c r="L617" s="819"/>
      <c r="M617" s="1128" t="str">
        <f>+IFERROR(VLOOKUP(G617,'S1&amp;2 Lists'!$C$8:$G$112,3,FALSE),"-")</f>
        <v>-</v>
      </c>
      <c r="N617" s="1128" t="str">
        <f t="shared" si="9"/>
        <v>-</v>
      </c>
      <c r="P617" s="1130">
        <f>ROUND(IF(L617='S1&amp;2 Lists'!$CV$3,K617,IF(L617='S1&amp;2 Lists'!$CV$4,K617/'S1&amp;2 Lists'!$CQ$6,0)),3)</f>
        <v>0</v>
      </c>
      <c r="Q617" s="11" t="s">
        <v>12</v>
      </c>
    </row>
    <row r="618" spans="1:17" s="1129" customFormat="1" ht="24" customHeight="1">
      <c r="A618" s="819"/>
      <c r="B618" s="819"/>
      <c r="C618" s="1131"/>
      <c r="D618" s="819"/>
      <c r="E618" s="1132"/>
      <c r="F618" s="819"/>
      <c r="G618" s="1134"/>
      <c r="H618" s="819"/>
      <c r="I618" s="1132"/>
      <c r="J618" s="819"/>
      <c r="K618" s="819"/>
      <c r="L618" s="819"/>
      <c r="M618" s="1128" t="str">
        <f>+IFERROR(VLOOKUP(G618,'S1&amp;2 Lists'!$C$8:$G$112,3,FALSE),"-")</f>
        <v>-</v>
      </c>
      <c r="N618" s="1128" t="str">
        <f t="shared" si="9"/>
        <v>-</v>
      </c>
      <c r="P618" s="1130">
        <f>ROUND(IF(L618='S1&amp;2 Lists'!$CV$3,K618,IF(L618='S1&amp;2 Lists'!$CV$4,K618/'S1&amp;2 Lists'!$CQ$6,0)),3)</f>
        <v>0</v>
      </c>
      <c r="Q618" s="11" t="s">
        <v>12</v>
      </c>
    </row>
    <row r="619" spans="1:17" s="1129" customFormat="1" ht="24" customHeight="1">
      <c r="A619" s="819"/>
      <c r="B619" s="819"/>
      <c r="C619" s="1131"/>
      <c r="D619" s="819"/>
      <c r="E619" s="1132"/>
      <c r="F619" s="819"/>
      <c r="G619" s="1134"/>
      <c r="H619" s="819"/>
      <c r="I619" s="1132"/>
      <c r="J619" s="819"/>
      <c r="K619" s="819"/>
      <c r="L619" s="819"/>
      <c r="M619" s="1128" t="str">
        <f>+IFERROR(VLOOKUP(G619,'S1&amp;2 Lists'!$C$8:$G$112,3,FALSE),"-")</f>
        <v>-</v>
      </c>
      <c r="N619" s="1128" t="str">
        <f t="shared" si="9"/>
        <v>-</v>
      </c>
      <c r="P619" s="1130">
        <f>ROUND(IF(L619='S1&amp;2 Lists'!$CV$3,K619,IF(L619='S1&amp;2 Lists'!$CV$4,K619/'S1&amp;2 Lists'!$CQ$6,0)),3)</f>
        <v>0</v>
      </c>
      <c r="Q619" s="11" t="s">
        <v>12</v>
      </c>
    </row>
    <row r="620" spans="1:17" s="1129" customFormat="1" ht="24" customHeight="1">
      <c r="A620" s="819"/>
      <c r="B620" s="819"/>
      <c r="C620" s="1131"/>
      <c r="D620" s="819"/>
      <c r="E620" s="1132"/>
      <c r="F620" s="819"/>
      <c r="G620" s="1134"/>
      <c r="H620" s="819"/>
      <c r="I620" s="1132"/>
      <c r="J620" s="819"/>
      <c r="K620" s="819"/>
      <c r="L620" s="819"/>
      <c r="M620" s="1128" t="str">
        <f>+IFERROR(VLOOKUP(G620,'S1&amp;2 Lists'!$C$8:$G$112,3,FALSE),"-")</f>
        <v>-</v>
      </c>
      <c r="N620" s="1128" t="str">
        <f t="shared" si="9"/>
        <v>-</v>
      </c>
      <c r="P620" s="1130">
        <f>ROUND(IF(L620='S1&amp;2 Lists'!$CV$3,K620,IF(L620='S1&amp;2 Lists'!$CV$4,K620/'S1&amp;2 Lists'!$CQ$6,0)),3)</f>
        <v>0</v>
      </c>
      <c r="Q620" s="11" t="s">
        <v>12</v>
      </c>
    </row>
    <row r="621" spans="1:17" s="1129" customFormat="1" ht="24" customHeight="1">
      <c r="A621" s="819"/>
      <c r="B621" s="819"/>
      <c r="C621" s="1131"/>
      <c r="D621" s="819"/>
      <c r="E621" s="1132"/>
      <c r="F621" s="819"/>
      <c r="G621" s="1134"/>
      <c r="H621" s="819"/>
      <c r="I621" s="1132"/>
      <c r="J621" s="819"/>
      <c r="K621" s="819"/>
      <c r="L621" s="819"/>
      <c r="M621" s="1128" t="str">
        <f>+IFERROR(VLOOKUP(G621,'S1&amp;2 Lists'!$C$8:$G$112,3,FALSE),"-")</f>
        <v>-</v>
      </c>
      <c r="N621" s="1128" t="str">
        <f t="shared" si="9"/>
        <v>-</v>
      </c>
      <c r="P621" s="1130">
        <f>ROUND(IF(L621='S1&amp;2 Lists'!$CV$3,K621,IF(L621='S1&amp;2 Lists'!$CV$4,K621/'S1&amp;2 Lists'!$CQ$6,0)),3)</f>
        <v>0</v>
      </c>
      <c r="Q621" s="11" t="s">
        <v>12</v>
      </c>
    </row>
    <row r="622" spans="1:17" s="1129" customFormat="1" ht="24" customHeight="1">
      <c r="A622" s="819"/>
      <c r="B622" s="819"/>
      <c r="C622" s="1131"/>
      <c r="D622" s="819"/>
      <c r="E622" s="1132"/>
      <c r="F622" s="819"/>
      <c r="G622" s="1134"/>
      <c r="H622" s="819"/>
      <c r="I622" s="1132"/>
      <c r="J622" s="819"/>
      <c r="K622" s="819"/>
      <c r="L622" s="819"/>
      <c r="M622" s="1128" t="str">
        <f>+IFERROR(VLOOKUP(G622,'S1&amp;2 Lists'!$C$8:$G$112,3,FALSE),"-")</f>
        <v>-</v>
      </c>
      <c r="N622" s="1128" t="str">
        <f t="shared" si="9"/>
        <v>-</v>
      </c>
      <c r="P622" s="1130">
        <f>ROUND(IF(L622='S1&amp;2 Lists'!$CV$3,K622,IF(L622='S1&amp;2 Lists'!$CV$4,K622/'S1&amp;2 Lists'!$CQ$6,0)),3)</f>
        <v>0</v>
      </c>
      <c r="Q622" s="11" t="s">
        <v>12</v>
      </c>
    </row>
    <row r="623" spans="1:17" s="1129" customFormat="1" ht="24" customHeight="1">
      <c r="A623" s="819"/>
      <c r="B623" s="819"/>
      <c r="C623" s="1131"/>
      <c r="D623" s="819"/>
      <c r="E623" s="1132"/>
      <c r="F623" s="819"/>
      <c r="G623" s="1134"/>
      <c r="H623" s="819"/>
      <c r="I623" s="1132"/>
      <c r="J623" s="819"/>
      <c r="K623" s="819"/>
      <c r="L623" s="819"/>
      <c r="M623" s="1128" t="str">
        <f>+IFERROR(VLOOKUP(G623,'S1&amp;2 Lists'!$C$8:$G$112,3,FALSE),"-")</f>
        <v>-</v>
      </c>
      <c r="N623" s="1128" t="str">
        <f t="shared" si="9"/>
        <v>-</v>
      </c>
      <c r="P623" s="1130">
        <f>ROUND(IF(L623='S1&amp;2 Lists'!$CV$3,K623,IF(L623='S1&amp;2 Lists'!$CV$4,K623/'S1&amp;2 Lists'!$CQ$6,0)),3)</f>
        <v>0</v>
      </c>
      <c r="Q623" s="11" t="s">
        <v>12</v>
      </c>
    </row>
    <row r="624" spans="1:17" s="1129" customFormat="1" ht="24" customHeight="1">
      <c r="A624" s="819"/>
      <c r="B624" s="819"/>
      <c r="C624" s="1131"/>
      <c r="D624" s="819"/>
      <c r="E624" s="1132"/>
      <c r="F624" s="819"/>
      <c r="G624" s="1134"/>
      <c r="H624" s="819"/>
      <c r="I624" s="1132"/>
      <c r="J624" s="819"/>
      <c r="K624" s="819"/>
      <c r="L624" s="819"/>
      <c r="M624" s="1128" t="str">
        <f>+IFERROR(VLOOKUP(G624,'S1&amp;2 Lists'!$C$8:$G$112,3,FALSE),"-")</f>
        <v>-</v>
      </c>
      <c r="N624" s="1128" t="str">
        <f t="shared" si="9"/>
        <v>-</v>
      </c>
      <c r="P624" s="1130">
        <f>ROUND(IF(L624='S1&amp;2 Lists'!$CV$3,K624,IF(L624='S1&amp;2 Lists'!$CV$4,K624/'S1&amp;2 Lists'!$CQ$6,0)),3)</f>
        <v>0</v>
      </c>
      <c r="Q624" s="11" t="s">
        <v>12</v>
      </c>
    </row>
    <row r="625" spans="1:17" s="1129" customFormat="1" ht="24" customHeight="1">
      <c r="A625" s="819"/>
      <c r="B625" s="819"/>
      <c r="C625" s="1131"/>
      <c r="D625" s="819"/>
      <c r="E625" s="1132"/>
      <c r="F625" s="819"/>
      <c r="G625" s="1134"/>
      <c r="H625" s="819"/>
      <c r="I625" s="1132"/>
      <c r="J625" s="819"/>
      <c r="K625" s="819"/>
      <c r="L625" s="819"/>
      <c r="M625" s="1128" t="str">
        <f>+IFERROR(VLOOKUP(G625,'S1&amp;2 Lists'!$C$8:$G$112,3,FALSE),"-")</f>
        <v>-</v>
      </c>
      <c r="N625" s="1128" t="str">
        <f t="shared" si="9"/>
        <v>-</v>
      </c>
      <c r="P625" s="1130">
        <f>ROUND(IF(L625='S1&amp;2 Lists'!$CV$3,K625,IF(L625='S1&amp;2 Lists'!$CV$4,K625/'S1&amp;2 Lists'!$CQ$6,0)),3)</f>
        <v>0</v>
      </c>
      <c r="Q625" s="11" t="s">
        <v>12</v>
      </c>
    </row>
    <row r="626" spans="1:17" s="1129" customFormat="1" ht="24" customHeight="1">
      <c r="A626" s="819"/>
      <c r="B626" s="819"/>
      <c r="C626" s="1131"/>
      <c r="D626" s="819"/>
      <c r="E626" s="1132"/>
      <c r="F626" s="819"/>
      <c r="G626" s="1134"/>
      <c r="H626" s="819"/>
      <c r="I626" s="1132"/>
      <c r="J626" s="819"/>
      <c r="K626" s="819"/>
      <c r="L626" s="819"/>
      <c r="M626" s="1128" t="str">
        <f>+IFERROR(VLOOKUP(G626,'S1&amp;2 Lists'!$C$8:$G$112,3,FALSE),"-")</f>
        <v>-</v>
      </c>
      <c r="N626" s="1128" t="str">
        <f t="shared" si="9"/>
        <v>-</v>
      </c>
      <c r="P626" s="1130">
        <f>ROUND(IF(L626='S1&amp;2 Lists'!$CV$3,K626,IF(L626='S1&amp;2 Lists'!$CV$4,K626/'S1&amp;2 Lists'!$CQ$6,0)),3)</f>
        <v>0</v>
      </c>
      <c r="Q626" s="11" t="s">
        <v>12</v>
      </c>
    </row>
    <row r="627" spans="1:17" s="1129" customFormat="1" ht="24" customHeight="1">
      <c r="A627" s="819"/>
      <c r="B627" s="819"/>
      <c r="C627" s="1131"/>
      <c r="D627" s="819"/>
      <c r="E627" s="1132"/>
      <c r="F627" s="819"/>
      <c r="G627" s="1134"/>
      <c r="H627" s="819"/>
      <c r="I627" s="1132"/>
      <c r="J627" s="819"/>
      <c r="K627" s="819"/>
      <c r="L627" s="819"/>
      <c r="M627" s="1128" t="str">
        <f>+IFERROR(VLOOKUP(G627,'S1&amp;2 Lists'!$C$8:$G$112,3,FALSE),"-")</f>
        <v>-</v>
      </c>
      <c r="N627" s="1128" t="str">
        <f t="shared" si="9"/>
        <v>-</v>
      </c>
      <c r="P627" s="1130">
        <f>ROUND(IF(L627='S1&amp;2 Lists'!$CV$3,K627,IF(L627='S1&amp;2 Lists'!$CV$4,K627/'S1&amp;2 Lists'!$CQ$6,0)),3)</f>
        <v>0</v>
      </c>
      <c r="Q627" s="11" t="s">
        <v>12</v>
      </c>
    </row>
    <row r="628" spans="1:17" s="1129" customFormat="1" ht="24" customHeight="1">
      <c r="A628" s="819"/>
      <c r="B628" s="819"/>
      <c r="C628" s="1131"/>
      <c r="D628" s="819"/>
      <c r="E628" s="1132"/>
      <c r="F628" s="819"/>
      <c r="G628" s="1134"/>
      <c r="H628" s="819"/>
      <c r="I628" s="1132"/>
      <c r="J628" s="819"/>
      <c r="K628" s="819"/>
      <c r="L628" s="819"/>
      <c r="M628" s="1128" t="str">
        <f>+IFERROR(VLOOKUP(G628,'S1&amp;2 Lists'!$C$8:$G$112,3,FALSE),"-")</f>
        <v>-</v>
      </c>
      <c r="N628" s="1128" t="str">
        <f t="shared" si="9"/>
        <v>-</v>
      </c>
      <c r="P628" s="1130">
        <f>ROUND(IF(L628='S1&amp;2 Lists'!$CV$3,K628,IF(L628='S1&amp;2 Lists'!$CV$4,K628/'S1&amp;2 Lists'!$CQ$6,0)),3)</f>
        <v>0</v>
      </c>
      <c r="Q628" s="11" t="s">
        <v>12</v>
      </c>
    </row>
    <row r="629" spans="1:17" s="1129" customFormat="1" ht="24" customHeight="1">
      <c r="A629" s="819"/>
      <c r="B629" s="819"/>
      <c r="C629" s="1131"/>
      <c r="D629" s="819"/>
      <c r="E629" s="1132"/>
      <c r="F629" s="819"/>
      <c r="G629" s="1134"/>
      <c r="H629" s="819"/>
      <c r="I629" s="1132"/>
      <c r="J629" s="819"/>
      <c r="K629" s="819"/>
      <c r="L629" s="819"/>
      <c r="M629" s="1128" t="str">
        <f>+IFERROR(VLOOKUP(G629,'S1&amp;2 Lists'!$C$8:$G$112,3,FALSE),"-")</f>
        <v>-</v>
      </c>
      <c r="N629" s="1128" t="str">
        <f t="shared" si="9"/>
        <v>-</v>
      </c>
      <c r="P629" s="1130">
        <f>ROUND(IF(L629='S1&amp;2 Lists'!$CV$3,K629,IF(L629='S1&amp;2 Lists'!$CV$4,K629/'S1&amp;2 Lists'!$CQ$6,0)),3)</f>
        <v>0</v>
      </c>
      <c r="Q629" s="11" t="s">
        <v>12</v>
      </c>
    </row>
    <row r="630" spans="1:17" s="1129" customFormat="1" ht="24" customHeight="1">
      <c r="A630" s="819"/>
      <c r="B630" s="819"/>
      <c r="C630" s="1131"/>
      <c r="D630" s="819"/>
      <c r="E630" s="1132"/>
      <c r="F630" s="819"/>
      <c r="G630" s="1134"/>
      <c r="H630" s="819"/>
      <c r="I630" s="1132"/>
      <c r="J630" s="819"/>
      <c r="K630" s="819"/>
      <c r="L630" s="819"/>
      <c r="M630" s="1128" t="str">
        <f>+IFERROR(VLOOKUP(G630,'S1&amp;2 Lists'!$C$8:$G$112,3,FALSE),"-")</f>
        <v>-</v>
      </c>
      <c r="N630" s="1128" t="str">
        <f t="shared" si="9"/>
        <v>-</v>
      </c>
      <c r="P630" s="1130">
        <f>ROUND(IF(L630='S1&amp;2 Lists'!$CV$3,K630,IF(L630='S1&amp;2 Lists'!$CV$4,K630/'S1&amp;2 Lists'!$CQ$6,0)),3)</f>
        <v>0</v>
      </c>
      <c r="Q630" s="11" t="s">
        <v>12</v>
      </c>
    </row>
    <row r="631" spans="1:17" s="1129" customFormat="1" ht="24" customHeight="1">
      <c r="A631" s="819"/>
      <c r="B631" s="819"/>
      <c r="C631" s="1131"/>
      <c r="D631" s="819"/>
      <c r="E631" s="1132"/>
      <c r="F631" s="819"/>
      <c r="G631" s="1134"/>
      <c r="H631" s="819"/>
      <c r="I631" s="1132"/>
      <c r="J631" s="819"/>
      <c r="K631" s="819"/>
      <c r="L631" s="819"/>
      <c r="M631" s="1128" t="str">
        <f>+IFERROR(VLOOKUP(G631,'S1&amp;2 Lists'!$C$8:$G$112,3,FALSE),"-")</f>
        <v>-</v>
      </c>
      <c r="N631" s="1128" t="str">
        <f t="shared" si="9"/>
        <v>-</v>
      </c>
      <c r="P631" s="1130">
        <f>ROUND(IF(L631='S1&amp;2 Lists'!$CV$3,K631,IF(L631='S1&amp;2 Lists'!$CV$4,K631/'S1&amp;2 Lists'!$CQ$6,0)),3)</f>
        <v>0</v>
      </c>
      <c r="Q631" s="11" t="s">
        <v>12</v>
      </c>
    </row>
    <row r="632" spans="1:17" s="1129" customFormat="1" ht="24" customHeight="1">
      <c r="A632" s="819"/>
      <c r="B632" s="819"/>
      <c r="C632" s="1131"/>
      <c r="D632" s="819"/>
      <c r="E632" s="1132"/>
      <c r="F632" s="819"/>
      <c r="G632" s="1134"/>
      <c r="H632" s="819"/>
      <c r="I632" s="1132"/>
      <c r="J632" s="819"/>
      <c r="K632" s="819"/>
      <c r="L632" s="819"/>
      <c r="M632" s="1128" t="str">
        <f>+IFERROR(VLOOKUP(G632,'S1&amp;2 Lists'!$C$8:$G$112,3,FALSE),"-")</f>
        <v>-</v>
      </c>
      <c r="N632" s="1128" t="str">
        <f t="shared" si="9"/>
        <v>-</v>
      </c>
      <c r="P632" s="1130">
        <f>ROUND(IF(L632='S1&amp;2 Lists'!$CV$3,K632,IF(L632='S1&amp;2 Lists'!$CV$4,K632/'S1&amp;2 Lists'!$CQ$6,0)),3)</f>
        <v>0</v>
      </c>
      <c r="Q632" s="11" t="s">
        <v>12</v>
      </c>
    </row>
    <row r="633" spans="1:17" s="1129" customFormat="1" ht="24" customHeight="1">
      <c r="A633" s="819"/>
      <c r="B633" s="819"/>
      <c r="C633" s="1131"/>
      <c r="D633" s="819"/>
      <c r="E633" s="1132"/>
      <c r="F633" s="819"/>
      <c r="G633" s="1134"/>
      <c r="H633" s="819"/>
      <c r="I633" s="1132"/>
      <c r="J633" s="819"/>
      <c r="K633" s="819"/>
      <c r="L633" s="819"/>
      <c r="M633" s="1128" t="str">
        <f>+IFERROR(VLOOKUP(G633,'S1&amp;2 Lists'!$C$8:$G$112,3,FALSE),"-")</f>
        <v>-</v>
      </c>
      <c r="N633" s="1128" t="str">
        <f t="shared" si="9"/>
        <v>-</v>
      </c>
      <c r="P633" s="1130">
        <f>ROUND(IF(L633='S1&amp;2 Lists'!$CV$3,K633,IF(L633='S1&amp;2 Lists'!$CV$4,K633/'S1&amp;2 Lists'!$CQ$6,0)),3)</f>
        <v>0</v>
      </c>
      <c r="Q633" s="11" t="s">
        <v>12</v>
      </c>
    </row>
    <row r="634" spans="1:17" s="1129" customFormat="1" ht="24" customHeight="1">
      <c r="A634" s="819"/>
      <c r="B634" s="819"/>
      <c r="C634" s="1131"/>
      <c r="D634" s="819"/>
      <c r="E634" s="1132"/>
      <c r="F634" s="819"/>
      <c r="G634" s="1134"/>
      <c r="H634" s="819"/>
      <c r="I634" s="1132"/>
      <c r="J634" s="819"/>
      <c r="K634" s="819"/>
      <c r="L634" s="819"/>
      <c r="M634" s="1128" t="str">
        <f>+IFERROR(VLOOKUP(G634,'S1&amp;2 Lists'!$C$8:$G$112,3,FALSE),"-")</f>
        <v>-</v>
      </c>
      <c r="N634" s="1128" t="str">
        <f t="shared" si="9"/>
        <v>-</v>
      </c>
      <c r="P634" s="1130">
        <f>ROUND(IF(L634='S1&amp;2 Lists'!$CV$3,K634,IF(L634='S1&amp;2 Lists'!$CV$4,K634/'S1&amp;2 Lists'!$CQ$6,0)),3)</f>
        <v>0</v>
      </c>
      <c r="Q634" s="11" t="s">
        <v>12</v>
      </c>
    </row>
    <row r="635" spans="1:17" s="1129" customFormat="1" ht="24" customHeight="1">
      <c r="A635" s="819"/>
      <c r="B635" s="819"/>
      <c r="C635" s="1131"/>
      <c r="D635" s="819"/>
      <c r="E635" s="1132"/>
      <c r="F635" s="819"/>
      <c r="G635" s="1134"/>
      <c r="H635" s="819"/>
      <c r="I635" s="1132"/>
      <c r="J635" s="819"/>
      <c r="K635" s="819"/>
      <c r="L635" s="819"/>
      <c r="M635" s="1128" t="str">
        <f>+IFERROR(VLOOKUP(G635,'S1&amp;2 Lists'!$C$8:$G$112,3,FALSE),"-")</f>
        <v>-</v>
      </c>
      <c r="N635" s="1128" t="str">
        <f t="shared" si="9"/>
        <v>-</v>
      </c>
      <c r="P635" s="1130">
        <f>ROUND(IF(L635='S1&amp;2 Lists'!$CV$3,K635,IF(L635='S1&amp;2 Lists'!$CV$4,K635/'S1&amp;2 Lists'!$CQ$6,0)),3)</f>
        <v>0</v>
      </c>
      <c r="Q635" s="11" t="s">
        <v>12</v>
      </c>
    </row>
    <row r="636" spans="1:17" s="1129" customFormat="1" ht="24" customHeight="1">
      <c r="A636" s="819"/>
      <c r="B636" s="819"/>
      <c r="C636" s="1131"/>
      <c r="D636" s="819"/>
      <c r="E636" s="1132"/>
      <c r="F636" s="819"/>
      <c r="G636" s="1134"/>
      <c r="H636" s="819"/>
      <c r="I636" s="1132"/>
      <c r="J636" s="819"/>
      <c r="K636" s="819"/>
      <c r="L636" s="819"/>
      <c r="M636" s="1128" t="str">
        <f>+IFERROR(VLOOKUP(G636,'S1&amp;2 Lists'!$C$8:$G$112,3,FALSE),"-")</f>
        <v>-</v>
      </c>
      <c r="N636" s="1128" t="str">
        <f t="shared" si="9"/>
        <v>-</v>
      </c>
      <c r="P636" s="1130">
        <f>ROUND(IF(L636='S1&amp;2 Lists'!$CV$3,K636,IF(L636='S1&amp;2 Lists'!$CV$4,K636/'S1&amp;2 Lists'!$CQ$6,0)),3)</f>
        <v>0</v>
      </c>
      <c r="Q636" s="11" t="s">
        <v>12</v>
      </c>
    </row>
    <row r="637" spans="1:17" s="1129" customFormat="1" ht="24" customHeight="1">
      <c r="A637" s="819"/>
      <c r="B637" s="819"/>
      <c r="C637" s="1131"/>
      <c r="D637" s="819"/>
      <c r="E637" s="1132"/>
      <c r="F637" s="819"/>
      <c r="G637" s="1134"/>
      <c r="H637" s="819"/>
      <c r="I637" s="1132"/>
      <c r="J637" s="819"/>
      <c r="K637" s="819"/>
      <c r="L637" s="819"/>
      <c r="M637" s="1128" t="str">
        <f>+IFERROR(VLOOKUP(G637,'S1&amp;2 Lists'!$C$8:$G$112,3,FALSE),"-")</f>
        <v>-</v>
      </c>
      <c r="N637" s="1128" t="str">
        <f t="shared" si="9"/>
        <v>-</v>
      </c>
      <c r="P637" s="1130">
        <f>ROUND(IF(L637='S1&amp;2 Lists'!$CV$3,K637,IF(L637='S1&amp;2 Lists'!$CV$4,K637/'S1&amp;2 Lists'!$CQ$6,0)),3)</f>
        <v>0</v>
      </c>
      <c r="Q637" s="11" t="s">
        <v>12</v>
      </c>
    </row>
    <row r="638" spans="1:17" s="1129" customFormat="1" ht="24" customHeight="1">
      <c r="A638" s="819"/>
      <c r="B638" s="819"/>
      <c r="C638" s="1131"/>
      <c r="D638" s="819"/>
      <c r="E638" s="1132"/>
      <c r="F638" s="819"/>
      <c r="G638" s="1134"/>
      <c r="H638" s="819"/>
      <c r="I638" s="1132"/>
      <c r="J638" s="819"/>
      <c r="K638" s="819"/>
      <c r="L638" s="819"/>
      <c r="M638" s="1128" t="str">
        <f>+IFERROR(VLOOKUP(G638,'S1&amp;2 Lists'!$C$8:$G$112,3,FALSE),"-")</f>
        <v>-</v>
      </c>
      <c r="N638" s="1128" t="str">
        <f t="shared" si="9"/>
        <v>-</v>
      </c>
      <c r="P638" s="1130">
        <f>ROUND(IF(L638='S1&amp;2 Lists'!$CV$3,K638,IF(L638='S1&amp;2 Lists'!$CV$4,K638/'S1&amp;2 Lists'!$CQ$6,0)),3)</f>
        <v>0</v>
      </c>
      <c r="Q638" s="11" t="s">
        <v>12</v>
      </c>
    </row>
    <row r="639" spans="1:17" s="1129" customFormat="1" ht="24" customHeight="1">
      <c r="A639" s="819"/>
      <c r="B639" s="819"/>
      <c r="C639" s="1131"/>
      <c r="D639" s="819"/>
      <c r="E639" s="1132"/>
      <c r="F639" s="819"/>
      <c r="G639" s="1134"/>
      <c r="H639" s="819"/>
      <c r="I639" s="1132"/>
      <c r="J639" s="819"/>
      <c r="K639" s="819"/>
      <c r="L639" s="819"/>
      <c r="M639" s="1128" t="str">
        <f>+IFERROR(VLOOKUP(G639,'S1&amp;2 Lists'!$C$8:$G$112,3,FALSE),"-")</f>
        <v>-</v>
      </c>
      <c r="N639" s="1128" t="str">
        <f t="shared" si="9"/>
        <v>-</v>
      </c>
      <c r="P639" s="1130">
        <f>ROUND(IF(L639='S1&amp;2 Lists'!$CV$3,K639,IF(L639='S1&amp;2 Lists'!$CV$4,K639/'S1&amp;2 Lists'!$CQ$6,0)),3)</f>
        <v>0</v>
      </c>
      <c r="Q639" s="11" t="s">
        <v>12</v>
      </c>
    </row>
    <row r="640" spans="1:17" s="1129" customFormat="1" ht="24" customHeight="1">
      <c r="A640" s="819"/>
      <c r="B640" s="819"/>
      <c r="C640" s="1131"/>
      <c r="D640" s="819"/>
      <c r="E640" s="1132"/>
      <c r="F640" s="819"/>
      <c r="G640" s="1134"/>
      <c r="H640" s="819"/>
      <c r="I640" s="1132"/>
      <c r="J640" s="819"/>
      <c r="K640" s="819"/>
      <c r="L640" s="819"/>
      <c r="M640" s="1128" t="str">
        <f>+IFERROR(VLOOKUP(G640,'S1&amp;2 Lists'!$C$8:$G$112,3,FALSE),"-")</f>
        <v>-</v>
      </c>
      <c r="N640" s="1128" t="str">
        <f t="shared" si="9"/>
        <v>-</v>
      </c>
      <c r="P640" s="1130">
        <f>ROUND(IF(L640='S1&amp;2 Lists'!$CV$3,K640,IF(L640='S1&amp;2 Lists'!$CV$4,K640/'S1&amp;2 Lists'!$CQ$6,0)),3)</f>
        <v>0</v>
      </c>
      <c r="Q640" s="11" t="s">
        <v>12</v>
      </c>
    </row>
    <row r="641" spans="1:17" s="1129" customFormat="1" ht="24" customHeight="1">
      <c r="A641" s="819"/>
      <c r="B641" s="819"/>
      <c r="C641" s="1131"/>
      <c r="D641" s="819"/>
      <c r="E641" s="1132"/>
      <c r="F641" s="819"/>
      <c r="G641" s="1134"/>
      <c r="H641" s="819"/>
      <c r="I641" s="1132"/>
      <c r="J641" s="819"/>
      <c r="K641" s="819"/>
      <c r="L641" s="819"/>
      <c r="M641" s="1128" t="str">
        <f>+IFERROR(VLOOKUP(G641,'S1&amp;2 Lists'!$C$8:$G$112,3,FALSE),"-")</f>
        <v>-</v>
      </c>
      <c r="N641" s="1128" t="str">
        <f t="shared" si="9"/>
        <v>-</v>
      </c>
      <c r="P641" s="1130">
        <f>ROUND(IF(L641='S1&amp;2 Lists'!$CV$3,K641,IF(L641='S1&amp;2 Lists'!$CV$4,K641/'S1&amp;2 Lists'!$CQ$6,0)),3)</f>
        <v>0</v>
      </c>
      <c r="Q641" s="11" t="s">
        <v>12</v>
      </c>
    </row>
    <row r="642" spans="1:17" s="1129" customFormat="1" ht="24" customHeight="1">
      <c r="A642" s="819"/>
      <c r="B642" s="819"/>
      <c r="C642" s="1131"/>
      <c r="D642" s="819"/>
      <c r="E642" s="1132"/>
      <c r="F642" s="819"/>
      <c r="G642" s="1134"/>
      <c r="H642" s="819"/>
      <c r="I642" s="1132"/>
      <c r="J642" s="819"/>
      <c r="K642" s="819"/>
      <c r="L642" s="819"/>
      <c r="M642" s="1128" t="str">
        <f>+IFERROR(VLOOKUP(G642,'S1&amp;2 Lists'!$C$8:$G$112,3,FALSE),"-")</f>
        <v>-</v>
      </c>
      <c r="N642" s="1128" t="str">
        <f t="shared" si="9"/>
        <v>-</v>
      </c>
      <c r="P642" s="1130">
        <f>ROUND(IF(L642='S1&amp;2 Lists'!$CV$3,K642,IF(L642='S1&amp;2 Lists'!$CV$4,K642/'S1&amp;2 Lists'!$CQ$6,0)),3)</f>
        <v>0</v>
      </c>
      <c r="Q642" s="11" t="s">
        <v>12</v>
      </c>
    </row>
    <row r="643" spans="1:17" s="1129" customFormat="1" ht="24" customHeight="1">
      <c r="A643" s="819"/>
      <c r="B643" s="819"/>
      <c r="C643" s="1135"/>
      <c r="D643" s="819"/>
      <c r="E643" s="1132"/>
      <c r="F643" s="819"/>
      <c r="G643" s="1134"/>
      <c r="H643" s="819"/>
      <c r="I643" s="1132"/>
      <c r="J643" s="819"/>
      <c r="K643" s="819"/>
      <c r="L643" s="819"/>
      <c r="M643" s="1128" t="str">
        <f>+IFERROR(VLOOKUP(G643,'S1&amp;2 Lists'!$C$8:$G$112,3,FALSE),"-")</f>
        <v>-</v>
      </c>
      <c r="N643" s="1128" t="str">
        <f t="shared" si="9"/>
        <v>-</v>
      </c>
      <c r="P643" s="1130">
        <f>ROUND(IF(L643='S1&amp;2 Lists'!$CV$3,K643,IF(L643='S1&amp;2 Lists'!$CV$4,K643/'S1&amp;2 Lists'!$CQ$6,0)),3)</f>
        <v>0</v>
      </c>
      <c r="Q643" s="11" t="s">
        <v>12</v>
      </c>
    </row>
    <row r="644" spans="1:17" s="1129" customFormat="1" ht="24" customHeight="1">
      <c r="A644" s="819"/>
      <c r="B644" s="819"/>
      <c r="C644" s="1135"/>
      <c r="D644" s="819"/>
      <c r="E644" s="1132"/>
      <c r="F644" s="819"/>
      <c r="G644" s="1134"/>
      <c r="H644" s="819"/>
      <c r="I644" s="1132"/>
      <c r="J644" s="819"/>
      <c r="K644" s="819"/>
      <c r="L644" s="819"/>
      <c r="M644" s="1128" t="str">
        <f>+IFERROR(VLOOKUP(G644,'S1&amp;2 Lists'!$C$8:$G$112,3,FALSE),"-")</f>
        <v>-</v>
      </c>
      <c r="N644" s="1128" t="str">
        <f t="shared" si="9"/>
        <v>-</v>
      </c>
      <c r="P644" s="1130">
        <f>ROUND(IF(L644='S1&amp;2 Lists'!$CV$3,K644,IF(L644='S1&amp;2 Lists'!$CV$4,K644/'S1&amp;2 Lists'!$CQ$6,0)),3)</f>
        <v>0</v>
      </c>
      <c r="Q644" s="11" t="s">
        <v>12</v>
      </c>
    </row>
    <row r="645" spans="1:17" s="1129" customFormat="1" ht="24" customHeight="1">
      <c r="A645" s="819"/>
      <c r="B645" s="819"/>
      <c r="C645" s="1135"/>
      <c r="D645" s="819"/>
      <c r="E645" s="1132"/>
      <c r="F645" s="819"/>
      <c r="G645" s="1134"/>
      <c r="H645" s="819"/>
      <c r="I645" s="1132"/>
      <c r="J645" s="819"/>
      <c r="K645" s="819"/>
      <c r="L645" s="819"/>
      <c r="M645" s="1128" t="str">
        <f>+IFERROR(VLOOKUP(G645,'S1&amp;2 Lists'!$C$8:$G$112,3,FALSE),"-")</f>
        <v>-</v>
      </c>
      <c r="N645" s="1128" t="str">
        <f t="shared" si="9"/>
        <v>-</v>
      </c>
      <c r="P645" s="1130">
        <f>ROUND(IF(L645='S1&amp;2 Lists'!$CV$3,K645,IF(L645='S1&amp;2 Lists'!$CV$4,K645/'S1&amp;2 Lists'!$CQ$6,0)),3)</f>
        <v>0</v>
      </c>
      <c r="Q645" s="11" t="s">
        <v>12</v>
      </c>
    </row>
    <row r="646" spans="1:17" s="1129" customFormat="1" ht="24" customHeight="1">
      <c r="A646" s="819"/>
      <c r="B646" s="819"/>
      <c r="C646" s="1135"/>
      <c r="D646" s="819"/>
      <c r="E646" s="1132"/>
      <c r="F646" s="819"/>
      <c r="G646" s="1134"/>
      <c r="H646" s="819"/>
      <c r="I646" s="1132"/>
      <c r="J646" s="819"/>
      <c r="K646" s="819"/>
      <c r="L646" s="819"/>
      <c r="M646" s="1128" t="str">
        <f>+IFERROR(VLOOKUP(G646,'S1&amp;2 Lists'!$C$8:$G$112,3,FALSE),"-")</f>
        <v>-</v>
      </c>
      <c r="N646" s="1128" t="str">
        <f t="shared" si="9"/>
        <v>-</v>
      </c>
      <c r="P646" s="1130">
        <f>ROUND(IF(L646='S1&amp;2 Lists'!$CV$3,K646,IF(L646='S1&amp;2 Lists'!$CV$4,K646/'S1&amp;2 Lists'!$CQ$6,0)),3)</f>
        <v>0</v>
      </c>
      <c r="Q646" s="11" t="s">
        <v>12</v>
      </c>
    </row>
    <row r="647" spans="1:17" s="1129" customFormat="1" ht="24" customHeight="1">
      <c r="A647" s="819"/>
      <c r="B647" s="819"/>
      <c r="C647" s="1135"/>
      <c r="D647" s="819"/>
      <c r="E647" s="1132"/>
      <c r="F647" s="819"/>
      <c r="G647" s="1134"/>
      <c r="H647" s="819"/>
      <c r="I647" s="1132"/>
      <c r="J647" s="819"/>
      <c r="K647" s="819"/>
      <c r="L647" s="819"/>
      <c r="M647" s="1128" t="str">
        <f>+IFERROR(VLOOKUP(G647,'S1&amp;2 Lists'!$C$8:$G$112,3,FALSE),"-")</f>
        <v>-</v>
      </c>
      <c r="N647" s="1128" t="str">
        <f t="shared" si="9"/>
        <v>-</v>
      </c>
      <c r="P647" s="1130">
        <f>ROUND(IF(L647='S1&amp;2 Lists'!$CV$3,K647,IF(L647='S1&amp;2 Lists'!$CV$4,K647/'S1&amp;2 Lists'!$CQ$6,0)),3)</f>
        <v>0</v>
      </c>
      <c r="Q647" s="11" t="s">
        <v>12</v>
      </c>
    </row>
    <row r="648" spans="1:17" s="1129" customFormat="1" ht="24" customHeight="1">
      <c r="A648" s="819"/>
      <c r="B648" s="819"/>
      <c r="C648" s="1135"/>
      <c r="D648" s="819"/>
      <c r="E648" s="1132"/>
      <c r="F648" s="819"/>
      <c r="G648" s="1134"/>
      <c r="H648" s="819"/>
      <c r="I648" s="1132"/>
      <c r="J648" s="819"/>
      <c r="K648" s="819"/>
      <c r="L648" s="819"/>
      <c r="M648" s="1128" t="str">
        <f>+IFERROR(VLOOKUP(G648,'S1&amp;2 Lists'!$C$8:$G$112,3,FALSE),"-")</f>
        <v>-</v>
      </c>
      <c r="N648" s="1128" t="str">
        <f t="shared" si="9"/>
        <v>-</v>
      </c>
      <c r="P648" s="1130">
        <f>ROUND(IF(L648='S1&amp;2 Lists'!$CV$3,K648,IF(L648='S1&amp;2 Lists'!$CV$4,K648/'S1&amp;2 Lists'!$CQ$6,0)),3)</f>
        <v>0</v>
      </c>
      <c r="Q648" s="11" t="s">
        <v>12</v>
      </c>
    </row>
    <row r="649" spans="1:17" s="1129" customFormat="1" ht="24" customHeight="1">
      <c r="A649" s="819"/>
      <c r="B649" s="819"/>
      <c r="C649" s="1135"/>
      <c r="D649" s="819"/>
      <c r="E649" s="1132"/>
      <c r="F649" s="819"/>
      <c r="G649" s="1134"/>
      <c r="H649" s="819"/>
      <c r="I649" s="1132"/>
      <c r="J649" s="819"/>
      <c r="K649" s="819"/>
      <c r="L649" s="819"/>
      <c r="M649" s="1128" t="str">
        <f>+IFERROR(VLOOKUP(G649,'S1&amp;2 Lists'!$C$8:$G$112,3,FALSE),"-")</f>
        <v>-</v>
      </c>
      <c r="N649" s="1128" t="str">
        <f t="shared" si="9"/>
        <v>-</v>
      </c>
      <c r="P649" s="1130">
        <f>ROUND(IF(L649='S1&amp;2 Lists'!$CV$3,K649,IF(L649='S1&amp;2 Lists'!$CV$4,K649/'S1&amp;2 Lists'!$CQ$6,0)),3)</f>
        <v>0</v>
      </c>
      <c r="Q649" s="11" t="s">
        <v>12</v>
      </c>
    </row>
    <row r="650" spans="1:17" s="1129" customFormat="1" ht="24" customHeight="1">
      <c r="A650" s="819"/>
      <c r="B650" s="819"/>
      <c r="C650" s="1135"/>
      <c r="D650" s="819"/>
      <c r="E650" s="1132"/>
      <c r="F650" s="819"/>
      <c r="G650" s="1134"/>
      <c r="H650" s="819"/>
      <c r="I650" s="1132"/>
      <c r="J650" s="819"/>
      <c r="K650" s="819"/>
      <c r="L650" s="819"/>
      <c r="M650" s="1128" t="str">
        <f>+IFERROR(VLOOKUP(G650,'S1&amp;2 Lists'!$C$8:$G$112,3,FALSE),"-")</f>
        <v>-</v>
      </c>
      <c r="N650" s="1128" t="str">
        <f t="shared" si="9"/>
        <v>-</v>
      </c>
      <c r="P650" s="1130">
        <f>ROUND(IF(L650='S1&amp;2 Lists'!$CV$3,K650,IF(L650='S1&amp;2 Lists'!$CV$4,K650/'S1&amp;2 Lists'!$CQ$6,0)),3)</f>
        <v>0</v>
      </c>
      <c r="Q650" s="11" t="s">
        <v>12</v>
      </c>
    </row>
    <row r="651" spans="1:17" s="1129" customFormat="1" ht="24" customHeight="1">
      <c r="A651" s="819"/>
      <c r="B651" s="819"/>
      <c r="C651" s="1135"/>
      <c r="D651" s="819"/>
      <c r="E651" s="1132"/>
      <c r="F651" s="819"/>
      <c r="G651" s="1134"/>
      <c r="H651" s="819"/>
      <c r="I651" s="1132"/>
      <c r="J651" s="819"/>
      <c r="K651" s="819"/>
      <c r="L651" s="819"/>
      <c r="M651" s="1128" t="str">
        <f>+IFERROR(VLOOKUP(G651,'S1&amp;2 Lists'!$C$8:$G$112,3,FALSE),"-")</f>
        <v>-</v>
      </c>
      <c r="N651" s="1128" t="str">
        <f t="shared" ref="N651:N654" si="10">+IFERROR(P651*M651,"-")</f>
        <v>-</v>
      </c>
      <c r="P651" s="1130">
        <f>ROUND(IF(L651='S1&amp;2 Lists'!$CV$3,K651,IF(L651='S1&amp;2 Lists'!$CV$4,K651/'S1&amp;2 Lists'!$CQ$6,0)),3)</f>
        <v>0</v>
      </c>
      <c r="Q651" s="11" t="s">
        <v>12</v>
      </c>
    </row>
    <row r="652" spans="1:17" s="1129" customFormat="1" ht="24" customHeight="1">
      <c r="A652" s="819"/>
      <c r="B652" s="819"/>
      <c r="C652" s="1135"/>
      <c r="D652" s="819"/>
      <c r="E652" s="1132"/>
      <c r="F652" s="819"/>
      <c r="G652" s="1134"/>
      <c r="H652" s="819"/>
      <c r="I652" s="1132"/>
      <c r="J652" s="819"/>
      <c r="K652" s="819"/>
      <c r="L652" s="819"/>
      <c r="M652" s="1128" t="str">
        <f>+IFERROR(VLOOKUP(G652,'S1&amp;2 Lists'!$C$8:$G$112,3,FALSE),"-")</f>
        <v>-</v>
      </c>
      <c r="N652" s="1128" t="str">
        <f t="shared" si="10"/>
        <v>-</v>
      </c>
      <c r="P652" s="1130">
        <f>ROUND(IF(L652='S1&amp;2 Lists'!$CV$3,K652,IF(L652='S1&amp;2 Lists'!$CV$4,K652/'S1&amp;2 Lists'!$CQ$6,0)),3)</f>
        <v>0</v>
      </c>
      <c r="Q652" s="11" t="s">
        <v>12</v>
      </c>
    </row>
    <row r="653" spans="1:17" s="1129" customFormat="1" ht="24" customHeight="1">
      <c r="A653" s="819"/>
      <c r="B653" s="819"/>
      <c r="C653" s="1131"/>
      <c r="D653" s="819"/>
      <c r="E653" s="1132"/>
      <c r="F653" s="819"/>
      <c r="G653" s="1134"/>
      <c r="H653" s="819"/>
      <c r="I653" s="1132"/>
      <c r="J653" s="819"/>
      <c r="K653" s="819"/>
      <c r="L653" s="819"/>
      <c r="M653" s="1128" t="str">
        <f>+IFERROR(VLOOKUP(G653,'S1&amp;2 Lists'!$C$8:$G$112,3,FALSE),"-")</f>
        <v>-</v>
      </c>
      <c r="N653" s="1128" t="str">
        <f t="shared" si="10"/>
        <v>-</v>
      </c>
      <c r="P653" s="1130">
        <f>ROUND(IF(L653='S1&amp;2 Lists'!$CV$3,K653,IF(L653='S1&amp;2 Lists'!$CV$4,K653/'S1&amp;2 Lists'!$CQ$6,0)),3)</f>
        <v>0</v>
      </c>
      <c r="Q653" s="11" t="s">
        <v>12</v>
      </c>
    </row>
    <row r="654" spans="1:17" s="1129" customFormat="1" ht="24" customHeight="1">
      <c r="A654" s="819"/>
      <c r="B654" s="819"/>
      <c r="C654" s="1131"/>
      <c r="D654" s="819"/>
      <c r="E654" s="1132"/>
      <c r="F654" s="819"/>
      <c r="G654" s="1134"/>
      <c r="H654" s="819"/>
      <c r="I654" s="1132"/>
      <c r="J654" s="819"/>
      <c r="K654" s="819"/>
      <c r="L654" s="819"/>
      <c r="M654" s="1128" t="str">
        <f>+IFERROR(VLOOKUP(G654,'S1&amp;2 Lists'!$C$8:$G$112,3,FALSE),"-")</f>
        <v>-</v>
      </c>
      <c r="N654" s="1128" t="str">
        <f t="shared" si="10"/>
        <v>-</v>
      </c>
      <c r="P654" s="1130">
        <f>ROUND(IF(L654='S1&amp;2 Lists'!$CV$3,K654,IF(L654='S1&amp;2 Lists'!$CV$4,K654/'S1&amp;2 Lists'!$CQ$6,0)),3)</f>
        <v>0</v>
      </c>
      <c r="Q654" s="11" t="s">
        <v>12</v>
      </c>
    </row>
  </sheetData>
  <sheetProtection algorithmName="SHA-512" hashValue="8ahkQcHjbTN3vfOJhzDezLOyOqNNUQjoEPZqpH91Ir8crP9s7qffnfJ/XWP5ItDB6SSoE5eSlsG53uWoOSvVyg==" saltValue="ArDc/5hFmesEYlr7/EYj0Q==" spinCount="100000" sheet="1" objects="1" scenarios="1"/>
  <mergeCells count="14">
    <mergeCell ref="N8:N9"/>
    <mergeCell ref="A5:G5"/>
    <mergeCell ref="A6:G6"/>
    <mergeCell ref="A8:A9"/>
    <mergeCell ref="B8:B9"/>
    <mergeCell ref="C8:C9"/>
    <mergeCell ref="D8:E8"/>
    <mergeCell ref="F8:F9"/>
    <mergeCell ref="G8:G9"/>
    <mergeCell ref="H8:H9"/>
    <mergeCell ref="I8:I9"/>
    <mergeCell ref="J8:J9"/>
    <mergeCell ref="K8:L8"/>
    <mergeCell ref="M8:M9"/>
  </mergeCells>
  <conditionalFormatting sqref="P10:Q654">
    <cfRule type="expression" dxfId="1" priority="1">
      <formula>$C$21&lt;&gt;$B$6</formula>
    </cfRule>
  </conditionalFormatting>
  <dataValidations count="4">
    <dataValidation type="list" operator="greaterThan" allowBlank="1" showInputMessage="1" showErrorMessage="1" sqref="F53:F55" xr:uid="{79895FC2-D551-4102-9FA6-762E91D6E0B8}">
      <formula1>$CW$3:$CW$4</formula1>
    </dataValidation>
    <dataValidation operator="greaterThan" allowBlank="1" showInputMessage="1" showErrorMessage="1" sqref="E10:E654" xr:uid="{48820F61-E141-4A25-A51D-0C5D9AE835B4}"/>
    <dataValidation type="decimal" operator="greaterThan" allowBlank="1" showInputMessage="1" showErrorMessage="1" sqref="K10:K654" xr:uid="{FB05A903-9D2B-4C0C-B643-C7070E368C12}">
      <formula1>0</formula1>
    </dataValidation>
    <dataValidation type="list" allowBlank="1" showInputMessage="1" showErrorMessage="1" sqref="I10:I654 J47:J654" xr:uid="{F01625E1-3402-45B2-B4C0-53F66FC1826B}">
      <formula1>"Yes,No"</formula1>
    </dataValidation>
  </dataValidations>
  <hyperlinks>
    <hyperlink ref="K1" location="'Scope 1 and 2 Data'!A1" display="Go back to Scope 1 and 2 Data" xr:uid="{04024574-3AC6-4C7E-8DBB-CBE1FFAC0C44}"/>
  </hyperlinks>
  <pageMargins left="0.7" right="0.7" top="0.79166666666666663" bottom="0.75" header="0.3" footer="0.3"/>
  <pageSetup paperSize="9" scale="25" orientation="landscape" horizontalDpi="1200" verticalDpi="1200" r:id="rId1"/>
  <headerFooter>
    <oddHeader xml:space="preserve">&amp;L&amp;G&amp;R&amp;"-,Negrita"&amp;8
Herramienta para el cálculo de la huella de carbono en hospitales&amp;"-,Normal"
</oddHeader>
  </headerFooter>
  <colBreaks count="1" manualBreakCount="1">
    <brk id="17" max="1048575" man="1"/>
  </colBreaks>
  <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DF045453-BE49-43DD-BDB7-8230FE3866E0}">
          <x14:formula1>
            <xm:f>'S1&amp;2 Lists'!$CM$3:$CM$4</xm:f>
          </x14:formula1>
          <xm:sqref>J10:J46</xm:sqref>
        </x14:dataValidation>
        <x14:dataValidation type="list" operator="greaterThan" allowBlank="1" showInputMessage="1" showErrorMessage="1" xr:uid="{5CCA0E11-A141-4497-B3C0-D9496550AB30}">
          <x14:formula1>
            <xm:f>'S1&amp;2 Lists'!$CV$3:$CV$4</xm:f>
          </x14:formula1>
          <xm:sqref>C53:D55 L10:L654</xm:sqref>
        </x14:dataValidation>
        <x14:dataValidation type="list" allowBlank="1" showInputMessage="1" showErrorMessage="1" xr:uid="{BF32A051-B94F-472E-9812-592C5750D822}">
          <x14:formula1>
            <xm:f>'S1&amp;2 Lists'!$AU$3:$AU$11</xm:f>
          </x14:formula1>
          <xm:sqref>B10:B654</xm:sqref>
        </x14:dataValidation>
        <x14:dataValidation type="list" allowBlank="1" showInputMessage="1" showErrorMessage="1" xr:uid="{0D682529-775F-46D2-BE17-1B04DF74043E}">
          <x14:formula1>
            <xm:f>'S1&amp;2 Lists'!$C$8:$C$112</xm:f>
          </x14:formula1>
          <xm:sqref>G10:G654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A9BC0-97AB-4D13-9B60-35D8002367EB}">
  <sheetPr>
    <tabColor rgb="FF94E494"/>
  </sheetPr>
  <dimension ref="A1:G58"/>
  <sheetViews>
    <sheetView showGridLines="0" zoomScaleNormal="100" workbookViewId="0">
      <pane xSplit="1" ySplit="3" topLeftCell="B4" activePane="bottomRight" state="frozen"/>
      <selection activeCell="C8" sqref="C8"/>
      <selection pane="topRight" activeCell="C8" sqref="C8"/>
      <selection pane="bottomLeft" activeCell="C8" sqref="C8"/>
      <selection pane="bottomRight" activeCell="E36" sqref="E36"/>
    </sheetView>
  </sheetViews>
  <sheetFormatPr defaultColWidth="10.5" defaultRowHeight="14"/>
  <cols>
    <col min="1" max="1" width="6.58203125" style="706" customWidth="1"/>
    <col min="2" max="2" width="25.58203125" style="6" customWidth="1"/>
    <col min="3" max="3" width="49" style="6" customWidth="1"/>
    <col min="4" max="4" width="15.08203125" style="6" bestFit="1" customWidth="1"/>
    <col min="5" max="5" width="13.58203125" style="706" customWidth="1"/>
    <col min="6" max="6" width="67.9140625" style="6" bestFit="1" customWidth="1"/>
    <col min="7" max="7" width="69" style="6" customWidth="1"/>
    <col min="8" max="16384" width="10.5" style="6"/>
  </cols>
  <sheetData>
    <row r="1" spans="1:7" ht="156" customHeight="1">
      <c r="A1" s="1136"/>
      <c r="B1" s="1136" t="s">
        <v>26</v>
      </c>
      <c r="D1" s="1137" t="str">
        <f>+Instructions!B2</f>
        <v>Health Care Emissions Impact Calculator-Facility</v>
      </c>
      <c r="E1" s="704"/>
    </row>
    <row r="2" spans="1:7" ht="6" customHeight="1"/>
    <row r="3" spans="1:7" s="711" customFormat="1" ht="12.5">
      <c r="A3" s="1138" t="s">
        <v>2216</v>
      </c>
      <c r="B3" s="1139" t="s">
        <v>3320</v>
      </c>
      <c r="C3" s="1140" t="s">
        <v>3321</v>
      </c>
      <c r="D3" s="1140" t="s">
        <v>3322</v>
      </c>
      <c r="E3" s="1141" t="s">
        <v>2217</v>
      </c>
      <c r="F3" s="1140" t="s">
        <v>3323</v>
      </c>
      <c r="G3" s="1142" t="s">
        <v>2383</v>
      </c>
    </row>
    <row r="4" spans="1:7" s="711" customFormat="1" ht="12.5">
      <c r="A4" s="1143">
        <v>1</v>
      </c>
      <c r="B4" s="1144" t="s">
        <v>3324</v>
      </c>
      <c r="C4" s="1145" t="s">
        <v>3325</v>
      </c>
      <c r="D4" s="1145" t="s">
        <v>3326</v>
      </c>
      <c r="E4" s="1146">
        <v>2006</v>
      </c>
      <c r="F4" s="1147" t="s">
        <v>3327</v>
      </c>
      <c r="G4" s="1148"/>
    </row>
    <row r="5" spans="1:7" s="711" customFormat="1" ht="12.5">
      <c r="A5" s="1143">
        <v>2</v>
      </c>
      <c r="B5" s="1149" t="s">
        <v>3324</v>
      </c>
      <c r="C5" s="1145" t="s">
        <v>3328</v>
      </c>
      <c r="D5" s="1145" t="s">
        <v>3329</v>
      </c>
      <c r="E5" s="1146">
        <v>2006</v>
      </c>
      <c r="F5" s="1147" t="s">
        <v>3327</v>
      </c>
      <c r="G5" s="1148"/>
    </row>
    <row r="6" spans="1:7" s="711" customFormat="1" ht="12.5">
      <c r="A6" s="1143">
        <v>3</v>
      </c>
      <c r="B6" s="1149" t="s">
        <v>3324</v>
      </c>
      <c r="C6" s="1145" t="s">
        <v>3330</v>
      </c>
      <c r="D6" s="1145" t="s">
        <v>3331</v>
      </c>
      <c r="E6" s="1146">
        <v>2006</v>
      </c>
      <c r="F6" s="1147" t="s">
        <v>3327</v>
      </c>
      <c r="G6" s="1148"/>
    </row>
    <row r="7" spans="1:7" s="711" customFormat="1" ht="12.5">
      <c r="A7" s="1143">
        <v>4</v>
      </c>
      <c r="B7" s="1149" t="s">
        <v>3324</v>
      </c>
      <c r="C7" s="1145" t="s">
        <v>3330</v>
      </c>
      <c r="D7" s="1145" t="s">
        <v>3332</v>
      </c>
      <c r="E7" s="1146">
        <v>2006</v>
      </c>
      <c r="F7" s="1147" t="s">
        <v>3327</v>
      </c>
      <c r="G7" s="1148"/>
    </row>
    <row r="8" spans="1:7" s="711" customFormat="1" ht="12.5">
      <c r="A8" s="1143">
        <v>5</v>
      </c>
      <c r="B8" s="1149" t="s">
        <v>3324</v>
      </c>
      <c r="C8" s="1145" t="s">
        <v>3333</v>
      </c>
      <c r="D8" s="1145" t="s">
        <v>3334</v>
      </c>
      <c r="E8" s="1146">
        <v>2007</v>
      </c>
      <c r="F8" s="1150" t="s">
        <v>3335</v>
      </c>
      <c r="G8" s="1151" t="s">
        <v>3336</v>
      </c>
    </row>
    <row r="9" spans="1:7" s="711" customFormat="1" ht="12.5">
      <c r="A9" s="1143">
        <v>6</v>
      </c>
      <c r="B9" s="1149" t="s">
        <v>3337</v>
      </c>
      <c r="C9" s="1145" t="s">
        <v>3338</v>
      </c>
      <c r="D9" s="1145"/>
      <c r="E9" s="1146">
        <v>2010</v>
      </c>
      <c r="F9" s="1147"/>
      <c r="G9" s="1148"/>
    </row>
    <row r="10" spans="1:7" s="711" customFormat="1" ht="36.75" customHeight="1">
      <c r="A10" s="1143">
        <v>7</v>
      </c>
      <c r="B10" s="1149" t="s">
        <v>3339</v>
      </c>
      <c r="C10" s="1145" t="s">
        <v>3340</v>
      </c>
      <c r="D10" s="1145"/>
      <c r="E10" s="1152">
        <v>42236</v>
      </c>
      <c r="F10" s="1147" t="s">
        <v>3341</v>
      </c>
      <c r="G10" s="1148"/>
    </row>
    <row r="11" spans="1:7" s="711" customFormat="1" ht="25">
      <c r="A11" s="1143">
        <v>8</v>
      </c>
      <c r="B11" s="1149" t="s">
        <v>3342</v>
      </c>
      <c r="C11" s="1145" t="s">
        <v>3343</v>
      </c>
      <c r="D11" s="1145" t="s">
        <v>3344</v>
      </c>
      <c r="E11" s="1153">
        <v>42795</v>
      </c>
      <c r="F11" s="1150" t="s">
        <v>3345</v>
      </c>
      <c r="G11" s="1148"/>
    </row>
    <row r="12" spans="1:7" s="711" customFormat="1" ht="25">
      <c r="A12" s="1143">
        <v>9</v>
      </c>
      <c r="B12" s="1149" t="s">
        <v>3342</v>
      </c>
      <c r="C12" s="1145" t="s">
        <v>3343</v>
      </c>
      <c r="D12" s="1145" t="s">
        <v>3346</v>
      </c>
      <c r="E12" s="1153">
        <v>42795</v>
      </c>
      <c r="F12" s="1147" t="s">
        <v>3345</v>
      </c>
      <c r="G12" s="1148"/>
    </row>
    <row r="13" spans="1:7" s="711" customFormat="1" ht="102" customHeight="1">
      <c r="A13" s="1143">
        <v>10</v>
      </c>
      <c r="B13" s="1149" t="s">
        <v>3347</v>
      </c>
      <c r="C13" s="1145" t="s">
        <v>3348</v>
      </c>
      <c r="D13" s="1149" t="s">
        <v>3349</v>
      </c>
      <c r="E13" s="1146"/>
      <c r="F13" s="1147"/>
      <c r="G13" s="1154" t="s">
        <v>3350</v>
      </c>
    </row>
    <row r="14" spans="1:7" s="711" customFormat="1" ht="25">
      <c r="A14" s="1143">
        <v>11</v>
      </c>
      <c r="B14" s="1149" t="s">
        <v>3351</v>
      </c>
      <c r="C14" s="1149" t="s">
        <v>3352</v>
      </c>
      <c r="D14" s="1145"/>
      <c r="E14" s="1153">
        <v>42339</v>
      </c>
      <c r="F14" s="1147" t="s">
        <v>3353</v>
      </c>
      <c r="G14" s="1148"/>
    </row>
    <row r="15" spans="1:7" s="711" customFormat="1" ht="108.65" customHeight="1">
      <c r="A15" s="1143">
        <v>12</v>
      </c>
      <c r="B15" s="1149" t="s">
        <v>3324</v>
      </c>
      <c r="C15" s="1145" t="s">
        <v>3354</v>
      </c>
      <c r="D15" s="1145" t="s">
        <v>3355</v>
      </c>
      <c r="E15" s="1146">
        <v>2006</v>
      </c>
      <c r="F15" s="1147" t="s">
        <v>3327</v>
      </c>
      <c r="G15" s="1154" t="s">
        <v>3356</v>
      </c>
    </row>
    <row r="16" spans="1:7" s="711" customFormat="1" ht="12.5">
      <c r="A16" s="1143">
        <v>13</v>
      </c>
      <c r="B16" s="1149" t="s">
        <v>3357</v>
      </c>
      <c r="C16" s="1145" t="s">
        <v>3358</v>
      </c>
      <c r="D16" s="1145" t="s">
        <v>3359</v>
      </c>
      <c r="E16" s="1153">
        <v>42339</v>
      </c>
      <c r="F16" s="1147" t="s">
        <v>3360</v>
      </c>
      <c r="G16" s="1148"/>
    </row>
    <row r="17" spans="1:7" s="711" customFormat="1" ht="25">
      <c r="A17" s="1143">
        <v>14</v>
      </c>
      <c r="B17" s="1149" t="s">
        <v>3361</v>
      </c>
      <c r="C17" s="1149" t="s">
        <v>3362</v>
      </c>
      <c r="D17" s="1145"/>
      <c r="E17" s="1155">
        <v>2012</v>
      </c>
      <c r="F17" s="1147" t="s">
        <v>3363</v>
      </c>
      <c r="G17" s="1148"/>
    </row>
    <row r="18" spans="1:7" s="711" customFormat="1" ht="37.5">
      <c r="A18" s="1143">
        <v>15</v>
      </c>
      <c r="B18" s="1149" t="s">
        <v>3364</v>
      </c>
      <c r="C18" s="1149" t="s">
        <v>3365</v>
      </c>
      <c r="D18" s="1149" t="s">
        <v>3366</v>
      </c>
      <c r="E18" s="1156" t="s">
        <v>3367</v>
      </c>
      <c r="F18" s="1157" t="s">
        <v>3368</v>
      </c>
      <c r="G18" s="1154" t="s">
        <v>3369</v>
      </c>
    </row>
    <row r="19" spans="1:7" s="711" customFormat="1" ht="12.5">
      <c r="A19" s="1143">
        <v>16</v>
      </c>
      <c r="B19" s="1149" t="s">
        <v>3324</v>
      </c>
      <c r="C19" s="1145" t="s">
        <v>3370</v>
      </c>
      <c r="D19" s="1145" t="s">
        <v>3371</v>
      </c>
      <c r="E19" s="1146">
        <v>2006</v>
      </c>
      <c r="F19" s="1147" t="s">
        <v>3327</v>
      </c>
      <c r="G19" s="1148" t="s">
        <v>3372</v>
      </c>
    </row>
    <row r="20" spans="1:7" s="711" customFormat="1" ht="12.5">
      <c r="A20" s="1143">
        <v>17</v>
      </c>
      <c r="B20" s="1149" t="s">
        <v>3324</v>
      </c>
      <c r="C20" s="1145" t="s">
        <v>3373</v>
      </c>
      <c r="D20" s="1145" t="s">
        <v>3374</v>
      </c>
      <c r="E20" s="1146">
        <v>2006</v>
      </c>
      <c r="F20" s="1147" t="s">
        <v>3327</v>
      </c>
      <c r="G20" s="1148"/>
    </row>
    <row r="21" spans="1:7" s="711" customFormat="1" ht="25">
      <c r="A21" s="1143">
        <v>18</v>
      </c>
      <c r="B21" s="1149" t="s">
        <v>3324</v>
      </c>
      <c r="C21" s="1145" t="s">
        <v>3373</v>
      </c>
      <c r="D21" s="1145" t="s">
        <v>3375</v>
      </c>
      <c r="E21" s="1146">
        <v>2006</v>
      </c>
      <c r="F21" s="1147" t="s">
        <v>3327</v>
      </c>
      <c r="G21" s="1154" t="s">
        <v>3376</v>
      </c>
    </row>
    <row r="22" spans="1:7" s="711" customFormat="1" ht="12.5">
      <c r="A22" s="1143">
        <v>19</v>
      </c>
      <c r="B22" s="1149" t="s">
        <v>3324</v>
      </c>
      <c r="C22" s="1145" t="s">
        <v>3373</v>
      </c>
      <c r="D22" s="1145" t="s">
        <v>3377</v>
      </c>
      <c r="E22" s="1146">
        <v>2006</v>
      </c>
      <c r="F22" s="1147" t="s">
        <v>3327</v>
      </c>
      <c r="G22" s="1154"/>
    </row>
    <row r="23" spans="1:7" s="711" customFormat="1" ht="12.5">
      <c r="A23" s="1143">
        <v>20</v>
      </c>
      <c r="B23" s="1149" t="s">
        <v>3324</v>
      </c>
      <c r="C23" s="1145" t="s">
        <v>3354</v>
      </c>
      <c r="D23" s="1145" t="s">
        <v>3329</v>
      </c>
      <c r="E23" s="1146">
        <v>2006</v>
      </c>
      <c r="F23" s="1147" t="s">
        <v>3327</v>
      </c>
      <c r="G23" s="1154"/>
    </row>
    <row r="24" spans="1:7" s="711" customFormat="1" ht="12.5">
      <c r="A24" s="1143">
        <v>21</v>
      </c>
      <c r="B24" s="1149" t="s">
        <v>3324</v>
      </c>
      <c r="C24" s="1145" t="s">
        <v>3354</v>
      </c>
      <c r="D24" s="1145" t="s">
        <v>3378</v>
      </c>
      <c r="E24" s="1146">
        <v>2006</v>
      </c>
      <c r="F24" s="1147" t="s">
        <v>3327</v>
      </c>
      <c r="G24" s="1154"/>
    </row>
    <row r="25" spans="1:7" s="711" customFormat="1" ht="12.5">
      <c r="A25" s="1143">
        <v>22</v>
      </c>
      <c r="B25" s="1149" t="s">
        <v>3324</v>
      </c>
      <c r="C25" s="1145" t="s">
        <v>3354</v>
      </c>
      <c r="D25" s="1145" t="s">
        <v>3359</v>
      </c>
      <c r="E25" s="1146">
        <v>2006</v>
      </c>
      <c r="F25" s="1147" t="s">
        <v>3327</v>
      </c>
      <c r="G25" s="1154"/>
    </row>
    <row r="26" spans="1:7" s="711" customFormat="1" ht="12.5">
      <c r="A26" s="1143">
        <v>23</v>
      </c>
      <c r="B26" s="1145" t="s">
        <v>3379</v>
      </c>
      <c r="C26" s="1145" t="s">
        <v>3380</v>
      </c>
      <c r="D26" s="1145" t="s">
        <v>3381</v>
      </c>
      <c r="E26" s="1146">
        <v>2016</v>
      </c>
      <c r="F26" s="1147"/>
      <c r="G26" s="1148"/>
    </row>
    <row r="27" spans="1:7" s="711" customFormat="1" ht="25">
      <c r="A27" s="1143">
        <v>24</v>
      </c>
      <c r="B27" s="1149" t="s">
        <v>3342</v>
      </c>
      <c r="C27" s="1145" t="s">
        <v>3343</v>
      </c>
      <c r="D27" s="1145" t="s">
        <v>3382</v>
      </c>
      <c r="E27" s="1153">
        <v>42795</v>
      </c>
      <c r="F27" s="1150" t="s">
        <v>3345</v>
      </c>
      <c r="G27" s="1154"/>
    </row>
    <row r="28" spans="1:7" s="711" customFormat="1" ht="46.5" customHeight="1">
      <c r="A28" s="1143">
        <v>25</v>
      </c>
      <c r="B28" s="1149" t="s">
        <v>3339</v>
      </c>
      <c r="C28" s="1149" t="s">
        <v>3383</v>
      </c>
      <c r="D28" s="1149" t="s">
        <v>3384</v>
      </c>
      <c r="E28" s="1158">
        <v>2010</v>
      </c>
      <c r="F28" s="1157" t="s">
        <v>3385</v>
      </c>
      <c r="G28" s="1154" t="s">
        <v>3386</v>
      </c>
    </row>
    <row r="29" spans="1:7" s="711" customFormat="1" ht="27" customHeight="1">
      <c r="A29" s="1143">
        <v>26</v>
      </c>
      <c r="B29" s="1149" t="s">
        <v>3387</v>
      </c>
      <c r="C29" s="1149" t="s">
        <v>3388</v>
      </c>
      <c r="D29" s="1145"/>
      <c r="E29" s="1156"/>
      <c r="F29" s="1157" t="s">
        <v>3389</v>
      </c>
      <c r="G29" s="1154" t="s">
        <v>3336</v>
      </c>
    </row>
    <row r="30" spans="1:7" s="711" customFormat="1" ht="27" customHeight="1">
      <c r="A30" s="1143">
        <v>27</v>
      </c>
      <c r="B30" s="1149" t="s">
        <v>3390</v>
      </c>
      <c r="C30" s="1149" t="s">
        <v>3391</v>
      </c>
      <c r="D30" s="1145"/>
      <c r="E30" s="1156"/>
      <c r="F30" s="1157" t="s">
        <v>3392</v>
      </c>
      <c r="G30" s="1154"/>
    </row>
    <row r="31" spans="1:7" s="711" customFormat="1" ht="12.5">
      <c r="A31" s="1143">
        <v>28</v>
      </c>
      <c r="B31" s="1149" t="s">
        <v>3324</v>
      </c>
      <c r="C31" s="1145" t="s">
        <v>3393</v>
      </c>
      <c r="D31" s="1145" t="s">
        <v>3394</v>
      </c>
      <c r="E31" s="1146">
        <v>2007</v>
      </c>
      <c r="F31" s="1147" t="s">
        <v>3335</v>
      </c>
      <c r="G31" s="1154" t="s">
        <v>3336</v>
      </c>
    </row>
    <row r="32" spans="1:7" s="711" customFormat="1" ht="27" customHeight="1">
      <c r="A32" s="1143">
        <v>29</v>
      </c>
      <c r="B32" s="1149" t="s">
        <v>3395</v>
      </c>
      <c r="C32" s="1149" t="s">
        <v>3396</v>
      </c>
      <c r="D32" s="1149" t="s">
        <v>72</v>
      </c>
      <c r="E32" s="1159">
        <v>41030</v>
      </c>
      <c r="F32" s="1157"/>
      <c r="G32" s="1154"/>
    </row>
    <row r="33" spans="1:7" s="711" customFormat="1" ht="27" customHeight="1">
      <c r="A33" s="1143">
        <v>30</v>
      </c>
      <c r="B33" s="1149" t="s">
        <v>3397</v>
      </c>
      <c r="C33" s="1149" t="s">
        <v>3398</v>
      </c>
      <c r="D33" s="1149"/>
      <c r="E33" s="1159"/>
      <c r="F33" s="1157" t="s">
        <v>3399</v>
      </c>
      <c r="G33" s="1154"/>
    </row>
    <row r="34" spans="1:7" s="711" customFormat="1" ht="27" customHeight="1">
      <c r="A34" s="1143">
        <v>31</v>
      </c>
      <c r="B34" s="1149" t="s">
        <v>3397</v>
      </c>
      <c r="C34" s="1149" t="s">
        <v>3400</v>
      </c>
      <c r="D34" s="1149"/>
      <c r="E34" s="1159"/>
      <c r="F34" s="1157" t="s">
        <v>3401</v>
      </c>
      <c r="G34" s="1154"/>
    </row>
    <row r="35" spans="1:7" s="711" customFormat="1" ht="25">
      <c r="A35" s="1160">
        <v>32</v>
      </c>
      <c r="B35" s="1149" t="s">
        <v>3402</v>
      </c>
      <c r="C35" s="1149" t="s">
        <v>3403</v>
      </c>
      <c r="D35" s="1149" t="s">
        <v>3404</v>
      </c>
      <c r="E35" s="1158">
        <v>2022</v>
      </c>
      <c r="F35" s="1149"/>
      <c r="G35" s="1154" t="s">
        <v>3405</v>
      </c>
    </row>
    <row r="36" spans="1:7" s="711" customFormat="1">
      <c r="A36" s="1160">
        <v>33</v>
      </c>
      <c r="B36" s="1149" t="s">
        <v>3402</v>
      </c>
      <c r="C36" s="1149" t="s">
        <v>3406</v>
      </c>
      <c r="D36" s="1149" t="s">
        <v>3407</v>
      </c>
      <c r="E36" s="1158">
        <v>2022</v>
      </c>
      <c r="F36" s="9" t="s">
        <v>3408</v>
      </c>
      <c r="G36" s="1154"/>
    </row>
    <row r="37" spans="1:7" s="711" customFormat="1" ht="45.75" customHeight="1">
      <c r="A37" s="1143">
        <v>33</v>
      </c>
      <c r="B37" s="1149" t="s">
        <v>3324</v>
      </c>
      <c r="C37" s="1145" t="s">
        <v>3354</v>
      </c>
      <c r="D37" s="1145" t="s">
        <v>3329</v>
      </c>
      <c r="E37" s="1146">
        <v>2006</v>
      </c>
      <c r="F37" s="1147" t="s">
        <v>3327</v>
      </c>
      <c r="G37" s="1154"/>
    </row>
    <row r="38" spans="1:7" s="711" customFormat="1" ht="45.75" customHeight="1">
      <c r="A38" s="1143">
        <v>34</v>
      </c>
      <c r="B38" s="1149" t="s">
        <v>3409</v>
      </c>
      <c r="C38" s="1145" t="s">
        <v>3410</v>
      </c>
      <c r="D38" s="1145"/>
      <c r="E38" s="1161">
        <v>44075</v>
      </c>
      <c r="F38" s="1162" t="s">
        <v>3411</v>
      </c>
      <c r="G38" s="1154"/>
    </row>
    <row r="39" spans="1:7" ht="28">
      <c r="A39" s="1163">
        <v>35</v>
      </c>
      <c r="B39" s="1164"/>
      <c r="C39" s="1164" t="s">
        <v>3412</v>
      </c>
      <c r="D39" s="1165" t="s">
        <v>3413</v>
      </c>
      <c r="E39" s="1166">
        <v>2021</v>
      </c>
      <c r="F39" s="1167" t="s">
        <v>3414</v>
      </c>
      <c r="G39" s="1168"/>
    </row>
    <row r="40" spans="1:7" ht="28">
      <c r="A40" s="1163">
        <v>36</v>
      </c>
      <c r="B40" s="1164"/>
      <c r="C40" s="1164" t="s">
        <v>3415</v>
      </c>
      <c r="D40" s="1165" t="s">
        <v>3413</v>
      </c>
      <c r="E40" s="1166">
        <v>2021</v>
      </c>
      <c r="F40" s="1167" t="s">
        <v>3416</v>
      </c>
      <c r="G40" s="1168"/>
    </row>
    <row r="41" spans="1:7">
      <c r="A41" s="1163">
        <v>37</v>
      </c>
      <c r="B41" s="1164"/>
      <c r="C41" s="1164"/>
      <c r="D41" s="1164"/>
      <c r="E41" s="1166"/>
      <c r="F41" s="1164"/>
      <c r="G41" s="1168"/>
    </row>
    <row r="42" spans="1:7" ht="42">
      <c r="A42" s="1163">
        <v>38</v>
      </c>
      <c r="B42" s="1164"/>
      <c r="C42" s="1164" t="s">
        <v>3417</v>
      </c>
      <c r="D42" s="1165" t="s">
        <v>3418</v>
      </c>
      <c r="E42" s="1166">
        <v>2021</v>
      </c>
      <c r="F42" s="1167" t="s">
        <v>3419</v>
      </c>
      <c r="G42" s="1168"/>
    </row>
    <row r="43" spans="1:7">
      <c r="A43" s="1163">
        <v>39</v>
      </c>
      <c r="B43" s="1164"/>
      <c r="C43" s="1164"/>
      <c r="D43" s="1164"/>
      <c r="E43" s="1166"/>
      <c r="F43" s="1164"/>
      <c r="G43" s="1168"/>
    </row>
    <row r="44" spans="1:7">
      <c r="A44" s="1163">
        <v>40</v>
      </c>
      <c r="B44" s="1164"/>
      <c r="C44" s="1164"/>
      <c r="D44" s="1164"/>
      <c r="E44" s="1166"/>
      <c r="F44" s="1164"/>
      <c r="G44" s="1168"/>
    </row>
    <row r="45" spans="1:7">
      <c r="A45" s="1163"/>
      <c r="B45" s="1164"/>
      <c r="C45" s="1164"/>
      <c r="D45" s="1164"/>
      <c r="E45" s="1166"/>
      <c r="F45" s="1164"/>
      <c r="G45" s="1168"/>
    </row>
    <row r="46" spans="1:7">
      <c r="A46" s="1163"/>
      <c r="B46" s="1164"/>
      <c r="C46" s="1164"/>
      <c r="D46" s="1164"/>
      <c r="E46" s="1166"/>
      <c r="F46" s="1164"/>
      <c r="G46" s="1168"/>
    </row>
    <row r="47" spans="1:7">
      <c r="A47" s="1163"/>
      <c r="B47" s="1164"/>
      <c r="C47" s="1164"/>
      <c r="D47" s="1164"/>
      <c r="E47" s="1166"/>
      <c r="F47" s="1164"/>
      <c r="G47" s="1168"/>
    </row>
    <row r="48" spans="1:7">
      <c r="A48" s="1163"/>
      <c r="B48" s="1164"/>
      <c r="C48" s="1164"/>
      <c r="D48" s="1164"/>
      <c r="E48" s="1166"/>
      <c r="F48" s="1164"/>
      <c r="G48" s="1168"/>
    </row>
    <row r="49" spans="1:7">
      <c r="A49" s="1163"/>
      <c r="B49" s="1164"/>
      <c r="C49" s="1164"/>
      <c r="D49" s="1164"/>
      <c r="E49" s="1166"/>
      <c r="F49" s="1164"/>
      <c r="G49" s="1168"/>
    </row>
    <row r="50" spans="1:7">
      <c r="A50" s="1163"/>
      <c r="B50" s="1164"/>
      <c r="C50" s="1164"/>
      <c r="D50" s="1164"/>
      <c r="E50" s="1166"/>
      <c r="F50" s="1164"/>
      <c r="G50" s="1168"/>
    </row>
    <row r="51" spans="1:7">
      <c r="A51" s="1163"/>
      <c r="B51" s="1164"/>
      <c r="C51" s="1164"/>
      <c r="D51" s="1164"/>
      <c r="E51" s="1166"/>
      <c r="F51" s="1164"/>
      <c r="G51" s="1168"/>
    </row>
    <row r="52" spans="1:7">
      <c r="A52" s="1163"/>
      <c r="B52" s="1164"/>
      <c r="C52" s="1164"/>
      <c r="D52" s="1164"/>
      <c r="E52" s="1166"/>
      <c r="F52" s="1164"/>
      <c r="G52" s="1168"/>
    </row>
    <row r="53" spans="1:7">
      <c r="A53" s="1163"/>
      <c r="B53" s="1164"/>
      <c r="C53" s="1164"/>
      <c r="D53" s="1164"/>
      <c r="E53" s="1166"/>
      <c r="F53" s="1164"/>
      <c r="G53" s="1168"/>
    </row>
    <row r="54" spans="1:7">
      <c r="A54" s="1163"/>
      <c r="B54" s="1164"/>
      <c r="C54" s="1164"/>
      <c r="D54" s="1164"/>
      <c r="E54" s="1166"/>
      <c r="F54" s="1164"/>
      <c r="G54" s="1168"/>
    </row>
    <row r="55" spans="1:7">
      <c r="A55" s="1163"/>
      <c r="B55" s="1164"/>
      <c r="C55" s="1164"/>
      <c r="D55" s="1164"/>
      <c r="E55" s="1166"/>
      <c r="F55" s="1164"/>
      <c r="G55" s="1168"/>
    </row>
    <row r="56" spans="1:7">
      <c r="A56" s="1163"/>
      <c r="B56" s="1164"/>
      <c r="C56" s="1164"/>
      <c r="D56" s="1164"/>
      <c r="E56" s="1166"/>
      <c r="F56" s="1164"/>
      <c r="G56" s="1168"/>
    </row>
    <row r="57" spans="1:7">
      <c r="A57" s="1163"/>
      <c r="B57" s="1164"/>
      <c r="C57" s="1164"/>
      <c r="D57" s="1164"/>
      <c r="E57" s="1166"/>
      <c r="F57" s="1164"/>
      <c r="G57" s="1168"/>
    </row>
    <row r="58" spans="1:7">
      <c r="A58" s="1169"/>
      <c r="B58" s="1170"/>
      <c r="C58" s="1170"/>
      <c r="D58" s="1170"/>
      <c r="E58" s="1171"/>
      <c r="F58" s="1170"/>
      <c r="G58" s="1172"/>
    </row>
  </sheetData>
  <sheetProtection algorithmName="SHA-512" hashValue="EYVDYQ8L2HGkn6vxIIoiFjf40mPkfKoYW9z9GetaarV1iNvbGScx/uwoIla+vKa7E3iprBQLaNsXnBu41lxC7g==" saltValue="f463KsezoJnEWkLUk/6rXQ==" spinCount="100000" sheet="1" objects="1" scenarios="1"/>
  <hyperlinks>
    <hyperlink ref="F11" r:id="rId1" xr:uid="{6F8AE1FA-B622-4E5B-96F5-D92CE408D4B5}"/>
    <hyperlink ref="F8" r:id="rId2" xr:uid="{696BE876-A889-4852-B450-4174977A1D09}"/>
    <hyperlink ref="F27" r:id="rId3" xr:uid="{CE493356-251B-422F-93A1-2E11FFEE1AB1}"/>
    <hyperlink ref="F34" r:id="rId4" display="https://www.bochealthcare.co.uk/en/images/HLC_506810-MGDS Medical carbon dioxide%28web%29_tcm409-61147.pdf" xr:uid="{55EF7EDA-91D2-4831-BA26-0A86F613DA74}"/>
    <hyperlink ref="F39" r:id="rId5" display="https://www.eia.gov/energyexplained/biofuels/ethanol-use.php" xr:uid="{F0EEDB27-A720-4712-B7B7-061AD41EC59A}"/>
    <hyperlink ref="F40" r:id="rId6" display="https://www.eia.gov/energyexplained/biofuels/biodiesel-rd-other-use-supply.php" xr:uid="{54B5D1BA-9B24-4703-8107-7D207A01058D}"/>
    <hyperlink ref="F42" r:id="rId7" display="https://www.epa.gov/ghgemissions/understanding-global-warming-potentials" xr:uid="{9ED024C5-50C7-4FE5-B221-C0E6DA4553F7}"/>
    <hyperlink ref="F36" r:id="rId8" display="https://www.epa.gov/egrid/summary-data" xr:uid="{3BD7A66C-E4AF-4EA2-BBA9-CD846F11714B}"/>
  </hyperlinks>
  <pageMargins left="0.7" right="0.7" top="0.75" bottom="0.75" header="0.3" footer="0.3"/>
  <pageSetup paperSize="9" scale="31" orientation="portrait" r:id="rId9"/>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E781A-706F-4F26-814E-67B6758DDDDA}">
  <sheetPr>
    <tabColor rgb="FF94E494"/>
  </sheetPr>
  <dimension ref="A1:N41"/>
  <sheetViews>
    <sheetView showGridLines="0" zoomScale="75" zoomScaleNormal="75" workbookViewId="0">
      <selection activeCell="H1" sqref="H1"/>
    </sheetView>
  </sheetViews>
  <sheetFormatPr defaultColWidth="10.5" defaultRowHeight="15.5"/>
  <cols>
    <col min="1" max="1" width="26.58203125" style="1173" customWidth="1"/>
    <col min="2" max="2" width="17.08203125" style="1173" customWidth="1"/>
    <col min="3" max="3" width="16.58203125" style="1173" customWidth="1"/>
    <col min="4" max="4" width="15.08203125" style="1173" customWidth="1"/>
    <col min="5" max="5" width="10.5" style="1173"/>
    <col min="6" max="6" width="21.58203125" style="1173" customWidth="1"/>
    <col min="7" max="7" width="26.4140625" style="1173" bestFit="1" customWidth="1"/>
    <col min="8" max="8" width="16.08203125" style="1173" customWidth="1"/>
    <col min="9" max="10" width="10.5" style="1173"/>
    <col min="11" max="11" width="17.9140625" style="1173" bestFit="1" customWidth="1"/>
    <col min="12" max="12" width="10.5" style="1173"/>
    <col min="13" max="13" width="19.58203125" style="1173" customWidth="1"/>
    <col min="14" max="16384" width="10.5" style="1173"/>
  </cols>
  <sheetData>
    <row r="1" spans="1:14" ht="107.25" customHeight="1" thickTop="1" thickBot="1">
      <c r="D1" s="1174" t="str">
        <f>+Instructions!B2</f>
        <v>Health Care Emissions Impact Calculator-Facility</v>
      </c>
      <c r="H1" s="1209" t="s">
        <v>3300</v>
      </c>
    </row>
    <row r="2" spans="1:14" s="1177" customFormat="1" ht="18" thickTop="1">
      <c r="A2" s="1175" t="str">
        <f>+'Scope 1 and 2 Data'!A197</f>
        <v>1.3.2</v>
      </c>
      <c r="B2" s="1176" t="str">
        <f>+'Scope 1 and 2 Data'!B197</f>
        <v>Inhaled Anesthetic Gases</v>
      </c>
      <c r="C2" s="1176"/>
      <c r="D2" s="1176"/>
      <c r="E2" s="1176"/>
      <c r="F2" s="1176"/>
      <c r="G2" s="1176"/>
      <c r="H2" s="1176"/>
      <c r="I2" s="1176"/>
      <c r="J2" s="1176"/>
      <c r="K2" s="1176"/>
      <c r="L2" s="1176"/>
      <c r="M2" s="1176"/>
    </row>
    <row r="4" spans="1:14">
      <c r="A4" s="732" t="s">
        <v>2327</v>
      </c>
      <c r="B4" s="1178"/>
      <c r="C4" s="1178"/>
      <c r="D4" s="1178"/>
    </row>
    <row r="5" spans="1:14" ht="54" customHeight="1">
      <c r="A5" s="1305" t="s">
        <v>3420</v>
      </c>
      <c r="B5" s="1305"/>
      <c r="C5" s="1305"/>
      <c r="D5" s="1305"/>
    </row>
    <row r="6" spans="1:14" ht="45" customHeight="1">
      <c r="A6" s="1306" t="s">
        <v>3421</v>
      </c>
      <c r="B6" s="1306"/>
      <c r="C6" s="1306"/>
      <c r="D6" s="1306"/>
      <c r="F6" s="1179" t="s">
        <v>3422</v>
      </c>
      <c r="G6" s="1180"/>
      <c r="H6" s="1180"/>
      <c r="I6" s="1180"/>
      <c r="J6" s="1180"/>
      <c r="K6" s="1180"/>
      <c r="L6" s="1180"/>
      <c r="M6" s="1180"/>
    </row>
    <row r="7" spans="1:14" ht="36.75" customHeight="1">
      <c r="F7" s="1180"/>
      <c r="G7" s="1180"/>
      <c r="H7" s="1180"/>
      <c r="I7" s="1180"/>
      <c r="J7" s="1180"/>
      <c r="K7" s="1180"/>
      <c r="L7" s="1180"/>
      <c r="M7" s="1180"/>
    </row>
    <row r="8" spans="1:14">
      <c r="F8" s="1180"/>
      <c r="G8" s="1180"/>
      <c r="H8" s="1180"/>
      <c r="I8" s="1180"/>
      <c r="J8" s="1180"/>
      <c r="K8" s="1180"/>
      <c r="L8" s="1180"/>
      <c r="M8" s="1180"/>
    </row>
    <row r="9" spans="1:14">
      <c r="A9" s="1181" t="s">
        <v>3423</v>
      </c>
      <c r="B9" s="1181" t="s">
        <v>3424</v>
      </c>
      <c r="C9" s="1181" t="s">
        <v>3425</v>
      </c>
      <c r="F9" s="1179" t="s">
        <v>3426</v>
      </c>
      <c r="G9" s="1179" t="s">
        <v>3427</v>
      </c>
      <c r="H9" s="1179" t="s">
        <v>3428</v>
      </c>
      <c r="I9" s="1179" t="s">
        <v>2485</v>
      </c>
      <c r="J9" s="1182"/>
      <c r="K9" s="1179" t="s">
        <v>3429</v>
      </c>
      <c r="L9" s="1179" t="s">
        <v>24</v>
      </c>
      <c r="M9" s="1179" t="s">
        <v>3430</v>
      </c>
      <c r="N9" s="1178"/>
    </row>
    <row r="10" spans="1:14" ht="17.5">
      <c r="A10" s="1183" t="str">
        <f>+'S1&amp;2 Lists'!C5</f>
        <v>Isoflurane</v>
      </c>
      <c r="B10" s="1183"/>
      <c r="C10" s="1183"/>
      <c r="F10" s="1182" t="str">
        <f>+'S1&amp;2 Lists'!C5</f>
        <v>Isoflurane</v>
      </c>
      <c r="G10" s="1179"/>
      <c r="H10" s="1182"/>
      <c r="I10" s="1182"/>
      <c r="J10" s="1182"/>
      <c r="K10" s="1182"/>
      <c r="L10" s="1182"/>
      <c r="M10" s="1182"/>
      <c r="N10" s="1178"/>
    </row>
    <row r="11" spans="1:14">
      <c r="A11" s="1184" t="s">
        <v>3431</v>
      </c>
      <c r="B11" s="1185"/>
      <c r="C11" s="1185"/>
      <c r="F11" s="1182"/>
      <c r="G11" s="1182" t="s">
        <v>3431</v>
      </c>
      <c r="H11" s="1182">
        <f>B11*C11</f>
        <v>0</v>
      </c>
      <c r="I11" s="1182">
        <f>H11/1000</f>
        <v>0</v>
      </c>
      <c r="J11" s="1182"/>
      <c r="K11" s="1182"/>
      <c r="L11" s="1182"/>
      <c r="M11" s="1182"/>
      <c r="N11" s="1178"/>
    </row>
    <row r="12" spans="1:14">
      <c r="A12" s="1184" t="s">
        <v>3432</v>
      </c>
      <c r="B12" s="1185"/>
      <c r="C12" s="1185"/>
      <c r="F12" s="1182"/>
      <c r="G12" s="1182" t="s">
        <v>3432</v>
      </c>
      <c r="H12" s="1182">
        <f>B12*C12</f>
        <v>0</v>
      </c>
      <c r="I12" s="1182">
        <f>H12/1000</f>
        <v>0</v>
      </c>
      <c r="J12" s="1182"/>
      <c r="K12" s="1182"/>
      <c r="L12" s="1182"/>
      <c r="M12" s="1182"/>
      <c r="N12" s="1178"/>
    </row>
    <row r="13" spans="1:14">
      <c r="A13" s="1184" t="s">
        <v>3433</v>
      </c>
      <c r="B13" s="1185"/>
      <c r="C13" s="1185"/>
      <c r="F13" s="1182"/>
      <c r="G13" s="1182" t="s">
        <v>3433</v>
      </c>
      <c r="H13" s="1182">
        <f>B13*C13</f>
        <v>0</v>
      </c>
      <c r="I13" s="1182">
        <f>H13/1000</f>
        <v>0</v>
      </c>
      <c r="J13" s="1182"/>
      <c r="K13" s="1182"/>
      <c r="L13" s="1182"/>
      <c r="M13" s="1182"/>
      <c r="N13" s="1178"/>
    </row>
    <row r="14" spans="1:14">
      <c r="F14" s="1182"/>
      <c r="G14" s="1182"/>
      <c r="H14" s="1182"/>
      <c r="I14" s="1182"/>
      <c r="J14" s="1182"/>
      <c r="K14" s="1182" t="s">
        <v>3434</v>
      </c>
      <c r="L14" s="1182" t="s">
        <v>24</v>
      </c>
      <c r="M14" s="1182" t="s">
        <v>3435</v>
      </c>
      <c r="N14" s="1178"/>
    </row>
    <row r="15" spans="1:14">
      <c r="F15" s="1182"/>
      <c r="G15" s="1182" t="s">
        <v>8</v>
      </c>
      <c r="H15" s="1182">
        <f>SUM(H11:H14)</f>
        <v>0</v>
      </c>
      <c r="I15" s="1182">
        <f>SUM(I11:I14)</f>
        <v>0</v>
      </c>
      <c r="J15" s="1182"/>
      <c r="K15" s="1182">
        <v>1.496</v>
      </c>
      <c r="L15" s="1182">
        <v>510</v>
      </c>
      <c r="M15" s="1182">
        <f>I15*K15*L15</f>
        <v>0</v>
      </c>
      <c r="N15" s="1178"/>
    </row>
    <row r="16" spans="1:14">
      <c r="B16" s="1181" t="s">
        <v>3424</v>
      </c>
      <c r="C16" s="1181" t="s">
        <v>3425</v>
      </c>
      <c r="F16" s="1182"/>
      <c r="G16" s="1182"/>
      <c r="H16" s="1182"/>
      <c r="I16" s="1182"/>
      <c r="J16" s="1182"/>
      <c r="K16" s="1182"/>
      <c r="L16" s="1182"/>
      <c r="M16" s="1182"/>
      <c r="N16" s="1178"/>
    </row>
    <row r="17" spans="1:14" ht="17.5">
      <c r="A17" s="1183" t="str">
        <f>+'S1&amp;2 Lists'!C6</f>
        <v>Sevoflurane</v>
      </c>
      <c r="B17" s="1183"/>
      <c r="C17" s="1183"/>
      <c r="F17" s="1182"/>
      <c r="G17" s="1182"/>
      <c r="H17" s="1182"/>
      <c r="I17" s="1182"/>
      <c r="J17" s="1182"/>
      <c r="K17" s="1182"/>
      <c r="L17" s="1182"/>
      <c r="M17" s="1182"/>
      <c r="N17" s="1178"/>
    </row>
    <row r="18" spans="1:14">
      <c r="A18" s="1184" t="s">
        <v>3431</v>
      </c>
      <c r="B18" s="1185"/>
      <c r="C18" s="1185"/>
      <c r="F18" s="1182" t="str">
        <f>+'S1&amp;2 Lists'!C6</f>
        <v>Sevoflurane</v>
      </c>
      <c r="G18" s="1182" t="s">
        <v>3431</v>
      </c>
      <c r="H18" s="1182">
        <f>B18*C18</f>
        <v>0</v>
      </c>
      <c r="I18" s="1182">
        <f>H18/1000</f>
        <v>0</v>
      </c>
      <c r="J18" s="1182"/>
      <c r="K18" s="1182"/>
      <c r="L18" s="1182"/>
      <c r="M18" s="1182"/>
      <c r="N18" s="1178"/>
    </row>
    <row r="19" spans="1:14">
      <c r="A19" s="1184" t="s">
        <v>3432</v>
      </c>
      <c r="B19" s="1185"/>
      <c r="C19" s="1185"/>
      <c r="F19" s="1182"/>
      <c r="G19" s="1182" t="s">
        <v>3432</v>
      </c>
      <c r="H19" s="1182">
        <f>B19*C19</f>
        <v>0</v>
      </c>
      <c r="I19" s="1182">
        <f>H19/1000</f>
        <v>0</v>
      </c>
      <c r="J19" s="1182"/>
      <c r="K19" s="1182"/>
      <c r="L19" s="1182"/>
      <c r="M19" s="1182"/>
      <c r="N19" s="1178"/>
    </row>
    <row r="20" spans="1:14">
      <c r="A20" s="1184" t="s">
        <v>3433</v>
      </c>
      <c r="B20" s="1185"/>
      <c r="C20" s="1185"/>
      <c r="F20" s="1182"/>
      <c r="G20" s="1182" t="s">
        <v>3433</v>
      </c>
      <c r="H20" s="1182">
        <f>B20*C20</f>
        <v>0</v>
      </c>
      <c r="I20" s="1182">
        <f>H20/1000</f>
        <v>0</v>
      </c>
      <c r="J20" s="1182"/>
      <c r="K20" s="1182"/>
      <c r="L20" s="1182"/>
      <c r="M20" s="1182"/>
      <c r="N20" s="1178"/>
    </row>
    <row r="21" spans="1:14" ht="17.5">
      <c r="A21" s="1186"/>
      <c r="B21" s="1186"/>
      <c r="C21" s="1186"/>
      <c r="F21" s="1182"/>
      <c r="G21" s="1182"/>
      <c r="H21" s="1182"/>
      <c r="I21" s="1182"/>
      <c r="J21" s="1182"/>
      <c r="K21" s="1182" t="s">
        <v>3434</v>
      </c>
      <c r="L21" s="1182" t="s">
        <v>24</v>
      </c>
      <c r="M21" s="1182" t="s">
        <v>3435</v>
      </c>
      <c r="N21" s="1178"/>
    </row>
    <row r="22" spans="1:14" ht="17.5">
      <c r="A22" s="1186"/>
      <c r="F22" s="1182"/>
      <c r="G22" s="1182" t="s">
        <v>8</v>
      </c>
      <c r="H22" s="1182">
        <f>SUM(H18:H21)</f>
        <v>0</v>
      </c>
      <c r="I22" s="1182">
        <f>SUM(I18:I21)</f>
        <v>0</v>
      </c>
      <c r="J22" s="1182"/>
      <c r="K22" s="1182">
        <v>1.52</v>
      </c>
      <c r="L22" s="1182">
        <v>130</v>
      </c>
      <c r="M22" s="1182">
        <f>I22*K22*L22</f>
        <v>0</v>
      </c>
      <c r="N22" s="1178"/>
    </row>
    <row r="23" spans="1:14" ht="17.5">
      <c r="A23" s="1186"/>
      <c r="B23" s="1181" t="s">
        <v>3424</v>
      </c>
      <c r="C23" s="1181" t="s">
        <v>3425</v>
      </c>
      <c r="F23" s="1182"/>
      <c r="G23" s="1182"/>
      <c r="H23" s="1182"/>
      <c r="I23" s="1182"/>
      <c r="J23" s="1182"/>
      <c r="K23" s="1182"/>
      <c r="L23" s="1182"/>
      <c r="M23" s="1182"/>
      <c r="N23" s="1178"/>
    </row>
    <row r="24" spans="1:14" ht="17.5">
      <c r="A24" s="1183" t="str">
        <f>+'S1&amp;2 Lists'!C7</f>
        <v>Desflurane</v>
      </c>
      <c r="B24" s="1183"/>
      <c r="C24" s="1183"/>
      <c r="F24" s="1182"/>
      <c r="G24" s="1182"/>
      <c r="H24" s="1182"/>
      <c r="I24" s="1182"/>
      <c r="J24" s="1182"/>
      <c r="K24" s="1182"/>
      <c r="L24" s="1182"/>
      <c r="M24" s="1182"/>
      <c r="N24" s="1178"/>
    </row>
    <row r="25" spans="1:14">
      <c r="A25" s="1184" t="s">
        <v>3431</v>
      </c>
      <c r="B25" s="1185"/>
      <c r="C25" s="1185"/>
      <c r="F25" s="1182" t="str">
        <f>+'S1&amp;2 Lists'!C7</f>
        <v>Desflurane</v>
      </c>
      <c r="G25" s="1182" t="s">
        <v>3431</v>
      </c>
      <c r="H25" s="1182">
        <f>B25*C25</f>
        <v>0</v>
      </c>
      <c r="I25" s="1182">
        <f>H25/1000</f>
        <v>0</v>
      </c>
      <c r="J25" s="1182"/>
      <c r="K25" s="1182"/>
      <c r="L25" s="1182"/>
      <c r="M25" s="1182"/>
      <c r="N25" s="1178"/>
    </row>
    <row r="26" spans="1:14">
      <c r="A26" s="1184" t="s">
        <v>3432</v>
      </c>
      <c r="B26" s="1185"/>
      <c r="C26" s="1185"/>
      <c r="F26" s="1182"/>
      <c r="G26" s="1182" t="s">
        <v>3432</v>
      </c>
      <c r="H26" s="1182">
        <f>B26*C26</f>
        <v>0</v>
      </c>
      <c r="I26" s="1182">
        <f>H26/1000</f>
        <v>0</v>
      </c>
      <c r="J26" s="1182"/>
      <c r="K26" s="1182"/>
      <c r="L26" s="1182"/>
      <c r="M26" s="1182"/>
      <c r="N26" s="1178"/>
    </row>
    <row r="27" spans="1:14">
      <c r="A27" s="1184" t="s">
        <v>3433</v>
      </c>
      <c r="B27" s="1185"/>
      <c r="C27" s="1185"/>
      <c r="F27" s="1182"/>
      <c r="G27" s="1182" t="s">
        <v>3433</v>
      </c>
      <c r="H27" s="1182">
        <f>B27*C27</f>
        <v>0</v>
      </c>
      <c r="I27" s="1182">
        <f>H27/1000</f>
        <v>0</v>
      </c>
      <c r="J27" s="1182"/>
      <c r="K27" s="1182"/>
      <c r="L27" s="1182"/>
      <c r="M27" s="1182"/>
      <c r="N27" s="1178"/>
    </row>
    <row r="28" spans="1:14">
      <c r="F28" s="1182"/>
      <c r="G28" s="1182"/>
      <c r="H28" s="1182"/>
      <c r="I28" s="1182"/>
      <c r="J28" s="1182"/>
      <c r="K28" s="1182" t="s">
        <v>3434</v>
      </c>
      <c r="L28" s="1182" t="s">
        <v>24</v>
      </c>
      <c r="M28" s="1182" t="s">
        <v>3435</v>
      </c>
      <c r="N28" s="1178"/>
    </row>
    <row r="29" spans="1:14">
      <c r="F29" s="1182"/>
      <c r="G29" s="1182" t="s">
        <v>8</v>
      </c>
      <c r="H29" s="1182">
        <f>SUM(H25:H28)</f>
        <v>0</v>
      </c>
      <c r="I29" s="1182">
        <f>SUM(I25:I28)</f>
        <v>0</v>
      </c>
      <c r="J29" s="1182"/>
      <c r="K29" s="1182">
        <v>1.456</v>
      </c>
      <c r="L29" s="1182">
        <v>2540</v>
      </c>
      <c r="M29" s="1182">
        <f>I29*K29*L29</f>
        <v>0</v>
      </c>
      <c r="N29" s="1178"/>
    </row>
    <row r="30" spans="1:14" ht="20.25" customHeight="1">
      <c r="A30" s="1187" t="str">
        <f>+'S1&amp;2 Lists'!C4</f>
        <v>N2O</v>
      </c>
      <c r="B30" s="1187"/>
      <c r="F30" s="1182"/>
      <c r="G30" s="1182"/>
      <c r="H30" s="1182"/>
      <c r="I30" s="1182"/>
      <c r="J30" s="1182"/>
      <c r="K30" s="1182"/>
      <c r="L30" s="1182"/>
      <c r="M30" s="1182"/>
      <c r="N30" s="1178"/>
    </row>
    <row r="31" spans="1:14">
      <c r="A31" s="1184" t="s">
        <v>3436</v>
      </c>
      <c r="B31" s="1185"/>
      <c r="F31" s="1182"/>
      <c r="G31" s="1182"/>
      <c r="H31" s="1182"/>
      <c r="I31" s="1182"/>
      <c r="J31" s="1182"/>
      <c r="K31" s="1182" t="s">
        <v>3437</v>
      </c>
      <c r="L31" s="1182" t="s">
        <v>24</v>
      </c>
      <c r="M31" s="1182" t="s">
        <v>3435</v>
      </c>
      <c r="N31" s="1178"/>
    </row>
    <row r="32" spans="1:14">
      <c r="F32" s="1182" t="str">
        <f>+'S1&amp;2 Lists'!C4</f>
        <v>N2O</v>
      </c>
      <c r="G32" s="1182" t="str">
        <f>A31</f>
        <v>Quantity delivered (pounds)</v>
      </c>
      <c r="H32" s="1182"/>
      <c r="I32" s="1182">
        <f>+B31</f>
        <v>0</v>
      </c>
      <c r="J32" s="1182"/>
      <c r="K32" s="1188">
        <v>0.4536</v>
      </c>
      <c r="L32" s="1189">
        <f>+'S1&amp;2 Lists'!E4</f>
        <v>273</v>
      </c>
      <c r="M32" s="1190">
        <f>I32*K32*L32</f>
        <v>0</v>
      </c>
      <c r="N32" s="1178"/>
    </row>
    <row r="33" spans="1:14" ht="15.75" customHeight="1">
      <c r="F33" s="1182"/>
      <c r="G33" s="1182"/>
      <c r="H33" s="1182"/>
      <c r="I33" s="1182"/>
      <c r="J33" s="1182"/>
      <c r="K33" s="1182"/>
      <c r="L33" s="1182"/>
      <c r="M33" s="1182"/>
      <c r="N33" s="1178"/>
    </row>
    <row r="34" spans="1:14" ht="17.5">
      <c r="A34" s="1183" t="s">
        <v>2355</v>
      </c>
      <c r="B34" s="1183"/>
      <c r="F34" s="1182"/>
      <c r="G34" s="1182"/>
      <c r="H34" s="1182"/>
      <c r="I34" s="1182"/>
      <c r="J34" s="1182"/>
      <c r="K34" s="1182"/>
      <c r="L34" s="1182"/>
      <c r="M34" s="1182"/>
      <c r="N34" s="1178"/>
    </row>
    <row r="35" spans="1:14">
      <c r="A35" s="1184" t="s">
        <v>3436</v>
      </c>
      <c r="B35" s="1185"/>
      <c r="F35" s="1182"/>
      <c r="G35" s="1182"/>
      <c r="H35" s="1182"/>
      <c r="I35" s="1182"/>
      <c r="J35" s="1182"/>
      <c r="K35" s="1182"/>
      <c r="L35" s="1182"/>
      <c r="M35" s="1182"/>
      <c r="N35" s="1178"/>
    </row>
    <row r="36" spans="1:14">
      <c r="F36" s="1182"/>
      <c r="G36" s="1182"/>
      <c r="H36" s="1182"/>
      <c r="I36" s="1182"/>
      <c r="J36" s="1182"/>
      <c r="K36" s="1182" t="s">
        <v>3437</v>
      </c>
      <c r="L36" s="1182" t="s">
        <v>24</v>
      </c>
      <c r="M36" s="1182" t="s">
        <v>3435</v>
      </c>
      <c r="N36" s="1178"/>
    </row>
    <row r="37" spans="1:14">
      <c r="F37" s="1182" t="str">
        <f>+A34</f>
        <v>N2O/O2 - 50/50 vol</v>
      </c>
      <c r="G37" s="1182" t="str">
        <f>A35</f>
        <v>Quantity delivered (pounds)</v>
      </c>
      <c r="H37" s="1182"/>
      <c r="I37" s="1182">
        <f>+B35</f>
        <v>0</v>
      </c>
      <c r="J37" s="1182"/>
      <c r="K37" s="1188">
        <v>0.4536</v>
      </c>
      <c r="L37" s="1189">
        <f>+'S1&amp;2 Lists'!$E$4</f>
        <v>273</v>
      </c>
      <c r="M37" s="1190">
        <f>I37*K37*L37</f>
        <v>0</v>
      </c>
      <c r="N37" s="1178"/>
    </row>
    <row r="38" spans="1:14" ht="17.5">
      <c r="A38" s="1183" t="str">
        <f>+'S1&amp;2 Lists'!C8</f>
        <v>CO2</v>
      </c>
      <c r="B38" s="1183"/>
      <c r="F38" s="1182"/>
      <c r="G38" s="1182"/>
      <c r="H38" s="1182"/>
      <c r="I38" s="1182"/>
      <c r="J38" s="1182"/>
      <c r="K38" s="1182"/>
      <c r="L38" s="1182"/>
      <c r="M38" s="1182"/>
      <c r="N38" s="1178"/>
    </row>
    <row r="39" spans="1:14">
      <c r="A39" s="1184" t="s">
        <v>3436</v>
      </c>
      <c r="B39" s="1185"/>
      <c r="F39" s="1182"/>
      <c r="G39" s="1182"/>
      <c r="H39" s="1182"/>
      <c r="I39" s="1182"/>
      <c r="J39" s="1182"/>
      <c r="K39" s="1182" t="s">
        <v>3437</v>
      </c>
      <c r="L39" s="1182" t="s">
        <v>24</v>
      </c>
      <c r="M39" s="1182" t="s">
        <v>3435</v>
      </c>
      <c r="N39" s="1178"/>
    </row>
    <row r="40" spans="1:14">
      <c r="F40" s="1182" t="str">
        <f>+'S1&amp;2 Lists'!C8</f>
        <v>CO2</v>
      </c>
      <c r="G40" s="1182" t="str">
        <f>A39</f>
        <v>Quantity delivered (pounds)</v>
      </c>
      <c r="H40" s="1182"/>
      <c r="I40" s="1182">
        <f>+B39</f>
        <v>0</v>
      </c>
      <c r="J40" s="1182"/>
      <c r="K40" s="1188">
        <v>0.4536</v>
      </c>
      <c r="L40" s="1189">
        <f>+'S1&amp;2 Lists'!E8</f>
        <v>1</v>
      </c>
      <c r="M40" s="1190">
        <f>I40*K40*L40</f>
        <v>0</v>
      </c>
      <c r="N40" s="1178"/>
    </row>
    <row r="41" spans="1:14">
      <c r="F41" s="1191"/>
      <c r="G41" s="1192"/>
      <c r="H41" s="1191"/>
      <c r="I41" s="1191"/>
      <c r="J41" s="1191"/>
      <c r="K41" s="1191"/>
      <c r="L41" s="1191"/>
      <c r="M41" s="1191" t="s">
        <v>2215</v>
      </c>
      <c r="N41" s="1178"/>
    </row>
  </sheetData>
  <sheetProtection algorithmName="SHA-512" hashValue="00MnXuQARz68oZZIxMPWDwpAHjePhdvidGN/6he0NwblNbsIiEB0L834KsgqKGEKGg3vVaYHyedi56ImcTQ9Hw==" saltValue="UpYfdH9JH8F5yQ1ZArqruA==" spinCount="100000" sheet="1" objects="1" scenarios="1"/>
  <mergeCells count="2">
    <mergeCell ref="A5:D5"/>
    <mergeCell ref="A6:D6"/>
  </mergeCells>
  <hyperlinks>
    <hyperlink ref="H1" location="'Scope 1 and 2 Data'!A1" display="Go back to Scope 1 and 2 Data" xr:uid="{D7BD63B1-1BF6-4F1F-B6F7-467AF012955F}"/>
  </hyperlinks>
  <pageMargins left="0.75" right="0.75" top="1.0416666666666667" bottom="1" header="0.5" footer="0.5"/>
  <pageSetup orientation="portrait" horizontalDpi="4294967292" verticalDpi="4294967292" r:id="rId1"/>
  <headerFooter>
    <oddHeader xml:space="preserve">&amp;L&amp;G&amp;R&amp;"-,Negrita"&amp;8
Herramienta para el cálculo de la huella de carbono en hospitales&amp;"-,Normal"
</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b1b820adfd3e4a078472514c1a5cb5ff xmlns="87037488-ec5d-4aba-84c2-9b1d22638e8e">
      <Terms xmlns="http://schemas.microsoft.com/office/infopath/2007/PartnerControls"/>
    </b1b820adfd3e4a078472514c1a5cb5ff>
    <TaxCatchAll xmlns="87037488-ec5d-4aba-84c2-9b1d22638e8e" xsi:nil="true"/>
    <SharedWithUsers xmlns="2ccc2635-740d-44a0-9af6-db4b7245622b">
      <UserInfo>
        <DisplayName>BROOKS Jessica (ENGIE Impact)</DisplayName>
        <AccountId>11</AccountId>
        <AccountType/>
      </UserInfo>
    </SharedWithUsers>
    <lcf76f155ced4ddcb4097134ff3c332f xmlns="0a2d0cae-8a41-4761-b650-bfdba13c543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E692C27715FE749A7C729010F0122B3" ma:contentTypeVersion="21" ma:contentTypeDescription="Create a new document." ma:contentTypeScope="" ma:versionID="0e9bb3963856b6be31e7a587b3abcadf">
  <xsd:schema xmlns:xsd="http://www.w3.org/2001/XMLSchema" xmlns:xs="http://www.w3.org/2001/XMLSchema" xmlns:p="http://schemas.microsoft.com/office/2006/metadata/properties" xmlns:ns2="87037488-ec5d-4aba-84c2-9b1d22638e8e" xmlns:ns3="0a2d0cae-8a41-4761-b650-bfdba13c5436" xmlns:ns4="2ccc2635-740d-44a0-9af6-db4b7245622b" targetNamespace="http://schemas.microsoft.com/office/2006/metadata/properties" ma:root="true" ma:fieldsID="b577bde8eed82f422d9b17bf54d4edf6" ns2:_="" ns3:_="" ns4:_="">
    <xsd:import namespace="87037488-ec5d-4aba-84c2-9b1d22638e8e"/>
    <xsd:import namespace="0a2d0cae-8a41-4761-b650-bfdba13c5436"/>
    <xsd:import namespace="2ccc2635-740d-44a0-9af6-db4b7245622b"/>
    <xsd:element name="properties">
      <xsd:complexType>
        <xsd:sequence>
          <xsd:element name="documentManagement">
            <xsd:complexType>
              <xsd:all>
                <xsd:element ref="ns2:b1b820adfd3e4a078472514c1a5cb5ff" minOccurs="0"/>
                <xsd:element ref="ns2:TaxCatchAll" minOccurs="0"/>
                <xsd:element ref="ns2:TaxCatchAllLabel" minOccurs="0"/>
                <xsd:element ref="ns3:MediaServiceMetadata" minOccurs="0"/>
                <xsd:element ref="ns3:MediaServiceFastMetadata" minOccurs="0"/>
                <xsd:element ref="ns3:MediaServiceAutoTags" minOccurs="0"/>
                <xsd:element ref="ns4:SharedWithUsers" minOccurs="0"/>
                <xsd:element ref="ns4:SharedWithDetails" minOccurs="0"/>
                <xsd:element ref="ns3:MediaServiceAutoKeyPoints" minOccurs="0"/>
                <xsd:element ref="ns3:MediaServiceKeyPoints" minOccurs="0"/>
                <xsd:element ref="ns3:MediaServiceGenerationTime" minOccurs="0"/>
                <xsd:element ref="ns3:MediaServiceEventHashCode" minOccurs="0"/>
                <xsd:element ref="ns3:MediaServiceDateTaken" minOccurs="0"/>
                <xsd:element ref="ns3:MediaServiceOCR" minOccurs="0"/>
                <xsd:element ref="ns3:MediaLengthInSeconds" minOccurs="0"/>
                <xsd:element ref="ns3:lcf76f155ced4ddcb4097134ff3c332f"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37488-ec5d-4aba-84c2-9b1d22638e8e" elementFormDefault="qualified">
    <xsd:import namespace="http://schemas.microsoft.com/office/2006/documentManagement/types"/>
    <xsd:import namespace="http://schemas.microsoft.com/office/infopath/2007/PartnerControls"/>
    <xsd:element name="b1b820adfd3e4a078472514c1a5cb5ff" ma:index="8" nillable="true" ma:taxonomy="true" ma:internalName="b1b820adfd3e4a078472514c1a5cb5ff" ma:taxonomyFieldName="Security_x0020_Classification" ma:displayName="Security Classification" ma:default="" ma:fieldId="{b1b820ad-fd3e-4a07-8472-514c1a5cb5ff}" ma:sspId="3bf472f7-a010-4b5a-bb99-a26ed4c99680" ma:termSetId="0c0ba91f-ee81-4a79-83f6-c19eebf2f16f"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3a0ea45a-e2de-4f9b-845d-1515b9c9e6e4}" ma:internalName="TaxCatchAll" ma:showField="CatchAllData" ma:web="2ccc2635-740d-44a0-9af6-db4b7245622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3a0ea45a-e2de-4f9b-845d-1515b9c9e6e4}" ma:internalName="TaxCatchAllLabel" ma:readOnly="true" ma:showField="CatchAllDataLabel" ma:web="2ccc2635-740d-44a0-9af6-db4b7245622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a2d0cae-8a41-4761-b650-bfdba13c5436"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bf472f7-a010-4b5a-bb99-a26ed4c99680"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description="" ma:indexed="true" ma:internalName="MediaServiceLocation" ma:readOnly="true">
      <xsd:simpleType>
        <xsd:restriction base="dms:Text"/>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ccc2635-740d-44a0-9af6-db4b7245622b"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902b3144-05cb-4777-86b3-e84c4a6b5b61" ContentTypeId="0x0101"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BE8F6E-6391-4467-9543-21FC5C8E1BB7}">
  <ds:schemaRefs>
    <ds:schemaRef ds:uri="http://schemas.microsoft.com/office/2006/documentManagement/types"/>
    <ds:schemaRef ds:uri="http://www.w3.org/XML/1998/namespace"/>
    <ds:schemaRef ds:uri="http://purl.org/dc/terms/"/>
    <ds:schemaRef ds:uri="http://schemas.openxmlformats.org/package/2006/metadata/core-properties"/>
    <ds:schemaRef ds:uri="http://purl.org/dc/dcmitype/"/>
    <ds:schemaRef ds:uri="87037488-ec5d-4aba-84c2-9b1d22638e8e"/>
    <ds:schemaRef ds:uri="http://schemas.microsoft.com/office/infopath/2007/PartnerControls"/>
    <ds:schemaRef ds:uri="2ccc2635-740d-44a0-9af6-db4b7245622b"/>
    <ds:schemaRef ds:uri="0a2d0cae-8a41-4761-b650-bfdba13c5436"/>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8344E67B-5049-4036-AE1A-B6489FAF89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037488-ec5d-4aba-84c2-9b1d22638e8e"/>
    <ds:schemaRef ds:uri="0a2d0cae-8a41-4761-b650-bfdba13c5436"/>
    <ds:schemaRef ds:uri="2ccc2635-740d-44a0-9af6-db4b724562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2E74DC2-8E9C-4038-925C-10818B12C423}">
  <ds:schemaRefs>
    <ds:schemaRef ds:uri="Microsoft.SharePoint.Taxonomy.ContentTypeSync"/>
  </ds:schemaRefs>
</ds:datastoreItem>
</file>

<file path=customXml/itemProps4.xml><?xml version="1.0" encoding="utf-8"?>
<ds:datastoreItem xmlns:ds="http://schemas.openxmlformats.org/officeDocument/2006/customXml" ds:itemID="{171218B7-A875-4CC5-A01E-14C3154D787F}">
  <ds:schemaRefs>
    <ds:schemaRef ds:uri="http://schemas.microsoft.com/sharepoint/v3/contenttype/forms"/>
  </ds:schemaRefs>
</ds:datastoreItem>
</file>

<file path=docMetadata/LabelInfo.xml><?xml version="1.0" encoding="utf-8"?>
<clbl:labelList xmlns:clbl="http://schemas.microsoft.com/office/2020/mipLabelMetadata">
  <clbl:label id="{c135c4ba-2280-41f8-be7d-6f21d368baa3}" enabled="1" method="Standard" siteId="{24139d14-c62c-4c47-8bdd-ce71ea1d50cf}"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40</vt:i4>
      </vt:variant>
      <vt:variant>
        <vt:lpstr>Named Ranges</vt:lpstr>
      </vt:variant>
      <vt:variant>
        <vt:i4>3</vt:i4>
      </vt:variant>
    </vt:vector>
  </HeadingPairs>
  <TitlesOfParts>
    <vt:vector size="43" baseType="lpstr">
      <vt:lpstr>Scope 1 and 2 changelog</vt:lpstr>
      <vt:lpstr>Instructions</vt:lpstr>
      <vt:lpstr>Facility or System Data</vt:lpstr>
      <vt:lpstr>Scope 1 and 2 Data</vt:lpstr>
      <vt:lpstr>S1&amp;2 Lists</vt:lpstr>
      <vt:lpstr>Results &amp; Summary</vt:lpstr>
      <vt:lpstr>Refrigerants</vt:lpstr>
      <vt:lpstr>S1&amp;2 References</vt:lpstr>
      <vt:lpstr>Anesthetic Gases</vt:lpstr>
      <vt:lpstr>Data sources</vt:lpstr>
      <vt:lpstr>Scope 3 changelog</vt:lpstr>
      <vt:lpstr>Introduction</vt:lpstr>
      <vt:lpstr>Inventory Settings</vt:lpstr>
      <vt:lpstr>Scope 3 Summary</vt:lpstr>
      <vt:lpstr>Cat 1 (Goods &amp; Services)</vt:lpstr>
      <vt:lpstr>Cat 2 (Capital Goods)</vt:lpstr>
      <vt:lpstr>Category 1 and 2 (custom input)</vt:lpstr>
      <vt:lpstr>Custom Emissions Inputs - other</vt:lpstr>
      <vt:lpstr>using slicers</vt:lpstr>
      <vt:lpstr>Cat 3 Fuel &amp; Energy</vt:lpstr>
      <vt:lpstr>Cat 4 Upstream Trans &amp; Dist</vt:lpstr>
      <vt:lpstr>Cat 5 Waste</vt:lpstr>
      <vt:lpstr>EF</vt:lpstr>
      <vt:lpstr>Cat 6 Business Trav. (spend)</vt:lpstr>
      <vt:lpstr>Cat 6 Business Trav. (distance)</vt:lpstr>
      <vt:lpstr>Cat 7 Employee Commuting</vt:lpstr>
      <vt:lpstr>CBECS IFs</vt:lpstr>
      <vt:lpstr>April updates</vt:lpstr>
      <vt:lpstr>Cat 8 &amp; Cat 13 Leased Assets</vt:lpstr>
      <vt:lpstr>Cat 9 (Patient Visits)</vt:lpstr>
      <vt:lpstr>Cat 11 Use of Sold Products</vt:lpstr>
      <vt:lpstr>Commute Calcs</vt:lpstr>
      <vt:lpstr>State eGrid factors</vt:lpstr>
      <vt:lpstr>GWPs</vt:lpstr>
      <vt:lpstr>2023_IndustryFactors_v1.2.3</vt:lpstr>
      <vt:lpstr>Cat 15 Investments</vt:lpstr>
      <vt:lpstr>Cat 15 descriptions</vt:lpstr>
      <vt:lpstr>References</vt:lpstr>
      <vt:lpstr>Conversions</vt:lpstr>
      <vt:lpstr>Mapping</vt:lpstr>
      <vt:lpstr>Refrigerants!Print_Area</vt:lpstr>
      <vt:lpstr>'Results &amp; Summary'!Print_Area</vt:lpstr>
      <vt:lpstr>'Scope 1 and 2 Data'!Print_Area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Lara Sutherland</dc:creator>
  <cp:lastModifiedBy>Keith Edgerton</cp:lastModifiedBy>
  <dcterms:created xsi:type="dcterms:W3CDTF">2015-06-05T18:17:20Z</dcterms:created>
  <dcterms:modified xsi:type="dcterms:W3CDTF">2024-04-24T19:32:26Z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0x0101005E692C27715FE749A7C729010F0122B3</vt:lpwstr>
  </property>
  <property fmtid="{D5CDD505-2E9C-101B-9397-08002B2CF9AE}" pid="3" name="Security Classification">
    <vt:lpwstr/>
  </property>
  <property fmtid="{D5CDD505-2E9C-101B-9397-08002B2CF9AE}" pid="4" name="MediaServiceImageTags">
    <vt:lpwstr/>
  </property>
  <property fmtid="{D5CDD505-2E9C-101B-9397-08002B2CF9AE}" pid="5" name="MSIP_Label_c135c4ba-2280-41f8-be7d-6f21d368baa3_Enabled">
    <vt:lpwstr>true</vt:lpwstr>
  </property>
  <property fmtid="{D5CDD505-2E9C-101B-9397-08002B2CF9AE}" pid="6" name="MSIP_Label_c135c4ba-2280-41f8-be7d-6f21d368baa3_SetDate">
    <vt:lpwstr>2022-08-10T15:52:28Z</vt:lpwstr>
  </property>
  <property fmtid="{D5CDD505-2E9C-101B-9397-08002B2CF9AE}" pid="7" name="MSIP_Label_c135c4ba-2280-41f8-be7d-6f21d368baa3_Method">
    <vt:lpwstr>Standard</vt:lpwstr>
  </property>
  <property fmtid="{D5CDD505-2E9C-101B-9397-08002B2CF9AE}" pid="8" name="MSIP_Label_c135c4ba-2280-41f8-be7d-6f21d368baa3_Name">
    <vt:lpwstr>c135c4ba-2280-41f8-be7d-6f21d368baa3</vt:lpwstr>
  </property>
  <property fmtid="{D5CDD505-2E9C-101B-9397-08002B2CF9AE}" pid="9" name="MSIP_Label_c135c4ba-2280-41f8-be7d-6f21d368baa3_SiteId">
    <vt:lpwstr>24139d14-c62c-4c47-8bdd-ce71ea1d50cf</vt:lpwstr>
  </property>
  <property fmtid="{D5CDD505-2E9C-101B-9397-08002B2CF9AE}" pid="10" name="MSIP_Label_c135c4ba-2280-41f8-be7d-6f21d368baa3_ActionId">
    <vt:lpwstr>22554338-9a10-41c4-9c4e-8ef64dc2589c</vt:lpwstr>
  </property>
  <property fmtid="{D5CDD505-2E9C-101B-9397-08002B2CF9AE}" pid="11" name="MSIP_Label_c135c4ba-2280-41f8-be7d-6f21d368baa3_ContentBits">
    <vt:lpwstr>0</vt:lpwstr>
  </property>
</Properties>
</file>